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0.xml" ContentType="application/vnd.openxmlformats-officedocument.drawing+xml"/>
  <Override PartName="/xl/comments2.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1.xml" ContentType="application/vnd.openxmlformats-officedocument.drawing+xml"/>
  <Override PartName="/xl/comments3.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326"/>
  <workbookPr defaultThemeVersion="166925"/>
  <mc:AlternateContent xmlns:mc="http://schemas.openxmlformats.org/markup-compatibility/2006">
    <mc:Choice Requires="x15">
      <x15ac:absPath xmlns:x15ac="http://schemas.microsoft.com/office/spreadsheetml/2010/11/ac" url="C:\Users\Bohra\Desktop\ボーラほむぺ\Bohra2017\outputsample\"/>
    </mc:Choice>
  </mc:AlternateContent>
  <bookViews>
    <workbookView xWindow="0" yWindow="0" windowWidth="21480" windowHeight="9525"/>
  </bookViews>
  <sheets>
    <sheet name="表紙" sheetId="52" r:id="rId1"/>
    <sheet name="外界条件" sheetId="1" r:id="rId2"/>
    <sheet name="位置情報" sheetId="2" r:id="rId3"/>
    <sheet name="外気温度等" sheetId="3" r:id="rId4"/>
    <sheet name="ETD(OW1)" sheetId="4" r:id="rId5"/>
    <sheet name="ETD(OW2)" sheetId="5" r:id="rId6"/>
    <sheet name="ETD(OR1)" sheetId="6" r:id="rId7"/>
    <sheet name="ETD(OR2)" sheetId="7" r:id="rId8"/>
    <sheet name="非空調室温度" sheetId="8" r:id="rId9"/>
    <sheet name="ガラス日射（標準）" sheetId="9" r:id="rId10"/>
    <sheet name="ガラス日射（2F-E）" sheetId="10" r:id="rId11"/>
    <sheet name="熱貫流率" sheetId="11" r:id="rId12"/>
    <sheet name="熱貫流率表" sheetId="12" r:id="rId13"/>
    <sheet name="各室熱負荷" sheetId="13" r:id="rId14"/>
    <sheet name="B102" sheetId="14" r:id="rId15"/>
    <sheet name="101" sheetId="15" r:id="rId16"/>
    <sheet name="102" sheetId="16" r:id="rId17"/>
    <sheet name="104" sheetId="17" r:id="rId18"/>
    <sheet name="201" sheetId="18" r:id="rId19"/>
    <sheet name="204" sheetId="19" r:id="rId20"/>
    <sheet name="205" sheetId="20" r:id="rId21"/>
    <sheet name="208" sheetId="21" r:id="rId22"/>
    <sheet name="209" sheetId="22" r:id="rId23"/>
    <sheet name="210" sheetId="23" r:id="rId24"/>
    <sheet name="211" sheetId="24" r:id="rId25"/>
    <sheet name="202" sheetId="25" r:id="rId26"/>
    <sheet name="202OA" sheetId="26" r:id="rId27"/>
    <sheet name="系統別集計" sheetId="27" r:id="rId28"/>
    <sheet name="BM-1系統集計表" sheetId="28" r:id="rId29"/>
    <sheet name="BM-2系統集計表" sheetId="29" r:id="rId30"/>
    <sheet name="BM-3系統集計表" sheetId="30" r:id="rId31"/>
    <sheet name="BM-3外気処理系統集計表" sheetId="31" r:id="rId32"/>
    <sheet name="BM-3外気処理系統空気線図" sheetId="32" r:id="rId33"/>
    <sheet name="AHU-1系統集計表" sheetId="33" r:id="rId34"/>
    <sheet name="AHU-1系統空気線図" sheetId="34" r:id="rId35"/>
    <sheet name="OAHU-1系統集計表" sheetId="35" r:id="rId36"/>
    <sheet name="OAHU-1系統空気線図" sheetId="36" r:id="rId37"/>
    <sheet name="個別系統集計表" sheetId="37" r:id="rId38"/>
    <sheet name="熱源集計" sheetId="38" r:id="rId39"/>
    <sheet name="BM-1系統冷熱源" sheetId="39" r:id="rId40"/>
    <sheet name="BM-2系統冷熱源" sheetId="40" r:id="rId41"/>
    <sheet name="BM-3系統冷熱源" sheetId="41" r:id="rId42"/>
    <sheet name="R-1系統冷熱源" sheetId="42" r:id="rId43"/>
    <sheet name="個別系統冷熱源" sheetId="43" r:id="rId44"/>
    <sheet name="B-1系統再熱・再生熱源" sheetId="44" r:id="rId45"/>
    <sheet name="BM-1系統温熱源" sheetId="45" r:id="rId46"/>
    <sheet name="BM-2系統温熱源" sheetId="46" r:id="rId47"/>
    <sheet name="BM-3系統温熱源" sheetId="47" r:id="rId48"/>
    <sheet name="B-1系統温熱源" sheetId="48" r:id="rId49"/>
    <sheet name="個別系統温熱源" sheetId="49" r:id="rId50"/>
    <sheet name="市水系統加湿源" sheetId="50" r:id="rId51"/>
    <sheet name="精製水系統加湿源" sheetId="51" r:id="rId52"/>
  </sheets>
  <definedNames>
    <definedName name="ID" localSheetId="15">'101'!$HH$1</definedName>
    <definedName name="ID" localSheetId="16">'102'!$HH$1</definedName>
    <definedName name="ID" localSheetId="17">'104'!$HH$1</definedName>
    <definedName name="ID" localSheetId="18">'201'!$HH$1</definedName>
    <definedName name="ID" localSheetId="25">'202'!$HH$1</definedName>
    <definedName name="ID" localSheetId="26">'202OA'!$HH$1</definedName>
    <definedName name="ID" localSheetId="19">'204'!$HH$1</definedName>
    <definedName name="ID" localSheetId="20">'205'!$HH$1</definedName>
    <definedName name="ID" localSheetId="21">'208'!$HH$1</definedName>
    <definedName name="ID" localSheetId="22">'209'!$HH$1</definedName>
    <definedName name="ID" localSheetId="23">'210'!$HH$1</definedName>
    <definedName name="ID" localSheetId="24">'211'!$HH$1</definedName>
    <definedName name="ID" localSheetId="14">'B102'!$HH$1</definedName>
    <definedName name="ID" localSheetId="1">外界条件!$D$1</definedName>
    <definedName name="ID" localSheetId="13">各室熱負荷!$D$1</definedName>
    <definedName name="ID" localSheetId="27">系統別集計!$D$1</definedName>
    <definedName name="ID" localSheetId="11">熱貫流率!$D$1</definedName>
    <definedName name="ID" localSheetId="38">熱源集計!$D$1</definedName>
    <definedName name="ID" localSheetId="0">表紙!$K$1</definedName>
    <definedName name="_xlnm.Print_Area" localSheetId="15">'101'!$A$1:$HC$69</definedName>
    <definedName name="_xlnm.Print_Area" localSheetId="16">'102'!$A$1:$HC$69</definedName>
    <definedName name="_xlnm.Print_Area" localSheetId="17">'104'!$A$1:$HC$69</definedName>
    <definedName name="_xlnm.Print_Area" localSheetId="18">'201'!$A$1:$HC$69</definedName>
    <definedName name="_xlnm.Print_Area" localSheetId="25">'202'!$A$1:$HC$69</definedName>
    <definedName name="_xlnm.Print_Area" localSheetId="26">'202OA'!$A$1:$HC$69</definedName>
    <definedName name="_xlnm.Print_Area" localSheetId="19">'204'!$A$1:$HC$69</definedName>
    <definedName name="_xlnm.Print_Area" localSheetId="20">'205'!$A$1:$HC$69</definedName>
    <definedName name="_xlnm.Print_Area" localSheetId="21">'208'!$A$1:$HC$69</definedName>
    <definedName name="_xlnm.Print_Area" localSheetId="22">'209'!$A$1:$HC$69</definedName>
    <definedName name="_xlnm.Print_Area" localSheetId="23">'210'!$A$1:$HC$69</definedName>
    <definedName name="_xlnm.Print_Area" localSheetId="24">'211'!$A$1:$HC$69</definedName>
    <definedName name="_xlnm.Print_Area" localSheetId="33">'AHU-1系統集計表'!$A$7:$Y$48</definedName>
    <definedName name="_xlnm.Print_Area" localSheetId="14">'B102'!$A$1:$HC$69</definedName>
    <definedName name="_xlnm.Print_Area" localSheetId="48">'B-1系統温熱源'!$A$6:$G$41</definedName>
    <definedName name="_xlnm.Print_Area" localSheetId="44">'B-1系統再熱・再生熱源'!$A$6:$AC$58</definedName>
    <definedName name="_xlnm.Print_Area" localSheetId="45">'BM-1系統温熱源'!$A$6:$G$41</definedName>
    <definedName name="_xlnm.Print_Area" localSheetId="28">'BM-1系統集計表'!$A$6:$T$37</definedName>
    <definedName name="_xlnm.Print_Area" localSheetId="39">'BM-1系統冷熱源'!$A$6:$AC$58</definedName>
    <definedName name="_xlnm.Print_Area" localSheetId="46">'BM-2系統温熱源'!$A$6:$G$41</definedName>
    <definedName name="_xlnm.Print_Area" localSheetId="29">'BM-2系統集計表'!$A$6:$T$37</definedName>
    <definedName name="_xlnm.Print_Area" localSheetId="40">'BM-2系統冷熱源'!$A$6:$AC$58</definedName>
    <definedName name="_xlnm.Print_Area" localSheetId="31">'BM-3外気処理系統集計表'!$A$7:$Y$48</definedName>
    <definedName name="_xlnm.Print_Area" localSheetId="47">'BM-3系統温熱源'!$A$6:$G$41</definedName>
    <definedName name="_xlnm.Print_Area" localSheetId="30">'BM-3系統集計表'!$A$6:$T$37</definedName>
    <definedName name="_xlnm.Print_Area" localSheetId="41">'BM-3系統冷熱源'!$A$6:$AC$58</definedName>
    <definedName name="_xlnm.Print_Area" localSheetId="35">'OAHU-1系統集計表'!$A$7:$Y$48</definedName>
    <definedName name="_xlnm.Print_Area" localSheetId="42">'R-1系統冷熱源'!$A$6:$AC$58</definedName>
    <definedName name="_xlnm.Print_Area" localSheetId="10">'ガラス日射（2F-E）'!$A$1:$AB$96</definedName>
    <definedName name="_xlnm.Print_Area" localSheetId="9">'ガラス日射（標準）'!$A$1:$AB$96</definedName>
    <definedName name="_xlnm.Print_Area" localSheetId="2">位置情報!$A$1:$AA$40</definedName>
    <definedName name="_xlnm.Print_Area" localSheetId="1">外界条件!$A$1:$A$16</definedName>
    <definedName name="_xlnm.Print_Area" localSheetId="13">各室熱負荷!$A$1:$A$16</definedName>
    <definedName name="_xlnm.Print_Area" localSheetId="27">系統別集計!$A$1:$A$16</definedName>
    <definedName name="_xlnm.Print_Area" localSheetId="49">個別系統温熱源!$A$6:$G$41</definedName>
    <definedName name="_xlnm.Print_Area" localSheetId="37">個別系統集計表!$A$6:$T$37</definedName>
    <definedName name="_xlnm.Print_Area" localSheetId="43">個別系統冷熱源!$A$6:$AC$58</definedName>
    <definedName name="_xlnm.Print_Area" localSheetId="50">市水系統加湿源!$A$7:$R$40</definedName>
    <definedName name="_xlnm.Print_Area" localSheetId="51">精製水系統加湿源!$A$7:$R$40</definedName>
    <definedName name="_xlnm.Print_Area" localSheetId="11">熱貫流率!$A$1:$A$16</definedName>
    <definedName name="_xlnm.Print_Area" localSheetId="12">熱貫流率表!$A$6:$L$141</definedName>
    <definedName name="_xlnm.Print_Area" localSheetId="38">熱源集計!$A$1:$A$16</definedName>
    <definedName name="_xlnm.Print_Area" localSheetId="8">非空調室温度!$A$1:$E$29</definedName>
    <definedName name="_xlnm.Print_Area" localSheetId="0">表紙!$A$1:$E$13</definedName>
    <definedName name="_xlnm.Print_Titles" localSheetId="33">'AHU-1系統集計表'!$1:$6</definedName>
    <definedName name="_xlnm.Print_Titles" localSheetId="48">'B-1系統温熱源'!$1:$5</definedName>
    <definedName name="_xlnm.Print_Titles" localSheetId="44">'B-1系統再熱・再生熱源'!$1:$5</definedName>
    <definedName name="_xlnm.Print_Titles" localSheetId="45">'BM-1系統温熱源'!$1:$5</definedName>
    <definedName name="_xlnm.Print_Titles" localSheetId="28">'BM-1系統集計表'!$1:$5</definedName>
    <definedName name="_xlnm.Print_Titles" localSheetId="39">'BM-1系統冷熱源'!$1:$5</definedName>
    <definedName name="_xlnm.Print_Titles" localSheetId="46">'BM-2系統温熱源'!$1:$5</definedName>
    <definedName name="_xlnm.Print_Titles" localSheetId="29">'BM-2系統集計表'!$1:$5</definedName>
    <definedName name="_xlnm.Print_Titles" localSheetId="40">'BM-2系統冷熱源'!$1:$5</definedName>
    <definedName name="_xlnm.Print_Titles" localSheetId="31">'BM-3外気処理系統集計表'!$1:$6</definedName>
    <definedName name="_xlnm.Print_Titles" localSheetId="47">'BM-3系統温熱源'!$1:$5</definedName>
    <definedName name="_xlnm.Print_Titles" localSheetId="30">'BM-3系統集計表'!$1:$5</definedName>
    <definedName name="_xlnm.Print_Titles" localSheetId="41">'BM-3系統冷熱源'!$1:$5</definedName>
    <definedName name="_xlnm.Print_Titles" localSheetId="35">'OAHU-1系統集計表'!$1:$6</definedName>
    <definedName name="_xlnm.Print_Titles" localSheetId="42">'R-1系統冷熱源'!$1:$5</definedName>
    <definedName name="_xlnm.Print_Titles" localSheetId="10">'ガラス日射（2F-E）'!$1:$9</definedName>
    <definedName name="_xlnm.Print_Titles" localSheetId="9">'ガラス日射（標準）'!$1:$9</definedName>
    <definedName name="_xlnm.Print_Titles" localSheetId="49">個別系統温熱源!$1:$5</definedName>
    <definedName name="_xlnm.Print_Titles" localSheetId="37">個別系統集計表!$1:$5</definedName>
    <definedName name="_xlnm.Print_Titles" localSheetId="43">個別系統冷熱源!$1:$5</definedName>
    <definedName name="_xlnm.Print_Titles" localSheetId="50">市水系統加湿源!$1:$6</definedName>
    <definedName name="_xlnm.Print_Titles" localSheetId="51">精製水系統加湿源!$1:$6</definedName>
    <definedName name="_xlnm.Print_Titles" localSheetId="12">熱貫流率表!$1:$5</definedName>
    <definedName name="会社名" localSheetId="0">表紙!$A$10</definedName>
    <definedName name="顧客名" localSheetId="0">表紙!$A$1</definedName>
    <definedName name="室NO" localSheetId="15">'101'!$B$3</definedName>
    <definedName name="室NO" localSheetId="16">'102'!$B$3</definedName>
    <definedName name="室NO" localSheetId="17">'104'!$B$3</definedName>
    <definedName name="室NO" localSheetId="18">'201'!$B$3</definedName>
    <definedName name="室NO" localSheetId="25">'202'!$B$3</definedName>
    <definedName name="室NO" localSheetId="26">'202OA'!$B$3</definedName>
    <definedName name="室NO" localSheetId="19">'204'!$B$3</definedName>
    <definedName name="室NO" localSheetId="20">'205'!$B$3</definedName>
    <definedName name="室NO" localSheetId="21">'208'!$B$3</definedName>
    <definedName name="室NO" localSheetId="22">'209'!$B$3</definedName>
    <definedName name="室NO" localSheetId="23">'210'!$B$3</definedName>
    <definedName name="室NO" localSheetId="24">'211'!$B$3</definedName>
    <definedName name="室NO" localSheetId="14">'B102'!$B$3</definedName>
    <definedName name="日付" localSheetId="0">表紙!$A$8</definedName>
    <definedName name="面積" localSheetId="15">'101'!$D$5</definedName>
    <definedName name="面積" localSheetId="16">'102'!$D$5</definedName>
    <definedName name="面積" localSheetId="17">'104'!$D$5</definedName>
    <definedName name="面積" localSheetId="18">'201'!$D$5</definedName>
    <definedName name="面積" localSheetId="25">'202'!$D$5</definedName>
    <definedName name="面積" localSheetId="26">'202OA'!$D$5</definedName>
    <definedName name="面積" localSheetId="19">'204'!$D$5</definedName>
    <definedName name="面積" localSheetId="20">'205'!$D$5</definedName>
    <definedName name="面積" localSheetId="21">'208'!$D$5</definedName>
    <definedName name="面積" localSheetId="22">'209'!$D$5</definedName>
    <definedName name="面積" localSheetId="23">'210'!$D$5</definedName>
    <definedName name="面積" localSheetId="24">'211'!$D$5</definedName>
    <definedName name="面積" localSheetId="14">'B102'!$D$5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M68" i="26" l="1"/>
  <c r="BJ68" i="26"/>
  <c r="GE54" i="26"/>
  <c r="GC54" i="26"/>
  <c r="GA54" i="26"/>
  <c r="FY54" i="26"/>
  <c r="FW54" i="26"/>
  <c r="FU26" i="26"/>
  <c r="FR26" i="26"/>
  <c r="FH26" i="26"/>
  <c r="FF26" i="26"/>
  <c r="FD26" i="26"/>
  <c r="FB26" i="26"/>
  <c r="EZ26" i="26"/>
  <c r="EX26" i="26"/>
  <c r="EV26" i="26"/>
  <c r="ET26" i="26"/>
  <c r="ER26" i="26"/>
  <c r="EP26" i="26"/>
  <c r="EN26" i="26"/>
  <c r="EL26" i="26"/>
  <c r="EJ26" i="26"/>
  <c r="EH26" i="26"/>
  <c r="EF26" i="26"/>
  <c r="ED26" i="26"/>
  <c r="EB26" i="26"/>
  <c r="DZ26" i="26"/>
  <c r="DX26" i="26"/>
  <c r="DV26" i="26"/>
  <c r="DT26" i="26"/>
  <c r="DR26" i="26"/>
  <c r="DP26" i="26"/>
  <c r="DN26" i="26"/>
  <c r="DE26" i="26"/>
  <c r="DC26" i="26"/>
  <c r="DA26" i="26"/>
  <c r="CY26" i="26"/>
  <c r="CW26" i="26"/>
  <c r="CU26" i="26"/>
  <c r="CS26" i="26"/>
  <c r="CQ26" i="26"/>
  <c r="CO26" i="26"/>
  <c r="CM26" i="26"/>
  <c r="CK26" i="26"/>
  <c r="CI26" i="26"/>
  <c r="CG26" i="26"/>
  <c r="CE26" i="26"/>
  <c r="CC26" i="26"/>
  <c r="CA26" i="26"/>
  <c r="BY26" i="26"/>
  <c r="BW26" i="26"/>
  <c r="BU26" i="26"/>
  <c r="BS26" i="26"/>
  <c r="BQ26" i="26"/>
  <c r="BO26" i="26"/>
  <c r="BM26" i="26"/>
  <c r="BK26" i="26"/>
  <c r="BB26" i="26"/>
  <c r="AZ26" i="26"/>
  <c r="AX26" i="26"/>
  <c r="AV26" i="26"/>
  <c r="AT26" i="26"/>
  <c r="AR26" i="26"/>
  <c r="AP26" i="26"/>
  <c r="AN26" i="26"/>
  <c r="AL26" i="26"/>
  <c r="AJ26" i="26"/>
  <c r="AH26" i="26"/>
  <c r="AF26" i="26"/>
  <c r="AD26" i="26"/>
  <c r="AB26" i="26"/>
  <c r="Z26" i="26"/>
  <c r="X26" i="26"/>
  <c r="V26" i="26"/>
  <c r="T26" i="26"/>
  <c r="R26" i="26"/>
  <c r="P26" i="26"/>
  <c r="N26" i="26"/>
  <c r="L26" i="26"/>
  <c r="J26" i="26"/>
  <c r="H26" i="26"/>
  <c r="FU14" i="26"/>
  <c r="FR14" i="26"/>
  <c r="FH14" i="26"/>
  <c r="FF14" i="26"/>
  <c r="FD14" i="26"/>
  <c r="FB14" i="26"/>
  <c r="EZ14" i="26"/>
  <c r="EX14" i="26"/>
  <c r="EV14" i="26"/>
  <c r="ET14" i="26"/>
  <c r="ER14" i="26"/>
  <c r="EP14" i="26"/>
  <c r="EN14" i="26"/>
  <c r="EL14" i="26"/>
  <c r="EJ14" i="26"/>
  <c r="EH14" i="26"/>
  <c r="EF14" i="26"/>
  <c r="ED14" i="26"/>
  <c r="EB14" i="26"/>
  <c r="DZ14" i="26"/>
  <c r="DX14" i="26"/>
  <c r="DV14" i="26"/>
  <c r="DT14" i="26"/>
  <c r="DR14" i="26"/>
  <c r="DP14" i="26"/>
  <c r="DN14" i="26"/>
  <c r="DE14" i="26"/>
  <c r="DC14" i="26"/>
  <c r="DA14" i="26"/>
  <c r="CY14" i="26"/>
  <c r="CW14" i="26"/>
  <c r="CU14" i="26"/>
  <c r="CS14" i="26"/>
  <c r="CQ14" i="26"/>
  <c r="CO14" i="26"/>
  <c r="CM14" i="26"/>
  <c r="CK14" i="26"/>
  <c r="CI14" i="26"/>
  <c r="CG14" i="26"/>
  <c r="CE14" i="26"/>
  <c r="CC14" i="26"/>
  <c r="CA14" i="26"/>
  <c r="BY14" i="26"/>
  <c r="BW14" i="26"/>
  <c r="BU14" i="26"/>
  <c r="BS14" i="26"/>
  <c r="BQ14" i="26"/>
  <c r="BO14" i="26"/>
  <c r="BM14" i="26"/>
  <c r="BK14" i="26"/>
  <c r="BB14" i="26"/>
  <c r="AZ14" i="26"/>
  <c r="AX14" i="26"/>
  <c r="AV14" i="26"/>
  <c r="AT14" i="26"/>
  <c r="AR14" i="26"/>
  <c r="AP14" i="26"/>
  <c r="AN14" i="26"/>
  <c r="AL14" i="26"/>
  <c r="AJ14" i="26"/>
  <c r="AH14" i="26"/>
  <c r="AF14" i="26"/>
  <c r="AD14" i="26"/>
  <c r="AB14" i="26"/>
  <c r="Z14" i="26"/>
  <c r="X14" i="26"/>
  <c r="V14" i="26"/>
  <c r="T14" i="26"/>
  <c r="R14" i="26"/>
  <c r="P14" i="26"/>
  <c r="N14" i="26"/>
  <c r="L14" i="26"/>
  <c r="J14" i="26"/>
  <c r="H14" i="26"/>
  <c r="FE1" i="26"/>
  <c r="DB1" i="26"/>
  <c r="FU23" i="25"/>
  <c r="FR23" i="25"/>
  <c r="FH23" i="25"/>
  <c r="FF23" i="25"/>
  <c r="FD23" i="25"/>
  <c r="FB23" i="25"/>
  <c r="EZ23" i="25"/>
  <c r="EX23" i="25"/>
  <c r="EV23" i="25"/>
  <c r="ET23" i="25"/>
  <c r="ER23" i="25"/>
  <c r="EP23" i="25"/>
  <c r="EN23" i="25"/>
  <c r="EL23" i="25"/>
  <c r="EJ23" i="25"/>
  <c r="EH23" i="25"/>
  <c r="EF23" i="25"/>
  <c r="ED23" i="25"/>
  <c r="EB23" i="25"/>
  <c r="DZ23" i="25"/>
  <c r="DX23" i="25"/>
  <c r="DV23" i="25"/>
  <c r="DT23" i="25"/>
  <c r="DR23" i="25"/>
  <c r="DP23" i="25"/>
  <c r="DN23" i="25"/>
  <c r="DE23" i="25"/>
  <c r="DC23" i="25"/>
  <c r="DA23" i="25"/>
  <c r="CY23" i="25"/>
  <c r="CW23" i="25"/>
  <c r="CU23" i="25"/>
  <c r="CS23" i="25"/>
  <c r="CQ23" i="25"/>
  <c r="CO23" i="25"/>
  <c r="CM23" i="25"/>
  <c r="CK23" i="25"/>
  <c r="CI23" i="25"/>
  <c r="CG23" i="25"/>
  <c r="CE23" i="25"/>
  <c r="CC23" i="25"/>
  <c r="CA23" i="25"/>
  <c r="BY23" i="25"/>
  <c r="BW23" i="25"/>
  <c r="BU23" i="25"/>
  <c r="BS23" i="25"/>
  <c r="BQ23" i="25"/>
  <c r="BO23" i="25"/>
  <c r="BM23" i="25"/>
  <c r="BK23" i="25"/>
  <c r="BB23" i="25"/>
  <c r="AZ23" i="25"/>
  <c r="AX23" i="25"/>
  <c r="AV23" i="25"/>
  <c r="AT23" i="25"/>
  <c r="AR23" i="25"/>
  <c r="AP23" i="25"/>
  <c r="AN23" i="25"/>
  <c r="AL23" i="25"/>
  <c r="AJ23" i="25"/>
  <c r="AH23" i="25"/>
  <c r="AF23" i="25"/>
  <c r="AD23" i="25"/>
  <c r="AB23" i="25"/>
  <c r="Z23" i="25"/>
  <c r="X23" i="25"/>
  <c r="V23" i="25"/>
  <c r="T23" i="25"/>
  <c r="R23" i="25"/>
  <c r="P23" i="25"/>
  <c r="N23" i="25"/>
  <c r="L23" i="25"/>
  <c r="J23" i="25"/>
  <c r="H23" i="25"/>
  <c r="FU22" i="25"/>
  <c r="FR22" i="25"/>
  <c r="FH22" i="25"/>
  <c r="FF22" i="25"/>
  <c r="FD22" i="25"/>
  <c r="FB22" i="25"/>
  <c r="EZ22" i="25"/>
  <c r="EX22" i="25"/>
  <c r="EV22" i="25"/>
  <c r="ET22" i="25"/>
  <c r="ER22" i="25"/>
  <c r="EP22" i="25"/>
  <c r="EN22" i="25"/>
  <c r="EL22" i="25"/>
  <c r="EJ22" i="25"/>
  <c r="EH22" i="25"/>
  <c r="EF22" i="25"/>
  <c r="ED22" i="25"/>
  <c r="EB22" i="25"/>
  <c r="DZ22" i="25"/>
  <c r="DX22" i="25"/>
  <c r="DV22" i="25"/>
  <c r="DT22" i="25"/>
  <c r="DR22" i="25"/>
  <c r="DP22" i="25"/>
  <c r="DN22" i="25"/>
  <c r="DE22" i="25"/>
  <c r="DC22" i="25"/>
  <c r="DA22" i="25"/>
  <c r="CY22" i="25"/>
  <c r="CW22" i="25"/>
  <c r="CU22" i="25"/>
  <c r="CS22" i="25"/>
  <c r="CQ22" i="25"/>
  <c r="CO22" i="25"/>
  <c r="CM22" i="25"/>
  <c r="CK22" i="25"/>
  <c r="CI22" i="25"/>
  <c r="CG22" i="25"/>
  <c r="CE22" i="25"/>
  <c r="CC22" i="25"/>
  <c r="CA22" i="25"/>
  <c r="BY22" i="25"/>
  <c r="BW22" i="25"/>
  <c r="BU22" i="25"/>
  <c r="BS22" i="25"/>
  <c r="BQ22" i="25"/>
  <c r="BO22" i="25"/>
  <c r="BM22" i="25"/>
  <c r="BK22" i="25"/>
  <c r="BB22" i="25"/>
  <c r="AZ22" i="25"/>
  <c r="AX22" i="25"/>
  <c r="AV22" i="25"/>
  <c r="AT22" i="25"/>
  <c r="AR22" i="25"/>
  <c r="AP22" i="25"/>
  <c r="AN22" i="25"/>
  <c r="AL22" i="25"/>
  <c r="AJ22" i="25"/>
  <c r="AH22" i="25"/>
  <c r="AF22" i="25"/>
  <c r="AD22" i="25"/>
  <c r="AB22" i="25"/>
  <c r="Z22" i="25"/>
  <c r="X22" i="25"/>
  <c r="V22" i="25"/>
  <c r="T22" i="25"/>
  <c r="R22" i="25"/>
  <c r="P22" i="25"/>
  <c r="N22" i="25"/>
  <c r="L22" i="25"/>
  <c r="J22" i="25"/>
  <c r="H22" i="25"/>
  <c r="FU21" i="25"/>
  <c r="FR21" i="25"/>
  <c r="FH21" i="25"/>
  <c r="FF21" i="25"/>
  <c r="FD21" i="25"/>
  <c r="FB21" i="25"/>
  <c r="EZ21" i="25"/>
  <c r="EX21" i="25"/>
  <c r="EV21" i="25"/>
  <c r="ET21" i="25"/>
  <c r="ER21" i="25"/>
  <c r="EP21" i="25"/>
  <c r="EN21" i="25"/>
  <c r="EL21" i="25"/>
  <c r="EJ21" i="25"/>
  <c r="EH21" i="25"/>
  <c r="EF21" i="25"/>
  <c r="ED21" i="25"/>
  <c r="EB21" i="25"/>
  <c r="DZ21" i="25"/>
  <c r="DX21" i="25"/>
  <c r="DV21" i="25"/>
  <c r="DT21" i="25"/>
  <c r="DR21" i="25"/>
  <c r="DP21" i="25"/>
  <c r="DN21" i="25"/>
  <c r="DE21" i="25"/>
  <c r="DC21" i="25"/>
  <c r="DA21" i="25"/>
  <c r="CY21" i="25"/>
  <c r="CW21" i="25"/>
  <c r="CU21" i="25"/>
  <c r="CS21" i="25"/>
  <c r="CQ21" i="25"/>
  <c r="CO21" i="25"/>
  <c r="CM21" i="25"/>
  <c r="CK21" i="25"/>
  <c r="CI21" i="25"/>
  <c r="CG21" i="25"/>
  <c r="CE21" i="25"/>
  <c r="CC21" i="25"/>
  <c r="CA21" i="25"/>
  <c r="BY21" i="25"/>
  <c r="BW21" i="25"/>
  <c r="BU21" i="25"/>
  <c r="BS21" i="25"/>
  <c r="BQ21" i="25"/>
  <c r="BO21" i="25"/>
  <c r="BM21" i="25"/>
  <c r="BK21" i="25"/>
  <c r="BB21" i="25"/>
  <c r="AZ21" i="25"/>
  <c r="AX21" i="25"/>
  <c r="AV21" i="25"/>
  <c r="AT21" i="25"/>
  <c r="AR21" i="25"/>
  <c r="AP21" i="25"/>
  <c r="AN21" i="25"/>
  <c r="AL21" i="25"/>
  <c r="AJ21" i="25"/>
  <c r="AH21" i="25"/>
  <c r="AF21" i="25"/>
  <c r="AD21" i="25"/>
  <c r="AB21" i="25"/>
  <c r="Z21" i="25"/>
  <c r="X21" i="25"/>
  <c r="V21" i="25"/>
  <c r="T21" i="25"/>
  <c r="R21" i="25"/>
  <c r="P21" i="25"/>
  <c r="N21" i="25"/>
  <c r="L21" i="25"/>
  <c r="J21" i="25"/>
  <c r="H21" i="25"/>
  <c r="FU20" i="25"/>
  <c r="FR20" i="25"/>
  <c r="FH20" i="25"/>
  <c r="FF20" i="25"/>
  <c r="FD20" i="25"/>
  <c r="FB20" i="25"/>
  <c r="EZ20" i="25"/>
  <c r="EX20" i="25"/>
  <c r="EV20" i="25"/>
  <c r="ET20" i="25"/>
  <c r="ER20" i="25"/>
  <c r="EP20" i="25"/>
  <c r="EN20" i="25"/>
  <c r="EL20" i="25"/>
  <c r="EJ20" i="25"/>
  <c r="EH20" i="25"/>
  <c r="EF20" i="25"/>
  <c r="ED20" i="25"/>
  <c r="EB20" i="25"/>
  <c r="DZ20" i="25"/>
  <c r="DX20" i="25"/>
  <c r="DV20" i="25"/>
  <c r="DT20" i="25"/>
  <c r="DR20" i="25"/>
  <c r="DP20" i="25"/>
  <c r="DN20" i="25"/>
  <c r="DE20" i="25"/>
  <c r="DC20" i="25"/>
  <c r="DA20" i="25"/>
  <c r="CY20" i="25"/>
  <c r="CW20" i="25"/>
  <c r="CU20" i="25"/>
  <c r="CS20" i="25"/>
  <c r="CQ20" i="25"/>
  <c r="CO20" i="25"/>
  <c r="CM20" i="25"/>
  <c r="CK20" i="25"/>
  <c r="CI20" i="25"/>
  <c r="CG20" i="25"/>
  <c r="CE20" i="25"/>
  <c r="CC20" i="25"/>
  <c r="CA20" i="25"/>
  <c r="BY20" i="25"/>
  <c r="BW20" i="25"/>
  <c r="BU20" i="25"/>
  <c r="BS20" i="25"/>
  <c r="BQ20" i="25"/>
  <c r="BO20" i="25"/>
  <c r="BM20" i="25"/>
  <c r="BK20" i="25"/>
  <c r="BB20" i="25"/>
  <c r="AZ20" i="25"/>
  <c r="AX20" i="25"/>
  <c r="AV20" i="25"/>
  <c r="AT20" i="25"/>
  <c r="AR20" i="25"/>
  <c r="AP20" i="25"/>
  <c r="AN20" i="25"/>
  <c r="AL20" i="25"/>
  <c r="AJ20" i="25"/>
  <c r="AH20" i="25"/>
  <c r="AF20" i="25"/>
  <c r="AD20" i="25"/>
  <c r="AB20" i="25"/>
  <c r="Z20" i="25"/>
  <c r="X20" i="25"/>
  <c r="V20" i="25"/>
  <c r="T20" i="25"/>
  <c r="R20" i="25"/>
  <c r="P20" i="25"/>
  <c r="N20" i="25"/>
  <c r="L20" i="25"/>
  <c r="J20" i="25"/>
  <c r="H20" i="25"/>
  <c r="FU19" i="25"/>
  <c r="FR19" i="25"/>
  <c r="FH19" i="25"/>
  <c r="FF19" i="25"/>
  <c r="FD19" i="25"/>
  <c r="FB19" i="25"/>
  <c r="EZ19" i="25"/>
  <c r="EX19" i="25"/>
  <c r="EV19" i="25"/>
  <c r="ET19" i="25"/>
  <c r="ER19" i="25"/>
  <c r="EP19" i="25"/>
  <c r="EN19" i="25"/>
  <c r="EL19" i="25"/>
  <c r="EJ19" i="25"/>
  <c r="EH19" i="25"/>
  <c r="EF19" i="25"/>
  <c r="ED19" i="25"/>
  <c r="EB19" i="25"/>
  <c r="DZ19" i="25"/>
  <c r="DX19" i="25"/>
  <c r="DV19" i="25"/>
  <c r="DT19" i="25"/>
  <c r="DR19" i="25"/>
  <c r="DP19" i="25"/>
  <c r="DN19" i="25"/>
  <c r="DE19" i="25"/>
  <c r="DC19" i="25"/>
  <c r="DA19" i="25"/>
  <c r="CY19" i="25"/>
  <c r="CW19" i="25"/>
  <c r="CU19" i="25"/>
  <c r="CS19" i="25"/>
  <c r="CQ19" i="25"/>
  <c r="CO19" i="25"/>
  <c r="CM19" i="25"/>
  <c r="CK19" i="25"/>
  <c r="CI19" i="25"/>
  <c r="CG19" i="25"/>
  <c r="CE19" i="25"/>
  <c r="CC19" i="25"/>
  <c r="CA19" i="25"/>
  <c r="BY19" i="25"/>
  <c r="BW19" i="25"/>
  <c r="BU19" i="25"/>
  <c r="BS19" i="25"/>
  <c r="BQ19" i="25"/>
  <c r="BO19" i="25"/>
  <c r="BM19" i="25"/>
  <c r="BK19" i="25"/>
  <c r="BB19" i="25"/>
  <c r="AZ19" i="25"/>
  <c r="AX19" i="25"/>
  <c r="AV19" i="25"/>
  <c r="AT19" i="25"/>
  <c r="AR19" i="25"/>
  <c r="AP19" i="25"/>
  <c r="AN19" i="25"/>
  <c r="AL19" i="25"/>
  <c r="AJ19" i="25"/>
  <c r="AH19" i="25"/>
  <c r="AF19" i="25"/>
  <c r="AD19" i="25"/>
  <c r="AB19" i="25"/>
  <c r="Z19" i="25"/>
  <c r="X19" i="25"/>
  <c r="V19" i="25"/>
  <c r="T19" i="25"/>
  <c r="R19" i="25"/>
  <c r="P19" i="25"/>
  <c r="N19" i="25"/>
  <c r="L19" i="25"/>
  <c r="J19" i="25"/>
  <c r="H19" i="25"/>
  <c r="FH10" i="25"/>
  <c r="FF10" i="25"/>
  <c r="FD10" i="25"/>
  <c r="FB10" i="25"/>
  <c r="EZ10" i="25"/>
  <c r="EX10" i="25"/>
  <c r="EV10" i="25"/>
  <c r="ET10" i="25"/>
  <c r="ER10" i="25"/>
  <c r="EP10" i="25"/>
  <c r="EN10" i="25"/>
  <c r="EL10" i="25"/>
  <c r="EJ10" i="25"/>
  <c r="EH10" i="25"/>
  <c r="EF10" i="25"/>
  <c r="ED10" i="25"/>
  <c r="EB10" i="25"/>
  <c r="DZ10" i="25"/>
  <c r="DX10" i="25"/>
  <c r="DV10" i="25"/>
  <c r="DT10" i="25"/>
  <c r="DR10" i="25"/>
  <c r="DP10" i="25"/>
  <c r="DN10" i="25"/>
  <c r="DE10" i="25"/>
  <c r="DC10" i="25"/>
  <c r="DA10" i="25"/>
  <c r="CY10" i="25"/>
  <c r="CW10" i="25"/>
  <c r="CU10" i="25"/>
  <c r="CS10" i="25"/>
  <c r="CQ10" i="25"/>
  <c r="CO10" i="25"/>
  <c r="CM10" i="25"/>
  <c r="CK10" i="25"/>
  <c r="CI10" i="25"/>
  <c r="CG10" i="25"/>
  <c r="CE10" i="25"/>
  <c r="CC10" i="25"/>
  <c r="CA10" i="25"/>
  <c r="BY10" i="25"/>
  <c r="BW10" i="25"/>
  <c r="BU10" i="25"/>
  <c r="BS10" i="25"/>
  <c r="BQ10" i="25"/>
  <c r="BO10" i="25"/>
  <c r="BM10" i="25"/>
  <c r="BK10" i="25"/>
  <c r="BB10" i="25"/>
  <c r="AZ10" i="25"/>
  <c r="AX10" i="25"/>
  <c r="AV10" i="25"/>
  <c r="AT10" i="25"/>
  <c r="AR10" i="25"/>
  <c r="AP10" i="25"/>
  <c r="AN10" i="25"/>
  <c r="AL10" i="25"/>
  <c r="AJ10" i="25"/>
  <c r="AH10" i="25"/>
  <c r="AF10" i="25"/>
  <c r="AD10" i="25"/>
  <c r="AB10" i="25"/>
  <c r="Z10" i="25"/>
  <c r="X10" i="25"/>
  <c r="V10" i="25"/>
  <c r="T10" i="25"/>
  <c r="R10" i="25"/>
  <c r="P10" i="25"/>
  <c r="N10" i="25"/>
  <c r="L10" i="25"/>
  <c r="J10" i="25"/>
  <c r="H10" i="25"/>
  <c r="D10" i="25"/>
  <c r="FU18" i="25"/>
  <c r="FR18" i="25"/>
  <c r="FH18" i="25"/>
  <c r="FF18" i="25"/>
  <c r="FD18" i="25"/>
  <c r="FB18" i="25"/>
  <c r="EZ18" i="25"/>
  <c r="EX18" i="25"/>
  <c r="EV18" i="25"/>
  <c r="ET18" i="25"/>
  <c r="ER18" i="25"/>
  <c r="EP18" i="25"/>
  <c r="EN18" i="25"/>
  <c r="EL18" i="25"/>
  <c r="EJ18" i="25"/>
  <c r="EH18" i="25"/>
  <c r="EF18" i="25"/>
  <c r="ED18" i="25"/>
  <c r="EB18" i="25"/>
  <c r="DZ18" i="25"/>
  <c r="DX18" i="25"/>
  <c r="DV18" i="25"/>
  <c r="DT18" i="25"/>
  <c r="DR18" i="25"/>
  <c r="DP18" i="25"/>
  <c r="DN18" i="25"/>
  <c r="DE18" i="25"/>
  <c r="DC18" i="25"/>
  <c r="DA18" i="25"/>
  <c r="CY18" i="25"/>
  <c r="CW18" i="25"/>
  <c r="CU18" i="25"/>
  <c r="CS18" i="25"/>
  <c r="CQ18" i="25"/>
  <c r="CO18" i="25"/>
  <c r="CM18" i="25"/>
  <c r="CK18" i="25"/>
  <c r="CI18" i="25"/>
  <c r="CG18" i="25"/>
  <c r="CE18" i="25"/>
  <c r="CC18" i="25"/>
  <c r="CA18" i="25"/>
  <c r="BY18" i="25"/>
  <c r="BW18" i="25"/>
  <c r="BU18" i="25"/>
  <c r="BS18" i="25"/>
  <c r="BQ18" i="25"/>
  <c r="BO18" i="25"/>
  <c r="BM18" i="25"/>
  <c r="BK18" i="25"/>
  <c r="BB18" i="25"/>
  <c r="AZ18" i="25"/>
  <c r="AX18" i="25"/>
  <c r="AV18" i="25"/>
  <c r="AT18" i="25"/>
  <c r="AR18" i="25"/>
  <c r="AP18" i="25"/>
  <c r="AN18" i="25"/>
  <c r="AL18" i="25"/>
  <c r="AJ18" i="25"/>
  <c r="AH18" i="25"/>
  <c r="AF18" i="25"/>
  <c r="AD18" i="25"/>
  <c r="AB18" i="25"/>
  <c r="Z18" i="25"/>
  <c r="X18" i="25"/>
  <c r="V18" i="25"/>
  <c r="T18" i="25"/>
  <c r="R18" i="25"/>
  <c r="P18" i="25"/>
  <c r="N18" i="25"/>
  <c r="L18" i="25"/>
  <c r="J18" i="25"/>
  <c r="H18" i="25"/>
  <c r="FU17" i="25"/>
  <c r="FR17" i="25"/>
  <c r="FH17" i="25"/>
  <c r="FF17" i="25"/>
  <c r="FD17" i="25"/>
  <c r="FB17" i="25"/>
  <c r="EZ17" i="25"/>
  <c r="EX17" i="25"/>
  <c r="EV17" i="25"/>
  <c r="ET17" i="25"/>
  <c r="ER17" i="25"/>
  <c r="EP17" i="25"/>
  <c r="EN17" i="25"/>
  <c r="EL17" i="25"/>
  <c r="EJ17" i="25"/>
  <c r="EH17" i="25"/>
  <c r="EF17" i="25"/>
  <c r="ED17" i="25"/>
  <c r="EB17" i="25"/>
  <c r="DZ17" i="25"/>
  <c r="DX17" i="25"/>
  <c r="DV17" i="25"/>
  <c r="DT17" i="25"/>
  <c r="DR17" i="25"/>
  <c r="DP17" i="25"/>
  <c r="DN17" i="25"/>
  <c r="DE17" i="25"/>
  <c r="DC17" i="25"/>
  <c r="DA17" i="25"/>
  <c r="CY17" i="25"/>
  <c r="CW17" i="25"/>
  <c r="CU17" i="25"/>
  <c r="CS17" i="25"/>
  <c r="CQ17" i="25"/>
  <c r="CO17" i="25"/>
  <c r="CM17" i="25"/>
  <c r="CK17" i="25"/>
  <c r="CI17" i="25"/>
  <c r="CG17" i="25"/>
  <c r="CE17" i="25"/>
  <c r="CC17" i="25"/>
  <c r="CA17" i="25"/>
  <c r="BY17" i="25"/>
  <c r="BW17" i="25"/>
  <c r="BU17" i="25"/>
  <c r="BS17" i="25"/>
  <c r="BQ17" i="25"/>
  <c r="BO17" i="25"/>
  <c r="BM17" i="25"/>
  <c r="BK17" i="25"/>
  <c r="BB17" i="25"/>
  <c r="AZ17" i="25"/>
  <c r="AX17" i="25"/>
  <c r="AV17" i="25"/>
  <c r="AT17" i="25"/>
  <c r="AR17" i="25"/>
  <c r="AP17" i="25"/>
  <c r="AN17" i="25"/>
  <c r="AL17" i="25"/>
  <c r="AJ17" i="25"/>
  <c r="AH17" i="25"/>
  <c r="AF17" i="25"/>
  <c r="AD17" i="25"/>
  <c r="AB17" i="25"/>
  <c r="Z17" i="25"/>
  <c r="X17" i="25"/>
  <c r="V17" i="25"/>
  <c r="T17" i="25"/>
  <c r="R17" i="25"/>
  <c r="P17" i="25"/>
  <c r="N17" i="25"/>
  <c r="L17" i="25"/>
  <c r="J17" i="25"/>
  <c r="H17" i="25"/>
  <c r="FU16" i="25"/>
  <c r="FR16" i="25"/>
  <c r="FH16" i="25"/>
  <c r="FF16" i="25"/>
  <c r="FD16" i="25"/>
  <c r="FB16" i="25"/>
  <c r="EZ16" i="25"/>
  <c r="EX16" i="25"/>
  <c r="EV16" i="25"/>
  <c r="ET16" i="25"/>
  <c r="ER16" i="25"/>
  <c r="EP16" i="25"/>
  <c r="EN16" i="25"/>
  <c r="EL16" i="25"/>
  <c r="EJ16" i="25"/>
  <c r="EH16" i="25"/>
  <c r="EF16" i="25"/>
  <c r="ED16" i="25"/>
  <c r="EB16" i="25"/>
  <c r="DZ16" i="25"/>
  <c r="DX16" i="25"/>
  <c r="DV16" i="25"/>
  <c r="DT16" i="25"/>
  <c r="DR16" i="25"/>
  <c r="DP16" i="25"/>
  <c r="DN16" i="25"/>
  <c r="DE16" i="25"/>
  <c r="DC16" i="25"/>
  <c r="DA16" i="25"/>
  <c r="CY16" i="25"/>
  <c r="CW16" i="25"/>
  <c r="CU16" i="25"/>
  <c r="CS16" i="25"/>
  <c r="CQ16" i="25"/>
  <c r="CO16" i="25"/>
  <c r="CM16" i="25"/>
  <c r="CK16" i="25"/>
  <c r="CI16" i="25"/>
  <c r="CG16" i="25"/>
  <c r="CE16" i="25"/>
  <c r="CC16" i="25"/>
  <c r="CA16" i="25"/>
  <c r="BY16" i="25"/>
  <c r="BW16" i="25"/>
  <c r="BU16" i="25"/>
  <c r="BS16" i="25"/>
  <c r="BQ16" i="25"/>
  <c r="BO16" i="25"/>
  <c r="BM16" i="25"/>
  <c r="BK16" i="25"/>
  <c r="BB16" i="25"/>
  <c r="AZ16" i="25"/>
  <c r="AX16" i="25"/>
  <c r="AV16" i="25"/>
  <c r="AT16" i="25"/>
  <c r="AR16" i="25"/>
  <c r="AP16" i="25"/>
  <c r="AN16" i="25"/>
  <c r="AL16" i="25"/>
  <c r="AJ16" i="25"/>
  <c r="AH16" i="25"/>
  <c r="AF16" i="25"/>
  <c r="AD16" i="25"/>
  <c r="AB16" i="25"/>
  <c r="Z16" i="25"/>
  <c r="X16" i="25"/>
  <c r="V16" i="25"/>
  <c r="T16" i="25"/>
  <c r="R16" i="25"/>
  <c r="P16" i="25"/>
  <c r="N16" i="25"/>
  <c r="L16" i="25"/>
  <c r="J16" i="25"/>
  <c r="H16" i="25"/>
  <c r="DM68" i="25"/>
  <c r="BJ68" i="25"/>
  <c r="FU26" i="25"/>
  <c r="FR26" i="25"/>
  <c r="FH26" i="25"/>
  <c r="FF26" i="25"/>
  <c r="FD26" i="25"/>
  <c r="FB26" i="25"/>
  <c r="EZ26" i="25"/>
  <c r="EX26" i="25"/>
  <c r="EV26" i="25"/>
  <c r="ET26" i="25"/>
  <c r="ER26" i="25"/>
  <c r="EP26" i="25"/>
  <c r="EN26" i="25"/>
  <c r="EL26" i="25"/>
  <c r="EJ26" i="25"/>
  <c r="EH26" i="25"/>
  <c r="EF26" i="25"/>
  <c r="ED26" i="25"/>
  <c r="EB26" i="25"/>
  <c r="DZ26" i="25"/>
  <c r="DX26" i="25"/>
  <c r="DV26" i="25"/>
  <c r="DT26" i="25"/>
  <c r="DR26" i="25"/>
  <c r="DP26" i="25"/>
  <c r="DN26" i="25"/>
  <c r="DE26" i="25"/>
  <c r="DC26" i="25"/>
  <c r="DA26" i="25"/>
  <c r="CY26" i="25"/>
  <c r="CW26" i="25"/>
  <c r="CU26" i="25"/>
  <c r="CS26" i="25"/>
  <c r="CQ26" i="25"/>
  <c r="CO26" i="25"/>
  <c r="CM26" i="25"/>
  <c r="CK26" i="25"/>
  <c r="CI26" i="25"/>
  <c r="CG26" i="25"/>
  <c r="CE26" i="25"/>
  <c r="CC26" i="25"/>
  <c r="CA26" i="25"/>
  <c r="BY26" i="25"/>
  <c r="BW26" i="25"/>
  <c r="BU26" i="25"/>
  <c r="BS26" i="25"/>
  <c r="BQ26" i="25"/>
  <c r="BO26" i="25"/>
  <c r="BM26" i="25"/>
  <c r="BK26" i="25"/>
  <c r="BB26" i="25"/>
  <c r="AZ26" i="25"/>
  <c r="AX26" i="25"/>
  <c r="AV26" i="25"/>
  <c r="AT26" i="25"/>
  <c r="AR26" i="25"/>
  <c r="AP26" i="25"/>
  <c r="AN26" i="25"/>
  <c r="AL26" i="25"/>
  <c r="AJ26" i="25"/>
  <c r="AH26" i="25"/>
  <c r="AF26" i="25"/>
  <c r="AD26" i="25"/>
  <c r="AB26" i="25"/>
  <c r="Z26" i="25"/>
  <c r="X26" i="25"/>
  <c r="V26" i="25"/>
  <c r="T26" i="25"/>
  <c r="R26" i="25"/>
  <c r="P26" i="25"/>
  <c r="N26" i="25"/>
  <c r="L26" i="25"/>
  <c r="J26" i="25"/>
  <c r="H26" i="25"/>
  <c r="FU14" i="25"/>
  <c r="FR14" i="25"/>
  <c r="FH14" i="25"/>
  <c r="FF14" i="25"/>
  <c r="FD14" i="25"/>
  <c r="FB14" i="25"/>
  <c r="EZ14" i="25"/>
  <c r="EX14" i="25"/>
  <c r="EV14" i="25"/>
  <c r="ET14" i="25"/>
  <c r="ER14" i="25"/>
  <c r="EP14" i="25"/>
  <c r="EN14" i="25"/>
  <c r="EL14" i="25"/>
  <c r="EJ14" i="25"/>
  <c r="EH14" i="25"/>
  <c r="EF14" i="25"/>
  <c r="ED14" i="25"/>
  <c r="EB14" i="25"/>
  <c r="DZ14" i="25"/>
  <c r="DX14" i="25"/>
  <c r="DV14" i="25"/>
  <c r="DT14" i="25"/>
  <c r="DR14" i="25"/>
  <c r="DP14" i="25"/>
  <c r="DN14" i="25"/>
  <c r="DE14" i="25"/>
  <c r="DC14" i="25"/>
  <c r="DA14" i="25"/>
  <c r="CY14" i="25"/>
  <c r="CW14" i="25"/>
  <c r="CU14" i="25"/>
  <c r="CS14" i="25"/>
  <c r="CQ14" i="25"/>
  <c r="CO14" i="25"/>
  <c r="CM14" i="25"/>
  <c r="CK14" i="25"/>
  <c r="CI14" i="25"/>
  <c r="CG14" i="25"/>
  <c r="CE14" i="25"/>
  <c r="CC14" i="25"/>
  <c r="CA14" i="25"/>
  <c r="BY14" i="25"/>
  <c r="BW14" i="25"/>
  <c r="BU14" i="25"/>
  <c r="BS14" i="25"/>
  <c r="BQ14" i="25"/>
  <c r="BO14" i="25"/>
  <c r="BM14" i="25"/>
  <c r="BK14" i="25"/>
  <c r="BB14" i="25"/>
  <c r="AZ14" i="25"/>
  <c r="AX14" i="25"/>
  <c r="AV14" i="25"/>
  <c r="AT14" i="25"/>
  <c r="AR14" i="25"/>
  <c r="AP14" i="25"/>
  <c r="AN14" i="25"/>
  <c r="AL14" i="25"/>
  <c r="AJ14" i="25"/>
  <c r="AH14" i="25"/>
  <c r="AF14" i="25"/>
  <c r="AD14" i="25"/>
  <c r="AB14" i="25"/>
  <c r="Z14" i="25"/>
  <c r="X14" i="25"/>
  <c r="V14" i="25"/>
  <c r="T14" i="25"/>
  <c r="R14" i="25"/>
  <c r="P14" i="25"/>
  <c r="N14" i="25"/>
  <c r="L14" i="25"/>
  <c r="J14" i="25"/>
  <c r="H14" i="25"/>
  <c r="FE1" i="25"/>
  <c r="DB1" i="25"/>
  <c r="FU18" i="24"/>
  <c r="FR18" i="24"/>
  <c r="FH18" i="24"/>
  <c r="FF18" i="24"/>
  <c r="FD18" i="24"/>
  <c r="FB18" i="24"/>
  <c r="EZ18" i="24"/>
  <c r="EX18" i="24"/>
  <c r="EV18" i="24"/>
  <c r="ET18" i="24"/>
  <c r="ER18" i="24"/>
  <c r="EP18" i="24"/>
  <c r="EN18" i="24"/>
  <c r="EL18" i="24"/>
  <c r="EJ18" i="24"/>
  <c r="EH18" i="24"/>
  <c r="EF18" i="24"/>
  <c r="ED18" i="24"/>
  <c r="EB18" i="24"/>
  <c r="DZ18" i="24"/>
  <c r="DX18" i="24"/>
  <c r="DV18" i="24"/>
  <c r="DT18" i="24"/>
  <c r="DR18" i="24"/>
  <c r="DP18" i="24"/>
  <c r="DN18" i="24"/>
  <c r="DE18" i="24"/>
  <c r="DC18" i="24"/>
  <c r="DA18" i="24"/>
  <c r="CY18" i="24"/>
  <c r="CW18" i="24"/>
  <c r="CU18" i="24"/>
  <c r="CS18" i="24"/>
  <c r="CQ18" i="24"/>
  <c r="CO18" i="24"/>
  <c r="CM18" i="24"/>
  <c r="CK18" i="24"/>
  <c r="CI18" i="24"/>
  <c r="CG18" i="24"/>
  <c r="CE18" i="24"/>
  <c r="CC18" i="24"/>
  <c r="CA18" i="24"/>
  <c r="BY18" i="24"/>
  <c r="BW18" i="24"/>
  <c r="BU18" i="24"/>
  <c r="BS18" i="24"/>
  <c r="BQ18" i="24"/>
  <c r="BO18" i="24"/>
  <c r="BM18" i="24"/>
  <c r="BK18" i="24"/>
  <c r="BB18" i="24"/>
  <c r="AZ18" i="24"/>
  <c r="AX18" i="24"/>
  <c r="AV18" i="24"/>
  <c r="AT18" i="24"/>
  <c r="AR18" i="24"/>
  <c r="AP18" i="24"/>
  <c r="AN18" i="24"/>
  <c r="AL18" i="24"/>
  <c r="AJ18" i="24"/>
  <c r="AH18" i="24"/>
  <c r="AF18" i="24"/>
  <c r="AD18" i="24"/>
  <c r="AB18" i="24"/>
  <c r="Z18" i="24"/>
  <c r="X18" i="24"/>
  <c r="V18" i="24"/>
  <c r="T18" i="24"/>
  <c r="R18" i="24"/>
  <c r="P18" i="24"/>
  <c r="N18" i="24"/>
  <c r="L18" i="24"/>
  <c r="J18" i="24"/>
  <c r="H18" i="24"/>
  <c r="FU17" i="24"/>
  <c r="FR17" i="24"/>
  <c r="FH17" i="24"/>
  <c r="FF17" i="24"/>
  <c r="FD17" i="24"/>
  <c r="FB17" i="24"/>
  <c r="EZ17" i="24"/>
  <c r="EX17" i="24"/>
  <c r="EV17" i="24"/>
  <c r="ET17" i="24"/>
  <c r="ER17" i="24"/>
  <c r="EP17" i="24"/>
  <c r="EN17" i="24"/>
  <c r="EL17" i="24"/>
  <c r="EJ17" i="24"/>
  <c r="EH17" i="24"/>
  <c r="EF17" i="24"/>
  <c r="ED17" i="24"/>
  <c r="EB17" i="24"/>
  <c r="DZ17" i="24"/>
  <c r="DX17" i="24"/>
  <c r="DV17" i="24"/>
  <c r="DT17" i="24"/>
  <c r="DR17" i="24"/>
  <c r="DP17" i="24"/>
  <c r="DN17" i="24"/>
  <c r="DE17" i="24"/>
  <c r="DC17" i="24"/>
  <c r="DA17" i="24"/>
  <c r="CY17" i="24"/>
  <c r="CW17" i="24"/>
  <c r="CU17" i="24"/>
  <c r="CS17" i="24"/>
  <c r="CQ17" i="24"/>
  <c r="CO17" i="24"/>
  <c r="CM17" i="24"/>
  <c r="CK17" i="24"/>
  <c r="CI17" i="24"/>
  <c r="CG17" i="24"/>
  <c r="CE17" i="24"/>
  <c r="CC17" i="24"/>
  <c r="CA17" i="24"/>
  <c r="BY17" i="24"/>
  <c r="BW17" i="24"/>
  <c r="BU17" i="24"/>
  <c r="BS17" i="24"/>
  <c r="BQ17" i="24"/>
  <c r="BO17" i="24"/>
  <c r="BM17" i="24"/>
  <c r="BK17" i="24"/>
  <c r="BB17" i="24"/>
  <c r="AZ17" i="24"/>
  <c r="AX17" i="24"/>
  <c r="AV17" i="24"/>
  <c r="AT17" i="24"/>
  <c r="AR17" i="24"/>
  <c r="AP17" i="24"/>
  <c r="AN17" i="24"/>
  <c r="AL17" i="24"/>
  <c r="AJ17" i="24"/>
  <c r="AH17" i="24"/>
  <c r="AF17" i="24"/>
  <c r="AD17" i="24"/>
  <c r="AB17" i="24"/>
  <c r="Z17" i="24"/>
  <c r="X17" i="24"/>
  <c r="V17" i="24"/>
  <c r="T17" i="24"/>
  <c r="R17" i="24"/>
  <c r="P17" i="24"/>
  <c r="N17" i="24"/>
  <c r="L17" i="24"/>
  <c r="J17" i="24"/>
  <c r="H17" i="24"/>
  <c r="FU16" i="24"/>
  <c r="FR16" i="24"/>
  <c r="FH16" i="24"/>
  <c r="FF16" i="24"/>
  <c r="FD16" i="24"/>
  <c r="FB16" i="24"/>
  <c r="EZ16" i="24"/>
  <c r="EX16" i="24"/>
  <c r="EV16" i="24"/>
  <c r="ET16" i="24"/>
  <c r="ER16" i="24"/>
  <c r="EP16" i="24"/>
  <c r="EN16" i="24"/>
  <c r="EL16" i="24"/>
  <c r="EJ16" i="24"/>
  <c r="EH16" i="24"/>
  <c r="EF16" i="24"/>
  <c r="ED16" i="24"/>
  <c r="EB16" i="24"/>
  <c r="DZ16" i="24"/>
  <c r="DX16" i="24"/>
  <c r="DV16" i="24"/>
  <c r="DT16" i="24"/>
  <c r="DR16" i="24"/>
  <c r="DP16" i="24"/>
  <c r="DN16" i="24"/>
  <c r="DE16" i="24"/>
  <c r="DC16" i="24"/>
  <c r="DA16" i="24"/>
  <c r="CY16" i="24"/>
  <c r="CW16" i="24"/>
  <c r="CU16" i="24"/>
  <c r="CS16" i="24"/>
  <c r="CQ16" i="24"/>
  <c r="CO16" i="24"/>
  <c r="CM16" i="24"/>
  <c r="CK16" i="24"/>
  <c r="CI16" i="24"/>
  <c r="CG16" i="24"/>
  <c r="CE16" i="24"/>
  <c r="CC16" i="24"/>
  <c r="CA16" i="24"/>
  <c r="BY16" i="24"/>
  <c r="BW16" i="24"/>
  <c r="BU16" i="24"/>
  <c r="BS16" i="24"/>
  <c r="BQ16" i="24"/>
  <c r="BO16" i="24"/>
  <c r="BM16" i="24"/>
  <c r="BK16" i="24"/>
  <c r="BB16" i="24"/>
  <c r="AZ16" i="24"/>
  <c r="AX16" i="24"/>
  <c r="AV16" i="24"/>
  <c r="AT16" i="24"/>
  <c r="AR16" i="24"/>
  <c r="AP16" i="24"/>
  <c r="AN16" i="24"/>
  <c r="AL16" i="24"/>
  <c r="AJ16" i="24"/>
  <c r="AH16" i="24"/>
  <c r="AF16" i="24"/>
  <c r="AD16" i="24"/>
  <c r="AB16" i="24"/>
  <c r="Z16" i="24"/>
  <c r="X16" i="24"/>
  <c r="V16" i="24"/>
  <c r="T16" i="24"/>
  <c r="R16" i="24"/>
  <c r="P16" i="24"/>
  <c r="N16" i="24"/>
  <c r="L16" i="24"/>
  <c r="J16" i="24"/>
  <c r="H16" i="24"/>
  <c r="DM68" i="24"/>
  <c r="BJ68" i="24"/>
  <c r="FU26" i="24"/>
  <c r="FR26" i="24"/>
  <c r="FH26" i="24"/>
  <c r="FF26" i="24"/>
  <c r="FD26" i="24"/>
  <c r="FB26" i="24"/>
  <c r="EZ26" i="24"/>
  <c r="EX26" i="24"/>
  <c r="EV26" i="24"/>
  <c r="ET26" i="24"/>
  <c r="ER26" i="24"/>
  <c r="EP26" i="24"/>
  <c r="EN26" i="24"/>
  <c r="EL26" i="24"/>
  <c r="EJ26" i="24"/>
  <c r="EH26" i="24"/>
  <c r="EF26" i="24"/>
  <c r="ED26" i="24"/>
  <c r="EB26" i="24"/>
  <c r="DZ26" i="24"/>
  <c r="DX26" i="24"/>
  <c r="DV26" i="24"/>
  <c r="DT26" i="24"/>
  <c r="DR26" i="24"/>
  <c r="DP26" i="24"/>
  <c r="DN26" i="24"/>
  <c r="DE26" i="24"/>
  <c r="DC26" i="24"/>
  <c r="DA26" i="24"/>
  <c r="CY26" i="24"/>
  <c r="CW26" i="24"/>
  <c r="CU26" i="24"/>
  <c r="CS26" i="24"/>
  <c r="CQ26" i="24"/>
  <c r="CO26" i="24"/>
  <c r="CM26" i="24"/>
  <c r="CK26" i="24"/>
  <c r="CI26" i="24"/>
  <c r="CG26" i="24"/>
  <c r="CE26" i="24"/>
  <c r="CC26" i="24"/>
  <c r="CA26" i="24"/>
  <c r="BY26" i="24"/>
  <c r="BW26" i="24"/>
  <c r="BU26" i="24"/>
  <c r="BS26" i="24"/>
  <c r="BQ26" i="24"/>
  <c r="BO26" i="24"/>
  <c r="BM26" i="24"/>
  <c r="BK26" i="24"/>
  <c r="BB26" i="24"/>
  <c r="AZ26" i="24"/>
  <c r="AX26" i="24"/>
  <c r="AV26" i="24"/>
  <c r="AT26" i="24"/>
  <c r="AR26" i="24"/>
  <c r="AP26" i="24"/>
  <c r="AN26" i="24"/>
  <c r="AL26" i="24"/>
  <c r="AJ26" i="24"/>
  <c r="AH26" i="24"/>
  <c r="AF26" i="24"/>
  <c r="AD26" i="24"/>
  <c r="AB26" i="24"/>
  <c r="Z26" i="24"/>
  <c r="X26" i="24"/>
  <c r="V26" i="24"/>
  <c r="T26" i="24"/>
  <c r="R26" i="24"/>
  <c r="P26" i="24"/>
  <c r="N26" i="24"/>
  <c r="L26" i="24"/>
  <c r="J26" i="24"/>
  <c r="H26" i="24"/>
  <c r="FU14" i="24"/>
  <c r="FR14" i="24"/>
  <c r="FH14" i="24"/>
  <c r="FF14" i="24"/>
  <c r="FD14" i="24"/>
  <c r="FB14" i="24"/>
  <c r="EZ14" i="24"/>
  <c r="EX14" i="24"/>
  <c r="EV14" i="24"/>
  <c r="ET14" i="24"/>
  <c r="ER14" i="24"/>
  <c r="EP14" i="24"/>
  <c r="EN14" i="24"/>
  <c r="EL14" i="24"/>
  <c r="EJ14" i="24"/>
  <c r="EH14" i="24"/>
  <c r="EF14" i="24"/>
  <c r="ED14" i="24"/>
  <c r="EB14" i="24"/>
  <c r="DZ14" i="24"/>
  <c r="DX14" i="24"/>
  <c r="DV14" i="24"/>
  <c r="DT14" i="24"/>
  <c r="DR14" i="24"/>
  <c r="DP14" i="24"/>
  <c r="DN14" i="24"/>
  <c r="DE14" i="24"/>
  <c r="DC14" i="24"/>
  <c r="DA14" i="24"/>
  <c r="CY14" i="24"/>
  <c r="CW14" i="24"/>
  <c r="CU14" i="24"/>
  <c r="CS14" i="24"/>
  <c r="CQ14" i="24"/>
  <c r="CO14" i="24"/>
  <c r="CM14" i="24"/>
  <c r="CK14" i="24"/>
  <c r="CI14" i="24"/>
  <c r="CG14" i="24"/>
  <c r="CE14" i="24"/>
  <c r="CC14" i="24"/>
  <c r="CA14" i="24"/>
  <c r="BY14" i="24"/>
  <c r="BW14" i="24"/>
  <c r="BU14" i="24"/>
  <c r="BS14" i="24"/>
  <c r="BQ14" i="24"/>
  <c r="BO14" i="24"/>
  <c r="BM14" i="24"/>
  <c r="BK14" i="24"/>
  <c r="BB14" i="24"/>
  <c r="AZ14" i="24"/>
  <c r="AX14" i="24"/>
  <c r="AV14" i="24"/>
  <c r="AT14" i="24"/>
  <c r="AR14" i="24"/>
  <c r="AP14" i="24"/>
  <c r="AN14" i="24"/>
  <c r="AL14" i="24"/>
  <c r="AJ14" i="24"/>
  <c r="AH14" i="24"/>
  <c r="AF14" i="24"/>
  <c r="AD14" i="24"/>
  <c r="AB14" i="24"/>
  <c r="Z14" i="24"/>
  <c r="X14" i="24"/>
  <c r="V14" i="24"/>
  <c r="T14" i="24"/>
  <c r="R14" i="24"/>
  <c r="P14" i="24"/>
  <c r="N14" i="24"/>
  <c r="L14" i="24"/>
  <c r="J14" i="24"/>
  <c r="H14" i="24"/>
  <c r="FE1" i="24"/>
  <c r="DB1" i="24"/>
  <c r="FU20" i="23"/>
  <c r="FR20" i="23"/>
  <c r="FH20" i="23"/>
  <c r="FF20" i="23"/>
  <c r="FD20" i="23"/>
  <c r="FB20" i="23"/>
  <c r="EZ20" i="23"/>
  <c r="EX20" i="23"/>
  <c r="EV20" i="23"/>
  <c r="ET20" i="23"/>
  <c r="ER20" i="23"/>
  <c r="EP20" i="23"/>
  <c r="EN20" i="23"/>
  <c r="EL20" i="23"/>
  <c r="EJ20" i="23"/>
  <c r="EH20" i="23"/>
  <c r="EF20" i="23"/>
  <c r="ED20" i="23"/>
  <c r="EB20" i="23"/>
  <c r="DZ20" i="23"/>
  <c r="DX20" i="23"/>
  <c r="DV20" i="23"/>
  <c r="DT20" i="23"/>
  <c r="DR20" i="23"/>
  <c r="DP20" i="23"/>
  <c r="DN20" i="23"/>
  <c r="DE20" i="23"/>
  <c r="DC20" i="23"/>
  <c r="DA20" i="23"/>
  <c r="CY20" i="23"/>
  <c r="CW20" i="23"/>
  <c r="CU20" i="23"/>
  <c r="CS20" i="23"/>
  <c r="CQ20" i="23"/>
  <c r="CO20" i="23"/>
  <c r="CM20" i="23"/>
  <c r="CK20" i="23"/>
  <c r="CI20" i="23"/>
  <c r="CG20" i="23"/>
  <c r="CE20" i="23"/>
  <c r="CC20" i="23"/>
  <c r="CA20" i="23"/>
  <c r="BY20" i="23"/>
  <c r="BW20" i="23"/>
  <c r="BU20" i="23"/>
  <c r="BS20" i="23"/>
  <c r="BQ20" i="23"/>
  <c r="BO20" i="23"/>
  <c r="BM20" i="23"/>
  <c r="BK20" i="23"/>
  <c r="BB20" i="23"/>
  <c r="AZ20" i="23"/>
  <c r="AX20" i="23"/>
  <c r="AV20" i="23"/>
  <c r="AT20" i="23"/>
  <c r="AR20" i="23"/>
  <c r="AP20" i="23"/>
  <c r="AN20" i="23"/>
  <c r="AL20" i="23"/>
  <c r="AJ20" i="23"/>
  <c r="AH20" i="23"/>
  <c r="AF20" i="23"/>
  <c r="AD20" i="23"/>
  <c r="AB20" i="23"/>
  <c r="Z20" i="23"/>
  <c r="X20" i="23"/>
  <c r="V20" i="23"/>
  <c r="T20" i="23"/>
  <c r="R20" i="23"/>
  <c r="P20" i="23"/>
  <c r="N20" i="23"/>
  <c r="L20" i="23"/>
  <c r="J20" i="23"/>
  <c r="H20" i="23"/>
  <c r="FU19" i="23"/>
  <c r="FR19" i="23"/>
  <c r="FH19" i="23"/>
  <c r="FF19" i="23"/>
  <c r="FD19" i="23"/>
  <c r="FB19" i="23"/>
  <c r="EZ19" i="23"/>
  <c r="EX19" i="23"/>
  <c r="EV19" i="23"/>
  <c r="ET19" i="23"/>
  <c r="ER19" i="23"/>
  <c r="EP19" i="23"/>
  <c r="EN19" i="23"/>
  <c r="EL19" i="23"/>
  <c r="EJ19" i="23"/>
  <c r="EH19" i="23"/>
  <c r="EF19" i="23"/>
  <c r="ED19" i="23"/>
  <c r="EB19" i="23"/>
  <c r="DZ19" i="23"/>
  <c r="DX19" i="23"/>
  <c r="DV19" i="23"/>
  <c r="DT19" i="23"/>
  <c r="DR19" i="23"/>
  <c r="DP19" i="23"/>
  <c r="DN19" i="23"/>
  <c r="DE19" i="23"/>
  <c r="DC19" i="23"/>
  <c r="DA19" i="23"/>
  <c r="CY19" i="23"/>
  <c r="CW19" i="23"/>
  <c r="CU19" i="23"/>
  <c r="CS19" i="23"/>
  <c r="CQ19" i="23"/>
  <c r="CO19" i="23"/>
  <c r="CM19" i="23"/>
  <c r="CK19" i="23"/>
  <c r="CI19" i="23"/>
  <c r="CG19" i="23"/>
  <c r="CE19" i="23"/>
  <c r="CC19" i="23"/>
  <c r="CA19" i="23"/>
  <c r="BY19" i="23"/>
  <c r="BW19" i="23"/>
  <c r="BU19" i="23"/>
  <c r="BS19" i="23"/>
  <c r="BQ19" i="23"/>
  <c r="BO19" i="23"/>
  <c r="BM19" i="23"/>
  <c r="BK19" i="23"/>
  <c r="BB19" i="23"/>
  <c r="AZ19" i="23"/>
  <c r="AX19" i="23"/>
  <c r="AV19" i="23"/>
  <c r="AT19" i="23"/>
  <c r="AR19" i="23"/>
  <c r="AP19" i="23"/>
  <c r="AN19" i="23"/>
  <c r="AL19" i="23"/>
  <c r="AJ19" i="23"/>
  <c r="AH19" i="23"/>
  <c r="AF19" i="23"/>
  <c r="AD19" i="23"/>
  <c r="AB19" i="23"/>
  <c r="Z19" i="23"/>
  <c r="X19" i="23"/>
  <c r="V19" i="23"/>
  <c r="T19" i="23"/>
  <c r="R19" i="23"/>
  <c r="P19" i="23"/>
  <c r="N19" i="23"/>
  <c r="L19" i="23"/>
  <c r="J19" i="23"/>
  <c r="H19" i="23"/>
  <c r="FU18" i="23"/>
  <c r="FR18" i="23"/>
  <c r="FH18" i="23"/>
  <c r="FF18" i="23"/>
  <c r="FD18" i="23"/>
  <c r="FB18" i="23"/>
  <c r="EZ18" i="23"/>
  <c r="EX18" i="23"/>
  <c r="EV18" i="23"/>
  <c r="ET18" i="23"/>
  <c r="ER18" i="23"/>
  <c r="EP18" i="23"/>
  <c r="EN18" i="23"/>
  <c r="EL18" i="23"/>
  <c r="EJ18" i="23"/>
  <c r="EH18" i="23"/>
  <c r="EF18" i="23"/>
  <c r="ED18" i="23"/>
  <c r="EB18" i="23"/>
  <c r="DZ18" i="23"/>
  <c r="DX18" i="23"/>
  <c r="DV18" i="23"/>
  <c r="DT18" i="23"/>
  <c r="DR18" i="23"/>
  <c r="DP18" i="23"/>
  <c r="DN18" i="23"/>
  <c r="DE18" i="23"/>
  <c r="DC18" i="23"/>
  <c r="DA18" i="23"/>
  <c r="CY18" i="23"/>
  <c r="CW18" i="23"/>
  <c r="CU18" i="23"/>
  <c r="CS18" i="23"/>
  <c r="CQ18" i="23"/>
  <c r="CO18" i="23"/>
  <c r="CM18" i="23"/>
  <c r="CK18" i="23"/>
  <c r="CI18" i="23"/>
  <c r="CG18" i="23"/>
  <c r="CE18" i="23"/>
  <c r="CC18" i="23"/>
  <c r="CA18" i="23"/>
  <c r="BY18" i="23"/>
  <c r="BW18" i="23"/>
  <c r="BU18" i="23"/>
  <c r="BS18" i="23"/>
  <c r="BQ18" i="23"/>
  <c r="BO18" i="23"/>
  <c r="BM18" i="23"/>
  <c r="BK18" i="23"/>
  <c r="BB18" i="23"/>
  <c r="AZ18" i="23"/>
  <c r="AX18" i="23"/>
  <c r="AV18" i="23"/>
  <c r="AT18" i="23"/>
  <c r="AR18" i="23"/>
  <c r="AP18" i="23"/>
  <c r="AN18" i="23"/>
  <c r="AL18" i="23"/>
  <c r="AJ18" i="23"/>
  <c r="AH18" i="23"/>
  <c r="AF18" i="23"/>
  <c r="AD18" i="23"/>
  <c r="AB18" i="23"/>
  <c r="Z18" i="23"/>
  <c r="X18" i="23"/>
  <c r="V18" i="23"/>
  <c r="T18" i="23"/>
  <c r="R18" i="23"/>
  <c r="P18" i="23"/>
  <c r="N18" i="23"/>
  <c r="L18" i="23"/>
  <c r="J18" i="23"/>
  <c r="H18" i="23"/>
  <c r="FH10" i="23"/>
  <c r="FF10" i="23"/>
  <c r="FD10" i="23"/>
  <c r="FB10" i="23"/>
  <c r="EZ10" i="23"/>
  <c r="EX10" i="23"/>
  <c r="EV10" i="23"/>
  <c r="ET10" i="23"/>
  <c r="ER10" i="23"/>
  <c r="EP10" i="23"/>
  <c r="EN10" i="23"/>
  <c r="EL10" i="23"/>
  <c r="EJ10" i="23"/>
  <c r="EH10" i="23"/>
  <c r="EF10" i="23"/>
  <c r="ED10" i="23"/>
  <c r="EB10" i="23"/>
  <c r="DZ10" i="23"/>
  <c r="DX10" i="23"/>
  <c r="DV10" i="23"/>
  <c r="DT10" i="23"/>
  <c r="DR10" i="23"/>
  <c r="DP10" i="23"/>
  <c r="DN10" i="23"/>
  <c r="DE10" i="23"/>
  <c r="DC10" i="23"/>
  <c r="DA10" i="23"/>
  <c r="CY10" i="23"/>
  <c r="CW10" i="23"/>
  <c r="CU10" i="23"/>
  <c r="CS10" i="23"/>
  <c r="CQ10" i="23"/>
  <c r="CO10" i="23"/>
  <c r="CM10" i="23"/>
  <c r="CK10" i="23"/>
  <c r="CI10" i="23"/>
  <c r="CG10" i="23"/>
  <c r="CE10" i="23"/>
  <c r="CC10" i="23"/>
  <c r="CA10" i="23"/>
  <c r="BY10" i="23"/>
  <c r="BW10" i="23"/>
  <c r="BU10" i="23"/>
  <c r="BS10" i="23"/>
  <c r="BQ10" i="23"/>
  <c r="BO10" i="23"/>
  <c r="BM10" i="23"/>
  <c r="BK10" i="23"/>
  <c r="BB10" i="23"/>
  <c r="AZ10" i="23"/>
  <c r="AX10" i="23"/>
  <c r="AV10" i="23"/>
  <c r="AT10" i="23"/>
  <c r="AR10" i="23"/>
  <c r="AP10" i="23"/>
  <c r="AN10" i="23"/>
  <c r="AL10" i="23"/>
  <c r="AJ10" i="23"/>
  <c r="AH10" i="23"/>
  <c r="AF10" i="23"/>
  <c r="AD10" i="23"/>
  <c r="AB10" i="23"/>
  <c r="Z10" i="23"/>
  <c r="X10" i="23"/>
  <c r="V10" i="23"/>
  <c r="T10" i="23"/>
  <c r="R10" i="23"/>
  <c r="P10" i="23"/>
  <c r="N10" i="23"/>
  <c r="L10" i="23"/>
  <c r="J10" i="23"/>
  <c r="H10" i="23"/>
  <c r="D10" i="23"/>
  <c r="FU17" i="23"/>
  <c r="FR17" i="23"/>
  <c r="FH17" i="23"/>
  <c r="FF17" i="23"/>
  <c r="FD17" i="23"/>
  <c r="FB17" i="23"/>
  <c r="EZ17" i="23"/>
  <c r="EX17" i="23"/>
  <c r="EV17" i="23"/>
  <c r="ET17" i="23"/>
  <c r="ER17" i="23"/>
  <c r="EP17" i="23"/>
  <c r="EN17" i="23"/>
  <c r="EL17" i="23"/>
  <c r="EJ17" i="23"/>
  <c r="EH17" i="23"/>
  <c r="EF17" i="23"/>
  <c r="ED17" i="23"/>
  <c r="EB17" i="23"/>
  <c r="DZ17" i="23"/>
  <c r="DX17" i="23"/>
  <c r="DV17" i="23"/>
  <c r="DT17" i="23"/>
  <c r="DR17" i="23"/>
  <c r="DP17" i="23"/>
  <c r="DN17" i="23"/>
  <c r="DE17" i="23"/>
  <c r="DC17" i="23"/>
  <c r="DA17" i="23"/>
  <c r="CY17" i="23"/>
  <c r="CW17" i="23"/>
  <c r="CU17" i="23"/>
  <c r="CS17" i="23"/>
  <c r="CQ17" i="23"/>
  <c r="CO17" i="23"/>
  <c r="CM17" i="23"/>
  <c r="CK17" i="23"/>
  <c r="CI17" i="23"/>
  <c r="CG17" i="23"/>
  <c r="CE17" i="23"/>
  <c r="CC17" i="23"/>
  <c r="CA17" i="23"/>
  <c r="BY17" i="23"/>
  <c r="BW17" i="23"/>
  <c r="BU17" i="23"/>
  <c r="BS17" i="23"/>
  <c r="BQ17" i="23"/>
  <c r="BO17" i="23"/>
  <c r="BM17" i="23"/>
  <c r="BK17" i="23"/>
  <c r="BB17" i="23"/>
  <c r="AZ17" i="23"/>
  <c r="AX17" i="23"/>
  <c r="AV17" i="23"/>
  <c r="AT17" i="23"/>
  <c r="AR17" i="23"/>
  <c r="AP17" i="23"/>
  <c r="AN17" i="23"/>
  <c r="AL17" i="23"/>
  <c r="AJ17" i="23"/>
  <c r="AH17" i="23"/>
  <c r="AF17" i="23"/>
  <c r="AD17" i="23"/>
  <c r="AB17" i="23"/>
  <c r="Z17" i="23"/>
  <c r="X17" i="23"/>
  <c r="V17" i="23"/>
  <c r="T17" i="23"/>
  <c r="R17" i="23"/>
  <c r="P17" i="23"/>
  <c r="N17" i="23"/>
  <c r="L17" i="23"/>
  <c r="J17" i="23"/>
  <c r="H17" i="23"/>
  <c r="FU16" i="23"/>
  <c r="FR16" i="23"/>
  <c r="FH16" i="23"/>
  <c r="FF16" i="23"/>
  <c r="FD16" i="23"/>
  <c r="FB16" i="23"/>
  <c r="EZ16" i="23"/>
  <c r="EX16" i="23"/>
  <c r="EV16" i="23"/>
  <c r="ET16" i="23"/>
  <c r="ER16" i="23"/>
  <c r="EP16" i="23"/>
  <c r="EN16" i="23"/>
  <c r="EL16" i="23"/>
  <c r="EJ16" i="23"/>
  <c r="EH16" i="23"/>
  <c r="EF16" i="23"/>
  <c r="ED16" i="23"/>
  <c r="EB16" i="23"/>
  <c r="DZ16" i="23"/>
  <c r="DX16" i="23"/>
  <c r="DV16" i="23"/>
  <c r="DT16" i="23"/>
  <c r="DR16" i="23"/>
  <c r="DP16" i="23"/>
  <c r="DN16" i="23"/>
  <c r="DE16" i="23"/>
  <c r="DC16" i="23"/>
  <c r="DA16" i="23"/>
  <c r="CY16" i="23"/>
  <c r="CW16" i="23"/>
  <c r="CU16" i="23"/>
  <c r="CS16" i="23"/>
  <c r="CQ16" i="23"/>
  <c r="CO16" i="23"/>
  <c r="CM16" i="23"/>
  <c r="CK16" i="23"/>
  <c r="CI16" i="23"/>
  <c r="CG16" i="23"/>
  <c r="CE16" i="23"/>
  <c r="CC16" i="23"/>
  <c r="CA16" i="23"/>
  <c r="BY16" i="23"/>
  <c r="BW16" i="23"/>
  <c r="BU16" i="23"/>
  <c r="BS16" i="23"/>
  <c r="BQ16" i="23"/>
  <c r="BO16" i="23"/>
  <c r="BM16" i="23"/>
  <c r="BK16" i="23"/>
  <c r="BB16" i="23"/>
  <c r="AZ16" i="23"/>
  <c r="AX16" i="23"/>
  <c r="AV16" i="23"/>
  <c r="AT16" i="23"/>
  <c r="AR16" i="23"/>
  <c r="AP16" i="23"/>
  <c r="AN16" i="23"/>
  <c r="AL16" i="23"/>
  <c r="AJ16" i="23"/>
  <c r="AH16" i="23"/>
  <c r="AF16" i="23"/>
  <c r="AD16" i="23"/>
  <c r="AB16" i="23"/>
  <c r="Z16" i="23"/>
  <c r="X16" i="23"/>
  <c r="V16" i="23"/>
  <c r="T16" i="23"/>
  <c r="R16" i="23"/>
  <c r="P16" i="23"/>
  <c r="N16" i="23"/>
  <c r="L16" i="23"/>
  <c r="J16" i="23"/>
  <c r="H16" i="23"/>
  <c r="DM68" i="23"/>
  <c r="BJ68" i="23"/>
  <c r="FU26" i="23"/>
  <c r="FR26" i="23"/>
  <c r="FH26" i="23"/>
  <c r="FF26" i="23"/>
  <c r="FD26" i="23"/>
  <c r="FB26" i="23"/>
  <c r="EZ26" i="23"/>
  <c r="EX26" i="23"/>
  <c r="EV26" i="23"/>
  <c r="ET26" i="23"/>
  <c r="ER26" i="23"/>
  <c r="EP26" i="23"/>
  <c r="EN26" i="23"/>
  <c r="EL26" i="23"/>
  <c r="EJ26" i="23"/>
  <c r="EH26" i="23"/>
  <c r="EF26" i="23"/>
  <c r="ED26" i="23"/>
  <c r="EB26" i="23"/>
  <c r="DZ26" i="23"/>
  <c r="DX26" i="23"/>
  <c r="DV26" i="23"/>
  <c r="DT26" i="23"/>
  <c r="DR26" i="23"/>
  <c r="DP26" i="23"/>
  <c r="DN26" i="23"/>
  <c r="DE26" i="23"/>
  <c r="DC26" i="23"/>
  <c r="DA26" i="23"/>
  <c r="CY26" i="23"/>
  <c r="CW26" i="23"/>
  <c r="CU26" i="23"/>
  <c r="CS26" i="23"/>
  <c r="CQ26" i="23"/>
  <c r="CO26" i="23"/>
  <c r="CM26" i="23"/>
  <c r="CK26" i="23"/>
  <c r="CI26" i="23"/>
  <c r="CG26" i="23"/>
  <c r="CE26" i="23"/>
  <c r="CC26" i="23"/>
  <c r="CA26" i="23"/>
  <c r="BY26" i="23"/>
  <c r="BW26" i="23"/>
  <c r="BU26" i="23"/>
  <c r="BS26" i="23"/>
  <c r="BQ26" i="23"/>
  <c r="BO26" i="23"/>
  <c r="BM26" i="23"/>
  <c r="BK26" i="23"/>
  <c r="BB26" i="23"/>
  <c r="AZ26" i="23"/>
  <c r="AX26" i="23"/>
  <c r="AV26" i="23"/>
  <c r="AT26" i="23"/>
  <c r="AR26" i="23"/>
  <c r="AP26" i="23"/>
  <c r="AN26" i="23"/>
  <c r="AL26" i="23"/>
  <c r="AJ26" i="23"/>
  <c r="AH26" i="23"/>
  <c r="AF26" i="23"/>
  <c r="AD26" i="23"/>
  <c r="AB26" i="23"/>
  <c r="Z26" i="23"/>
  <c r="X26" i="23"/>
  <c r="V26" i="23"/>
  <c r="T26" i="23"/>
  <c r="R26" i="23"/>
  <c r="P26" i="23"/>
  <c r="N26" i="23"/>
  <c r="L26" i="23"/>
  <c r="J26" i="23"/>
  <c r="H26" i="23"/>
  <c r="FU14" i="23"/>
  <c r="FR14" i="23"/>
  <c r="FH14" i="23"/>
  <c r="FF14" i="23"/>
  <c r="FD14" i="23"/>
  <c r="FB14" i="23"/>
  <c r="EZ14" i="23"/>
  <c r="EX14" i="23"/>
  <c r="EV14" i="23"/>
  <c r="ET14" i="23"/>
  <c r="ER14" i="23"/>
  <c r="EP14" i="23"/>
  <c r="EN14" i="23"/>
  <c r="EL14" i="23"/>
  <c r="EJ14" i="23"/>
  <c r="EH14" i="23"/>
  <c r="EF14" i="23"/>
  <c r="ED14" i="23"/>
  <c r="EB14" i="23"/>
  <c r="DZ14" i="23"/>
  <c r="DX14" i="23"/>
  <c r="DV14" i="23"/>
  <c r="DT14" i="23"/>
  <c r="DR14" i="23"/>
  <c r="DP14" i="23"/>
  <c r="DN14" i="23"/>
  <c r="DE14" i="23"/>
  <c r="DC14" i="23"/>
  <c r="DA14" i="23"/>
  <c r="CY14" i="23"/>
  <c r="CW14" i="23"/>
  <c r="CU14" i="23"/>
  <c r="CS14" i="23"/>
  <c r="CQ14" i="23"/>
  <c r="CO14" i="23"/>
  <c r="CM14" i="23"/>
  <c r="CK14" i="23"/>
  <c r="CI14" i="23"/>
  <c r="CG14" i="23"/>
  <c r="CE14" i="23"/>
  <c r="CC14" i="23"/>
  <c r="CA14" i="23"/>
  <c r="BY14" i="23"/>
  <c r="BW14" i="23"/>
  <c r="BU14" i="23"/>
  <c r="BS14" i="23"/>
  <c r="BQ14" i="23"/>
  <c r="BO14" i="23"/>
  <c r="BM14" i="23"/>
  <c r="BK14" i="23"/>
  <c r="BB14" i="23"/>
  <c r="AZ14" i="23"/>
  <c r="AX14" i="23"/>
  <c r="AV14" i="23"/>
  <c r="AT14" i="23"/>
  <c r="AR14" i="23"/>
  <c r="AP14" i="23"/>
  <c r="AN14" i="23"/>
  <c r="AL14" i="23"/>
  <c r="AJ14" i="23"/>
  <c r="AH14" i="23"/>
  <c r="AF14" i="23"/>
  <c r="AD14" i="23"/>
  <c r="AB14" i="23"/>
  <c r="Z14" i="23"/>
  <c r="X14" i="23"/>
  <c r="V14" i="23"/>
  <c r="T14" i="23"/>
  <c r="R14" i="23"/>
  <c r="P14" i="23"/>
  <c r="N14" i="23"/>
  <c r="L14" i="23"/>
  <c r="J14" i="23"/>
  <c r="H14" i="23"/>
  <c r="FE1" i="23"/>
  <c r="DB1" i="23"/>
  <c r="FU22" i="22"/>
  <c r="FR22" i="22"/>
  <c r="FH22" i="22"/>
  <c r="FF22" i="22"/>
  <c r="FD22" i="22"/>
  <c r="FB22" i="22"/>
  <c r="EZ22" i="22"/>
  <c r="EX22" i="22"/>
  <c r="EV22" i="22"/>
  <c r="ET22" i="22"/>
  <c r="ER22" i="22"/>
  <c r="EP22" i="22"/>
  <c r="EN22" i="22"/>
  <c r="EL22" i="22"/>
  <c r="EJ22" i="22"/>
  <c r="EH22" i="22"/>
  <c r="EF22" i="22"/>
  <c r="ED22" i="22"/>
  <c r="EB22" i="22"/>
  <c r="DZ22" i="22"/>
  <c r="DX22" i="22"/>
  <c r="DV22" i="22"/>
  <c r="DT22" i="22"/>
  <c r="DR22" i="22"/>
  <c r="DP22" i="22"/>
  <c r="DN22" i="22"/>
  <c r="DE22" i="22"/>
  <c r="DC22" i="22"/>
  <c r="DA22" i="22"/>
  <c r="CY22" i="22"/>
  <c r="CW22" i="22"/>
  <c r="CU22" i="22"/>
  <c r="CS22" i="22"/>
  <c r="CQ22" i="22"/>
  <c r="CO22" i="22"/>
  <c r="CM22" i="22"/>
  <c r="CK22" i="22"/>
  <c r="CI22" i="22"/>
  <c r="CG22" i="22"/>
  <c r="CE22" i="22"/>
  <c r="CC22" i="22"/>
  <c r="CA22" i="22"/>
  <c r="BY22" i="22"/>
  <c r="BW22" i="22"/>
  <c r="BU22" i="22"/>
  <c r="BS22" i="22"/>
  <c r="BQ22" i="22"/>
  <c r="BO22" i="22"/>
  <c r="BM22" i="22"/>
  <c r="BK22" i="22"/>
  <c r="BB22" i="22"/>
  <c r="AZ22" i="22"/>
  <c r="AX22" i="22"/>
  <c r="AV22" i="22"/>
  <c r="AT22" i="22"/>
  <c r="AR22" i="22"/>
  <c r="AP22" i="22"/>
  <c r="AN22" i="22"/>
  <c r="AL22" i="22"/>
  <c r="AJ22" i="22"/>
  <c r="AH22" i="22"/>
  <c r="AF22" i="22"/>
  <c r="AD22" i="22"/>
  <c r="AB22" i="22"/>
  <c r="Z22" i="22"/>
  <c r="X22" i="22"/>
  <c r="V22" i="22"/>
  <c r="T22" i="22"/>
  <c r="R22" i="22"/>
  <c r="P22" i="22"/>
  <c r="N22" i="22"/>
  <c r="L22" i="22"/>
  <c r="J22" i="22"/>
  <c r="H22" i="22"/>
  <c r="FU21" i="22"/>
  <c r="FR21" i="22"/>
  <c r="FH21" i="22"/>
  <c r="FF21" i="22"/>
  <c r="FD21" i="22"/>
  <c r="FB21" i="22"/>
  <c r="EZ21" i="22"/>
  <c r="EX21" i="22"/>
  <c r="EV21" i="22"/>
  <c r="ET21" i="22"/>
  <c r="ER21" i="22"/>
  <c r="EP21" i="22"/>
  <c r="EN21" i="22"/>
  <c r="EL21" i="22"/>
  <c r="EJ21" i="22"/>
  <c r="EH21" i="22"/>
  <c r="EF21" i="22"/>
  <c r="ED21" i="22"/>
  <c r="EB21" i="22"/>
  <c r="DZ21" i="22"/>
  <c r="DX21" i="22"/>
  <c r="DV21" i="22"/>
  <c r="DT21" i="22"/>
  <c r="DR21" i="22"/>
  <c r="DP21" i="22"/>
  <c r="DN21" i="22"/>
  <c r="DE21" i="22"/>
  <c r="DC21" i="22"/>
  <c r="DA21" i="22"/>
  <c r="CY21" i="22"/>
  <c r="CW21" i="22"/>
  <c r="CU21" i="22"/>
  <c r="CS21" i="22"/>
  <c r="CQ21" i="22"/>
  <c r="CO21" i="22"/>
  <c r="CM21" i="22"/>
  <c r="CK21" i="22"/>
  <c r="CI21" i="22"/>
  <c r="CG21" i="22"/>
  <c r="CE21" i="22"/>
  <c r="CC21" i="22"/>
  <c r="CA21" i="22"/>
  <c r="BY21" i="22"/>
  <c r="BW21" i="22"/>
  <c r="BU21" i="22"/>
  <c r="BS21" i="22"/>
  <c r="BQ21" i="22"/>
  <c r="BO21" i="22"/>
  <c r="BM21" i="22"/>
  <c r="BK21" i="22"/>
  <c r="BB21" i="22"/>
  <c r="AZ21" i="22"/>
  <c r="AX21" i="22"/>
  <c r="AV21" i="22"/>
  <c r="AT21" i="22"/>
  <c r="AR21" i="22"/>
  <c r="AP21" i="22"/>
  <c r="AN21" i="22"/>
  <c r="AL21" i="22"/>
  <c r="AJ21" i="22"/>
  <c r="AH21" i="22"/>
  <c r="AF21" i="22"/>
  <c r="AD21" i="22"/>
  <c r="AB21" i="22"/>
  <c r="Z21" i="22"/>
  <c r="X21" i="22"/>
  <c r="V21" i="22"/>
  <c r="T21" i="22"/>
  <c r="R21" i="22"/>
  <c r="P21" i="22"/>
  <c r="N21" i="22"/>
  <c r="L21" i="22"/>
  <c r="J21" i="22"/>
  <c r="H21" i="22"/>
  <c r="FU20" i="22"/>
  <c r="FR20" i="22"/>
  <c r="FH20" i="22"/>
  <c r="FF20" i="22"/>
  <c r="FD20" i="22"/>
  <c r="FB20" i="22"/>
  <c r="EZ20" i="22"/>
  <c r="EX20" i="22"/>
  <c r="EV20" i="22"/>
  <c r="ET20" i="22"/>
  <c r="ER20" i="22"/>
  <c r="EP20" i="22"/>
  <c r="EN20" i="22"/>
  <c r="EL20" i="22"/>
  <c r="EJ20" i="22"/>
  <c r="EH20" i="22"/>
  <c r="EF20" i="22"/>
  <c r="ED20" i="22"/>
  <c r="EB20" i="22"/>
  <c r="DZ20" i="22"/>
  <c r="DX20" i="22"/>
  <c r="DV20" i="22"/>
  <c r="DT20" i="22"/>
  <c r="DR20" i="22"/>
  <c r="DP20" i="22"/>
  <c r="DN20" i="22"/>
  <c r="DE20" i="22"/>
  <c r="DC20" i="22"/>
  <c r="DA20" i="22"/>
  <c r="CY20" i="22"/>
  <c r="CW20" i="22"/>
  <c r="CU20" i="22"/>
  <c r="CS20" i="22"/>
  <c r="CQ20" i="22"/>
  <c r="CO20" i="22"/>
  <c r="CM20" i="22"/>
  <c r="CK20" i="22"/>
  <c r="CI20" i="22"/>
  <c r="CG20" i="22"/>
  <c r="CE20" i="22"/>
  <c r="CC20" i="22"/>
  <c r="CA20" i="22"/>
  <c r="BY20" i="22"/>
  <c r="BW20" i="22"/>
  <c r="BU20" i="22"/>
  <c r="BS20" i="22"/>
  <c r="BQ20" i="22"/>
  <c r="BO20" i="22"/>
  <c r="BM20" i="22"/>
  <c r="BK20" i="22"/>
  <c r="BB20" i="22"/>
  <c r="AZ20" i="22"/>
  <c r="AX20" i="22"/>
  <c r="AV20" i="22"/>
  <c r="AT20" i="22"/>
  <c r="AR20" i="22"/>
  <c r="AP20" i="22"/>
  <c r="AN20" i="22"/>
  <c r="AL20" i="22"/>
  <c r="AJ20" i="22"/>
  <c r="AH20" i="22"/>
  <c r="AF20" i="22"/>
  <c r="AD20" i="22"/>
  <c r="AB20" i="22"/>
  <c r="Z20" i="22"/>
  <c r="X20" i="22"/>
  <c r="V20" i="22"/>
  <c r="T20" i="22"/>
  <c r="R20" i="22"/>
  <c r="P20" i="22"/>
  <c r="N20" i="22"/>
  <c r="L20" i="22"/>
  <c r="J20" i="22"/>
  <c r="H20" i="22"/>
  <c r="FH11" i="22"/>
  <c r="FF11" i="22"/>
  <c r="FD11" i="22"/>
  <c r="FB11" i="22"/>
  <c r="EZ11" i="22"/>
  <c r="EX11" i="22"/>
  <c r="EV11" i="22"/>
  <c r="ET11" i="22"/>
  <c r="ER11" i="22"/>
  <c r="EP11" i="22"/>
  <c r="EN11" i="22"/>
  <c r="EL11" i="22"/>
  <c r="EJ11" i="22"/>
  <c r="EH11" i="22"/>
  <c r="EF11" i="22"/>
  <c r="ED11" i="22"/>
  <c r="EB11" i="22"/>
  <c r="DZ11" i="22"/>
  <c r="DX11" i="22"/>
  <c r="DV11" i="22"/>
  <c r="DT11" i="22"/>
  <c r="DR11" i="22"/>
  <c r="DP11" i="22"/>
  <c r="DN11" i="22"/>
  <c r="DE11" i="22"/>
  <c r="DC11" i="22"/>
  <c r="DA11" i="22"/>
  <c r="CY11" i="22"/>
  <c r="CW11" i="22"/>
  <c r="CU11" i="22"/>
  <c r="CS11" i="22"/>
  <c r="CQ11" i="22"/>
  <c r="CO11" i="22"/>
  <c r="CM11" i="22"/>
  <c r="CK11" i="22"/>
  <c r="CI11" i="22"/>
  <c r="CG11" i="22"/>
  <c r="CE11" i="22"/>
  <c r="CC11" i="22"/>
  <c r="CA11" i="22"/>
  <c r="BY11" i="22"/>
  <c r="BW11" i="22"/>
  <c r="BU11" i="22"/>
  <c r="BS11" i="22"/>
  <c r="BQ11" i="22"/>
  <c r="BO11" i="22"/>
  <c r="BM11" i="22"/>
  <c r="BK11" i="22"/>
  <c r="BB11" i="22"/>
  <c r="AZ11" i="22"/>
  <c r="AX11" i="22"/>
  <c r="AV11" i="22"/>
  <c r="AT11" i="22"/>
  <c r="AR11" i="22"/>
  <c r="AP11" i="22"/>
  <c r="AN11" i="22"/>
  <c r="AL11" i="22"/>
  <c r="AJ11" i="22"/>
  <c r="AH11" i="22"/>
  <c r="AF11" i="22"/>
  <c r="AD11" i="22"/>
  <c r="AB11" i="22"/>
  <c r="Z11" i="22"/>
  <c r="X11" i="22"/>
  <c r="V11" i="22"/>
  <c r="T11" i="22"/>
  <c r="R11" i="22"/>
  <c r="P11" i="22"/>
  <c r="N11" i="22"/>
  <c r="L11" i="22"/>
  <c r="J11" i="22"/>
  <c r="H11" i="22"/>
  <c r="D11" i="22"/>
  <c r="FU19" i="22"/>
  <c r="FR19" i="22"/>
  <c r="FH19" i="22"/>
  <c r="FF19" i="22"/>
  <c r="FD19" i="22"/>
  <c r="FB19" i="22"/>
  <c r="EZ19" i="22"/>
  <c r="EX19" i="22"/>
  <c r="EV19" i="22"/>
  <c r="ET19" i="22"/>
  <c r="ER19" i="22"/>
  <c r="EP19" i="22"/>
  <c r="EN19" i="22"/>
  <c r="EL19" i="22"/>
  <c r="EJ19" i="22"/>
  <c r="EH19" i="22"/>
  <c r="EF19" i="22"/>
  <c r="ED19" i="22"/>
  <c r="EB19" i="22"/>
  <c r="DZ19" i="22"/>
  <c r="DX19" i="22"/>
  <c r="DV19" i="22"/>
  <c r="DT19" i="22"/>
  <c r="DR19" i="22"/>
  <c r="DP19" i="22"/>
  <c r="DN19" i="22"/>
  <c r="DE19" i="22"/>
  <c r="DC19" i="22"/>
  <c r="DA19" i="22"/>
  <c r="CY19" i="22"/>
  <c r="CW19" i="22"/>
  <c r="CU19" i="22"/>
  <c r="CS19" i="22"/>
  <c r="CQ19" i="22"/>
  <c r="CO19" i="22"/>
  <c r="CM19" i="22"/>
  <c r="CK19" i="22"/>
  <c r="CI19" i="22"/>
  <c r="CG19" i="22"/>
  <c r="CE19" i="22"/>
  <c r="CC19" i="22"/>
  <c r="CA19" i="22"/>
  <c r="BY19" i="22"/>
  <c r="BW19" i="22"/>
  <c r="BU19" i="22"/>
  <c r="BS19" i="22"/>
  <c r="BQ19" i="22"/>
  <c r="BO19" i="22"/>
  <c r="BM19" i="22"/>
  <c r="BK19" i="22"/>
  <c r="BB19" i="22"/>
  <c r="AZ19" i="22"/>
  <c r="AX19" i="22"/>
  <c r="AV19" i="22"/>
  <c r="AT19" i="22"/>
  <c r="AR19" i="22"/>
  <c r="AP19" i="22"/>
  <c r="AN19" i="22"/>
  <c r="AL19" i="22"/>
  <c r="AJ19" i="22"/>
  <c r="AH19" i="22"/>
  <c r="AF19" i="22"/>
  <c r="AD19" i="22"/>
  <c r="AB19" i="22"/>
  <c r="Z19" i="22"/>
  <c r="X19" i="22"/>
  <c r="V19" i="22"/>
  <c r="T19" i="22"/>
  <c r="R19" i="22"/>
  <c r="P19" i="22"/>
  <c r="N19" i="22"/>
  <c r="L19" i="22"/>
  <c r="J19" i="22"/>
  <c r="H19" i="22"/>
  <c r="FU18" i="22"/>
  <c r="FR18" i="22"/>
  <c r="FH18" i="22"/>
  <c r="FF18" i="22"/>
  <c r="FD18" i="22"/>
  <c r="FB18" i="22"/>
  <c r="EZ18" i="22"/>
  <c r="EX18" i="22"/>
  <c r="EV18" i="22"/>
  <c r="ET18" i="22"/>
  <c r="ER18" i="22"/>
  <c r="EP18" i="22"/>
  <c r="EN18" i="22"/>
  <c r="EL18" i="22"/>
  <c r="EJ18" i="22"/>
  <c r="EH18" i="22"/>
  <c r="EF18" i="22"/>
  <c r="ED18" i="22"/>
  <c r="EB18" i="22"/>
  <c r="DZ18" i="22"/>
  <c r="DX18" i="22"/>
  <c r="DV18" i="22"/>
  <c r="DT18" i="22"/>
  <c r="DR18" i="22"/>
  <c r="DP18" i="22"/>
  <c r="DN18" i="22"/>
  <c r="DE18" i="22"/>
  <c r="DC18" i="22"/>
  <c r="DA18" i="22"/>
  <c r="CY18" i="22"/>
  <c r="CW18" i="22"/>
  <c r="CU18" i="22"/>
  <c r="CS18" i="22"/>
  <c r="CQ18" i="22"/>
  <c r="CO18" i="22"/>
  <c r="CM18" i="22"/>
  <c r="CK18" i="22"/>
  <c r="CI18" i="22"/>
  <c r="CG18" i="22"/>
  <c r="CE18" i="22"/>
  <c r="CC18" i="22"/>
  <c r="CA18" i="22"/>
  <c r="BY18" i="22"/>
  <c r="BW18" i="22"/>
  <c r="BU18" i="22"/>
  <c r="BS18" i="22"/>
  <c r="BQ18" i="22"/>
  <c r="BO18" i="22"/>
  <c r="BM18" i="22"/>
  <c r="BK18" i="22"/>
  <c r="BB18" i="22"/>
  <c r="AZ18" i="22"/>
  <c r="AX18" i="22"/>
  <c r="AV18" i="22"/>
  <c r="AT18" i="22"/>
  <c r="AR18" i="22"/>
  <c r="AP18" i="22"/>
  <c r="AN18" i="22"/>
  <c r="AL18" i="22"/>
  <c r="AJ18" i="22"/>
  <c r="AH18" i="22"/>
  <c r="AF18" i="22"/>
  <c r="AD18" i="22"/>
  <c r="AB18" i="22"/>
  <c r="Z18" i="22"/>
  <c r="X18" i="22"/>
  <c r="V18" i="22"/>
  <c r="T18" i="22"/>
  <c r="R18" i="22"/>
  <c r="P18" i="22"/>
  <c r="N18" i="22"/>
  <c r="L18" i="22"/>
  <c r="J18" i="22"/>
  <c r="H18" i="22"/>
  <c r="FH10" i="22"/>
  <c r="FF10" i="22"/>
  <c r="FD10" i="22"/>
  <c r="FB10" i="22"/>
  <c r="EZ10" i="22"/>
  <c r="EX10" i="22"/>
  <c r="EV10" i="22"/>
  <c r="ET10" i="22"/>
  <c r="ER10" i="22"/>
  <c r="EP10" i="22"/>
  <c r="EN10" i="22"/>
  <c r="EL10" i="22"/>
  <c r="EJ10" i="22"/>
  <c r="EH10" i="22"/>
  <c r="EF10" i="22"/>
  <c r="ED10" i="22"/>
  <c r="EB10" i="22"/>
  <c r="DZ10" i="22"/>
  <c r="DX10" i="22"/>
  <c r="DV10" i="22"/>
  <c r="DT10" i="22"/>
  <c r="DR10" i="22"/>
  <c r="DP10" i="22"/>
  <c r="DN10" i="22"/>
  <c r="DE10" i="22"/>
  <c r="DC10" i="22"/>
  <c r="DA10" i="22"/>
  <c r="CY10" i="22"/>
  <c r="CW10" i="22"/>
  <c r="CU10" i="22"/>
  <c r="CS10" i="22"/>
  <c r="CQ10" i="22"/>
  <c r="CO10" i="22"/>
  <c r="CM10" i="22"/>
  <c r="CK10" i="22"/>
  <c r="CI10" i="22"/>
  <c r="CG10" i="22"/>
  <c r="CE10" i="22"/>
  <c r="CC10" i="22"/>
  <c r="CA10" i="22"/>
  <c r="BY10" i="22"/>
  <c r="BW10" i="22"/>
  <c r="BU10" i="22"/>
  <c r="BS10" i="22"/>
  <c r="BQ10" i="22"/>
  <c r="BO10" i="22"/>
  <c r="BM10" i="22"/>
  <c r="BK10" i="22"/>
  <c r="BB10" i="22"/>
  <c r="AZ10" i="22"/>
  <c r="AX10" i="22"/>
  <c r="AV10" i="22"/>
  <c r="AT10" i="22"/>
  <c r="AR10" i="22"/>
  <c r="AP10" i="22"/>
  <c r="AN10" i="22"/>
  <c r="AL10" i="22"/>
  <c r="AJ10" i="22"/>
  <c r="AH10" i="22"/>
  <c r="AF10" i="22"/>
  <c r="AD10" i="22"/>
  <c r="AB10" i="22"/>
  <c r="Z10" i="22"/>
  <c r="X10" i="22"/>
  <c r="V10" i="22"/>
  <c r="T10" i="22"/>
  <c r="R10" i="22"/>
  <c r="P10" i="22"/>
  <c r="N10" i="22"/>
  <c r="L10" i="22"/>
  <c r="J10" i="22"/>
  <c r="H10" i="22"/>
  <c r="D10" i="22"/>
  <c r="FU17" i="22"/>
  <c r="FR17" i="22"/>
  <c r="FH17" i="22"/>
  <c r="FF17" i="22"/>
  <c r="FD17" i="22"/>
  <c r="FB17" i="22"/>
  <c r="EZ17" i="22"/>
  <c r="EX17" i="22"/>
  <c r="EV17" i="22"/>
  <c r="ET17" i="22"/>
  <c r="ER17" i="22"/>
  <c r="EP17" i="22"/>
  <c r="EN17" i="22"/>
  <c r="EL17" i="22"/>
  <c r="EJ17" i="22"/>
  <c r="EH17" i="22"/>
  <c r="EF17" i="22"/>
  <c r="ED17" i="22"/>
  <c r="EB17" i="22"/>
  <c r="DZ17" i="22"/>
  <c r="DX17" i="22"/>
  <c r="DV17" i="22"/>
  <c r="DT17" i="22"/>
  <c r="DR17" i="22"/>
  <c r="DP17" i="22"/>
  <c r="DN17" i="22"/>
  <c r="DE17" i="22"/>
  <c r="DC17" i="22"/>
  <c r="DA17" i="22"/>
  <c r="CY17" i="22"/>
  <c r="CW17" i="22"/>
  <c r="CU17" i="22"/>
  <c r="CS17" i="22"/>
  <c r="CQ17" i="22"/>
  <c r="CO17" i="22"/>
  <c r="CM17" i="22"/>
  <c r="CK17" i="22"/>
  <c r="CI17" i="22"/>
  <c r="CG17" i="22"/>
  <c r="CE17" i="22"/>
  <c r="CC17" i="22"/>
  <c r="CA17" i="22"/>
  <c r="BY17" i="22"/>
  <c r="BW17" i="22"/>
  <c r="BU17" i="22"/>
  <c r="BS17" i="22"/>
  <c r="BQ17" i="22"/>
  <c r="BO17" i="22"/>
  <c r="BM17" i="22"/>
  <c r="BK17" i="22"/>
  <c r="BB17" i="22"/>
  <c r="AZ17" i="22"/>
  <c r="AX17" i="22"/>
  <c r="AV17" i="22"/>
  <c r="AT17" i="22"/>
  <c r="AR17" i="22"/>
  <c r="AP17" i="22"/>
  <c r="AN17" i="22"/>
  <c r="AL17" i="22"/>
  <c r="AJ17" i="22"/>
  <c r="AH17" i="22"/>
  <c r="AF17" i="22"/>
  <c r="AD17" i="22"/>
  <c r="AB17" i="22"/>
  <c r="Z17" i="22"/>
  <c r="X17" i="22"/>
  <c r="V17" i="22"/>
  <c r="T17" i="22"/>
  <c r="R17" i="22"/>
  <c r="P17" i="22"/>
  <c r="N17" i="22"/>
  <c r="L17" i="22"/>
  <c r="J17" i="22"/>
  <c r="H17" i="22"/>
  <c r="FU16" i="22"/>
  <c r="FR16" i="22"/>
  <c r="FH16" i="22"/>
  <c r="FF16" i="22"/>
  <c r="FD16" i="22"/>
  <c r="FB16" i="22"/>
  <c r="EZ16" i="22"/>
  <c r="EX16" i="22"/>
  <c r="EV16" i="22"/>
  <c r="ET16" i="22"/>
  <c r="ER16" i="22"/>
  <c r="EP16" i="22"/>
  <c r="EN16" i="22"/>
  <c r="EL16" i="22"/>
  <c r="EJ16" i="22"/>
  <c r="EH16" i="22"/>
  <c r="EF16" i="22"/>
  <c r="ED16" i="22"/>
  <c r="EB16" i="22"/>
  <c r="DZ16" i="22"/>
  <c r="DX16" i="22"/>
  <c r="DV16" i="22"/>
  <c r="DT16" i="22"/>
  <c r="DR16" i="22"/>
  <c r="DP16" i="22"/>
  <c r="DN16" i="22"/>
  <c r="DE16" i="22"/>
  <c r="DC16" i="22"/>
  <c r="DA16" i="22"/>
  <c r="CY16" i="22"/>
  <c r="CW16" i="22"/>
  <c r="CU16" i="22"/>
  <c r="CS16" i="22"/>
  <c r="CQ16" i="22"/>
  <c r="CO16" i="22"/>
  <c r="CM16" i="22"/>
  <c r="CK16" i="22"/>
  <c r="CI16" i="22"/>
  <c r="CG16" i="22"/>
  <c r="CE16" i="22"/>
  <c r="CC16" i="22"/>
  <c r="CA16" i="22"/>
  <c r="BY16" i="22"/>
  <c r="BW16" i="22"/>
  <c r="BU16" i="22"/>
  <c r="BS16" i="22"/>
  <c r="BQ16" i="22"/>
  <c r="BO16" i="22"/>
  <c r="BM16" i="22"/>
  <c r="BK16" i="22"/>
  <c r="BB16" i="22"/>
  <c r="AZ16" i="22"/>
  <c r="AX16" i="22"/>
  <c r="AV16" i="22"/>
  <c r="AT16" i="22"/>
  <c r="AR16" i="22"/>
  <c r="AP16" i="22"/>
  <c r="AN16" i="22"/>
  <c r="AL16" i="22"/>
  <c r="AJ16" i="22"/>
  <c r="AH16" i="22"/>
  <c r="AF16" i="22"/>
  <c r="AD16" i="22"/>
  <c r="AB16" i="22"/>
  <c r="Z16" i="22"/>
  <c r="X16" i="22"/>
  <c r="V16" i="22"/>
  <c r="T16" i="22"/>
  <c r="R16" i="22"/>
  <c r="P16" i="22"/>
  <c r="N16" i="22"/>
  <c r="L16" i="22"/>
  <c r="J16" i="22"/>
  <c r="H16" i="22"/>
  <c r="DM68" i="22"/>
  <c r="BJ68" i="22"/>
  <c r="FU26" i="22"/>
  <c r="FR26" i="22"/>
  <c r="FH26" i="22"/>
  <c r="FF26" i="22"/>
  <c r="FD26" i="22"/>
  <c r="FB26" i="22"/>
  <c r="EZ26" i="22"/>
  <c r="EX26" i="22"/>
  <c r="EV26" i="22"/>
  <c r="ET26" i="22"/>
  <c r="ER26" i="22"/>
  <c r="EP26" i="22"/>
  <c r="EN26" i="22"/>
  <c r="EL26" i="22"/>
  <c r="EJ26" i="22"/>
  <c r="EH26" i="22"/>
  <c r="EF26" i="22"/>
  <c r="ED26" i="22"/>
  <c r="EB26" i="22"/>
  <c r="DZ26" i="22"/>
  <c r="DX26" i="22"/>
  <c r="DV26" i="22"/>
  <c r="DT26" i="22"/>
  <c r="DR26" i="22"/>
  <c r="DP26" i="22"/>
  <c r="DN26" i="22"/>
  <c r="DE26" i="22"/>
  <c r="DC26" i="22"/>
  <c r="DA26" i="22"/>
  <c r="CY26" i="22"/>
  <c r="CW26" i="22"/>
  <c r="CU26" i="22"/>
  <c r="CS26" i="22"/>
  <c r="CQ26" i="22"/>
  <c r="CO26" i="22"/>
  <c r="CM26" i="22"/>
  <c r="CK26" i="22"/>
  <c r="CI26" i="22"/>
  <c r="CG26" i="22"/>
  <c r="CE26" i="22"/>
  <c r="CC26" i="22"/>
  <c r="CA26" i="22"/>
  <c r="BY26" i="22"/>
  <c r="BW26" i="22"/>
  <c r="BU26" i="22"/>
  <c r="BS26" i="22"/>
  <c r="BQ26" i="22"/>
  <c r="BO26" i="22"/>
  <c r="BM26" i="22"/>
  <c r="BK26" i="22"/>
  <c r="BB26" i="22"/>
  <c r="AZ26" i="22"/>
  <c r="AX26" i="22"/>
  <c r="AV26" i="22"/>
  <c r="AT26" i="22"/>
  <c r="AR26" i="22"/>
  <c r="AP26" i="22"/>
  <c r="AN26" i="22"/>
  <c r="AL26" i="22"/>
  <c r="AJ26" i="22"/>
  <c r="AH26" i="22"/>
  <c r="AF26" i="22"/>
  <c r="AD26" i="22"/>
  <c r="AB26" i="22"/>
  <c r="Z26" i="22"/>
  <c r="X26" i="22"/>
  <c r="V26" i="22"/>
  <c r="T26" i="22"/>
  <c r="R26" i="22"/>
  <c r="P26" i="22"/>
  <c r="N26" i="22"/>
  <c r="L26" i="22"/>
  <c r="J26" i="22"/>
  <c r="H26" i="22"/>
  <c r="FU14" i="22"/>
  <c r="FR14" i="22"/>
  <c r="FH14" i="22"/>
  <c r="FF14" i="22"/>
  <c r="FD14" i="22"/>
  <c r="FB14" i="22"/>
  <c r="EZ14" i="22"/>
  <c r="EX14" i="22"/>
  <c r="EV14" i="22"/>
  <c r="ET14" i="22"/>
  <c r="ER14" i="22"/>
  <c r="EP14" i="22"/>
  <c r="EN14" i="22"/>
  <c r="EL14" i="22"/>
  <c r="EJ14" i="22"/>
  <c r="EH14" i="22"/>
  <c r="EF14" i="22"/>
  <c r="ED14" i="22"/>
  <c r="EB14" i="22"/>
  <c r="DZ14" i="22"/>
  <c r="DX14" i="22"/>
  <c r="DV14" i="22"/>
  <c r="DT14" i="22"/>
  <c r="DR14" i="22"/>
  <c r="DP14" i="22"/>
  <c r="DN14" i="22"/>
  <c r="DE14" i="22"/>
  <c r="DC14" i="22"/>
  <c r="DA14" i="22"/>
  <c r="CY14" i="22"/>
  <c r="CW14" i="22"/>
  <c r="CU14" i="22"/>
  <c r="CS14" i="22"/>
  <c r="CQ14" i="22"/>
  <c r="CO14" i="22"/>
  <c r="CM14" i="22"/>
  <c r="CK14" i="22"/>
  <c r="CI14" i="22"/>
  <c r="CG14" i="22"/>
  <c r="CE14" i="22"/>
  <c r="CC14" i="22"/>
  <c r="CA14" i="22"/>
  <c r="BY14" i="22"/>
  <c r="BW14" i="22"/>
  <c r="BU14" i="22"/>
  <c r="BS14" i="22"/>
  <c r="BQ14" i="22"/>
  <c r="BO14" i="22"/>
  <c r="BM14" i="22"/>
  <c r="BK14" i="22"/>
  <c r="BB14" i="22"/>
  <c r="AZ14" i="22"/>
  <c r="AX14" i="22"/>
  <c r="AV14" i="22"/>
  <c r="AT14" i="22"/>
  <c r="AR14" i="22"/>
  <c r="AP14" i="22"/>
  <c r="AN14" i="22"/>
  <c r="AL14" i="22"/>
  <c r="AJ14" i="22"/>
  <c r="AH14" i="22"/>
  <c r="AF14" i="22"/>
  <c r="AD14" i="22"/>
  <c r="AB14" i="22"/>
  <c r="Z14" i="22"/>
  <c r="X14" i="22"/>
  <c r="V14" i="22"/>
  <c r="T14" i="22"/>
  <c r="R14" i="22"/>
  <c r="P14" i="22"/>
  <c r="N14" i="22"/>
  <c r="L14" i="22"/>
  <c r="J14" i="22"/>
  <c r="H14" i="22"/>
  <c r="FE1" i="22"/>
  <c r="DB1" i="22"/>
  <c r="FU23" i="21"/>
  <c r="FR23" i="21"/>
  <c r="FH23" i="21"/>
  <c r="FF23" i="21"/>
  <c r="FD23" i="21"/>
  <c r="FB23" i="21"/>
  <c r="EZ23" i="21"/>
  <c r="EX23" i="21"/>
  <c r="EV23" i="21"/>
  <c r="ET23" i="21"/>
  <c r="ER23" i="21"/>
  <c r="EP23" i="21"/>
  <c r="EN23" i="21"/>
  <c r="EL23" i="21"/>
  <c r="EJ23" i="21"/>
  <c r="EH23" i="21"/>
  <c r="EF23" i="21"/>
  <c r="ED23" i="21"/>
  <c r="EB23" i="21"/>
  <c r="DZ23" i="21"/>
  <c r="DX23" i="21"/>
  <c r="DV23" i="21"/>
  <c r="DT23" i="21"/>
  <c r="DR23" i="21"/>
  <c r="DP23" i="21"/>
  <c r="DN23" i="21"/>
  <c r="DE23" i="21"/>
  <c r="DC23" i="21"/>
  <c r="DA23" i="21"/>
  <c r="CY23" i="21"/>
  <c r="CW23" i="21"/>
  <c r="CU23" i="21"/>
  <c r="CS23" i="21"/>
  <c r="CQ23" i="21"/>
  <c r="CO23" i="21"/>
  <c r="CM23" i="21"/>
  <c r="CK23" i="21"/>
  <c r="CI23" i="21"/>
  <c r="CG23" i="21"/>
  <c r="CE23" i="21"/>
  <c r="CC23" i="21"/>
  <c r="CA23" i="21"/>
  <c r="BY23" i="21"/>
  <c r="BW23" i="21"/>
  <c r="BU23" i="21"/>
  <c r="BS23" i="21"/>
  <c r="BQ23" i="21"/>
  <c r="BO23" i="21"/>
  <c r="BM23" i="21"/>
  <c r="BK23" i="21"/>
  <c r="BB23" i="21"/>
  <c r="AZ23" i="21"/>
  <c r="AX23" i="21"/>
  <c r="AV23" i="21"/>
  <c r="AT23" i="21"/>
  <c r="AR23" i="21"/>
  <c r="AP23" i="21"/>
  <c r="AN23" i="21"/>
  <c r="AL23" i="21"/>
  <c r="AJ23" i="21"/>
  <c r="AH23" i="21"/>
  <c r="AF23" i="21"/>
  <c r="AD23" i="21"/>
  <c r="AB23" i="21"/>
  <c r="Z23" i="21"/>
  <c r="X23" i="21"/>
  <c r="V23" i="21"/>
  <c r="T23" i="21"/>
  <c r="R23" i="21"/>
  <c r="P23" i="21"/>
  <c r="N23" i="21"/>
  <c r="L23" i="21"/>
  <c r="J23" i="21"/>
  <c r="H23" i="21"/>
  <c r="FU22" i="21"/>
  <c r="FR22" i="21"/>
  <c r="FH22" i="21"/>
  <c r="FF22" i="21"/>
  <c r="FD22" i="21"/>
  <c r="FB22" i="21"/>
  <c r="EZ22" i="21"/>
  <c r="EX22" i="21"/>
  <c r="EV22" i="21"/>
  <c r="ET22" i="21"/>
  <c r="ER22" i="21"/>
  <c r="EP22" i="21"/>
  <c r="EN22" i="21"/>
  <c r="EL22" i="21"/>
  <c r="EJ22" i="21"/>
  <c r="EH22" i="21"/>
  <c r="EF22" i="21"/>
  <c r="ED22" i="21"/>
  <c r="EB22" i="21"/>
  <c r="DZ22" i="21"/>
  <c r="DX22" i="21"/>
  <c r="DV22" i="21"/>
  <c r="DT22" i="21"/>
  <c r="DR22" i="21"/>
  <c r="DP22" i="21"/>
  <c r="DN22" i="21"/>
  <c r="DE22" i="21"/>
  <c r="DC22" i="21"/>
  <c r="DA22" i="21"/>
  <c r="CY22" i="21"/>
  <c r="CW22" i="21"/>
  <c r="CU22" i="21"/>
  <c r="CS22" i="21"/>
  <c r="CQ22" i="21"/>
  <c r="CO22" i="21"/>
  <c r="CM22" i="21"/>
  <c r="CK22" i="21"/>
  <c r="CI22" i="21"/>
  <c r="CG22" i="21"/>
  <c r="CE22" i="21"/>
  <c r="CC22" i="21"/>
  <c r="CA22" i="21"/>
  <c r="BY22" i="21"/>
  <c r="BW22" i="21"/>
  <c r="BU22" i="21"/>
  <c r="BS22" i="21"/>
  <c r="BQ22" i="21"/>
  <c r="BO22" i="21"/>
  <c r="BM22" i="21"/>
  <c r="BK22" i="21"/>
  <c r="BB22" i="21"/>
  <c r="AZ22" i="21"/>
  <c r="AX22" i="21"/>
  <c r="AV22" i="21"/>
  <c r="AT22" i="21"/>
  <c r="AR22" i="21"/>
  <c r="AP22" i="21"/>
  <c r="AN22" i="21"/>
  <c r="AL22" i="21"/>
  <c r="AJ22" i="21"/>
  <c r="AH22" i="21"/>
  <c r="AF22" i="21"/>
  <c r="AD22" i="21"/>
  <c r="AB22" i="21"/>
  <c r="Z22" i="21"/>
  <c r="X22" i="21"/>
  <c r="V22" i="21"/>
  <c r="T22" i="21"/>
  <c r="R22" i="21"/>
  <c r="P22" i="21"/>
  <c r="N22" i="21"/>
  <c r="L22" i="21"/>
  <c r="J22" i="21"/>
  <c r="H22" i="21"/>
  <c r="FU21" i="21"/>
  <c r="FR21" i="21"/>
  <c r="FH21" i="21"/>
  <c r="FF21" i="21"/>
  <c r="FD21" i="21"/>
  <c r="FB21" i="21"/>
  <c r="EZ21" i="21"/>
  <c r="EX21" i="21"/>
  <c r="EV21" i="21"/>
  <c r="ET21" i="21"/>
  <c r="ER21" i="21"/>
  <c r="EP21" i="21"/>
  <c r="EN21" i="21"/>
  <c r="EL21" i="21"/>
  <c r="EJ21" i="21"/>
  <c r="EH21" i="21"/>
  <c r="EF21" i="21"/>
  <c r="ED21" i="21"/>
  <c r="EB21" i="21"/>
  <c r="DZ21" i="21"/>
  <c r="DX21" i="21"/>
  <c r="DV21" i="21"/>
  <c r="DT21" i="21"/>
  <c r="DR21" i="21"/>
  <c r="DP21" i="21"/>
  <c r="DN21" i="21"/>
  <c r="DE21" i="21"/>
  <c r="DC21" i="21"/>
  <c r="DA21" i="21"/>
  <c r="CY21" i="21"/>
  <c r="CW21" i="21"/>
  <c r="CU21" i="21"/>
  <c r="CS21" i="21"/>
  <c r="CQ21" i="21"/>
  <c r="CO21" i="21"/>
  <c r="CM21" i="21"/>
  <c r="CK21" i="21"/>
  <c r="CI21" i="21"/>
  <c r="CG21" i="21"/>
  <c r="CE21" i="21"/>
  <c r="CC21" i="21"/>
  <c r="CA21" i="21"/>
  <c r="BY21" i="21"/>
  <c r="BW21" i="21"/>
  <c r="BU21" i="21"/>
  <c r="BS21" i="21"/>
  <c r="BQ21" i="21"/>
  <c r="BO21" i="21"/>
  <c r="BM21" i="21"/>
  <c r="BK21" i="21"/>
  <c r="BB21" i="21"/>
  <c r="AZ21" i="21"/>
  <c r="AX21" i="21"/>
  <c r="AV21" i="21"/>
  <c r="AT21" i="21"/>
  <c r="AR21" i="21"/>
  <c r="AP21" i="21"/>
  <c r="AN21" i="21"/>
  <c r="AL21" i="21"/>
  <c r="AJ21" i="21"/>
  <c r="AH21" i="21"/>
  <c r="AF21" i="21"/>
  <c r="AD21" i="21"/>
  <c r="AB21" i="21"/>
  <c r="Z21" i="21"/>
  <c r="X21" i="21"/>
  <c r="V21" i="21"/>
  <c r="T21" i="21"/>
  <c r="R21" i="21"/>
  <c r="P21" i="21"/>
  <c r="N21" i="21"/>
  <c r="L21" i="21"/>
  <c r="J21" i="21"/>
  <c r="H21" i="21"/>
  <c r="FU20" i="21"/>
  <c r="FR20" i="21"/>
  <c r="FH20" i="21"/>
  <c r="FF20" i="21"/>
  <c r="FD20" i="21"/>
  <c r="FB20" i="21"/>
  <c r="EZ20" i="21"/>
  <c r="EX20" i="21"/>
  <c r="EV20" i="21"/>
  <c r="ET20" i="21"/>
  <c r="ER20" i="21"/>
  <c r="EP20" i="21"/>
  <c r="EN20" i="21"/>
  <c r="EL20" i="21"/>
  <c r="EJ20" i="21"/>
  <c r="EH20" i="21"/>
  <c r="EF20" i="21"/>
  <c r="ED20" i="21"/>
  <c r="EB20" i="21"/>
  <c r="DZ20" i="21"/>
  <c r="DX20" i="21"/>
  <c r="DV20" i="21"/>
  <c r="DT20" i="21"/>
  <c r="DR20" i="21"/>
  <c r="DP20" i="21"/>
  <c r="DN20" i="21"/>
  <c r="DE20" i="21"/>
  <c r="DC20" i="21"/>
  <c r="DA20" i="21"/>
  <c r="CY20" i="21"/>
  <c r="CW20" i="21"/>
  <c r="CU20" i="21"/>
  <c r="CS20" i="21"/>
  <c r="CQ20" i="21"/>
  <c r="CO20" i="21"/>
  <c r="CM20" i="21"/>
  <c r="CK20" i="21"/>
  <c r="CI20" i="21"/>
  <c r="CG20" i="21"/>
  <c r="CE20" i="21"/>
  <c r="CC20" i="21"/>
  <c r="CA20" i="21"/>
  <c r="BY20" i="21"/>
  <c r="BW20" i="21"/>
  <c r="BU20" i="21"/>
  <c r="BS20" i="21"/>
  <c r="BQ20" i="21"/>
  <c r="BO20" i="21"/>
  <c r="BM20" i="21"/>
  <c r="BK20" i="21"/>
  <c r="BB20" i="21"/>
  <c r="AZ20" i="21"/>
  <c r="AX20" i="21"/>
  <c r="AV20" i="21"/>
  <c r="AT20" i="21"/>
  <c r="AR20" i="21"/>
  <c r="AP20" i="21"/>
  <c r="AN20" i="21"/>
  <c r="AL20" i="21"/>
  <c r="AJ20" i="21"/>
  <c r="AH20" i="21"/>
  <c r="AF20" i="21"/>
  <c r="AD20" i="21"/>
  <c r="AB20" i="21"/>
  <c r="Z20" i="21"/>
  <c r="X20" i="21"/>
  <c r="V20" i="21"/>
  <c r="T20" i="21"/>
  <c r="R20" i="21"/>
  <c r="P20" i="21"/>
  <c r="N20" i="21"/>
  <c r="L20" i="21"/>
  <c r="J20" i="21"/>
  <c r="H20" i="21"/>
  <c r="FU19" i="21"/>
  <c r="FR19" i="21"/>
  <c r="FH19" i="21"/>
  <c r="FF19" i="21"/>
  <c r="FD19" i="21"/>
  <c r="FB19" i="21"/>
  <c r="EZ19" i="21"/>
  <c r="EX19" i="21"/>
  <c r="EV19" i="21"/>
  <c r="ET19" i="21"/>
  <c r="ER19" i="21"/>
  <c r="EP19" i="21"/>
  <c r="EN19" i="21"/>
  <c r="EL19" i="21"/>
  <c r="EJ19" i="21"/>
  <c r="EH19" i="21"/>
  <c r="EF19" i="21"/>
  <c r="ED19" i="21"/>
  <c r="EB19" i="21"/>
  <c r="DZ19" i="21"/>
  <c r="DX19" i="21"/>
  <c r="DV19" i="21"/>
  <c r="DT19" i="21"/>
  <c r="DR19" i="21"/>
  <c r="DP19" i="21"/>
  <c r="DN19" i="21"/>
  <c r="DE19" i="21"/>
  <c r="DC19" i="21"/>
  <c r="DA19" i="21"/>
  <c r="CY19" i="21"/>
  <c r="CW19" i="21"/>
  <c r="CU19" i="21"/>
  <c r="CS19" i="21"/>
  <c r="CQ19" i="21"/>
  <c r="CO19" i="21"/>
  <c r="CM19" i="21"/>
  <c r="CK19" i="21"/>
  <c r="CI19" i="21"/>
  <c r="CG19" i="21"/>
  <c r="CE19" i="21"/>
  <c r="CC19" i="21"/>
  <c r="CA19" i="21"/>
  <c r="BY19" i="21"/>
  <c r="BW19" i="21"/>
  <c r="BU19" i="21"/>
  <c r="BS19" i="21"/>
  <c r="BQ19" i="21"/>
  <c r="BO19" i="21"/>
  <c r="BM19" i="21"/>
  <c r="BK19" i="21"/>
  <c r="BB19" i="21"/>
  <c r="AZ19" i="21"/>
  <c r="AX19" i="21"/>
  <c r="AV19" i="21"/>
  <c r="AT19" i="21"/>
  <c r="AR19" i="21"/>
  <c r="AP19" i="21"/>
  <c r="AN19" i="21"/>
  <c r="AL19" i="21"/>
  <c r="AJ19" i="21"/>
  <c r="AH19" i="21"/>
  <c r="AF19" i="21"/>
  <c r="AD19" i="21"/>
  <c r="AB19" i="21"/>
  <c r="Z19" i="21"/>
  <c r="X19" i="21"/>
  <c r="V19" i="21"/>
  <c r="T19" i="21"/>
  <c r="R19" i="21"/>
  <c r="P19" i="21"/>
  <c r="N19" i="21"/>
  <c r="L19" i="21"/>
  <c r="J19" i="21"/>
  <c r="H19" i="21"/>
  <c r="FH10" i="21"/>
  <c r="FF10" i="21"/>
  <c r="FD10" i="21"/>
  <c r="FB10" i="21"/>
  <c r="EZ10" i="21"/>
  <c r="EX10" i="21"/>
  <c r="EV10" i="21"/>
  <c r="ET10" i="21"/>
  <c r="ER10" i="21"/>
  <c r="EP10" i="21"/>
  <c r="EN10" i="21"/>
  <c r="EL10" i="21"/>
  <c r="EJ10" i="21"/>
  <c r="EH10" i="21"/>
  <c r="EF10" i="21"/>
  <c r="ED10" i="21"/>
  <c r="EB10" i="21"/>
  <c r="DZ10" i="21"/>
  <c r="DX10" i="21"/>
  <c r="DV10" i="21"/>
  <c r="DT10" i="21"/>
  <c r="DR10" i="21"/>
  <c r="DP10" i="21"/>
  <c r="DN10" i="21"/>
  <c r="DE10" i="21"/>
  <c r="DC10" i="21"/>
  <c r="DA10" i="21"/>
  <c r="CY10" i="21"/>
  <c r="CW10" i="21"/>
  <c r="CU10" i="21"/>
  <c r="CS10" i="21"/>
  <c r="CQ10" i="21"/>
  <c r="CO10" i="21"/>
  <c r="CM10" i="21"/>
  <c r="CK10" i="21"/>
  <c r="CI10" i="21"/>
  <c r="CG10" i="21"/>
  <c r="CE10" i="21"/>
  <c r="CC10" i="21"/>
  <c r="CA10" i="21"/>
  <c r="BY10" i="21"/>
  <c r="BW10" i="21"/>
  <c r="BU10" i="21"/>
  <c r="BS10" i="21"/>
  <c r="BQ10" i="21"/>
  <c r="BO10" i="21"/>
  <c r="BM10" i="21"/>
  <c r="BK10" i="21"/>
  <c r="BB10" i="21"/>
  <c r="AZ10" i="21"/>
  <c r="AX10" i="21"/>
  <c r="AV10" i="21"/>
  <c r="AT10" i="21"/>
  <c r="AR10" i="21"/>
  <c r="AP10" i="21"/>
  <c r="AN10" i="21"/>
  <c r="AL10" i="21"/>
  <c r="AJ10" i="21"/>
  <c r="AH10" i="21"/>
  <c r="AF10" i="21"/>
  <c r="AD10" i="21"/>
  <c r="AB10" i="21"/>
  <c r="Z10" i="21"/>
  <c r="X10" i="21"/>
  <c r="V10" i="21"/>
  <c r="T10" i="21"/>
  <c r="R10" i="21"/>
  <c r="P10" i="21"/>
  <c r="N10" i="21"/>
  <c r="L10" i="21"/>
  <c r="J10" i="21"/>
  <c r="H10" i="21"/>
  <c r="D10" i="21"/>
  <c r="FU18" i="21"/>
  <c r="FR18" i="21"/>
  <c r="FH18" i="21"/>
  <c r="FF18" i="21"/>
  <c r="FD18" i="21"/>
  <c r="FB18" i="21"/>
  <c r="EZ18" i="21"/>
  <c r="EX18" i="21"/>
  <c r="EV18" i="21"/>
  <c r="ET18" i="21"/>
  <c r="ER18" i="21"/>
  <c r="EP18" i="21"/>
  <c r="EN18" i="21"/>
  <c r="EL18" i="21"/>
  <c r="EJ18" i="21"/>
  <c r="EH18" i="21"/>
  <c r="EF18" i="21"/>
  <c r="ED18" i="21"/>
  <c r="EB18" i="21"/>
  <c r="DZ18" i="21"/>
  <c r="DX18" i="21"/>
  <c r="DV18" i="21"/>
  <c r="DT18" i="21"/>
  <c r="DR18" i="21"/>
  <c r="DP18" i="21"/>
  <c r="DN18" i="21"/>
  <c r="DE18" i="21"/>
  <c r="DC18" i="21"/>
  <c r="DA18" i="21"/>
  <c r="CY18" i="21"/>
  <c r="CW18" i="21"/>
  <c r="CU18" i="21"/>
  <c r="CS18" i="21"/>
  <c r="CQ18" i="21"/>
  <c r="CO18" i="21"/>
  <c r="CM18" i="21"/>
  <c r="CK18" i="21"/>
  <c r="CI18" i="21"/>
  <c r="CG18" i="21"/>
  <c r="CE18" i="21"/>
  <c r="CC18" i="21"/>
  <c r="CA18" i="21"/>
  <c r="BY18" i="21"/>
  <c r="BW18" i="21"/>
  <c r="BU18" i="21"/>
  <c r="BS18" i="21"/>
  <c r="BQ18" i="21"/>
  <c r="BO18" i="21"/>
  <c r="BM18" i="21"/>
  <c r="BK18" i="21"/>
  <c r="BB18" i="21"/>
  <c r="AZ18" i="21"/>
  <c r="AX18" i="21"/>
  <c r="AV18" i="21"/>
  <c r="AT18" i="21"/>
  <c r="AR18" i="21"/>
  <c r="AP18" i="21"/>
  <c r="AN18" i="21"/>
  <c r="AL18" i="21"/>
  <c r="AJ18" i="21"/>
  <c r="AH18" i="21"/>
  <c r="AF18" i="21"/>
  <c r="AD18" i="21"/>
  <c r="AB18" i="21"/>
  <c r="Z18" i="21"/>
  <c r="X18" i="21"/>
  <c r="V18" i="21"/>
  <c r="T18" i="21"/>
  <c r="R18" i="21"/>
  <c r="P18" i="21"/>
  <c r="N18" i="21"/>
  <c r="L18" i="21"/>
  <c r="J18" i="21"/>
  <c r="H18" i="21"/>
  <c r="FU17" i="21"/>
  <c r="FR17" i="21"/>
  <c r="FH17" i="21"/>
  <c r="FF17" i="21"/>
  <c r="FD17" i="21"/>
  <c r="FB17" i="21"/>
  <c r="EZ17" i="21"/>
  <c r="EX17" i="21"/>
  <c r="EV17" i="21"/>
  <c r="ET17" i="21"/>
  <c r="ER17" i="21"/>
  <c r="EP17" i="21"/>
  <c r="EN17" i="21"/>
  <c r="EL17" i="21"/>
  <c r="EJ17" i="21"/>
  <c r="EH17" i="21"/>
  <c r="EF17" i="21"/>
  <c r="ED17" i="21"/>
  <c r="EB17" i="21"/>
  <c r="DZ17" i="21"/>
  <c r="DX17" i="21"/>
  <c r="DV17" i="21"/>
  <c r="DT17" i="21"/>
  <c r="DR17" i="21"/>
  <c r="DP17" i="21"/>
  <c r="DN17" i="21"/>
  <c r="DE17" i="21"/>
  <c r="DC17" i="21"/>
  <c r="DA17" i="21"/>
  <c r="CY17" i="21"/>
  <c r="CW17" i="21"/>
  <c r="CU17" i="21"/>
  <c r="CS17" i="21"/>
  <c r="CQ17" i="21"/>
  <c r="CO17" i="21"/>
  <c r="CM17" i="21"/>
  <c r="CK17" i="21"/>
  <c r="CI17" i="21"/>
  <c r="CG17" i="21"/>
  <c r="CE17" i="21"/>
  <c r="CC17" i="21"/>
  <c r="CA17" i="21"/>
  <c r="BY17" i="21"/>
  <c r="BW17" i="21"/>
  <c r="BU17" i="21"/>
  <c r="BS17" i="21"/>
  <c r="BQ17" i="21"/>
  <c r="BO17" i="21"/>
  <c r="BM17" i="21"/>
  <c r="BK17" i="21"/>
  <c r="BB17" i="21"/>
  <c r="AZ17" i="21"/>
  <c r="AX17" i="21"/>
  <c r="AV17" i="21"/>
  <c r="AT17" i="21"/>
  <c r="AR17" i="21"/>
  <c r="AP17" i="21"/>
  <c r="AN17" i="21"/>
  <c r="AL17" i="21"/>
  <c r="AJ17" i="21"/>
  <c r="AH17" i="21"/>
  <c r="AF17" i="21"/>
  <c r="AD17" i="21"/>
  <c r="AB17" i="21"/>
  <c r="Z17" i="21"/>
  <c r="X17" i="21"/>
  <c r="V17" i="21"/>
  <c r="T17" i="21"/>
  <c r="R17" i="21"/>
  <c r="P17" i="21"/>
  <c r="N17" i="21"/>
  <c r="L17" i="21"/>
  <c r="J17" i="21"/>
  <c r="H17" i="21"/>
  <c r="FU16" i="21"/>
  <c r="FR16" i="21"/>
  <c r="FH16" i="21"/>
  <c r="FF16" i="21"/>
  <c r="FD16" i="21"/>
  <c r="FB16" i="21"/>
  <c r="EZ16" i="21"/>
  <c r="EX16" i="21"/>
  <c r="EV16" i="21"/>
  <c r="ET16" i="21"/>
  <c r="ER16" i="21"/>
  <c r="EP16" i="21"/>
  <c r="EN16" i="21"/>
  <c r="EL16" i="21"/>
  <c r="EJ16" i="21"/>
  <c r="EH16" i="21"/>
  <c r="EF16" i="21"/>
  <c r="ED16" i="21"/>
  <c r="EB16" i="21"/>
  <c r="DZ16" i="21"/>
  <c r="DX16" i="21"/>
  <c r="DV16" i="21"/>
  <c r="DT16" i="21"/>
  <c r="DR16" i="21"/>
  <c r="DP16" i="21"/>
  <c r="DN16" i="21"/>
  <c r="DE16" i="21"/>
  <c r="DC16" i="21"/>
  <c r="DA16" i="21"/>
  <c r="CY16" i="21"/>
  <c r="CW16" i="21"/>
  <c r="CU16" i="21"/>
  <c r="CS16" i="21"/>
  <c r="CQ16" i="21"/>
  <c r="CO16" i="21"/>
  <c r="CM16" i="21"/>
  <c r="CK16" i="21"/>
  <c r="CI16" i="21"/>
  <c r="CG16" i="21"/>
  <c r="CE16" i="21"/>
  <c r="CC16" i="21"/>
  <c r="CA16" i="21"/>
  <c r="BY16" i="21"/>
  <c r="BW16" i="21"/>
  <c r="BU16" i="21"/>
  <c r="BS16" i="21"/>
  <c r="BQ16" i="21"/>
  <c r="BO16" i="21"/>
  <c r="BM16" i="21"/>
  <c r="BK16" i="21"/>
  <c r="BB16" i="21"/>
  <c r="AZ16" i="21"/>
  <c r="AX16" i="21"/>
  <c r="AV16" i="21"/>
  <c r="AT16" i="21"/>
  <c r="AR16" i="21"/>
  <c r="AP16" i="21"/>
  <c r="AN16" i="21"/>
  <c r="AL16" i="21"/>
  <c r="AJ16" i="21"/>
  <c r="AH16" i="21"/>
  <c r="AF16" i="21"/>
  <c r="AD16" i="21"/>
  <c r="AB16" i="21"/>
  <c r="Z16" i="21"/>
  <c r="X16" i="21"/>
  <c r="V16" i="21"/>
  <c r="T16" i="21"/>
  <c r="R16" i="21"/>
  <c r="P16" i="21"/>
  <c r="N16" i="21"/>
  <c r="L16" i="21"/>
  <c r="J16" i="21"/>
  <c r="H16" i="21"/>
  <c r="DM68" i="21"/>
  <c r="BJ68" i="21"/>
  <c r="FU26" i="21"/>
  <c r="FR26" i="21"/>
  <c r="FH26" i="21"/>
  <c r="FF26" i="21"/>
  <c r="FD26" i="21"/>
  <c r="FB26" i="21"/>
  <c r="EZ26" i="21"/>
  <c r="EX26" i="21"/>
  <c r="EV26" i="21"/>
  <c r="ET26" i="21"/>
  <c r="ER26" i="21"/>
  <c r="EP26" i="21"/>
  <c r="EN26" i="21"/>
  <c r="EL26" i="21"/>
  <c r="EJ26" i="21"/>
  <c r="EH26" i="21"/>
  <c r="EF26" i="21"/>
  <c r="ED26" i="21"/>
  <c r="EB26" i="21"/>
  <c r="DZ26" i="21"/>
  <c r="DX26" i="21"/>
  <c r="DV26" i="21"/>
  <c r="DT26" i="21"/>
  <c r="DR26" i="21"/>
  <c r="DP26" i="21"/>
  <c r="DN26" i="21"/>
  <c r="DE26" i="21"/>
  <c r="DC26" i="21"/>
  <c r="DA26" i="21"/>
  <c r="CY26" i="21"/>
  <c r="CW26" i="21"/>
  <c r="CU26" i="21"/>
  <c r="CS26" i="21"/>
  <c r="CQ26" i="21"/>
  <c r="CO26" i="21"/>
  <c r="CM26" i="21"/>
  <c r="CK26" i="21"/>
  <c r="CI26" i="21"/>
  <c r="CG26" i="21"/>
  <c r="CE26" i="21"/>
  <c r="CC26" i="21"/>
  <c r="CA26" i="21"/>
  <c r="BY26" i="21"/>
  <c r="BW26" i="21"/>
  <c r="BU26" i="21"/>
  <c r="BS26" i="21"/>
  <c r="BQ26" i="21"/>
  <c r="BO26" i="21"/>
  <c r="BM26" i="21"/>
  <c r="BK26" i="21"/>
  <c r="BB26" i="21"/>
  <c r="AZ26" i="21"/>
  <c r="AX26" i="21"/>
  <c r="AV26" i="21"/>
  <c r="AT26" i="21"/>
  <c r="AR26" i="21"/>
  <c r="AP26" i="21"/>
  <c r="AN26" i="21"/>
  <c r="AL26" i="21"/>
  <c r="AJ26" i="21"/>
  <c r="AH26" i="21"/>
  <c r="AF26" i="21"/>
  <c r="AD26" i="21"/>
  <c r="AB26" i="21"/>
  <c r="Z26" i="21"/>
  <c r="X26" i="21"/>
  <c r="V26" i="21"/>
  <c r="T26" i="21"/>
  <c r="R26" i="21"/>
  <c r="P26" i="21"/>
  <c r="N26" i="21"/>
  <c r="L26" i="21"/>
  <c r="J26" i="21"/>
  <c r="H26" i="21"/>
  <c r="FU14" i="21"/>
  <c r="FR14" i="21"/>
  <c r="FH14" i="21"/>
  <c r="FF14" i="21"/>
  <c r="FD14" i="21"/>
  <c r="FB14" i="21"/>
  <c r="EZ14" i="21"/>
  <c r="EX14" i="21"/>
  <c r="EV14" i="21"/>
  <c r="ET14" i="21"/>
  <c r="ER14" i="21"/>
  <c r="EP14" i="21"/>
  <c r="EN14" i="21"/>
  <c r="EL14" i="21"/>
  <c r="EJ14" i="21"/>
  <c r="EH14" i="21"/>
  <c r="EF14" i="21"/>
  <c r="ED14" i="21"/>
  <c r="EB14" i="21"/>
  <c r="DZ14" i="21"/>
  <c r="DX14" i="21"/>
  <c r="DV14" i="21"/>
  <c r="DT14" i="21"/>
  <c r="DR14" i="21"/>
  <c r="DP14" i="21"/>
  <c r="DN14" i="21"/>
  <c r="DE14" i="21"/>
  <c r="DC14" i="21"/>
  <c r="DA14" i="21"/>
  <c r="CY14" i="21"/>
  <c r="CW14" i="21"/>
  <c r="CU14" i="21"/>
  <c r="CS14" i="21"/>
  <c r="CQ14" i="21"/>
  <c r="CO14" i="21"/>
  <c r="CM14" i="21"/>
  <c r="CK14" i="21"/>
  <c r="CI14" i="21"/>
  <c r="CG14" i="21"/>
  <c r="CE14" i="21"/>
  <c r="CC14" i="21"/>
  <c r="CA14" i="21"/>
  <c r="BY14" i="21"/>
  <c r="BW14" i="21"/>
  <c r="BU14" i="21"/>
  <c r="BS14" i="21"/>
  <c r="BQ14" i="21"/>
  <c r="BO14" i="21"/>
  <c r="BM14" i="21"/>
  <c r="BK14" i="21"/>
  <c r="BB14" i="21"/>
  <c r="AZ14" i="21"/>
  <c r="AX14" i="21"/>
  <c r="AV14" i="21"/>
  <c r="AT14" i="21"/>
  <c r="AR14" i="21"/>
  <c r="AP14" i="21"/>
  <c r="AN14" i="21"/>
  <c r="AL14" i="21"/>
  <c r="AJ14" i="21"/>
  <c r="AH14" i="21"/>
  <c r="AF14" i="21"/>
  <c r="AD14" i="21"/>
  <c r="AB14" i="21"/>
  <c r="Z14" i="21"/>
  <c r="X14" i="21"/>
  <c r="V14" i="21"/>
  <c r="T14" i="21"/>
  <c r="R14" i="21"/>
  <c r="P14" i="21"/>
  <c r="N14" i="21"/>
  <c r="L14" i="21"/>
  <c r="J14" i="21"/>
  <c r="H14" i="21"/>
  <c r="FE1" i="21"/>
  <c r="DB1" i="21"/>
  <c r="FU20" i="20"/>
  <c r="FR20" i="20"/>
  <c r="FH20" i="20"/>
  <c r="FF20" i="20"/>
  <c r="FD20" i="20"/>
  <c r="FB20" i="20"/>
  <c r="EZ20" i="20"/>
  <c r="EX20" i="20"/>
  <c r="EV20" i="20"/>
  <c r="ET20" i="20"/>
  <c r="ER20" i="20"/>
  <c r="EP20" i="20"/>
  <c r="EN20" i="20"/>
  <c r="EL20" i="20"/>
  <c r="EJ20" i="20"/>
  <c r="EH20" i="20"/>
  <c r="EF20" i="20"/>
  <c r="ED20" i="20"/>
  <c r="EB20" i="20"/>
  <c r="DZ20" i="20"/>
  <c r="DX20" i="20"/>
  <c r="DV20" i="20"/>
  <c r="DT20" i="20"/>
  <c r="DR20" i="20"/>
  <c r="DP20" i="20"/>
  <c r="DN20" i="20"/>
  <c r="DE20" i="20"/>
  <c r="DC20" i="20"/>
  <c r="DA20" i="20"/>
  <c r="CY20" i="20"/>
  <c r="CW20" i="20"/>
  <c r="CU20" i="20"/>
  <c r="CS20" i="20"/>
  <c r="CQ20" i="20"/>
  <c r="CO20" i="20"/>
  <c r="CM20" i="20"/>
  <c r="CK20" i="20"/>
  <c r="CI20" i="20"/>
  <c r="CG20" i="20"/>
  <c r="CE20" i="20"/>
  <c r="CC20" i="20"/>
  <c r="CA20" i="20"/>
  <c r="BY20" i="20"/>
  <c r="BW20" i="20"/>
  <c r="BU20" i="20"/>
  <c r="BS20" i="20"/>
  <c r="BQ20" i="20"/>
  <c r="BO20" i="20"/>
  <c r="BM20" i="20"/>
  <c r="BK20" i="20"/>
  <c r="BB20" i="20"/>
  <c r="AZ20" i="20"/>
  <c r="AX20" i="20"/>
  <c r="AV20" i="20"/>
  <c r="AT20" i="20"/>
  <c r="AR20" i="20"/>
  <c r="AP20" i="20"/>
  <c r="AN20" i="20"/>
  <c r="AL20" i="20"/>
  <c r="AJ20" i="20"/>
  <c r="AH20" i="20"/>
  <c r="AF20" i="20"/>
  <c r="AD20" i="20"/>
  <c r="AB20" i="20"/>
  <c r="Z20" i="20"/>
  <c r="X20" i="20"/>
  <c r="V20" i="20"/>
  <c r="T20" i="20"/>
  <c r="R20" i="20"/>
  <c r="P20" i="20"/>
  <c r="N20" i="20"/>
  <c r="L20" i="20"/>
  <c r="J20" i="20"/>
  <c r="H20" i="20"/>
  <c r="FU19" i="20"/>
  <c r="FR19" i="20"/>
  <c r="FH19" i="20"/>
  <c r="FF19" i="20"/>
  <c r="FD19" i="20"/>
  <c r="FB19" i="20"/>
  <c r="EZ19" i="20"/>
  <c r="EX19" i="20"/>
  <c r="EV19" i="20"/>
  <c r="ET19" i="20"/>
  <c r="ER19" i="20"/>
  <c r="EP19" i="20"/>
  <c r="EN19" i="20"/>
  <c r="EL19" i="20"/>
  <c r="EJ19" i="20"/>
  <c r="EH19" i="20"/>
  <c r="EF19" i="20"/>
  <c r="ED19" i="20"/>
  <c r="EB19" i="20"/>
  <c r="DZ19" i="20"/>
  <c r="DX19" i="20"/>
  <c r="DV19" i="20"/>
  <c r="DT19" i="20"/>
  <c r="DR19" i="20"/>
  <c r="DP19" i="20"/>
  <c r="DN19" i="20"/>
  <c r="DE19" i="20"/>
  <c r="DC19" i="20"/>
  <c r="DA19" i="20"/>
  <c r="CY19" i="20"/>
  <c r="CW19" i="20"/>
  <c r="CU19" i="20"/>
  <c r="CS19" i="20"/>
  <c r="CQ19" i="20"/>
  <c r="CO19" i="20"/>
  <c r="CM19" i="20"/>
  <c r="CK19" i="20"/>
  <c r="CI19" i="20"/>
  <c r="CG19" i="20"/>
  <c r="CE19" i="20"/>
  <c r="CC19" i="20"/>
  <c r="CA19" i="20"/>
  <c r="BY19" i="20"/>
  <c r="BW19" i="20"/>
  <c r="BU19" i="20"/>
  <c r="BS19" i="20"/>
  <c r="BQ19" i="20"/>
  <c r="BO19" i="20"/>
  <c r="BM19" i="20"/>
  <c r="BK19" i="20"/>
  <c r="BB19" i="20"/>
  <c r="AZ19" i="20"/>
  <c r="AX19" i="20"/>
  <c r="AV19" i="20"/>
  <c r="AT19" i="20"/>
  <c r="AR19" i="20"/>
  <c r="AP19" i="20"/>
  <c r="AN19" i="20"/>
  <c r="AL19" i="20"/>
  <c r="AJ19" i="20"/>
  <c r="AH19" i="20"/>
  <c r="AF19" i="20"/>
  <c r="AD19" i="20"/>
  <c r="AB19" i="20"/>
  <c r="Z19" i="20"/>
  <c r="X19" i="20"/>
  <c r="V19" i="20"/>
  <c r="T19" i="20"/>
  <c r="R19" i="20"/>
  <c r="P19" i="20"/>
  <c r="N19" i="20"/>
  <c r="L19" i="20"/>
  <c r="J19" i="20"/>
  <c r="H19" i="20"/>
  <c r="FU18" i="20"/>
  <c r="FR18" i="20"/>
  <c r="FH18" i="20"/>
  <c r="FF18" i="20"/>
  <c r="FD18" i="20"/>
  <c r="FB18" i="20"/>
  <c r="EZ18" i="20"/>
  <c r="EX18" i="20"/>
  <c r="EV18" i="20"/>
  <c r="ET18" i="20"/>
  <c r="ER18" i="20"/>
  <c r="EP18" i="20"/>
  <c r="EN18" i="20"/>
  <c r="EL18" i="20"/>
  <c r="EJ18" i="20"/>
  <c r="EH18" i="20"/>
  <c r="EF18" i="20"/>
  <c r="ED18" i="20"/>
  <c r="EB18" i="20"/>
  <c r="DZ18" i="20"/>
  <c r="DX18" i="20"/>
  <c r="DV18" i="20"/>
  <c r="DT18" i="20"/>
  <c r="DR18" i="20"/>
  <c r="DP18" i="20"/>
  <c r="DN18" i="20"/>
  <c r="DE18" i="20"/>
  <c r="DC18" i="20"/>
  <c r="DA18" i="20"/>
  <c r="CY18" i="20"/>
  <c r="CW18" i="20"/>
  <c r="CU18" i="20"/>
  <c r="CS18" i="20"/>
  <c r="CQ18" i="20"/>
  <c r="CO18" i="20"/>
  <c r="CM18" i="20"/>
  <c r="CK18" i="20"/>
  <c r="CI18" i="20"/>
  <c r="CG18" i="20"/>
  <c r="CE18" i="20"/>
  <c r="CC18" i="20"/>
  <c r="CA18" i="20"/>
  <c r="BY18" i="20"/>
  <c r="BW18" i="20"/>
  <c r="BU18" i="20"/>
  <c r="BS18" i="20"/>
  <c r="BQ18" i="20"/>
  <c r="BO18" i="20"/>
  <c r="BM18" i="20"/>
  <c r="BK18" i="20"/>
  <c r="BB18" i="20"/>
  <c r="AZ18" i="20"/>
  <c r="AX18" i="20"/>
  <c r="AV18" i="20"/>
  <c r="AT18" i="20"/>
  <c r="AR18" i="20"/>
  <c r="AP18" i="20"/>
  <c r="AN18" i="20"/>
  <c r="AL18" i="20"/>
  <c r="AJ18" i="20"/>
  <c r="AH18" i="20"/>
  <c r="AF18" i="20"/>
  <c r="AD18" i="20"/>
  <c r="AB18" i="20"/>
  <c r="Z18" i="20"/>
  <c r="X18" i="20"/>
  <c r="V18" i="20"/>
  <c r="T18" i="20"/>
  <c r="R18" i="20"/>
  <c r="P18" i="20"/>
  <c r="N18" i="20"/>
  <c r="L18" i="20"/>
  <c r="J18" i="20"/>
  <c r="H18" i="20"/>
  <c r="FU17" i="20"/>
  <c r="FR17" i="20"/>
  <c r="FH17" i="20"/>
  <c r="FF17" i="20"/>
  <c r="FD17" i="20"/>
  <c r="FB17" i="20"/>
  <c r="EZ17" i="20"/>
  <c r="EX17" i="20"/>
  <c r="EV17" i="20"/>
  <c r="ET17" i="20"/>
  <c r="ER17" i="20"/>
  <c r="EP17" i="20"/>
  <c r="EN17" i="20"/>
  <c r="EL17" i="20"/>
  <c r="EJ17" i="20"/>
  <c r="EH17" i="20"/>
  <c r="EF17" i="20"/>
  <c r="ED17" i="20"/>
  <c r="EB17" i="20"/>
  <c r="DZ17" i="20"/>
  <c r="DX17" i="20"/>
  <c r="DV17" i="20"/>
  <c r="DT17" i="20"/>
  <c r="DR17" i="20"/>
  <c r="DP17" i="20"/>
  <c r="DN17" i="20"/>
  <c r="DE17" i="20"/>
  <c r="DC17" i="20"/>
  <c r="DA17" i="20"/>
  <c r="CY17" i="20"/>
  <c r="CW17" i="20"/>
  <c r="CU17" i="20"/>
  <c r="CS17" i="20"/>
  <c r="CQ17" i="20"/>
  <c r="CO17" i="20"/>
  <c r="CM17" i="20"/>
  <c r="CK17" i="20"/>
  <c r="CI17" i="20"/>
  <c r="CG17" i="20"/>
  <c r="CE17" i="20"/>
  <c r="CC17" i="20"/>
  <c r="CA17" i="20"/>
  <c r="BY17" i="20"/>
  <c r="BW17" i="20"/>
  <c r="BU17" i="20"/>
  <c r="BS17" i="20"/>
  <c r="BQ17" i="20"/>
  <c r="BO17" i="20"/>
  <c r="BM17" i="20"/>
  <c r="BK17" i="20"/>
  <c r="BB17" i="20"/>
  <c r="AZ17" i="20"/>
  <c r="AX17" i="20"/>
  <c r="AV17" i="20"/>
  <c r="AT17" i="20"/>
  <c r="AR17" i="20"/>
  <c r="AP17" i="20"/>
  <c r="AN17" i="20"/>
  <c r="AL17" i="20"/>
  <c r="AJ17" i="20"/>
  <c r="AH17" i="20"/>
  <c r="AF17" i="20"/>
  <c r="AD17" i="20"/>
  <c r="AB17" i="20"/>
  <c r="Z17" i="20"/>
  <c r="X17" i="20"/>
  <c r="V17" i="20"/>
  <c r="T17" i="20"/>
  <c r="R17" i="20"/>
  <c r="P17" i="20"/>
  <c r="N17" i="20"/>
  <c r="L17" i="20"/>
  <c r="J17" i="20"/>
  <c r="H17" i="20"/>
  <c r="FU16" i="20"/>
  <c r="FR16" i="20"/>
  <c r="FH16" i="20"/>
  <c r="FF16" i="20"/>
  <c r="FD16" i="20"/>
  <c r="FB16" i="20"/>
  <c r="EZ16" i="20"/>
  <c r="EX16" i="20"/>
  <c r="EV16" i="20"/>
  <c r="ET16" i="20"/>
  <c r="ER16" i="20"/>
  <c r="EP16" i="20"/>
  <c r="EN16" i="20"/>
  <c r="EL16" i="20"/>
  <c r="EJ16" i="20"/>
  <c r="EH16" i="20"/>
  <c r="EF16" i="20"/>
  <c r="ED16" i="20"/>
  <c r="EB16" i="20"/>
  <c r="DZ16" i="20"/>
  <c r="DX16" i="20"/>
  <c r="DV16" i="20"/>
  <c r="DT16" i="20"/>
  <c r="DR16" i="20"/>
  <c r="DP16" i="20"/>
  <c r="DN16" i="20"/>
  <c r="DE16" i="20"/>
  <c r="DC16" i="20"/>
  <c r="DA16" i="20"/>
  <c r="CY16" i="20"/>
  <c r="CW16" i="20"/>
  <c r="CU16" i="20"/>
  <c r="CS16" i="20"/>
  <c r="CQ16" i="20"/>
  <c r="CO16" i="20"/>
  <c r="CM16" i="20"/>
  <c r="CK16" i="20"/>
  <c r="CI16" i="20"/>
  <c r="CG16" i="20"/>
  <c r="CE16" i="20"/>
  <c r="CC16" i="20"/>
  <c r="CA16" i="20"/>
  <c r="BY16" i="20"/>
  <c r="BW16" i="20"/>
  <c r="BU16" i="20"/>
  <c r="BS16" i="20"/>
  <c r="BQ16" i="20"/>
  <c r="BO16" i="20"/>
  <c r="BM16" i="20"/>
  <c r="BK16" i="20"/>
  <c r="BB16" i="20"/>
  <c r="AZ16" i="20"/>
  <c r="AX16" i="20"/>
  <c r="AV16" i="20"/>
  <c r="AT16" i="20"/>
  <c r="AR16" i="20"/>
  <c r="AP16" i="20"/>
  <c r="AN16" i="20"/>
  <c r="AL16" i="20"/>
  <c r="AJ16" i="20"/>
  <c r="AH16" i="20"/>
  <c r="AF16" i="20"/>
  <c r="AD16" i="20"/>
  <c r="AB16" i="20"/>
  <c r="Z16" i="20"/>
  <c r="X16" i="20"/>
  <c r="V16" i="20"/>
  <c r="T16" i="20"/>
  <c r="R16" i="20"/>
  <c r="P16" i="20"/>
  <c r="N16" i="20"/>
  <c r="L16" i="20"/>
  <c r="J16" i="20"/>
  <c r="H16" i="20"/>
  <c r="DM68" i="20"/>
  <c r="BJ68" i="20"/>
  <c r="FU26" i="20"/>
  <c r="FR26" i="20"/>
  <c r="FH26" i="20"/>
  <c r="FF26" i="20"/>
  <c r="FD26" i="20"/>
  <c r="FB26" i="20"/>
  <c r="EZ26" i="20"/>
  <c r="EX26" i="20"/>
  <c r="EV26" i="20"/>
  <c r="ET26" i="20"/>
  <c r="ER26" i="20"/>
  <c r="EP26" i="20"/>
  <c r="EN26" i="20"/>
  <c r="EL26" i="20"/>
  <c r="EJ26" i="20"/>
  <c r="EH26" i="20"/>
  <c r="EF26" i="20"/>
  <c r="ED26" i="20"/>
  <c r="EB26" i="20"/>
  <c r="DZ26" i="20"/>
  <c r="DX26" i="20"/>
  <c r="DV26" i="20"/>
  <c r="DT26" i="20"/>
  <c r="DR26" i="20"/>
  <c r="DP26" i="20"/>
  <c r="DN26" i="20"/>
  <c r="DE26" i="20"/>
  <c r="DC26" i="20"/>
  <c r="DA26" i="20"/>
  <c r="CY26" i="20"/>
  <c r="CW26" i="20"/>
  <c r="CU26" i="20"/>
  <c r="CS26" i="20"/>
  <c r="CQ26" i="20"/>
  <c r="CO26" i="20"/>
  <c r="CM26" i="20"/>
  <c r="CK26" i="20"/>
  <c r="CI26" i="20"/>
  <c r="CG26" i="20"/>
  <c r="CE26" i="20"/>
  <c r="CC26" i="20"/>
  <c r="CA26" i="20"/>
  <c r="BY26" i="20"/>
  <c r="BW26" i="20"/>
  <c r="BU26" i="20"/>
  <c r="BS26" i="20"/>
  <c r="BQ26" i="20"/>
  <c r="BO26" i="20"/>
  <c r="BM26" i="20"/>
  <c r="BK26" i="20"/>
  <c r="BB26" i="20"/>
  <c r="AZ26" i="20"/>
  <c r="AX26" i="20"/>
  <c r="AV26" i="20"/>
  <c r="AT26" i="20"/>
  <c r="AR26" i="20"/>
  <c r="AP26" i="20"/>
  <c r="AN26" i="20"/>
  <c r="AL26" i="20"/>
  <c r="AJ26" i="20"/>
  <c r="AH26" i="20"/>
  <c r="AF26" i="20"/>
  <c r="AD26" i="20"/>
  <c r="AB26" i="20"/>
  <c r="Z26" i="20"/>
  <c r="X26" i="20"/>
  <c r="V26" i="20"/>
  <c r="T26" i="20"/>
  <c r="R26" i="20"/>
  <c r="P26" i="20"/>
  <c r="N26" i="20"/>
  <c r="L26" i="20"/>
  <c r="J26" i="20"/>
  <c r="H26" i="20"/>
  <c r="FU14" i="20"/>
  <c r="FR14" i="20"/>
  <c r="FH14" i="20"/>
  <c r="FF14" i="20"/>
  <c r="FD14" i="20"/>
  <c r="FB14" i="20"/>
  <c r="EZ14" i="20"/>
  <c r="EX14" i="20"/>
  <c r="EV14" i="20"/>
  <c r="ET14" i="20"/>
  <c r="ER14" i="20"/>
  <c r="EP14" i="20"/>
  <c r="EN14" i="20"/>
  <c r="EL14" i="20"/>
  <c r="EJ14" i="20"/>
  <c r="EH14" i="20"/>
  <c r="EF14" i="20"/>
  <c r="ED14" i="20"/>
  <c r="EB14" i="20"/>
  <c r="DZ14" i="20"/>
  <c r="DX14" i="20"/>
  <c r="DV14" i="20"/>
  <c r="DT14" i="20"/>
  <c r="DR14" i="20"/>
  <c r="DP14" i="20"/>
  <c r="DN14" i="20"/>
  <c r="DE14" i="20"/>
  <c r="DC14" i="20"/>
  <c r="DA14" i="20"/>
  <c r="CY14" i="20"/>
  <c r="CW14" i="20"/>
  <c r="CU14" i="20"/>
  <c r="CS14" i="20"/>
  <c r="CQ14" i="20"/>
  <c r="CO14" i="20"/>
  <c r="CM14" i="20"/>
  <c r="CK14" i="20"/>
  <c r="CI14" i="20"/>
  <c r="CG14" i="20"/>
  <c r="CE14" i="20"/>
  <c r="CC14" i="20"/>
  <c r="CA14" i="20"/>
  <c r="BY14" i="20"/>
  <c r="BW14" i="20"/>
  <c r="BU14" i="20"/>
  <c r="BS14" i="20"/>
  <c r="BQ14" i="20"/>
  <c r="BO14" i="20"/>
  <c r="BM14" i="20"/>
  <c r="BK14" i="20"/>
  <c r="BB14" i="20"/>
  <c r="AZ14" i="20"/>
  <c r="AX14" i="20"/>
  <c r="AV14" i="20"/>
  <c r="AT14" i="20"/>
  <c r="AR14" i="20"/>
  <c r="AP14" i="20"/>
  <c r="AN14" i="20"/>
  <c r="AL14" i="20"/>
  <c r="AJ14" i="20"/>
  <c r="AH14" i="20"/>
  <c r="AF14" i="20"/>
  <c r="AD14" i="20"/>
  <c r="AB14" i="20"/>
  <c r="Z14" i="20"/>
  <c r="X14" i="20"/>
  <c r="V14" i="20"/>
  <c r="T14" i="20"/>
  <c r="R14" i="20"/>
  <c r="P14" i="20"/>
  <c r="N14" i="20"/>
  <c r="L14" i="20"/>
  <c r="J14" i="20"/>
  <c r="H14" i="20"/>
  <c r="FE1" i="20"/>
  <c r="DB1" i="20"/>
  <c r="FU19" i="19"/>
  <c r="FR19" i="19"/>
  <c r="FH19" i="19"/>
  <c r="FF19" i="19"/>
  <c r="FD19" i="19"/>
  <c r="FB19" i="19"/>
  <c r="EZ19" i="19"/>
  <c r="EX19" i="19"/>
  <c r="EV19" i="19"/>
  <c r="ET19" i="19"/>
  <c r="ER19" i="19"/>
  <c r="EP19" i="19"/>
  <c r="EN19" i="19"/>
  <c r="EL19" i="19"/>
  <c r="EJ19" i="19"/>
  <c r="EH19" i="19"/>
  <c r="EF19" i="19"/>
  <c r="ED19" i="19"/>
  <c r="EB19" i="19"/>
  <c r="DZ19" i="19"/>
  <c r="DX19" i="19"/>
  <c r="DV19" i="19"/>
  <c r="DT19" i="19"/>
  <c r="DR19" i="19"/>
  <c r="DP19" i="19"/>
  <c r="DN19" i="19"/>
  <c r="DE19" i="19"/>
  <c r="DC19" i="19"/>
  <c r="DA19" i="19"/>
  <c r="CY19" i="19"/>
  <c r="CW19" i="19"/>
  <c r="CU19" i="19"/>
  <c r="CS19" i="19"/>
  <c r="CQ19" i="19"/>
  <c r="CO19" i="19"/>
  <c r="CM19" i="19"/>
  <c r="CK19" i="19"/>
  <c r="CI19" i="19"/>
  <c r="CG19" i="19"/>
  <c r="CE19" i="19"/>
  <c r="CC19" i="19"/>
  <c r="CA19" i="19"/>
  <c r="BY19" i="19"/>
  <c r="BW19" i="19"/>
  <c r="BU19" i="19"/>
  <c r="BS19" i="19"/>
  <c r="BQ19" i="19"/>
  <c r="BO19" i="19"/>
  <c r="BM19" i="19"/>
  <c r="BK19" i="19"/>
  <c r="BB19" i="19"/>
  <c r="AZ19" i="19"/>
  <c r="AX19" i="19"/>
  <c r="AV19" i="19"/>
  <c r="AT19" i="19"/>
  <c r="AR19" i="19"/>
  <c r="AP19" i="19"/>
  <c r="AN19" i="19"/>
  <c r="AL19" i="19"/>
  <c r="AJ19" i="19"/>
  <c r="AH19" i="19"/>
  <c r="AF19" i="19"/>
  <c r="AD19" i="19"/>
  <c r="AB19" i="19"/>
  <c r="Z19" i="19"/>
  <c r="X19" i="19"/>
  <c r="V19" i="19"/>
  <c r="T19" i="19"/>
  <c r="R19" i="19"/>
  <c r="P19" i="19"/>
  <c r="N19" i="19"/>
  <c r="L19" i="19"/>
  <c r="J19" i="19"/>
  <c r="H19" i="19"/>
  <c r="FU18" i="19"/>
  <c r="FR18" i="19"/>
  <c r="FH18" i="19"/>
  <c r="FF18" i="19"/>
  <c r="FD18" i="19"/>
  <c r="FB18" i="19"/>
  <c r="EZ18" i="19"/>
  <c r="EX18" i="19"/>
  <c r="EV18" i="19"/>
  <c r="ET18" i="19"/>
  <c r="ER18" i="19"/>
  <c r="EP18" i="19"/>
  <c r="EN18" i="19"/>
  <c r="EL18" i="19"/>
  <c r="EJ18" i="19"/>
  <c r="EH18" i="19"/>
  <c r="EF18" i="19"/>
  <c r="ED18" i="19"/>
  <c r="EB18" i="19"/>
  <c r="DZ18" i="19"/>
  <c r="DX18" i="19"/>
  <c r="DV18" i="19"/>
  <c r="DT18" i="19"/>
  <c r="DR18" i="19"/>
  <c r="DP18" i="19"/>
  <c r="DN18" i="19"/>
  <c r="DE18" i="19"/>
  <c r="DC18" i="19"/>
  <c r="DA18" i="19"/>
  <c r="CY18" i="19"/>
  <c r="CW18" i="19"/>
  <c r="CU18" i="19"/>
  <c r="CS18" i="19"/>
  <c r="CQ18" i="19"/>
  <c r="CO18" i="19"/>
  <c r="CM18" i="19"/>
  <c r="CK18" i="19"/>
  <c r="CI18" i="19"/>
  <c r="CG18" i="19"/>
  <c r="CE18" i="19"/>
  <c r="CC18" i="19"/>
  <c r="CA18" i="19"/>
  <c r="BY18" i="19"/>
  <c r="BW18" i="19"/>
  <c r="BU18" i="19"/>
  <c r="BS18" i="19"/>
  <c r="BQ18" i="19"/>
  <c r="BO18" i="19"/>
  <c r="BM18" i="19"/>
  <c r="BK18" i="19"/>
  <c r="BB18" i="19"/>
  <c r="AZ18" i="19"/>
  <c r="AX18" i="19"/>
  <c r="AV18" i="19"/>
  <c r="AT18" i="19"/>
  <c r="AR18" i="19"/>
  <c r="AP18" i="19"/>
  <c r="AN18" i="19"/>
  <c r="AL18" i="19"/>
  <c r="AJ18" i="19"/>
  <c r="AH18" i="19"/>
  <c r="AF18" i="19"/>
  <c r="AD18" i="19"/>
  <c r="AB18" i="19"/>
  <c r="Z18" i="19"/>
  <c r="X18" i="19"/>
  <c r="V18" i="19"/>
  <c r="T18" i="19"/>
  <c r="R18" i="19"/>
  <c r="P18" i="19"/>
  <c r="N18" i="19"/>
  <c r="L18" i="19"/>
  <c r="J18" i="19"/>
  <c r="H18" i="19"/>
  <c r="FU17" i="19"/>
  <c r="FR17" i="19"/>
  <c r="FH17" i="19"/>
  <c r="FF17" i="19"/>
  <c r="FD17" i="19"/>
  <c r="FB17" i="19"/>
  <c r="EZ17" i="19"/>
  <c r="EX17" i="19"/>
  <c r="EV17" i="19"/>
  <c r="ET17" i="19"/>
  <c r="ER17" i="19"/>
  <c r="EP17" i="19"/>
  <c r="EN17" i="19"/>
  <c r="EL17" i="19"/>
  <c r="EJ17" i="19"/>
  <c r="EH17" i="19"/>
  <c r="EF17" i="19"/>
  <c r="ED17" i="19"/>
  <c r="EB17" i="19"/>
  <c r="DZ17" i="19"/>
  <c r="DX17" i="19"/>
  <c r="DV17" i="19"/>
  <c r="DT17" i="19"/>
  <c r="DR17" i="19"/>
  <c r="DP17" i="19"/>
  <c r="DN17" i="19"/>
  <c r="DE17" i="19"/>
  <c r="DC17" i="19"/>
  <c r="DA17" i="19"/>
  <c r="CY17" i="19"/>
  <c r="CW17" i="19"/>
  <c r="CU17" i="19"/>
  <c r="CS17" i="19"/>
  <c r="CQ17" i="19"/>
  <c r="CO17" i="19"/>
  <c r="CM17" i="19"/>
  <c r="CK17" i="19"/>
  <c r="CI17" i="19"/>
  <c r="CG17" i="19"/>
  <c r="CE17" i="19"/>
  <c r="CC17" i="19"/>
  <c r="CA17" i="19"/>
  <c r="BY17" i="19"/>
  <c r="BW17" i="19"/>
  <c r="BU17" i="19"/>
  <c r="BS17" i="19"/>
  <c r="BQ17" i="19"/>
  <c r="BO17" i="19"/>
  <c r="BM17" i="19"/>
  <c r="BK17" i="19"/>
  <c r="BB17" i="19"/>
  <c r="AZ17" i="19"/>
  <c r="AX17" i="19"/>
  <c r="AV17" i="19"/>
  <c r="AT17" i="19"/>
  <c r="AR17" i="19"/>
  <c r="AP17" i="19"/>
  <c r="AN17" i="19"/>
  <c r="AL17" i="19"/>
  <c r="AJ17" i="19"/>
  <c r="AH17" i="19"/>
  <c r="AF17" i="19"/>
  <c r="AD17" i="19"/>
  <c r="AB17" i="19"/>
  <c r="Z17" i="19"/>
  <c r="X17" i="19"/>
  <c r="V17" i="19"/>
  <c r="T17" i="19"/>
  <c r="R17" i="19"/>
  <c r="P17" i="19"/>
  <c r="N17" i="19"/>
  <c r="L17" i="19"/>
  <c r="J17" i="19"/>
  <c r="H17" i="19"/>
  <c r="FU16" i="19"/>
  <c r="FR16" i="19"/>
  <c r="FH16" i="19"/>
  <c r="FF16" i="19"/>
  <c r="FD16" i="19"/>
  <c r="FB16" i="19"/>
  <c r="EZ16" i="19"/>
  <c r="EX16" i="19"/>
  <c r="EV16" i="19"/>
  <c r="ET16" i="19"/>
  <c r="ER16" i="19"/>
  <c r="EP16" i="19"/>
  <c r="EN16" i="19"/>
  <c r="EL16" i="19"/>
  <c r="EJ16" i="19"/>
  <c r="EH16" i="19"/>
  <c r="EF16" i="19"/>
  <c r="ED16" i="19"/>
  <c r="EB16" i="19"/>
  <c r="DZ16" i="19"/>
  <c r="DX16" i="19"/>
  <c r="DV16" i="19"/>
  <c r="DT16" i="19"/>
  <c r="DR16" i="19"/>
  <c r="DP16" i="19"/>
  <c r="DN16" i="19"/>
  <c r="DE16" i="19"/>
  <c r="DC16" i="19"/>
  <c r="DA16" i="19"/>
  <c r="CY16" i="19"/>
  <c r="CW16" i="19"/>
  <c r="CU16" i="19"/>
  <c r="CS16" i="19"/>
  <c r="CQ16" i="19"/>
  <c r="CO16" i="19"/>
  <c r="CM16" i="19"/>
  <c r="CK16" i="19"/>
  <c r="CI16" i="19"/>
  <c r="CG16" i="19"/>
  <c r="CE16" i="19"/>
  <c r="CC16" i="19"/>
  <c r="CA16" i="19"/>
  <c r="BY16" i="19"/>
  <c r="BW16" i="19"/>
  <c r="BU16" i="19"/>
  <c r="BS16" i="19"/>
  <c r="BQ16" i="19"/>
  <c r="BO16" i="19"/>
  <c r="BM16" i="19"/>
  <c r="BK16" i="19"/>
  <c r="BB16" i="19"/>
  <c r="AZ16" i="19"/>
  <c r="AX16" i="19"/>
  <c r="AV16" i="19"/>
  <c r="AT16" i="19"/>
  <c r="AR16" i="19"/>
  <c r="AP16" i="19"/>
  <c r="AN16" i="19"/>
  <c r="AL16" i="19"/>
  <c r="AJ16" i="19"/>
  <c r="AH16" i="19"/>
  <c r="AF16" i="19"/>
  <c r="AD16" i="19"/>
  <c r="AB16" i="19"/>
  <c r="Z16" i="19"/>
  <c r="X16" i="19"/>
  <c r="V16" i="19"/>
  <c r="T16" i="19"/>
  <c r="R16" i="19"/>
  <c r="P16" i="19"/>
  <c r="N16" i="19"/>
  <c r="L16" i="19"/>
  <c r="J16" i="19"/>
  <c r="H16" i="19"/>
  <c r="DM68" i="19"/>
  <c r="BJ68" i="19"/>
  <c r="FU26" i="19"/>
  <c r="FR26" i="19"/>
  <c r="FH26" i="19"/>
  <c r="FF26" i="19"/>
  <c r="FD26" i="19"/>
  <c r="FB26" i="19"/>
  <c r="EZ26" i="19"/>
  <c r="EX26" i="19"/>
  <c r="EV26" i="19"/>
  <c r="ET26" i="19"/>
  <c r="ER26" i="19"/>
  <c r="EP26" i="19"/>
  <c r="EN26" i="19"/>
  <c r="EL26" i="19"/>
  <c r="EJ26" i="19"/>
  <c r="EH26" i="19"/>
  <c r="EF26" i="19"/>
  <c r="ED26" i="19"/>
  <c r="EB26" i="19"/>
  <c r="DZ26" i="19"/>
  <c r="DX26" i="19"/>
  <c r="DV26" i="19"/>
  <c r="DT26" i="19"/>
  <c r="DR26" i="19"/>
  <c r="DP26" i="19"/>
  <c r="DN26" i="19"/>
  <c r="DE26" i="19"/>
  <c r="DC26" i="19"/>
  <c r="DA26" i="19"/>
  <c r="CY26" i="19"/>
  <c r="CW26" i="19"/>
  <c r="CU26" i="19"/>
  <c r="CS26" i="19"/>
  <c r="CQ26" i="19"/>
  <c r="CO26" i="19"/>
  <c r="CM26" i="19"/>
  <c r="CK26" i="19"/>
  <c r="CI26" i="19"/>
  <c r="CG26" i="19"/>
  <c r="CE26" i="19"/>
  <c r="CC26" i="19"/>
  <c r="CA26" i="19"/>
  <c r="BY26" i="19"/>
  <c r="BW26" i="19"/>
  <c r="BU26" i="19"/>
  <c r="BS26" i="19"/>
  <c r="BQ26" i="19"/>
  <c r="BO26" i="19"/>
  <c r="BM26" i="19"/>
  <c r="BK26" i="19"/>
  <c r="BB26" i="19"/>
  <c r="AZ26" i="19"/>
  <c r="AX26" i="19"/>
  <c r="AV26" i="19"/>
  <c r="AT26" i="19"/>
  <c r="AR26" i="19"/>
  <c r="AP26" i="19"/>
  <c r="AN26" i="19"/>
  <c r="AL26" i="19"/>
  <c r="AJ26" i="19"/>
  <c r="AH26" i="19"/>
  <c r="AF26" i="19"/>
  <c r="AD26" i="19"/>
  <c r="AB26" i="19"/>
  <c r="Z26" i="19"/>
  <c r="X26" i="19"/>
  <c r="V26" i="19"/>
  <c r="T26" i="19"/>
  <c r="R26" i="19"/>
  <c r="P26" i="19"/>
  <c r="N26" i="19"/>
  <c r="L26" i="19"/>
  <c r="J26" i="19"/>
  <c r="H26" i="19"/>
  <c r="FU14" i="19"/>
  <c r="FR14" i="19"/>
  <c r="FH14" i="19"/>
  <c r="FF14" i="19"/>
  <c r="FD14" i="19"/>
  <c r="FB14" i="19"/>
  <c r="EZ14" i="19"/>
  <c r="EX14" i="19"/>
  <c r="EV14" i="19"/>
  <c r="ET14" i="19"/>
  <c r="ER14" i="19"/>
  <c r="EP14" i="19"/>
  <c r="EN14" i="19"/>
  <c r="EL14" i="19"/>
  <c r="EJ14" i="19"/>
  <c r="EH14" i="19"/>
  <c r="EF14" i="19"/>
  <c r="ED14" i="19"/>
  <c r="EB14" i="19"/>
  <c r="DZ14" i="19"/>
  <c r="DX14" i="19"/>
  <c r="DV14" i="19"/>
  <c r="DT14" i="19"/>
  <c r="DR14" i="19"/>
  <c r="DP14" i="19"/>
  <c r="DN14" i="19"/>
  <c r="DE14" i="19"/>
  <c r="DC14" i="19"/>
  <c r="DA14" i="19"/>
  <c r="CY14" i="19"/>
  <c r="CW14" i="19"/>
  <c r="CU14" i="19"/>
  <c r="CS14" i="19"/>
  <c r="CQ14" i="19"/>
  <c r="CO14" i="19"/>
  <c r="CM14" i="19"/>
  <c r="CK14" i="19"/>
  <c r="CI14" i="19"/>
  <c r="CG14" i="19"/>
  <c r="CE14" i="19"/>
  <c r="CC14" i="19"/>
  <c r="CA14" i="19"/>
  <c r="BY14" i="19"/>
  <c r="BW14" i="19"/>
  <c r="BU14" i="19"/>
  <c r="BS14" i="19"/>
  <c r="BQ14" i="19"/>
  <c r="BO14" i="19"/>
  <c r="BM14" i="19"/>
  <c r="BK14" i="19"/>
  <c r="BB14" i="19"/>
  <c r="AZ14" i="19"/>
  <c r="AX14" i="19"/>
  <c r="AV14" i="19"/>
  <c r="AT14" i="19"/>
  <c r="AR14" i="19"/>
  <c r="AP14" i="19"/>
  <c r="AN14" i="19"/>
  <c r="AL14" i="19"/>
  <c r="AJ14" i="19"/>
  <c r="AH14" i="19"/>
  <c r="AF14" i="19"/>
  <c r="AD14" i="19"/>
  <c r="AB14" i="19"/>
  <c r="Z14" i="19"/>
  <c r="X14" i="19"/>
  <c r="V14" i="19"/>
  <c r="T14" i="19"/>
  <c r="R14" i="19"/>
  <c r="P14" i="19"/>
  <c r="N14" i="19"/>
  <c r="L14" i="19"/>
  <c r="J14" i="19"/>
  <c r="H14" i="19"/>
  <c r="FE1" i="19"/>
  <c r="DB1" i="19"/>
  <c r="FU22" i="18"/>
  <c r="FR22" i="18"/>
  <c r="FH22" i="18"/>
  <c r="FF22" i="18"/>
  <c r="FD22" i="18"/>
  <c r="FB22" i="18"/>
  <c r="EZ22" i="18"/>
  <c r="EX22" i="18"/>
  <c r="EV22" i="18"/>
  <c r="ET22" i="18"/>
  <c r="ER22" i="18"/>
  <c r="EP22" i="18"/>
  <c r="EN22" i="18"/>
  <c r="EL22" i="18"/>
  <c r="EJ22" i="18"/>
  <c r="EH22" i="18"/>
  <c r="EF22" i="18"/>
  <c r="ED22" i="18"/>
  <c r="EB22" i="18"/>
  <c r="DZ22" i="18"/>
  <c r="DX22" i="18"/>
  <c r="DV22" i="18"/>
  <c r="DT22" i="18"/>
  <c r="DR22" i="18"/>
  <c r="DP22" i="18"/>
  <c r="DN22" i="18"/>
  <c r="DE22" i="18"/>
  <c r="DC22" i="18"/>
  <c r="DA22" i="18"/>
  <c r="CY22" i="18"/>
  <c r="CW22" i="18"/>
  <c r="CU22" i="18"/>
  <c r="CS22" i="18"/>
  <c r="CQ22" i="18"/>
  <c r="CO22" i="18"/>
  <c r="CM22" i="18"/>
  <c r="CK22" i="18"/>
  <c r="CI22" i="18"/>
  <c r="CG22" i="18"/>
  <c r="CE22" i="18"/>
  <c r="CC22" i="18"/>
  <c r="CA22" i="18"/>
  <c r="BY22" i="18"/>
  <c r="BW22" i="18"/>
  <c r="BU22" i="18"/>
  <c r="BS22" i="18"/>
  <c r="BQ22" i="18"/>
  <c r="BO22" i="18"/>
  <c r="BM22" i="18"/>
  <c r="BK22" i="18"/>
  <c r="BB22" i="18"/>
  <c r="AZ22" i="18"/>
  <c r="AX22" i="18"/>
  <c r="AV22" i="18"/>
  <c r="AT22" i="18"/>
  <c r="AR22" i="18"/>
  <c r="AP22" i="18"/>
  <c r="AN22" i="18"/>
  <c r="AL22" i="18"/>
  <c r="AJ22" i="18"/>
  <c r="AH22" i="18"/>
  <c r="AF22" i="18"/>
  <c r="AD22" i="18"/>
  <c r="AB22" i="18"/>
  <c r="Z22" i="18"/>
  <c r="X22" i="18"/>
  <c r="V22" i="18"/>
  <c r="T22" i="18"/>
  <c r="R22" i="18"/>
  <c r="P22" i="18"/>
  <c r="N22" i="18"/>
  <c r="L22" i="18"/>
  <c r="J22" i="18"/>
  <c r="H22" i="18"/>
  <c r="FU21" i="18"/>
  <c r="FR21" i="18"/>
  <c r="FH21" i="18"/>
  <c r="FF21" i="18"/>
  <c r="FD21" i="18"/>
  <c r="FB21" i="18"/>
  <c r="EZ21" i="18"/>
  <c r="EX21" i="18"/>
  <c r="EV21" i="18"/>
  <c r="ET21" i="18"/>
  <c r="ER21" i="18"/>
  <c r="EP21" i="18"/>
  <c r="EN21" i="18"/>
  <c r="EL21" i="18"/>
  <c r="EJ21" i="18"/>
  <c r="EH21" i="18"/>
  <c r="EF21" i="18"/>
  <c r="ED21" i="18"/>
  <c r="EB21" i="18"/>
  <c r="DZ21" i="18"/>
  <c r="DX21" i="18"/>
  <c r="DV21" i="18"/>
  <c r="DT21" i="18"/>
  <c r="DR21" i="18"/>
  <c r="DP21" i="18"/>
  <c r="DN21" i="18"/>
  <c r="DE21" i="18"/>
  <c r="DC21" i="18"/>
  <c r="DA21" i="18"/>
  <c r="CY21" i="18"/>
  <c r="CW21" i="18"/>
  <c r="CU21" i="18"/>
  <c r="CS21" i="18"/>
  <c r="CQ21" i="18"/>
  <c r="CO21" i="18"/>
  <c r="CM21" i="18"/>
  <c r="CK21" i="18"/>
  <c r="CI21" i="18"/>
  <c r="CG21" i="18"/>
  <c r="CE21" i="18"/>
  <c r="CC21" i="18"/>
  <c r="CA21" i="18"/>
  <c r="BY21" i="18"/>
  <c r="BW21" i="18"/>
  <c r="BU21" i="18"/>
  <c r="BS21" i="18"/>
  <c r="BQ21" i="18"/>
  <c r="BO21" i="18"/>
  <c r="BM21" i="18"/>
  <c r="BK21" i="18"/>
  <c r="BB21" i="18"/>
  <c r="AZ21" i="18"/>
  <c r="AX21" i="18"/>
  <c r="AV21" i="18"/>
  <c r="AT21" i="18"/>
  <c r="AR21" i="18"/>
  <c r="AP21" i="18"/>
  <c r="AN21" i="18"/>
  <c r="AL21" i="18"/>
  <c r="AJ21" i="18"/>
  <c r="AH21" i="18"/>
  <c r="AF21" i="18"/>
  <c r="AD21" i="18"/>
  <c r="AB21" i="18"/>
  <c r="Z21" i="18"/>
  <c r="X21" i="18"/>
  <c r="V21" i="18"/>
  <c r="T21" i="18"/>
  <c r="R21" i="18"/>
  <c r="P21" i="18"/>
  <c r="N21" i="18"/>
  <c r="L21" i="18"/>
  <c r="J21" i="18"/>
  <c r="H21" i="18"/>
  <c r="FU20" i="18"/>
  <c r="FR20" i="18"/>
  <c r="FH20" i="18"/>
  <c r="FF20" i="18"/>
  <c r="FD20" i="18"/>
  <c r="FB20" i="18"/>
  <c r="EZ20" i="18"/>
  <c r="EX20" i="18"/>
  <c r="EV20" i="18"/>
  <c r="ET20" i="18"/>
  <c r="ER20" i="18"/>
  <c r="EP20" i="18"/>
  <c r="EN20" i="18"/>
  <c r="EL20" i="18"/>
  <c r="EJ20" i="18"/>
  <c r="EH20" i="18"/>
  <c r="EF20" i="18"/>
  <c r="ED20" i="18"/>
  <c r="EB20" i="18"/>
  <c r="DZ20" i="18"/>
  <c r="DX20" i="18"/>
  <c r="DV20" i="18"/>
  <c r="DT20" i="18"/>
  <c r="DR20" i="18"/>
  <c r="DP20" i="18"/>
  <c r="DN20" i="18"/>
  <c r="DE20" i="18"/>
  <c r="DC20" i="18"/>
  <c r="DA20" i="18"/>
  <c r="CY20" i="18"/>
  <c r="CW20" i="18"/>
  <c r="CU20" i="18"/>
  <c r="CS20" i="18"/>
  <c r="CQ20" i="18"/>
  <c r="CO20" i="18"/>
  <c r="CM20" i="18"/>
  <c r="CK20" i="18"/>
  <c r="CI20" i="18"/>
  <c r="CG20" i="18"/>
  <c r="CE20" i="18"/>
  <c r="CC20" i="18"/>
  <c r="CA20" i="18"/>
  <c r="BY20" i="18"/>
  <c r="BW20" i="18"/>
  <c r="BU20" i="18"/>
  <c r="BS20" i="18"/>
  <c r="BQ20" i="18"/>
  <c r="BO20" i="18"/>
  <c r="BM20" i="18"/>
  <c r="BK20" i="18"/>
  <c r="BB20" i="18"/>
  <c r="AZ20" i="18"/>
  <c r="AX20" i="18"/>
  <c r="AV20" i="18"/>
  <c r="AT20" i="18"/>
  <c r="AR20" i="18"/>
  <c r="AP20" i="18"/>
  <c r="AN20" i="18"/>
  <c r="AL20" i="18"/>
  <c r="AJ20" i="18"/>
  <c r="AH20" i="18"/>
  <c r="AF20" i="18"/>
  <c r="AD20" i="18"/>
  <c r="AB20" i="18"/>
  <c r="Z20" i="18"/>
  <c r="X20" i="18"/>
  <c r="V20" i="18"/>
  <c r="T20" i="18"/>
  <c r="R20" i="18"/>
  <c r="P20" i="18"/>
  <c r="N20" i="18"/>
  <c r="L20" i="18"/>
  <c r="J20" i="18"/>
  <c r="H20" i="18"/>
  <c r="FU19" i="18"/>
  <c r="FR19" i="18"/>
  <c r="FH19" i="18"/>
  <c r="FF19" i="18"/>
  <c r="FD19" i="18"/>
  <c r="FB19" i="18"/>
  <c r="EZ19" i="18"/>
  <c r="EX19" i="18"/>
  <c r="EV19" i="18"/>
  <c r="ET19" i="18"/>
  <c r="ER19" i="18"/>
  <c r="EP19" i="18"/>
  <c r="EN19" i="18"/>
  <c r="EL19" i="18"/>
  <c r="EJ19" i="18"/>
  <c r="EH19" i="18"/>
  <c r="EF19" i="18"/>
  <c r="ED19" i="18"/>
  <c r="EB19" i="18"/>
  <c r="DZ19" i="18"/>
  <c r="DX19" i="18"/>
  <c r="DV19" i="18"/>
  <c r="DT19" i="18"/>
  <c r="DR19" i="18"/>
  <c r="DP19" i="18"/>
  <c r="DN19" i="18"/>
  <c r="DE19" i="18"/>
  <c r="DC19" i="18"/>
  <c r="DA19" i="18"/>
  <c r="CY19" i="18"/>
  <c r="CW19" i="18"/>
  <c r="CU19" i="18"/>
  <c r="CS19" i="18"/>
  <c r="CQ19" i="18"/>
  <c r="CO19" i="18"/>
  <c r="CM19" i="18"/>
  <c r="CK19" i="18"/>
  <c r="CI19" i="18"/>
  <c r="CG19" i="18"/>
  <c r="CE19" i="18"/>
  <c r="CC19" i="18"/>
  <c r="CA19" i="18"/>
  <c r="BY19" i="18"/>
  <c r="BW19" i="18"/>
  <c r="BU19" i="18"/>
  <c r="BS19" i="18"/>
  <c r="BQ19" i="18"/>
  <c r="BO19" i="18"/>
  <c r="BM19" i="18"/>
  <c r="BK19" i="18"/>
  <c r="BB19" i="18"/>
  <c r="AZ19" i="18"/>
  <c r="AX19" i="18"/>
  <c r="AV19" i="18"/>
  <c r="AT19" i="18"/>
  <c r="AR19" i="18"/>
  <c r="AP19" i="18"/>
  <c r="AN19" i="18"/>
  <c r="AL19" i="18"/>
  <c r="AJ19" i="18"/>
  <c r="AH19" i="18"/>
  <c r="AF19" i="18"/>
  <c r="AD19" i="18"/>
  <c r="AB19" i="18"/>
  <c r="Z19" i="18"/>
  <c r="X19" i="18"/>
  <c r="V19" i="18"/>
  <c r="T19" i="18"/>
  <c r="R19" i="18"/>
  <c r="P19" i="18"/>
  <c r="N19" i="18"/>
  <c r="L19" i="18"/>
  <c r="J19" i="18"/>
  <c r="H19" i="18"/>
  <c r="FU18" i="18"/>
  <c r="FR18" i="18"/>
  <c r="FH18" i="18"/>
  <c r="FF18" i="18"/>
  <c r="FD18" i="18"/>
  <c r="FB18" i="18"/>
  <c r="EZ18" i="18"/>
  <c r="EX18" i="18"/>
  <c r="EV18" i="18"/>
  <c r="ET18" i="18"/>
  <c r="ER18" i="18"/>
  <c r="EP18" i="18"/>
  <c r="EN18" i="18"/>
  <c r="EL18" i="18"/>
  <c r="EJ18" i="18"/>
  <c r="EH18" i="18"/>
  <c r="EF18" i="18"/>
  <c r="ED18" i="18"/>
  <c r="EB18" i="18"/>
  <c r="DZ18" i="18"/>
  <c r="DX18" i="18"/>
  <c r="DV18" i="18"/>
  <c r="DT18" i="18"/>
  <c r="DR18" i="18"/>
  <c r="DP18" i="18"/>
  <c r="DN18" i="18"/>
  <c r="DE18" i="18"/>
  <c r="DC18" i="18"/>
  <c r="DA18" i="18"/>
  <c r="CY18" i="18"/>
  <c r="CW18" i="18"/>
  <c r="CU18" i="18"/>
  <c r="CS18" i="18"/>
  <c r="CQ18" i="18"/>
  <c r="CO18" i="18"/>
  <c r="CM18" i="18"/>
  <c r="CK18" i="18"/>
  <c r="CI18" i="18"/>
  <c r="CG18" i="18"/>
  <c r="CE18" i="18"/>
  <c r="CC18" i="18"/>
  <c r="CA18" i="18"/>
  <c r="BY18" i="18"/>
  <c r="BW18" i="18"/>
  <c r="BU18" i="18"/>
  <c r="BS18" i="18"/>
  <c r="BQ18" i="18"/>
  <c r="BO18" i="18"/>
  <c r="BM18" i="18"/>
  <c r="BK18" i="18"/>
  <c r="BB18" i="18"/>
  <c r="AZ18" i="18"/>
  <c r="AX18" i="18"/>
  <c r="AV18" i="18"/>
  <c r="AT18" i="18"/>
  <c r="AR18" i="18"/>
  <c r="AP18" i="18"/>
  <c r="AN18" i="18"/>
  <c r="AL18" i="18"/>
  <c r="AJ18" i="18"/>
  <c r="AH18" i="18"/>
  <c r="AF18" i="18"/>
  <c r="AD18" i="18"/>
  <c r="AB18" i="18"/>
  <c r="Z18" i="18"/>
  <c r="X18" i="18"/>
  <c r="V18" i="18"/>
  <c r="T18" i="18"/>
  <c r="R18" i="18"/>
  <c r="P18" i="18"/>
  <c r="N18" i="18"/>
  <c r="L18" i="18"/>
  <c r="J18" i="18"/>
  <c r="H18" i="18"/>
  <c r="FH10" i="18"/>
  <c r="FF10" i="18"/>
  <c r="FD10" i="18"/>
  <c r="FB10" i="18"/>
  <c r="EZ10" i="18"/>
  <c r="EX10" i="18"/>
  <c r="EV10" i="18"/>
  <c r="ET10" i="18"/>
  <c r="ER10" i="18"/>
  <c r="EP10" i="18"/>
  <c r="EN10" i="18"/>
  <c r="EL10" i="18"/>
  <c r="EJ10" i="18"/>
  <c r="EH10" i="18"/>
  <c r="EF10" i="18"/>
  <c r="ED10" i="18"/>
  <c r="EB10" i="18"/>
  <c r="DZ10" i="18"/>
  <c r="DX10" i="18"/>
  <c r="DV10" i="18"/>
  <c r="DT10" i="18"/>
  <c r="DR10" i="18"/>
  <c r="DP10" i="18"/>
  <c r="DN10" i="18"/>
  <c r="DE10" i="18"/>
  <c r="DC10" i="18"/>
  <c r="DA10" i="18"/>
  <c r="CY10" i="18"/>
  <c r="CW10" i="18"/>
  <c r="CU10" i="18"/>
  <c r="CS10" i="18"/>
  <c r="CQ10" i="18"/>
  <c r="CO10" i="18"/>
  <c r="CM10" i="18"/>
  <c r="CK10" i="18"/>
  <c r="CI10" i="18"/>
  <c r="CG10" i="18"/>
  <c r="CE10" i="18"/>
  <c r="CC10" i="18"/>
  <c r="CA10" i="18"/>
  <c r="BY10" i="18"/>
  <c r="BW10" i="18"/>
  <c r="BU10" i="18"/>
  <c r="BS10" i="18"/>
  <c r="BQ10" i="18"/>
  <c r="BO10" i="18"/>
  <c r="BM10" i="18"/>
  <c r="BK10" i="18"/>
  <c r="BB10" i="18"/>
  <c r="AZ10" i="18"/>
  <c r="AX10" i="18"/>
  <c r="AV10" i="18"/>
  <c r="AT10" i="18"/>
  <c r="AR10" i="18"/>
  <c r="AP10" i="18"/>
  <c r="AN10" i="18"/>
  <c r="AL10" i="18"/>
  <c r="AJ10" i="18"/>
  <c r="AH10" i="18"/>
  <c r="AF10" i="18"/>
  <c r="AD10" i="18"/>
  <c r="AB10" i="18"/>
  <c r="Z10" i="18"/>
  <c r="X10" i="18"/>
  <c r="V10" i="18"/>
  <c r="T10" i="18"/>
  <c r="R10" i="18"/>
  <c r="P10" i="18"/>
  <c r="N10" i="18"/>
  <c r="L10" i="18"/>
  <c r="J10" i="18"/>
  <c r="H10" i="18"/>
  <c r="D10" i="18"/>
  <c r="FU17" i="18"/>
  <c r="FR17" i="18"/>
  <c r="FH17" i="18"/>
  <c r="FF17" i="18"/>
  <c r="FD17" i="18"/>
  <c r="FB17" i="18"/>
  <c r="EZ17" i="18"/>
  <c r="EX17" i="18"/>
  <c r="EV17" i="18"/>
  <c r="ET17" i="18"/>
  <c r="ER17" i="18"/>
  <c r="EP17" i="18"/>
  <c r="EN17" i="18"/>
  <c r="EL17" i="18"/>
  <c r="EJ17" i="18"/>
  <c r="EH17" i="18"/>
  <c r="EF17" i="18"/>
  <c r="ED17" i="18"/>
  <c r="EB17" i="18"/>
  <c r="DZ17" i="18"/>
  <c r="DX17" i="18"/>
  <c r="DV17" i="18"/>
  <c r="DT17" i="18"/>
  <c r="DR17" i="18"/>
  <c r="DP17" i="18"/>
  <c r="DN17" i="18"/>
  <c r="DE17" i="18"/>
  <c r="DC17" i="18"/>
  <c r="DA17" i="18"/>
  <c r="CY17" i="18"/>
  <c r="CW17" i="18"/>
  <c r="CU17" i="18"/>
  <c r="CS17" i="18"/>
  <c r="CQ17" i="18"/>
  <c r="CO17" i="18"/>
  <c r="CM17" i="18"/>
  <c r="CK17" i="18"/>
  <c r="CI17" i="18"/>
  <c r="CG17" i="18"/>
  <c r="CE17" i="18"/>
  <c r="CC17" i="18"/>
  <c r="CA17" i="18"/>
  <c r="BY17" i="18"/>
  <c r="BW17" i="18"/>
  <c r="BU17" i="18"/>
  <c r="BS17" i="18"/>
  <c r="BQ17" i="18"/>
  <c r="BO17" i="18"/>
  <c r="BM17" i="18"/>
  <c r="BK17" i="18"/>
  <c r="BB17" i="18"/>
  <c r="AZ17" i="18"/>
  <c r="AX17" i="18"/>
  <c r="AV17" i="18"/>
  <c r="AT17" i="18"/>
  <c r="AR17" i="18"/>
  <c r="AP17" i="18"/>
  <c r="AN17" i="18"/>
  <c r="AL17" i="18"/>
  <c r="AJ17" i="18"/>
  <c r="AH17" i="18"/>
  <c r="AF17" i="18"/>
  <c r="AD17" i="18"/>
  <c r="AB17" i="18"/>
  <c r="Z17" i="18"/>
  <c r="X17" i="18"/>
  <c r="V17" i="18"/>
  <c r="T17" i="18"/>
  <c r="R17" i="18"/>
  <c r="P17" i="18"/>
  <c r="N17" i="18"/>
  <c r="L17" i="18"/>
  <c r="J17" i="18"/>
  <c r="H17" i="18"/>
  <c r="FU16" i="18"/>
  <c r="FR16" i="18"/>
  <c r="FH16" i="18"/>
  <c r="FF16" i="18"/>
  <c r="FD16" i="18"/>
  <c r="FB16" i="18"/>
  <c r="EZ16" i="18"/>
  <c r="EX16" i="18"/>
  <c r="EV16" i="18"/>
  <c r="ET16" i="18"/>
  <c r="ER16" i="18"/>
  <c r="EP16" i="18"/>
  <c r="EN16" i="18"/>
  <c r="EL16" i="18"/>
  <c r="EJ16" i="18"/>
  <c r="EH16" i="18"/>
  <c r="EF16" i="18"/>
  <c r="ED16" i="18"/>
  <c r="EB16" i="18"/>
  <c r="DZ16" i="18"/>
  <c r="DX16" i="18"/>
  <c r="DV16" i="18"/>
  <c r="DT16" i="18"/>
  <c r="DR16" i="18"/>
  <c r="DP16" i="18"/>
  <c r="DN16" i="18"/>
  <c r="DE16" i="18"/>
  <c r="DC16" i="18"/>
  <c r="DA16" i="18"/>
  <c r="CY16" i="18"/>
  <c r="CW16" i="18"/>
  <c r="CU16" i="18"/>
  <c r="CS16" i="18"/>
  <c r="CQ16" i="18"/>
  <c r="CO16" i="18"/>
  <c r="CM16" i="18"/>
  <c r="CK16" i="18"/>
  <c r="CI16" i="18"/>
  <c r="CG16" i="18"/>
  <c r="CE16" i="18"/>
  <c r="CC16" i="18"/>
  <c r="CA16" i="18"/>
  <c r="BY16" i="18"/>
  <c r="BW16" i="18"/>
  <c r="BU16" i="18"/>
  <c r="BS16" i="18"/>
  <c r="BQ16" i="18"/>
  <c r="BO16" i="18"/>
  <c r="BM16" i="18"/>
  <c r="BK16" i="18"/>
  <c r="BB16" i="18"/>
  <c r="AZ16" i="18"/>
  <c r="AX16" i="18"/>
  <c r="AV16" i="18"/>
  <c r="AT16" i="18"/>
  <c r="AR16" i="18"/>
  <c r="AP16" i="18"/>
  <c r="AN16" i="18"/>
  <c r="AL16" i="18"/>
  <c r="AJ16" i="18"/>
  <c r="AH16" i="18"/>
  <c r="AF16" i="18"/>
  <c r="AD16" i="18"/>
  <c r="AB16" i="18"/>
  <c r="Z16" i="18"/>
  <c r="X16" i="18"/>
  <c r="V16" i="18"/>
  <c r="T16" i="18"/>
  <c r="R16" i="18"/>
  <c r="P16" i="18"/>
  <c r="N16" i="18"/>
  <c r="L16" i="18"/>
  <c r="J16" i="18"/>
  <c r="H16" i="18"/>
  <c r="DM68" i="18"/>
  <c r="BJ68" i="18"/>
  <c r="FU26" i="18"/>
  <c r="FR26" i="18"/>
  <c r="FH26" i="18"/>
  <c r="FF26" i="18"/>
  <c r="FD26" i="18"/>
  <c r="FB26" i="18"/>
  <c r="EZ26" i="18"/>
  <c r="EX26" i="18"/>
  <c r="EV26" i="18"/>
  <c r="ET26" i="18"/>
  <c r="ER26" i="18"/>
  <c r="EP26" i="18"/>
  <c r="EN26" i="18"/>
  <c r="EL26" i="18"/>
  <c r="EJ26" i="18"/>
  <c r="EH26" i="18"/>
  <c r="EF26" i="18"/>
  <c r="ED26" i="18"/>
  <c r="EB26" i="18"/>
  <c r="DZ26" i="18"/>
  <c r="DX26" i="18"/>
  <c r="DV26" i="18"/>
  <c r="DT26" i="18"/>
  <c r="DR26" i="18"/>
  <c r="DP26" i="18"/>
  <c r="DN26" i="18"/>
  <c r="DE26" i="18"/>
  <c r="DC26" i="18"/>
  <c r="DA26" i="18"/>
  <c r="CY26" i="18"/>
  <c r="CW26" i="18"/>
  <c r="CU26" i="18"/>
  <c r="CS26" i="18"/>
  <c r="CQ26" i="18"/>
  <c r="CO26" i="18"/>
  <c r="CM26" i="18"/>
  <c r="CK26" i="18"/>
  <c r="CI26" i="18"/>
  <c r="CG26" i="18"/>
  <c r="CE26" i="18"/>
  <c r="CC26" i="18"/>
  <c r="CA26" i="18"/>
  <c r="BY26" i="18"/>
  <c r="BW26" i="18"/>
  <c r="BU26" i="18"/>
  <c r="BS26" i="18"/>
  <c r="BQ26" i="18"/>
  <c r="BO26" i="18"/>
  <c r="BM26" i="18"/>
  <c r="BK26" i="18"/>
  <c r="BB26" i="18"/>
  <c r="AZ26" i="18"/>
  <c r="AX26" i="18"/>
  <c r="AV26" i="18"/>
  <c r="AT26" i="18"/>
  <c r="AR26" i="18"/>
  <c r="AP26" i="18"/>
  <c r="AN26" i="18"/>
  <c r="AL26" i="18"/>
  <c r="AJ26" i="18"/>
  <c r="AH26" i="18"/>
  <c r="AF26" i="18"/>
  <c r="AD26" i="18"/>
  <c r="AB26" i="18"/>
  <c r="Z26" i="18"/>
  <c r="X26" i="18"/>
  <c r="V26" i="18"/>
  <c r="T26" i="18"/>
  <c r="R26" i="18"/>
  <c r="P26" i="18"/>
  <c r="N26" i="18"/>
  <c r="L26" i="18"/>
  <c r="J26" i="18"/>
  <c r="H26" i="18"/>
  <c r="FU14" i="18"/>
  <c r="FR14" i="18"/>
  <c r="FH14" i="18"/>
  <c r="FF14" i="18"/>
  <c r="FD14" i="18"/>
  <c r="FB14" i="18"/>
  <c r="EZ14" i="18"/>
  <c r="EX14" i="18"/>
  <c r="EV14" i="18"/>
  <c r="ET14" i="18"/>
  <c r="ER14" i="18"/>
  <c r="EP14" i="18"/>
  <c r="EN14" i="18"/>
  <c r="EL14" i="18"/>
  <c r="EJ14" i="18"/>
  <c r="EH14" i="18"/>
  <c r="EF14" i="18"/>
  <c r="ED14" i="18"/>
  <c r="EB14" i="18"/>
  <c r="DZ14" i="18"/>
  <c r="DX14" i="18"/>
  <c r="DV14" i="18"/>
  <c r="DT14" i="18"/>
  <c r="DR14" i="18"/>
  <c r="DP14" i="18"/>
  <c r="DN14" i="18"/>
  <c r="DE14" i="18"/>
  <c r="DC14" i="18"/>
  <c r="DA14" i="18"/>
  <c r="CY14" i="18"/>
  <c r="CW14" i="18"/>
  <c r="CU14" i="18"/>
  <c r="CS14" i="18"/>
  <c r="CQ14" i="18"/>
  <c r="CO14" i="18"/>
  <c r="CM14" i="18"/>
  <c r="CK14" i="18"/>
  <c r="CI14" i="18"/>
  <c r="CG14" i="18"/>
  <c r="CE14" i="18"/>
  <c r="CC14" i="18"/>
  <c r="CA14" i="18"/>
  <c r="BY14" i="18"/>
  <c r="BW14" i="18"/>
  <c r="BU14" i="18"/>
  <c r="BS14" i="18"/>
  <c r="BQ14" i="18"/>
  <c r="BO14" i="18"/>
  <c r="BM14" i="18"/>
  <c r="BK14" i="18"/>
  <c r="BB14" i="18"/>
  <c r="AZ14" i="18"/>
  <c r="AX14" i="18"/>
  <c r="AV14" i="18"/>
  <c r="AT14" i="18"/>
  <c r="AR14" i="18"/>
  <c r="AP14" i="18"/>
  <c r="AN14" i="18"/>
  <c r="AL14" i="18"/>
  <c r="AJ14" i="18"/>
  <c r="AH14" i="18"/>
  <c r="AF14" i="18"/>
  <c r="AD14" i="18"/>
  <c r="AB14" i="18"/>
  <c r="Z14" i="18"/>
  <c r="X14" i="18"/>
  <c r="V14" i="18"/>
  <c r="T14" i="18"/>
  <c r="R14" i="18"/>
  <c r="P14" i="18"/>
  <c r="N14" i="18"/>
  <c r="L14" i="18"/>
  <c r="J14" i="18"/>
  <c r="H14" i="18"/>
  <c r="FE1" i="18"/>
  <c r="DB1" i="18"/>
  <c r="FU20" i="17"/>
  <c r="FR20" i="17"/>
  <c r="FH20" i="17"/>
  <c r="FF20" i="17"/>
  <c r="FD20" i="17"/>
  <c r="FB20" i="17"/>
  <c r="EZ20" i="17"/>
  <c r="EX20" i="17"/>
  <c r="EV20" i="17"/>
  <c r="ET20" i="17"/>
  <c r="ER20" i="17"/>
  <c r="EP20" i="17"/>
  <c r="EN20" i="17"/>
  <c r="EL20" i="17"/>
  <c r="EJ20" i="17"/>
  <c r="EH20" i="17"/>
  <c r="EF20" i="17"/>
  <c r="ED20" i="17"/>
  <c r="EB20" i="17"/>
  <c r="DZ20" i="17"/>
  <c r="DX20" i="17"/>
  <c r="DV20" i="17"/>
  <c r="DT20" i="17"/>
  <c r="DR20" i="17"/>
  <c r="DP20" i="17"/>
  <c r="DN20" i="17"/>
  <c r="DE20" i="17"/>
  <c r="DC20" i="17"/>
  <c r="DA20" i="17"/>
  <c r="CY20" i="17"/>
  <c r="CW20" i="17"/>
  <c r="CU20" i="17"/>
  <c r="CS20" i="17"/>
  <c r="CQ20" i="17"/>
  <c r="CO20" i="17"/>
  <c r="CM20" i="17"/>
  <c r="CK20" i="17"/>
  <c r="CI20" i="17"/>
  <c r="CG20" i="17"/>
  <c r="CE20" i="17"/>
  <c r="CC20" i="17"/>
  <c r="CA20" i="17"/>
  <c r="BY20" i="17"/>
  <c r="BW20" i="17"/>
  <c r="BU20" i="17"/>
  <c r="BS20" i="17"/>
  <c r="BQ20" i="17"/>
  <c r="BO20" i="17"/>
  <c r="BM20" i="17"/>
  <c r="BK20" i="17"/>
  <c r="BB20" i="17"/>
  <c r="AZ20" i="17"/>
  <c r="AX20" i="17"/>
  <c r="AV20" i="17"/>
  <c r="AT20" i="17"/>
  <c r="AR20" i="17"/>
  <c r="AP20" i="17"/>
  <c r="AN20" i="17"/>
  <c r="AL20" i="17"/>
  <c r="AJ20" i="17"/>
  <c r="AH20" i="17"/>
  <c r="AF20" i="17"/>
  <c r="AD20" i="17"/>
  <c r="AB20" i="17"/>
  <c r="Z20" i="17"/>
  <c r="X20" i="17"/>
  <c r="V20" i="17"/>
  <c r="T20" i="17"/>
  <c r="R20" i="17"/>
  <c r="P20" i="17"/>
  <c r="N20" i="17"/>
  <c r="L20" i="17"/>
  <c r="J20" i="17"/>
  <c r="H20" i="17"/>
  <c r="FU19" i="17"/>
  <c r="FR19" i="17"/>
  <c r="FH19" i="17"/>
  <c r="FF19" i="17"/>
  <c r="FD19" i="17"/>
  <c r="FB19" i="17"/>
  <c r="EZ19" i="17"/>
  <c r="EX19" i="17"/>
  <c r="EV19" i="17"/>
  <c r="ET19" i="17"/>
  <c r="ER19" i="17"/>
  <c r="EP19" i="17"/>
  <c r="EN19" i="17"/>
  <c r="EL19" i="17"/>
  <c r="EJ19" i="17"/>
  <c r="EH19" i="17"/>
  <c r="EF19" i="17"/>
  <c r="ED19" i="17"/>
  <c r="EB19" i="17"/>
  <c r="DZ19" i="17"/>
  <c r="DX19" i="17"/>
  <c r="DV19" i="17"/>
  <c r="DT19" i="17"/>
  <c r="DR19" i="17"/>
  <c r="DP19" i="17"/>
  <c r="DN19" i="17"/>
  <c r="DE19" i="17"/>
  <c r="DC19" i="17"/>
  <c r="DA19" i="17"/>
  <c r="CY19" i="17"/>
  <c r="CW19" i="17"/>
  <c r="CU19" i="17"/>
  <c r="CS19" i="17"/>
  <c r="CQ19" i="17"/>
  <c r="CO19" i="17"/>
  <c r="CM19" i="17"/>
  <c r="CK19" i="17"/>
  <c r="CI19" i="17"/>
  <c r="CG19" i="17"/>
  <c r="CE19" i="17"/>
  <c r="CC19" i="17"/>
  <c r="CA19" i="17"/>
  <c r="BY19" i="17"/>
  <c r="BW19" i="17"/>
  <c r="BU19" i="17"/>
  <c r="BS19" i="17"/>
  <c r="BQ19" i="17"/>
  <c r="BO19" i="17"/>
  <c r="BM19" i="17"/>
  <c r="BK19" i="17"/>
  <c r="BB19" i="17"/>
  <c r="AZ19" i="17"/>
  <c r="AX19" i="17"/>
  <c r="AV19" i="17"/>
  <c r="AT19" i="17"/>
  <c r="AR19" i="17"/>
  <c r="AP19" i="17"/>
  <c r="AN19" i="17"/>
  <c r="AL19" i="17"/>
  <c r="AJ19" i="17"/>
  <c r="AH19" i="17"/>
  <c r="AF19" i="17"/>
  <c r="AD19" i="17"/>
  <c r="AB19" i="17"/>
  <c r="Z19" i="17"/>
  <c r="X19" i="17"/>
  <c r="V19" i="17"/>
  <c r="T19" i="17"/>
  <c r="R19" i="17"/>
  <c r="P19" i="17"/>
  <c r="N19" i="17"/>
  <c r="L19" i="17"/>
  <c r="J19" i="17"/>
  <c r="H19" i="17"/>
  <c r="FU18" i="17"/>
  <c r="FR18" i="17"/>
  <c r="FH18" i="17"/>
  <c r="FF18" i="17"/>
  <c r="FD18" i="17"/>
  <c r="FB18" i="17"/>
  <c r="EZ18" i="17"/>
  <c r="EX18" i="17"/>
  <c r="EV18" i="17"/>
  <c r="ET18" i="17"/>
  <c r="ER18" i="17"/>
  <c r="EP18" i="17"/>
  <c r="EN18" i="17"/>
  <c r="EL18" i="17"/>
  <c r="EJ18" i="17"/>
  <c r="EH18" i="17"/>
  <c r="EF18" i="17"/>
  <c r="ED18" i="17"/>
  <c r="EB18" i="17"/>
  <c r="DZ18" i="17"/>
  <c r="DX18" i="17"/>
  <c r="DV18" i="17"/>
  <c r="DT18" i="17"/>
  <c r="DR18" i="17"/>
  <c r="DP18" i="17"/>
  <c r="DN18" i="17"/>
  <c r="DE18" i="17"/>
  <c r="DC18" i="17"/>
  <c r="DA18" i="17"/>
  <c r="CY18" i="17"/>
  <c r="CW18" i="17"/>
  <c r="CU18" i="17"/>
  <c r="CS18" i="17"/>
  <c r="CQ18" i="17"/>
  <c r="CO18" i="17"/>
  <c r="CM18" i="17"/>
  <c r="CK18" i="17"/>
  <c r="CI18" i="17"/>
  <c r="CG18" i="17"/>
  <c r="CE18" i="17"/>
  <c r="CC18" i="17"/>
  <c r="CA18" i="17"/>
  <c r="BY18" i="17"/>
  <c r="BW18" i="17"/>
  <c r="BU18" i="17"/>
  <c r="BS18" i="17"/>
  <c r="BQ18" i="17"/>
  <c r="BO18" i="17"/>
  <c r="BM18" i="17"/>
  <c r="BK18" i="17"/>
  <c r="BB18" i="17"/>
  <c r="AZ18" i="17"/>
  <c r="AX18" i="17"/>
  <c r="AV18" i="17"/>
  <c r="AT18" i="17"/>
  <c r="AR18" i="17"/>
  <c r="AP18" i="17"/>
  <c r="AN18" i="17"/>
  <c r="AL18" i="17"/>
  <c r="AJ18" i="17"/>
  <c r="AH18" i="17"/>
  <c r="AF18" i="17"/>
  <c r="AD18" i="17"/>
  <c r="AB18" i="17"/>
  <c r="Z18" i="17"/>
  <c r="X18" i="17"/>
  <c r="V18" i="17"/>
  <c r="T18" i="17"/>
  <c r="R18" i="17"/>
  <c r="P18" i="17"/>
  <c r="N18" i="17"/>
  <c r="L18" i="17"/>
  <c r="J18" i="17"/>
  <c r="H18" i="17"/>
  <c r="FU17" i="17"/>
  <c r="FR17" i="17"/>
  <c r="FH17" i="17"/>
  <c r="FF17" i="17"/>
  <c r="FD17" i="17"/>
  <c r="FB17" i="17"/>
  <c r="EZ17" i="17"/>
  <c r="EX17" i="17"/>
  <c r="EV17" i="17"/>
  <c r="ET17" i="17"/>
  <c r="ER17" i="17"/>
  <c r="EP17" i="17"/>
  <c r="EN17" i="17"/>
  <c r="EL17" i="17"/>
  <c r="EJ17" i="17"/>
  <c r="EH17" i="17"/>
  <c r="EF17" i="17"/>
  <c r="ED17" i="17"/>
  <c r="EB17" i="17"/>
  <c r="DZ17" i="17"/>
  <c r="DX17" i="17"/>
  <c r="DV17" i="17"/>
  <c r="DT17" i="17"/>
  <c r="DR17" i="17"/>
  <c r="DP17" i="17"/>
  <c r="DN17" i="17"/>
  <c r="DE17" i="17"/>
  <c r="DC17" i="17"/>
  <c r="DA17" i="17"/>
  <c r="CY17" i="17"/>
  <c r="CW17" i="17"/>
  <c r="CU17" i="17"/>
  <c r="CS17" i="17"/>
  <c r="CQ17" i="17"/>
  <c r="CO17" i="17"/>
  <c r="CM17" i="17"/>
  <c r="CK17" i="17"/>
  <c r="CI17" i="17"/>
  <c r="CG17" i="17"/>
  <c r="CE17" i="17"/>
  <c r="CC17" i="17"/>
  <c r="CA17" i="17"/>
  <c r="BY17" i="17"/>
  <c r="BW17" i="17"/>
  <c r="BU17" i="17"/>
  <c r="BS17" i="17"/>
  <c r="BQ17" i="17"/>
  <c r="BO17" i="17"/>
  <c r="BM17" i="17"/>
  <c r="BK17" i="17"/>
  <c r="BB17" i="17"/>
  <c r="AZ17" i="17"/>
  <c r="AX17" i="17"/>
  <c r="AV17" i="17"/>
  <c r="AT17" i="17"/>
  <c r="AR17" i="17"/>
  <c r="AP17" i="17"/>
  <c r="AN17" i="17"/>
  <c r="AL17" i="17"/>
  <c r="AJ17" i="17"/>
  <c r="AH17" i="17"/>
  <c r="AF17" i="17"/>
  <c r="AD17" i="17"/>
  <c r="AB17" i="17"/>
  <c r="Z17" i="17"/>
  <c r="X17" i="17"/>
  <c r="V17" i="17"/>
  <c r="T17" i="17"/>
  <c r="R17" i="17"/>
  <c r="P17" i="17"/>
  <c r="N17" i="17"/>
  <c r="L17" i="17"/>
  <c r="J17" i="17"/>
  <c r="H17" i="17"/>
  <c r="FU16" i="17"/>
  <c r="FR16" i="17"/>
  <c r="FH16" i="17"/>
  <c r="FF16" i="17"/>
  <c r="FD16" i="17"/>
  <c r="FB16" i="17"/>
  <c r="EZ16" i="17"/>
  <c r="EX16" i="17"/>
  <c r="EV16" i="17"/>
  <c r="ET16" i="17"/>
  <c r="ER16" i="17"/>
  <c r="EP16" i="17"/>
  <c r="EN16" i="17"/>
  <c r="EL16" i="17"/>
  <c r="EJ16" i="17"/>
  <c r="EH16" i="17"/>
  <c r="EF16" i="17"/>
  <c r="ED16" i="17"/>
  <c r="EB16" i="17"/>
  <c r="DZ16" i="17"/>
  <c r="DX16" i="17"/>
  <c r="DV16" i="17"/>
  <c r="DT16" i="17"/>
  <c r="DR16" i="17"/>
  <c r="DP16" i="17"/>
  <c r="DN16" i="17"/>
  <c r="DE16" i="17"/>
  <c r="DC16" i="17"/>
  <c r="DA16" i="17"/>
  <c r="CY16" i="17"/>
  <c r="CW16" i="17"/>
  <c r="CU16" i="17"/>
  <c r="CS16" i="17"/>
  <c r="CQ16" i="17"/>
  <c r="CO16" i="17"/>
  <c r="CM16" i="17"/>
  <c r="CK16" i="17"/>
  <c r="CI16" i="17"/>
  <c r="CG16" i="17"/>
  <c r="CE16" i="17"/>
  <c r="CC16" i="17"/>
  <c r="CA16" i="17"/>
  <c r="BY16" i="17"/>
  <c r="BW16" i="17"/>
  <c r="BU16" i="17"/>
  <c r="BS16" i="17"/>
  <c r="BQ16" i="17"/>
  <c r="BO16" i="17"/>
  <c r="BM16" i="17"/>
  <c r="BK16" i="17"/>
  <c r="BB16" i="17"/>
  <c r="AZ16" i="17"/>
  <c r="AX16" i="17"/>
  <c r="AV16" i="17"/>
  <c r="AT16" i="17"/>
  <c r="AR16" i="17"/>
  <c r="AP16" i="17"/>
  <c r="AN16" i="17"/>
  <c r="AL16" i="17"/>
  <c r="AJ16" i="17"/>
  <c r="AH16" i="17"/>
  <c r="AF16" i="17"/>
  <c r="AD16" i="17"/>
  <c r="AB16" i="17"/>
  <c r="Z16" i="17"/>
  <c r="X16" i="17"/>
  <c r="V16" i="17"/>
  <c r="T16" i="17"/>
  <c r="R16" i="17"/>
  <c r="P16" i="17"/>
  <c r="N16" i="17"/>
  <c r="L16" i="17"/>
  <c r="J16" i="17"/>
  <c r="H16" i="17"/>
  <c r="DM68" i="17"/>
  <c r="BJ68" i="17"/>
  <c r="FU26" i="17"/>
  <c r="FR26" i="17"/>
  <c r="FH26" i="17"/>
  <c r="FF26" i="17"/>
  <c r="FD26" i="17"/>
  <c r="FB26" i="17"/>
  <c r="EZ26" i="17"/>
  <c r="EX26" i="17"/>
  <c r="EV26" i="17"/>
  <c r="ET26" i="17"/>
  <c r="ER26" i="17"/>
  <c r="EP26" i="17"/>
  <c r="EN26" i="17"/>
  <c r="EL26" i="17"/>
  <c r="EJ26" i="17"/>
  <c r="EH26" i="17"/>
  <c r="EF26" i="17"/>
  <c r="ED26" i="17"/>
  <c r="EB26" i="17"/>
  <c r="DZ26" i="17"/>
  <c r="DX26" i="17"/>
  <c r="DV26" i="17"/>
  <c r="DT26" i="17"/>
  <c r="DR26" i="17"/>
  <c r="DP26" i="17"/>
  <c r="DN26" i="17"/>
  <c r="DE26" i="17"/>
  <c r="DC26" i="17"/>
  <c r="DA26" i="17"/>
  <c r="CY26" i="17"/>
  <c r="CW26" i="17"/>
  <c r="CU26" i="17"/>
  <c r="CS26" i="17"/>
  <c r="CQ26" i="17"/>
  <c r="CO26" i="17"/>
  <c r="CM26" i="17"/>
  <c r="CK26" i="17"/>
  <c r="CI26" i="17"/>
  <c r="CG26" i="17"/>
  <c r="CE26" i="17"/>
  <c r="CC26" i="17"/>
  <c r="CA26" i="17"/>
  <c r="BY26" i="17"/>
  <c r="BW26" i="17"/>
  <c r="BU26" i="17"/>
  <c r="BS26" i="17"/>
  <c r="BQ26" i="17"/>
  <c r="BO26" i="17"/>
  <c r="BM26" i="17"/>
  <c r="BK26" i="17"/>
  <c r="BB26" i="17"/>
  <c r="AZ26" i="17"/>
  <c r="AX26" i="17"/>
  <c r="AV26" i="17"/>
  <c r="AT26" i="17"/>
  <c r="AR26" i="17"/>
  <c r="AP26" i="17"/>
  <c r="AN26" i="17"/>
  <c r="AL26" i="17"/>
  <c r="AJ26" i="17"/>
  <c r="AH26" i="17"/>
  <c r="AF26" i="17"/>
  <c r="AD26" i="17"/>
  <c r="AB26" i="17"/>
  <c r="Z26" i="17"/>
  <c r="X26" i="17"/>
  <c r="V26" i="17"/>
  <c r="T26" i="17"/>
  <c r="R26" i="17"/>
  <c r="P26" i="17"/>
  <c r="N26" i="17"/>
  <c r="L26" i="17"/>
  <c r="J26" i="17"/>
  <c r="H26" i="17"/>
  <c r="FU14" i="17"/>
  <c r="FR14" i="17"/>
  <c r="FH14" i="17"/>
  <c r="FF14" i="17"/>
  <c r="FD14" i="17"/>
  <c r="FB14" i="17"/>
  <c r="EZ14" i="17"/>
  <c r="EX14" i="17"/>
  <c r="EV14" i="17"/>
  <c r="ET14" i="17"/>
  <c r="ER14" i="17"/>
  <c r="EP14" i="17"/>
  <c r="EN14" i="17"/>
  <c r="EL14" i="17"/>
  <c r="EJ14" i="17"/>
  <c r="EH14" i="17"/>
  <c r="EF14" i="17"/>
  <c r="ED14" i="17"/>
  <c r="EB14" i="17"/>
  <c r="DZ14" i="17"/>
  <c r="DX14" i="17"/>
  <c r="DV14" i="17"/>
  <c r="DT14" i="17"/>
  <c r="DR14" i="17"/>
  <c r="DP14" i="17"/>
  <c r="DN14" i="17"/>
  <c r="DE14" i="17"/>
  <c r="DC14" i="17"/>
  <c r="DA14" i="17"/>
  <c r="CY14" i="17"/>
  <c r="CW14" i="17"/>
  <c r="CU14" i="17"/>
  <c r="CS14" i="17"/>
  <c r="CQ14" i="17"/>
  <c r="CO14" i="17"/>
  <c r="CM14" i="17"/>
  <c r="CK14" i="17"/>
  <c r="CI14" i="17"/>
  <c r="CG14" i="17"/>
  <c r="CE14" i="17"/>
  <c r="CC14" i="17"/>
  <c r="CA14" i="17"/>
  <c r="BY14" i="17"/>
  <c r="BW14" i="17"/>
  <c r="BU14" i="17"/>
  <c r="BS14" i="17"/>
  <c r="BQ14" i="17"/>
  <c r="BO14" i="17"/>
  <c r="BM14" i="17"/>
  <c r="BK14" i="17"/>
  <c r="BB14" i="17"/>
  <c r="AZ14" i="17"/>
  <c r="AX14" i="17"/>
  <c r="AV14" i="17"/>
  <c r="AT14" i="17"/>
  <c r="AR14" i="17"/>
  <c r="AP14" i="17"/>
  <c r="AN14" i="17"/>
  <c r="AL14" i="17"/>
  <c r="AJ14" i="17"/>
  <c r="AH14" i="17"/>
  <c r="AF14" i="17"/>
  <c r="AD14" i="17"/>
  <c r="AB14" i="17"/>
  <c r="Z14" i="17"/>
  <c r="X14" i="17"/>
  <c r="V14" i="17"/>
  <c r="T14" i="17"/>
  <c r="R14" i="17"/>
  <c r="P14" i="17"/>
  <c r="N14" i="17"/>
  <c r="L14" i="17"/>
  <c r="J14" i="17"/>
  <c r="H14" i="17"/>
  <c r="FE1" i="17"/>
  <c r="DB1" i="17"/>
  <c r="FU20" i="16"/>
  <c r="FR20" i="16"/>
  <c r="FH20" i="16"/>
  <c r="FF20" i="16"/>
  <c r="FD20" i="16"/>
  <c r="FB20" i="16"/>
  <c r="EZ20" i="16"/>
  <c r="EX20" i="16"/>
  <c r="EV20" i="16"/>
  <c r="ET20" i="16"/>
  <c r="ER20" i="16"/>
  <c r="EP20" i="16"/>
  <c r="EN20" i="16"/>
  <c r="EL20" i="16"/>
  <c r="EJ20" i="16"/>
  <c r="EH20" i="16"/>
  <c r="EF20" i="16"/>
  <c r="ED20" i="16"/>
  <c r="EB20" i="16"/>
  <c r="DZ20" i="16"/>
  <c r="DX20" i="16"/>
  <c r="DV20" i="16"/>
  <c r="DT20" i="16"/>
  <c r="DR20" i="16"/>
  <c r="DP20" i="16"/>
  <c r="DN20" i="16"/>
  <c r="DE20" i="16"/>
  <c r="DC20" i="16"/>
  <c r="DA20" i="16"/>
  <c r="CY20" i="16"/>
  <c r="CW20" i="16"/>
  <c r="CU20" i="16"/>
  <c r="CS20" i="16"/>
  <c r="CQ20" i="16"/>
  <c r="CO20" i="16"/>
  <c r="CM20" i="16"/>
  <c r="CK20" i="16"/>
  <c r="CI20" i="16"/>
  <c r="CG20" i="16"/>
  <c r="CE20" i="16"/>
  <c r="CC20" i="16"/>
  <c r="CA20" i="16"/>
  <c r="BY20" i="16"/>
  <c r="BW20" i="16"/>
  <c r="BU20" i="16"/>
  <c r="BS20" i="16"/>
  <c r="BQ20" i="16"/>
  <c r="BO20" i="16"/>
  <c r="BM20" i="16"/>
  <c r="BK20" i="16"/>
  <c r="BB20" i="16"/>
  <c r="AZ20" i="16"/>
  <c r="AX20" i="16"/>
  <c r="AV20" i="16"/>
  <c r="AT20" i="16"/>
  <c r="AR20" i="16"/>
  <c r="AP20" i="16"/>
  <c r="AN20" i="16"/>
  <c r="AL20" i="16"/>
  <c r="AJ20" i="16"/>
  <c r="AH20" i="16"/>
  <c r="AF20" i="16"/>
  <c r="AD20" i="16"/>
  <c r="AB20" i="16"/>
  <c r="Z20" i="16"/>
  <c r="X20" i="16"/>
  <c r="V20" i="16"/>
  <c r="T20" i="16"/>
  <c r="R20" i="16"/>
  <c r="P20" i="16"/>
  <c r="N20" i="16"/>
  <c r="L20" i="16"/>
  <c r="J20" i="16"/>
  <c r="H20" i="16"/>
  <c r="FU19" i="16"/>
  <c r="FR19" i="16"/>
  <c r="FH19" i="16"/>
  <c r="FF19" i="16"/>
  <c r="FD19" i="16"/>
  <c r="FB19" i="16"/>
  <c r="EZ19" i="16"/>
  <c r="EX19" i="16"/>
  <c r="EV19" i="16"/>
  <c r="ET19" i="16"/>
  <c r="ER19" i="16"/>
  <c r="EP19" i="16"/>
  <c r="EN19" i="16"/>
  <c r="EL19" i="16"/>
  <c r="EJ19" i="16"/>
  <c r="EH19" i="16"/>
  <c r="EF19" i="16"/>
  <c r="ED19" i="16"/>
  <c r="EB19" i="16"/>
  <c r="DZ19" i="16"/>
  <c r="DX19" i="16"/>
  <c r="DV19" i="16"/>
  <c r="DT19" i="16"/>
  <c r="DR19" i="16"/>
  <c r="DP19" i="16"/>
  <c r="DN19" i="16"/>
  <c r="DE19" i="16"/>
  <c r="DC19" i="16"/>
  <c r="DA19" i="16"/>
  <c r="CY19" i="16"/>
  <c r="CW19" i="16"/>
  <c r="CU19" i="16"/>
  <c r="CS19" i="16"/>
  <c r="CQ19" i="16"/>
  <c r="CO19" i="16"/>
  <c r="CM19" i="16"/>
  <c r="CK19" i="16"/>
  <c r="CI19" i="16"/>
  <c r="CG19" i="16"/>
  <c r="CE19" i="16"/>
  <c r="CC19" i="16"/>
  <c r="CA19" i="16"/>
  <c r="BY19" i="16"/>
  <c r="BW19" i="16"/>
  <c r="BU19" i="16"/>
  <c r="BS19" i="16"/>
  <c r="BQ19" i="16"/>
  <c r="BO19" i="16"/>
  <c r="BM19" i="16"/>
  <c r="BK19" i="16"/>
  <c r="BB19" i="16"/>
  <c r="AZ19" i="16"/>
  <c r="AX19" i="16"/>
  <c r="AV19" i="16"/>
  <c r="AT19" i="16"/>
  <c r="AR19" i="16"/>
  <c r="AP19" i="16"/>
  <c r="AN19" i="16"/>
  <c r="AL19" i="16"/>
  <c r="AJ19" i="16"/>
  <c r="AH19" i="16"/>
  <c r="AF19" i="16"/>
  <c r="AD19" i="16"/>
  <c r="AB19" i="16"/>
  <c r="Z19" i="16"/>
  <c r="X19" i="16"/>
  <c r="V19" i="16"/>
  <c r="T19" i="16"/>
  <c r="R19" i="16"/>
  <c r="P19" i="16"/>
  <c r="N19" i="16"/>
  <c r="L19" i="16"/>
  <c r="J19" i="16"/>
  <c r="H19" i="16"/>
  <c r="FU18" i="16"/>
  <c r="FR18" i="16"/>
  <c r="FH18" i="16"/>
  <c r="FF18" i="16"/>
  <c r="FD18" i="16"/>
  <c r="FB18" i="16"/>
  <c r="EZ18" i="16"/>
  <c r="EX18" i="16"/>
  <c r="EV18" i="16"/>
  <c r="ET18" i="16"/>
  <c r="ER18" i="16"/>
  <c r="EP18" i="16"/>
  <c r="EN18" i="16"/>
  <c r="EL18" i="16"/>
  <c r="EJ18" i="16"/>
  <c r="EH18" i="16"/>
  <c r="EF18" i="16"/>
  <c r="ED18" i="16"/>
  <c r="EB18" i="16"/>
  <c r="DZ18" i="16"/>
  <c r="DX18" i="16"/>
  <c r="DV18" i="16"/>
  <c r="DT18" i="16"/>
  <c r="DR18" i="16"/>
  <c r="DP18" i="16"/>
  <c r="DN18" i="16"/>
  <c r="DE18" i="16"/>
  <c r="DC18" i="16"/>
  <c r="DA18" i="16"/>
  <c r="CY18" i="16"/>
  <c r="CW18" i="16"/>
  <c r="CU18" i="16"/>
  <c r="CS18" i="16"/>
  <c r="CQ18" i="16"/>
  <c r="CO18" i="16"/>
  <c r="CM18" i="16"/>
  <c r="CK18" i="16"/>
  <c r="CI18" i="16"/>
  <c r="CG18" i="16"/>
  <c r="CE18" i="16"/>
  <c r="CC18" i="16"/>
  <c r="CA18" i="16"/>
  <c r="BY18" i="16"/>
  <c r="BW18" i="16"/>
  <c r="BU18" i="16"/>
  <c r="BS18" i="16"/>
  <c r="BQ18" i="16"/>
  <c r="BO18" i="16"/>
  <c r="BM18" i="16"/>
  <c r="BK18" i="16"/>
  <c r="BB18" i="16"/>
  <c r="AZ18" i="16"/>
  <c r="AX18" i="16"/>
  <c r="AV18" i="16"/>
  <c r="AT18" i="16"/>
  <c r="AR18" i="16"/>
  <c r="AP18" i="16"/>
  <c r="AN18" i="16"/>
  <c r="AL18" i="16"/>
  <c r="AJ18" i="16"/>
  <c r="AH18" i="16"/>
  <c r="AF18" i="16"/>
  <c r="AD18" i="16"/>
  <c r="AB18" i="16"/>
  <c r="Z18" i="16"/>
  <c r="X18" i="16"/>
  <c r="V18" i="16"/>
  <c r="T18" i="16"/>
  <c r="R18" i="16"/>
  <c r="P18" i="16"/>
  <c r="N18" i="16"/>
  <c r="L18" i="16"/>
  <c r="J18" i="16"/>
  <c r="H18" i="16"/>
  <c r="FH10" i="16"/>
  <c r="FF10" i="16"/>
  <c r="FD10" i="16"/>
  <c r="FB10" i="16"/>
  <c r="EZ10" i="16"/>
  <c r="EX10" i="16"/>
  <c r="EV10" i="16"/>
  <c r="ET10" i="16"/>
  <c r="ER10" i="16"/>
  <c r="EP10" i="16"/>
  <c r="EN10" i="16"/>
  <c r="EL10" i="16"/>
  <c r="EJ10" i="16"/>
  <c r="EH10" i="16"/>
  <c r="EF10" i="16"/>
  <c r="ED10" i="16"/>
  <c r="EB10" i="16"/>
  <c r="DZ10" i="16"/>
  <c r="DX10" i="16"/>
  <c r="DV10" i="16"/>
  <c r="DT10" i="16"/>
  <c r="DR10" i="16"/>
  <c r="DP10" i="16"/>
  <c r="DN10" i="16"/>
  <c r="DE10" i="16"/>
  <c r="DC10" i="16"/>
  <c r="DA10" i="16"/>
  <c r="CY10" i="16"/>
  <c r="CW10" i="16"/>
  <c r="CU10" i="16"/>
  <c r="CS10" i="16"/>
  <c r="CQ10" i="16"/>
  <c r="CO10" i="16"/>
  <c r="CM10" i="16"/>
  <c r="CK10" i="16"/>
  <c r="CI10" i="16"/>
  <c r="CG10" i="16"/>
  <c r="CE10" i="16"/>
  <c r="CC10" i="16"/>
  <c r="CA10" i="16"/>
  <c r="BY10" i="16"/>
  <c r="BW10" i="16"/>
  <c r="BU10" i="16"/>
  <c r="BS10" i="16"/>
  <c r="BQ10" i="16"/>
  <c r="BO10" i="16"/>
  <c r="BM10" i="16"/>
  <c r="BK10" i="16"/>
  <c r="BB10" i="16"/>
  <c r="AZ10" i="16"/>
  <c r="AX10" i="16"/>
  <c r="AV10" i="16"/>
  <c r="AT10" i="16"/>
  <c r="AR10" i="16"/>
  <c r="AP10" i="16"/>
  <c r="AN10" i="16"/>
  <c r="AL10" i="16"/>
  <c r="AJ10" i="16"/>
  <c r="AH10" i="16"/>
  <c r="AF10" i="16"/>
  <c r="AD10" i="16"/>
  <c r="AB10" i="16"/>
  <c r="Z10" i="16"/>
  <c r="X10" i="16"/>
  <c r="V10" i="16"/>
  <c r="T10" i="16"/>
  <c r="R10" i="16"/>
  <c r="P10" i="16"/>
  <c r="N10" i="16"/>
  <c r="L10" i="16"/>
  <c r="J10" i="16"/>
  <c r="H10" i="16"/>
  <c r="D10" i="16"/>
  <c r="FU17" i="16"/>
  <c r="FR17" i="16"/>
  <c r="FH17" i="16"/>
  <c r="FF17" i="16"/>
  <c r="FD17" i="16"/>
  <c r="FB17" i="16"/>
  <c r="EZ17" i="16"/>
  <c r="EX17" i="16"/>
  <c r="EV17" i="16"/>
  <c r="ET17" i="16"/>
  <c r="ER17" i="16"/>
  <c r="EP17" i="16"/>
  <c r="EN17" i="16"/>
  <c r="EL17" i="16"/>
  <c r="EJ17" i="16"/>
  <c r="EH17" i="16"/>
  <c r="EF17" i="16"/>
  <c r="ED17" i="16"/>
  <c r="EB17" i="16"/>
  <c r="DZ17" i="16"/>
  <c r="DX17" i="16"/>
  <c r="DV17" i="16"/>
  <c r="DT17" i="16"/>
  <c r="DR17" i="16"/>
  <c r="DP17" i="16"/>
  <c r="DN17" i="16"/>
  <c r="DE17" i="16"/>
  <c r="DC17" i="16"/>
  <c r="DA17" i="16"/>
  <c r="CY17" i="16"/>
  <c r="CW17" i="16"/>
  <c r="CU17" i="16"/>
  <c r="CS17" i="16"/>
  <c r="CQ17" i="16"/>
  <c r="CO17" i="16"/>
  <c r="CM17" i="16"/>
  <c r="CK17" i="16"/>
  <c r="CI17" i="16"/>
  <c r="CG17" i="16"/>
  <c r="CE17" i="16"/>
  <c r="CC17" i="16"/>
  <c r="CA17" i="16"/>
  <c r="BY17" i="16"/>
  <c r="BW17" i="16"/>
  <c r="BU17" i="16"/>
  <c r="BS17" i="16"/>
  <c r="BQ17" i="16"/>
  <c r="BO17" i="16"/>
  <c r="BM17" i="16"/>
  <c r="BK17" i="16"/>
  <c r="BB17" i="16"/>
  <c r="AZ17" i="16"/>
  <c r="AX17" i="16"/>
  <c r="AV17" i="16"/>
  <c r="AT17" i="16"/>
  <c r="AR17" i="16"/>
  <c r="AP17" i="16"/>
  <c r="AN17" i="16"/>
  <c r="AL17" i="16"/>
  <c r="AJ17" i="16"/>
  <c r="AH17" i="16"/>
  <c r="AF17" i="16"/>
  <c r="AD17" i="16"/>
  <c r="AB17" i="16"/>
  <c r="Z17" i="16"/>
  <c r="X17" i="16"/>
  <c r="V17" i="16"/>
  <c r="T17" i="16"/>
  <c r="R17" i="16"/>
  <c r="P17" i="16"/>
  <c r="N17" i="16"/>
  <c r="L17" i="16"/>
  <c r="J17" i="16"/>
  <c r="H17" i="16"/>
  <c r="FU16" i="16"/>
  <c r="FR16" i="16"/>
  <c r="FH16" i="16"/>
  <c r="FF16" i="16"/>
  <c r="FD16" i="16"/>
  <c r="FB16" i="16"/>
  <c r="EZ16" i="16"/>
  <c r="EX16" i="16"/>
  <c r="EV16" i="16"/>
  <c r="ET16" i="16"/>
  <c r="ER16" i="16"/>
  <c r="EP16" i="16"/>
  <c r="EN16" i="16"/>
  <c r="EL16" i="16"/>
  <c r="EJ16" i="16"/>
  <c r="EH16" i="16"/>
  <c r="EF16" i="16"/>
  <c r="ED16" i="16"/>
  <c r="EB16" i="16"/>
  <c r="DZ16" i="16"/>
  <c r="DX16" i="16"/>
  <c r="DV16" i="16"/>
  <c r="DT16" i="16"/>
  <c r="DR16" i="16"/>
  <c r="DP16" i="16"/>
  <c r="DN16" i="16"/>
  <c r="DE16" i="16"/>
  <c r="DC16" i="16"/>
  <c r="DA16" i="16"/>
  <c r="CY16" i="16"/>
  <c r="CW16" i="16"/>
  <c r="CU16" i="16"/>
  <c r="CS16" i="16"/>
  <c r="CQ16" i="16"/>
  <c r="CO16" i="16"/>
  <c r="CM16" i="16"/>
  <c r="CK16" i="16"/>
  <c r="CI16" i="16"/>
  <c r="CG16" i="16"/>
  <c r="CE16" i="16"/>
  <c r="CC16" i="16"/>
  <c r="CA16" i="16"/>
  <c r="BY16" i="16"/>
  <c r="BW16" i="16"/>
  <c r="BU16" i="16"/>
  <c r="BS16" i="16"/>
  <c r="BQ16" i="16"/>
  <c r="BO16" i="16"/>
  <c r="BM16" i="16"/>
  <c r="BK16" i="16"/>
  <c r="BB16" i="16"/>
  <c r="AZ16" i="16"/>
  <c r="AX16" i="16"/>
  <c r="AV16" i="16"/>
  <c r="AT16" i="16"/>
  <c r="AR16" i="16"/>
  <c r="AP16" i="16"/>
  <c r="AN16" i="16"/>
  <c r="AL16" i="16"/>
  <c r="AJ16" i="16"/>
  <c r="AH16" i="16"/>
  <c r="AF16" i="16"/>
  <c r="AD16" i="16"/>
  <c r="AB16" i="16"/>
  <c r="Z16" i="16"/>
  <c r="X16" i="16"/>
  <c r="V16" i="16"/>
  <c r="T16" i="16"/>
  <c r="R16" i="16"/>
  <c r="P16" i="16"/>
  <c r="N16" i="16"/>
  <c r="L16" i="16"/>
  <c r="J16" i="16"/>
  <c r="H16" i="16"/>
  <c r="DM68" i="16"/>
  <c r="BJ68" i="16"/>
  <c r="FU26" i="16"/>
  <c r="FR26" i="16"/>
  <c r="FH26" i="16"/>
  <c r="FF26" i="16"/>
  <c r="FD26" i="16"/>
  <c r="FB26" i="16"/>
  <c r="EZ26" i="16"/>
  <c r="EX26" i="16"/>
  <c r="EV26" i="16"/>
  <c r="ET26" i="16"/>
  <c r="ER26" i="16"/>
  <c r="EP26" i="16"/>
  <c r="EN26" i="16"/>
  <c r="EL26" i="16"/>
  <c r="EJ26" i="16"/>
  <c r="EH26" i="16"/>
  <c r="EF26" i="16"/>
  <c r="ED26" i="16"/>
  <c r="EB26" i="16"/>
  <c r="DZ26" i="16"/>
  <c r="DX26" i="16"/>
  <c r="DV26" i="16"/>
  <c r="DT26" i="16"/>
  <c r="DR26" i="16"/>
  <c r="DP26" i="16"/>
  <c r="DN26" i="16"/>
  <c r="DE26" i="16"/>
  <c r="DC26" i="16"/>
  <c r="DA26" i="16"/>
  <c r="CY26" i="16"/>
  <c r="CW26" i="16"/>
  <c r="CU26" i="16"/>
  <c r="CS26" i="16"/>
  <c r="CQ26" i="16"/>
  <c r="CO26" i="16"/>
  <c r="CM26" i="16"/>
  <c r="CK26" i="16"/>
  <c r="CI26" i="16"/>
  <c r="CG26" i="16"/>
  <c r="CE26" i="16"/>
  <c r="CC26" i="16"/>
  <c r="CA26" i="16"/>
  <c r="BY26" i="16"/>
  <c r="BW26" i="16"/>
  <c r="BU26" i="16"/>
  <c r="BS26" i="16"/>
  <c r="BQ26" i="16"/>
  <c r="BO26" i="16"/>
  <c r="BM26" i="16"/>
  <c r="BK26" i="16"/>
  <c r="BB26" i="16"/>
  <c r="AZ26" i="16"/>
  <c r="AX26" i="16"/>
  <c r="AV26" i="16"/>
  <c r="AT26" i="16"/>
  <c r="AR26" i="16"/>
  <c r="AP26" i="16"/>
  <c r="AN26" i="16"/>
  <c r="AL26" i="16"/>
  <c r="AJ26" i="16"/>
  <c r="AH26" i="16"/>
  <c r="AF26" i="16"/>
  <c r="AD26" i="16"/>
  <c r="AB26" i="16"/>
  <c r="Z26" i="16"/>
  <c r="X26" i="16"/>
  <c r="V26" i="16"/>
  <c r="T26" i="16"/>
  <c r="R26" i="16"/>
  <c r="P26" i="16"/>
  <c r="N26" i="16"/>
  <c r="L26" i="16"/>
  <c r="J26" i="16"/>
  <c r="H26" i="16"/>
  <c r="FU14" i="16"/>
  <c r="FR14" i="16"/>
  <c r="FH14" i="16"/>
  <c r="FF14" i="16"/>
  <c r="FD14" i="16"/>
  <c r="FB14" i="16"/>
  <c r="EZ14" i="16"/>
  <c r="EX14" i="16"/>
  <c r="EV14" i="16"/>
  <c r="ET14" i="16"/>
  <c r="ER14" i="16"/>
  <c r="EP14" i="16"/>
  <c r="EN14" i="16"/>
  <c r="EL14" i="16"/>
  <c r="EJ14" i="16"/>
  <c r="EH14" i="16"/>
  <c r="EF14" i="16"/>
  <c r="ED14" i="16"/>
  <c r="EB14" i="16"/>
  <c r="DZ14" i="16"/>
  <c r="DX14" i="16"/>
  <c r="DV14" i="16"/>
  <c r="DT14" i="16"/>
  <c r="DR14" i="16"/>
  <c r="DP14" i="16"/>
  <c r="DN14" i="16"/>
  <c r="DE14" i="16"/>
  <c r="DC14" i="16"/>
  <c r="DA14" i="16"/>
  <c r="CY14" i="16"/>
  <c r="CW14" i="16"/>
  <c r="CU14" i="16"/>
  <c r="CS14" i="16"/>
  <c r="CQ14" i="16"/>
  <c r="CO14" i="16"/>
  <c r="CM14" i="16"/>
  <c r="CK14" i="16"/>
  <c r="CI14" i="16"/>
  <c r="CG14" i="16"/>
  <c r="CE14" i="16"/>
  <c r="CC14" i="16"/>
  <c r="CA14" i="16"/>
  <c r="BY14" i="16"/>
  <c r="BW14" i="16"/>
  <c r="BU14" i="16"/>
  <c r="BS14" i="16"/>
  <c r="BQ14" i="16"/>
  <c r="BO14" i="16"/>
  <c r="BM14" i="16"/>
  <c r="BK14" i="16"/>
  <c r="BB14" i="16"/>
  <c r="AZ14" i="16"/>
  <c r="AX14" i="16"/>
  <c r="AV14" i="16"/>
  <c r="AT14" i="16"/>
  <c r="AR14" i="16"/>
  <c r="AP14" i="16"/>
  <c r="AN14" i="16"/>
  <c r="AL14" i="16"/>
  <c r="AJ14" i="16"/>
  <c r="AH14" i="16"/>
  <c r="AF14" i="16"/>
  <c r="AD14" i="16"/>
  <c r="AB14" i="16"/>
  <c r="Z14" i="16"/>
  <c r="X14" i="16"/>
  <c r="V14" i="16"/>
  <c r="T14" i="16"/>
  <c r="R14" i="16"/>
  <c r="P14" i="16"/>
  <c r="N14" i="16"/>
  <c r="L14" i="16"/>
  <c r="J14" i="16"/>
  <c r="H14" i="16"/>
  <c r="FE1" i="16"/>
  <c r="DB1" i="16"/>
  <c r="FU23" i="15"/>
  <c r="FR23" i="15"/>
  <c r="FH23" i="15"/>
  <c r="FF23" i="15"/>
  <c r="FD23" i="15"/>
  <c r="FB23" i="15"/>
  <c r="EZ23" i="15"/>
  <c r="EX23" i="15"/>
  <c r="EV23" i="15"/>
  <c r="ET23" i="15"/>
  <c r="ER23" i="15"/>
  <c r="EP23" i="15"/>
  <c r="EN23" i="15"/>
  <c r="EL23" i="15"/>
  <c r="EJ23" i="15"/>
  <c r="EH23" i="15"/>
  <c r="EF23" i="15"/>
  <c r="ED23" i="15"/>
  <c r="EB23" i="15"/>
  <c r="DZ23" i="15"/>
  <c r="DX23" i="15"/>
  <c r="DV23" i="15"/>
  <c r="DT23" i="15"/>
  <c r="DR23" i="15"/>
  <c r="DP23" i="15"/>
  <c r="DN23" i="15"/>
  <c r="DE23" i="15"/>
  <c r="DC23" i="15"/>
  <c r="DA23" i="15"/>
  <c r="CY23" i="15"/>
  <c r="CW23" i="15"/>
  <c r="CU23" i="15"/>
  <c r="CS23" i="15"/>
  <c r="CQ23" i="15"/>
  <c r="CO23" i="15"/>
  <c r="CM23" i="15"/>
  <c r="CK23" i="15"/>
  <c r="CI23" i="15"/>
  <c r="CG23" i="15"/>
  <c r="CE23" i="15"/>
  <c r="CC23" i="15"/>
  <c r="CA23" i="15"/>
  <c r="BY23" i="15"/>
  <c r="BW23" i="15"/>
  <c r="BU23" i="15"/>
  <c r="BS23" i="15"/>
  <c r="BQ23" i="15"/>
  <c r="BO23" i="15"/>
  <c r="BM23" i="15"/>
  <c r="BK23" i="15"/>
  <c r="BB23" i="15"/>
  <c r="AZ23" i="15"/>
  <c r="AX23" i="15"/>
  <c r="AV23" i="15"/>
  <c r="AT23" i="15"/>
  <c r="AR23" i="15"/>
  <c r="AP23" i="15"/>
  <c r="AN23" i="15"/>
  <c r="AL23" i="15"/>
  <c r="AJ23" i="15"/>
  <c r="AH23" i="15"/>
  <c r="AF23" i="15"/>
  <c r="AD23" i="15"/>
  <c r="AB23" i="15"/>
  <c r="Z23" i="15"/>
  <c r="X23" i="15"/>
  <c r="V23" i="15"/>
  <c r="T23" i="15"/>
  <c r="R23" i="15"/>
  <c r="P23" i="15"/>
  <c r="N23" i="15"/>
  <c r="L23" i="15"/>
  <c r="J23" i="15"/>
  <c r="H23" i="15"/>
  <c r="FU22" i="15"/>
  <c r="FR22" i="15"/>
  <c r="FH22" i="15"/>
  <c r="FF22" i="15"/>
  <c r="FD22" i="15"/>
  <c r="FB22" i="15"/>
  <c r="EZ22" i="15"/>
  <c r="EX22" i="15"/>
  <c r="EV22" i="15"/>
  <c r="ET22" i="15"/>
  <c r="ER22" i="15"/>
  <c r="EP22" i="15"/>
  <c r="EN22" i="15"/>
  <c r="EL22" i="15"/>
  <c r="EJ22" i="15"/>
  <c r="EH22" i="15"/>
  <c r="EF22" i="15"/>
  <c r="ED22" i="15"/>
  <c r="EB22" i="15"/>
  <c r="DZ22" i="15"/>
  <c r="DX22" i="15"/>
  <c r="DV22" i="15"/>
  <c r="DT22" i="15"/>
  <c r="DR22" i="15"/>
  <c r="DP22" i="15"/>
  <c r="DN22" i="15"/>
  <c r="DE22" i="15"/>
  <c r="DC22" i="15"/>
  <c r="DA22" i="15"/>
  <c r="CY22" i="15"/>
  <c r="CW22" i="15"/>
  <c r="CU22" i="15"/>
  <c r="CS22" i="15"/>
  <c r="CQ22" i="15"/>
  <c r="CO22" i="15"/>
  <c r="CM22" i="15"/>
  <c r="CK22" i="15"/>
  <c r="CI22" i="15"/>
  <c r="CG22" i="15"/>
  <c r="CE22" i="15"/>
  <c r="CC22" i="15"/>
  <c r="CA22" i="15"/>
  <c r="BY22" i="15"/>
  <c r="BW22" i="15"/>
  <c r="BU22" i="15"/>
  <c r="BS22" i="15"/>
  <c r="BQ22" i="15"/>
  <c r="BO22" i="15"/>
  <c r="BM22" i="15"/>
  <c r="BK22" i="15"/>
  <c r="BB22" i="15"/>
  <c r="AZ22" i="15"/>
  <c r="AX22" i="15"/>
  <c r="AV22" i="15"/>
  <c r="AT22" i="15"/>
  <c r="AR22" i="15"/>
  <c r="AP22" i="15"/>
  <c r="AN22" i="15"/>
  <c r="AL22" i="15"/>
  <c r="AJ22" i="15"/>
  <c r="AH22" i="15"/>
  <c r="AF22" i="15"/>
  <c r="AD22" i="15"/>
  <c r="AB22" i="15"/>
  <c r="Z22" i="15"/>
  <c r="X22" i="15"/>
  <c r="V22" i="15"/>
  <c r="T22" i="15"/>
  <c r="R22" i="15"/>
  <c r="P22" i="15"/>
  <c r="N22" i="15"/>
  <c r="L22" i="15"/>
  <c r="J22" i="15"/>
  <c r="H22" i="15"/>
  <c r="FU21" i="15"/>
  <c r="FR21" i="15"/>
  <c r="FH21" i="15"/>
  <c r="FF21" i="15"/>
  <c r="FD21" i="15"/>
  <c r="FB21" i="15"/>
  <c r="EZ21" i="15"/>
  <c r="EX21" i="15"/>
  <c r="EV21" i="15"/>
  <c r="ET21" i="15"/>
  <c r="ER21" i="15"/>
  <c r="EP21" i="15"/>
  <c r="EN21" i="15"/>
  <c r="EL21" i="15"/>
  <c r="EJ21" i="15"/>
  <c r="EH21" i="15"/>
  <c r="EF21" i="15"/>
  <c r="ED21" i="15"/>
  <c r="EB21" i="15"/>
  <c r="DZ21" i="15"/>
  <c r="DX21" i="15"/>
  <c r="DV21" i="15"/>
  <c r="DT21" i="15"/>
  <c r="DR21" i="15"/>
  <c r="DP21" i="15"/>
  <c r="DN21" i="15"/>
  <c r="DE21" i="15"/>
  <c r="DC21" i="15"/>
  <c r="DA21" i="15"/>
  <c r="CY21" i="15"/>
  <c r="CW21" i="15"/>
  <c r="CU21" i="15"/>
  <c r="CS21" i="15"/>
  <c r="CQ21" i="15"/>
  <c r="CO21" i="15"/>
  <c r="CM21" i="15"/>
  <c r="CK21" i="15"/>
  <c r="CI21" i="15"/>
  <c r="CG21" i="15"/>
  <c r="CE21" i="15"/>
  <c r="CC21" i="15"/>
  <c r="CA21" i="15"/>
  <c r="BY21" i="15"/>
  <c r="BW21" i="15"/>
  <c r="BU21" i="15"/>
  <c r="BS21" i="15"/>
  <c r="BQ21" i="15"/>
  <c r="BO21" i="15"/>
  <c r="BM21" i="15"/>
  <c r="BK21" i="15"/>
  <c r="BB21" i="15"/>
  <c r="AZ21" i="15"/>
  <c r="AX21" i="15"/>
  <c r="AV21" i="15"/>
  <c r="AT21" i="15"/>
  <c r="AR21" i="15"/>
  <c r="AP21" i="15"/>
  <c r="AN21" i="15"/>
  <c r="AL21" i="15"/>
  <c r="AJ21" i="15"/>
  <c r="AH21" i="15"/>
  <c r="AF21" i="15"/>
  <c r="AD21" i="15"/>
  <c r="AB21" i="15"/>
  <c r="Z21" i="15"/>
  <c r="X21" i="15"/>
  <c r="V21" i="15"/>
  <c r="T21" i="15"/>
  <c r="R21" i="15"/>
  <c r="P21" i="15"/>
  <c r="N21" i="15"/>
  <c r="L21" i="15"/>
  <c r="J21" i="15"/>
  <c r="H21" i="15"/>
  <c r="FU20" i="15"/>
  <c r="FR20" i="15"/>
  <c r="FH20" i="15"/>
  <c r="FF20" i="15"/>
  <c r="FD20" i="15"/>
  <c r="FB20" i="15"/>
  <c r="EZ20" i="15"/>
  <c r="EX20" i="15"/>
  <c r="EV20" i="15"/>
  <c r="ET20" i="15"/>
  <c r="ER20" i="15"/>
  <c r="EP20" i="15"/>
  <c r="EN20" i="15"/>
  <c r="EL20" i="15"/>
  <c r="EJ20" i="15"/>
  <c r="EH20" i="15"/>
  <c r="EF20" i="15"/>
  <c r="ED20" i="15"/>
  <c r="EB20" i="15"/>
  <c r="DZ20" i="15"/>
  <c r="DX20" i="15"/>
  <c r="DV20" i="15"/>
  <c r="DT20" i="15"/>
  <c r="DR20" i="15"/>
  <c r="DP20" i="15"/>
  <c r="DN20" i="15"/>
  <c r="DE20" i="15"/>
  <c r="DC20" i="15"/>
  <c r="DA20" i="15"/>
  <c r="CY20" i="15"/>
  <c r="CW20" i="15"/>
  <c r="CU20" i="15"/>
  <c r="CS20" i="15"/>
  <c r="CQ20" i="15"/>
  <c r="CO20" i="15"/>
  <c r="CM20" i="15"/>
  <c r="CK20" i="15"/>
  <c r="CI20" i="15"/>
  <c r="CG20" i="15"/>
  <c r="CE20" i="15"/>
  <c r="CC20" i="15"/>
  <c r="CA20" i="15"/>
  <c r="BY20" i="15"/>
  <c r="BW20" i="15"/>
  <c r="BU20" i="15"/>
  <c r="BS20" i="15"/>
  <c r="BQ20" i="15"/>
  <c r="BO20" i="15"/>
  <c r="BM20" i="15"/>
  <c r="BK20" i="15"/>
  <c r="BB20" i="15"/>
  <c r="AZ20" i="15"/>
  <c r="AX20" i="15"/>
  <c r="AV20" i="15"/>
  <c r="AT20" i="15"/>
  <c r="AR20" i="15"/>
  <c r="AP20" i="15"/>
  <c r="AN20" i="15"/>
  <c r="AL20" i="15"/>
  <c r="AJ20" i="15"/>
  <c r="AH20" i="15"/>
  <c r="AF20" i="15"/>
  <c r="AD20" i="15"/>
  <c r="AB20" i="15"/>
  <c r="Z20" i="15"/>
  <c r="X20" i="15"/>
  <c r="V20" i="15"/>
  <c r="T20" i="15"/>
  <c r="R20" i="15"/>
  <c r="P20" i="15"/>
  <c r="N20" i="15"/>
  <c r="L20" i="15"/>
  <c r="J20" i="15"/>
  <c r="H20" i="15"/>
  <c r="FU19" i="15"/>
  <c r="FR19" i="15"/>
  <c r="FH19" i="15"/>
  <c r="FF19" i="15"/>
  <c r="FD19" i="15"/>
  <c r="FB19" i="15"/>
  <c r="EZ19" i="15"/>
  <c r="EX19" i="15"/>
  <c r="EV19" i="15"/>
  <c r="ET19" i="15"/>
  <c r="ER19" i="15"/>
  <c r="EP19" i="15"/>
  <c r="EN19" i="15"/>
  <c r="EL19" i="15"/>
  <c r="EJ19" i="15"/>
  <c r="EH19" i="15"/>
  <c r="EF19" i="15"/>
  <c r="ED19" i="15"/>
  <c r="EB19" i="15"/>
  <c r="DZ19" i="15"/>
  <c r="DX19" i="15"/>
  <c r="DV19" i="15"/>
  <c r="DT19" i="15"/>
  <c r="DR19" i="15"/>
  <c r="DP19" i="15"/>
  <c r="DN19" i="15"/>
  <c r="DE19" i="15"/>
  <c r="DC19" i="15"/>
  <c r="DA19" i="15"/>
  <c r="CY19" i="15"/>
  <c r="CW19" i="15"/>
  <c r="CU19" i="15"/>
  <c r="CS19" i="15"/>
  <c r="CQ19" i="15"/>
  <c r="CO19" i="15"/>
  <c r="CM19" i="15"/>
  <c r="CK19" i="15"/>
  <c r="CI19" i="15"/>
  <c r="CG19" i="15"/>
  <c r="CE19" i="15"/>
  <c r="CC19" i="15"/>
  <c r="CA19" i="15"/>
  <c r="BY19" i="15"/>
  <c r="BW19" i="15"/>
  <c r="BU19" i="15"/>
  <c r="BS19" i="15"/>
  <c r="BQ19" i="15"/>
  <c r="BO19" i="15"/>
  <c r="BM19" i="15"/>
  <c r="BK19" i="15"/>
  <c r="BB19" i="15"/>
  <c r="AZ19" i="15"/>
  <c r="AX19" i="15"/>
  <c r="AV19" i="15"/>
  <c r="AT19" i="15"/>
  <c r="AR19" i="15"/>
  <c r="AP19" i="15"/>
  <c r="AN19" i="15"/>
  <c r="AL19" i="15"/>
  <c r="AJ19" i="15"/>
  <c r="AH19" i="15"/>
  <c r="AF19" i="15"/>
  <c r="AD19" i="15"/>
  <c r="AB19" i="15"/>
  <c r="Z19" i="15"/>
  <c r="X19" i="15"/>
  <c r="V19" i="15"/>
  <c r="T19" i="15"/>
  <c r="R19" i="15"/>
  <c r="P19" i="15"/>
  <c r="N19" i="15"/>
  <c r="L19" i="15"/>
  <c r="J19" i="15"/>
  <c r="H19" i="15"/>
  <c r="FH10" i="15"/>
  <c r="FF10" i="15"/>
  <c r="FD10" i="15"/>
  <c r="FB10" i="15"/>
  <c r="EZ10" i="15"/>
  <c r="EX10" i="15"/>
  <c r="EV10" i="15"/>
  <c r="ET10" i="15"/>
  <c r="ER10" i="15"/>
  <c r="EP10" i="15"/>
  <c r="EN10" i="15"/>
  <c r="EL10" i="15"/>
  <c r="EJ10" i="15"/>
  <c r="EH10" i="15"/>
  <c r="EF10" i="15"/>
  <c r="ED10" i="15"/>
  <c r="EB10" i="15"/>
  <c r="DZ10" i="15"/>
  <c r="DX10" i="15"/>
  <c r="DV10" i="15"/>
  <c r="DT10" i="15"/>
  <c r="DR10" i="15"/>
  <c r="DP10" i="15"/>
  <c r="DN10" i="15"/>
  <c r="DE10" i="15"/>
  <c r="DC10" i="15"/>
  <c r="DA10" i="15"/>
  <c r="CY10" i="15"/>
  <c r="CW10" i="15"/>
  <c r="CU10" i="15"/>
  <c r="CS10" i="15"/>
  <c r="CQ10" i="15"/>
  <c r="CO10" i="15"/>
  <c r="CM10" i="15"/>
  <c r="CK10" i="15"/>
  <c r="CI10" i="15"/>
  <c r="CG10" i="15"/>
  <c r="CE10" i="15"/>
  <c r="CC10" i="15"/>
  <c r="CA10" i="15"/>
  <c r="BY10" i="15"/>
  <c r="BW10" i="15"/>
  <c r="BU10" i="15"/>
  <c r="BS10" i="15"/>
  <c r="BQ10" i="15"/>
  <c r="BO10" i="15"/>
  <c r="BM10" i="15"/>
  <c r="BK10" i="15"/>
  <c r="BB10" i="15"/>
  <c r="AZ10" i="15"/>
  <c r="AX10" i="15"/>
  <c r="AV10" i="15"/>
  <c r="AT10" i="15"/>
  <c r="AR10" i="15"/>
  <c r="AP10" i="15"/>
  <c r="AN10" i="15"/>
  <c r="AL10" i="15"/>
  <c r="AJ10" i="15"/>
  <c r="AH10" i="15"/>
  <c r="AF10" i="15"/>
  <c r="AD10" i="15"/>
  <c r="AB10" i="15"/>
  <c r="Z10" i="15"/>
  <c r="X10" i="15"/>
  <c r="V10" i="15"/>
  <c r="T10" i="15"/>
  <c r="R10" i="15"/>
  <c r="P10" i="15"/>
  <c r="N10" i="15"/>
  <c r="L10" i="15"/>
  <c r="J10" i="15"/>
  <c r="H10" i="15"/>
  <c r="D10" i="15"/>
  <c r="FU18" i="15"/>
  <c r="FR18" i="15"/>
  <c r="FH18" i="15"/>
  <c r="FF18" i="15"/>
  <c r="FD18" i="15"/>
  <c r="FB18" i="15"/>
  <c r="EZ18" i="15"/>
  <c r="EX18" i="15"/>
  <c r="EV18" i="15"/>
  <c r="ET18" i="15"/>
  <c r="ER18" i="15"/>
  <c r="EP18" i="15"/>
  <c r="EN18" i="15"/>
  <c r="EL18" i="15"/>
  <c r="EJ18" i="15"/>
  <c r="EH18" i="15"/>
  <c r="EF18" i="15"/>
  <c r="ED18" i="15"/>
  <c r="EB18" i="15"/>
  <c r="DZ18" i="15"/>
  <c r="DX18" i="15"/>
  <c r="DV18" i="15"/>
  <c r="DT18" i="15"/>
  <c r="DR18" i="15"/>
  <c r="DP18" i="15"/>
  <c r="DN18" i="15"/>
  <c r="DE18" i="15"/>
  <c r="DC18" i="15"/>
  <c r="DA18" i="15"/>
  <c r="CY18" i="15"/>
  <c r="CW18" i="15"/>
  <c r="CU18" i="15"/>
  <c r="CS18" i="15"/>
  <c r="CQ18" i="15"/>
  <c r="CO18" i="15"/>
  <c r="CM18" i="15"/>
  <c r="CK18" i="15"/>
  <c r="CI18" i="15"/>
  <c r="CG18" i="15"/>
  <c r="CE18" i="15"/>
  <c r="CC18" i="15"/>
  <c r="CA18" i="15"/>
  <c r="BY18" i="15"/>
  <c r="BW18" i="15"/>
  <c r="BU18" i="15"/>
  <c r="BS18" i="15"/>
  <c r="BQ18" i="15"/>
  <c r="BO18" i="15"/>
  <c r="BM18" i="15"/>
  <c r="BK18" i="15"/>
  <c r="BB18" i="15"/>
  <c r="AZ18" i="15"/>
  <c r="AX18" i="15"/>
  <c r="AV18" i="15"/>
  <c r="AT18" i="15"/>
  <c r="AR18" i="15"/>
  <c r="AP18" i="15"/>
  <c r="AN18" i="15"/>
  <c r="AL18" i="15"/>
  <c r="AJ18" i="15"/>
  <c r="AH18" i="15"/>
  <c r="AF18" i="15"/>
  <c r="AD18" i="15"/>
  <c r="AB18" i="15"/>
  <c r="Z18" i="15"/>
  <c r="X18" i="15"/>
  <c r="V18" i="15"/>
  <c r="T18" i="15"/>
  <c r="R18" i="15"/>
  <c r="P18" i="15"/>
  <c r="N18" i="15"/>
  <c r="L18" i="15"/>
  <c r="J18" i="15"/>
  <c r="H18" i="15"/>
  <c r="FU17" i="15"/>
  <c r="FR17" i="15"/>
  <c r="FH17" i="15"/>
  <c r="FF17" i="15"/>
  <c r="FD17" i="15"/>
  <c r="FB17" i="15"/>
  <c r="EZ17" i="15"/>
  <c r="EX17" i="15"/>
  <c r="EV17" i="15"/>
  <c r="ET17" i="15"/>
  <c r="ER17" i="15"/>
  <c r="EP17" i="15"/>
  <c r="EN17" i="15"/>
  <c r="EL17" i="15"/>
  <c r="EJ17" i="15"/>
  <c r="EH17" i="15"/>
  <c r="EF17" i="15"/>
  <c r="ED17" i="15"/>
  <c r="EB17" i="15"/>
  <c r="DZ17" i="15"/>
  <c r="DX17" i="15"/>
  <c r="DV17" i="15"/>
  <c r="DT17" i="15"/>
  <c r="DR17" i="15"/>
  <c r="DP17" i="15"/>
  <c r="DN17" i="15"/>
  <c r="DE17" i="15"/>
  <c r="DC17" i="15"/>
  <c r="DA17" i="15"/>
  <c r="CY17" i="15"/>
  <c r="CW17" i="15"/>
  <c r="CU17" i="15"/>
  <c r="CS17" i="15"/>
  <c r="CQ17" i="15"/>
  <c r="CO17" i="15"/>
  <c r="CM17" i="15"/>
  <c r="CK17" i="15"/>
  <c r="CI17" i="15"/>
  <c r="CG17" i="15"/>
  <c r="CE17" i="15"/>
  <c r="CC17" i="15"/>
  <c r="CA17" i="15"/>
  <c r="BY17" i="15"/>
  <c r="BW17" i="15"/>
  <c r="BU17" i="15"/>
  <c r="BS17" i="15"/>
  <c r="BQ17" i="15"/>
  <c r="BO17" i="15"/>
  <c r="BM17" i="15"/>
  <c r="BK17" i="15"/>
  <c r="BB17" i="15"/>
  <c r="AZ17" i="15"/>
  <c r="AX17" i="15"/>
  <c r="AV17" i="15"/>
  <c r="AT17" i="15"/>
  <c r="AR17" i="15"/>
  <c r="AP17" i="15"/>
  <c r="AN17" i="15"/>
  <c r="AL17" i="15"/>
  <c r="AJ17" i="15"/>
  <c r="AH17" i="15"/>
  <c r="AF17" i="15"/>
  <c r="AD17" i="15"/>
  <c r="AB17" i="15"/>
  <c r="Z17" i="15"/>
  <c r="X17" i="15"/>
  <c r="V17" i="15"/>
  <c r="T17" i="15"/>
  <c r="R17" i="15"/>
  <c r="P17" i="15"/>
  <c r="N17" i="15"/>
  <c r="L17" i="15"/>
  <c r="J17" i="15"/>
  <c r="H17" i="15"/>
  <c r="FU16" i="15"/>
  <c r="FR16" i="15"/>
  <c r="FH16" i="15"/>
  <c r="FF16" i="15"/>
  <c r="FD16" i="15"/>
  <c r="FB16" i="15"/>
  <c r="EZ16" i="15"/>
  <c r="EX16" i="15"/>
  <c r="EV16" i="15"/>
  <c r="ET16" i="15"/>
  <c r="ER16" i="15"/>
  <c r="EP16" i="15"/>
  <c r="EN16" i="15"/>
  <c r="EL16" i="15"/>
  <c r="EJ16" i="15"/>
  <c r="EH16" i="15"/>
  <c r="EF16" i="15"/>
  <c r="ED16" i="15"/>
  <c r="EB16" i="15"/>
  <c r="DZ16" i="15"/>
  <c r="DX16" i="15"/>
  <c r="DV16" i="15"/>
  <c r="DT16" i="15"/>
  <c r="DR16" i="15"/>
  <c r="DP16" i="15"/>
  <c r="DN16" i="15"/>
  <c r="DE16" i="15"/>
  <c r="DC16" i="15"/>
  <c r="DA16" i="15"/>
  <c r="CY16" i="15"/>
  <c r="CW16" i="15"/>
  <c r="CU16" i="15"/>
  <c r="CS16" i="15"/>
  <c r="CQ16" i="15"/>
  <c r="CO16" i="15"/>
  <c r="CM16" i="15"/>
  <c r="CK16" i="15"/>
  <c r="CI16" i="15"/>
  <c r="CG16" i="15"/>
  <c r="CE16" i="15"/>
  <c r="CC16" i="15"/>
  <c r="CA16" i="15"/>
  <c r="BY16" i="15"/>
  <c r="BW16" i="15"/>
  <c r="BU16" i="15"/>
  <c r="BS16" i="15"/>
  <c r="BQ16" i="15"/>
  <c r="BO16" i="15"/>
  <c r="BM16" i="15"/>
  <c r="BK16" i="15"/>
  <c r="BB16" i="15"/>
  <c r="AZ16" i="15"/>
  <c r="AX16" i="15"/>
  <c r="AV16" i="15"/>
  <c r="AT16" i="15"/>
  <c r="AR16" i="15"/>
  <c r="AP16" i="15"/>
  <c r="AN16" i="15"/>
  <c r="AL16" i="15"/>
  <c r="AJ16" i="15"/>
  <c r="AH16" i="15"/>
  <c r="AF16" i="15"/>
  <c r="AD16" i="15"/>
  <c r="AB16" i="15"/>
  <c r="Z16" i="15"/>
  <c r="X16" i="15"/>
  <c r="V16" i="15"/>
  <c r="T16" i="15"/>
  <c r="R16" i="15"/>
  <c r="P16" i="15"/>
  <c r="N16" i="15"/>
  <c r="L16" i="15"/>
  <c r="J16" i="15"/>
  <c r="H16" i="15"/>
  <c r="DM68" i="15"/>
  <c r="BJ68" i="15"/>
  <c r="FU26" i="15"/>
  <c r="FR26" i="15"/>
  <c r="FH26" i="15"/>
  <c r="FF26" i="15"/>
  <c r="FD26" i="15"/>
  <c r="FB26" i="15"/>
  <c r="EZ26" i="15"/>
  <c r="EX26" i="15"/>
  <c r="EV26" i="15"/>
  <c r="ET26" i="15"/>
  <c r="ER26" i="15"/>
  <c r="EP26" i="15"/>
  <c r="EN26" i="15"/>
  <c r="EL26" i="15"/>
  <c r="EJ26" i="15"/>
  <c r="EH26" i="15"/>
  <c r="EF26" i="15"/>
  <c r="ED26" i="15"/>
  <c r="EB26" i="15"/>
  <c r="DZ26" i="15"/>
  <c r="DX26" i="15"/>
  <c r="DV26" i="15"/>
  <c r="DT26" i="15"/>
  <c r="DR26" i="15"/>
  <c r="DP26" i="15"/>
  <c r="DN26" i="15"/>
  <c r="DE26" i="15"/>
  <c r="DC26" i="15"/>
  <c r="DA26" i="15"/>
  <c r="CY26" i="15"/>
  <c r="CW26" i="15"/>
  <c r="CU26" i="15"/>
  <c r="CS26" i="15"/>
  <c r="CQ26" i="15"/>
  <c r="CO26" i="15"/>
  <c r="CM26" i="15"/>
  <c r="CK26" i="15"/>
  <c r="CI26" i="15"/>
  <c r="CG26" i="15"/>
  <c r="CE26" i="15"/>
  <c r="CC26" i="15"/>
  <c r="CA26" i="15"/>
  <c r="BY26" i="15"/>
  <c r="BW26" i="15"/>
  <c r="BU26" i="15"/>
  <c r="BS26" i="15"/>
  <c r="BQ26" i="15"/>
  <c r="BO26" i="15"/>
  <c r="BM26" i="15"/>
  <c r="BK26" i="15"/>
  <c r="BB26" i="15"/>
  <c r="AZ26" i="15"/>
  <c r="AX26" i="15"/>
  <c r="AV26" i="15"/>
  <c r="AT26" i="15"/>
  <c r="AR26" i="15"/>
  <c r="AP26" i="15"/>
  <c r="AN26" i="15"/>
  <c r="AL26" i="15"/>
  <c r="AJ26" i="15"/>
  <c r="AH26" i="15"/>
  <c r="AF26" i="15"/>
  <c r="AD26" i="15"/>
  <c r="AB26" i="15"/>
  <c r="Z26" i="15"/>
  <c r="X26" i="15"/>
  <c r="V26" i="15"/>
  <c r="T26" i="15"/>
  <c r="R26" i="15"/>
  <c r="P26" i="15"/>
  <c r="N26" i="15"/>
  <c r="L26" i="15"/>
  <c r="J26" i="15"/>
  <c r="H26" i="15"/>
  <c r="FU14" i="15"/>
  <c r="FR14" i="15"/>
  <c r="FH14" i="15"/>
  <c r="FF14" i="15"/>
  <c r="FD14" i="15"/>
  <c r="FB14" i="15"/>
  <c r="EZ14" i="15"/>
  <c r="EX14" i="15"/>
  <c r="EV14" i="15"/>
  <c r="ET14" i="15"/>
  <c r="ER14" i="15"/>
  <c r="EP14" i="15"/>
  <c r="EN14" i="15"/>
  <c r="EL14" i="15"/>
  <c r="EJ14" i="15"/>
  <c r="EH14" i="15"/>
  <c r="EF14" i="15"/>
  <c r="ED14" i="15"/>
  <c r="EB14" i="15"/>
  <c r="DZ14" i="15"/>
  <c r="DX14" i="15"/>
  <c r="DV14" i="15"/>
  <c r="DT14" i="15"/>
  <c r="DR14" i="15"/>
  <c r="DP14" i="15"/>
  <c r="DN14" i="15"/>
  <c r="DE14" i="15"/>
  <c r="DC14" i="15"/>
  <c r="DA14" i="15"/>
  <c r="CY14" i="15"/>
  <c r="CW14" i="15"/>
  <c r="CU14" i="15"/>
  <c r="CS14" i="15"/>
  <c r="CQ14" i="15"/>
  <c r="CO14" i="15"/>
  <c r="CM14" i="15"/>
  <c r="CK14" i="15"/>
  <c r="CI14" i="15"/>
  <c r="CG14" i="15"/>
  <c r="CE14" i="15"/>
  <c r="CC14" i="15"/>
  <c r="CA14" i="15"/>
  <c r="BY14" i="15"/>
  <c r="BW14" i="15"/>
  <c r="BU14" i="15"/>
  <c r="BS14" i="15"/>
  <c r="BQ14" i="15"/>
  <c r="BO14" i="15"/>
  <c r="BM14" i="15"/>
  <c r="BK14" i="15"/>
  <c r="BB14" i="15"/>
  <c r="AZ14" i="15"/>
  <c r="AX14" i="15"/>
  <c r="AV14" i="15"/>
  <c r="AT14" i="15"/>
  <c r="AR14" i="15"/>
  <c r="AP14" i="15"/>
  <c r="AN14" i="15"/>
  <c r="AL14" i="15"/>
  <c r="AJ14" i="15"/>
  <c r="AH14" i="15"/>
  <c r="AF14" i="15"/>
  <c r="AD14" i="15"/>
  <c r="AB14" i="15"/>
  <c r="Z14" i="15"/>
  <c r="X14" i="15"/>
  <c r="V14" i="15"/>
  <c r="T14" i="15"/>
  <c r="R14" i="15"/>
  <c r="P14" i="15"/>
  <c r="N14" i="15"/>
  <c r="L14" i="15"/>
  <c r="J14" i="15"/>
  <c r="H14" i="15"/>
  <c r="FE1" i="15"/>
  <c r="DB1" i="15"/>
  <c r="FU19" i="14"/>
  <c r="FR19" i="14"/>
  <c r="FH19" i="14"/>
  <c r="FF19" i="14"/>
  <c r="FD19" i="14"/>
  <c r="FB19" i="14"/>
  <c r="EZ19" i="14"/>
  <c r="EX19" i="14"/>
  <c r="EV19" i="14"/>
  <c r="ET19" i="14"/>
  <c r="ER19" i="14"/>
  <c r="EP19" i="14"/>
  <c r="EN19" i="14"/>
  <c r="EL19" i="14"/>
  <c r="EJ19" i="14"/>
  <c r="EH19" i="14"/>
  <c r="EF19" i="14"/>
  <c r="ED19" i="14"/>
  <c r="EB19" i="14"/>
  <c r="DZ19" i="14"/>
  <c r="DX19" i="14"/>
  <c r="DV19" i="14"/>
  <c r="DT19" i="14"/>
  <c r="DR19" i="14"/>
  <c r="DP19" i="14"/>
  <c r="DN19" i="14"/>
  <c r="DE19" i="14"/>
  <c r="DC19" i="14"/>
  <c r="DA19" i="14"/>
  <c r="CY19" i="14"/>
  <c r="CW19" i="14"/>
  <c r="CU19" i="14"/>
  <c r="CS19" i="14"/>
  <c r="CQ19" i="14"/>
  <c r="CO19" i="14"/>
  <c r="CM19" i="14"/>
  <c r="CK19" i="14"/>
  <c r="CI19" i="14"/>
  <c r="CG19" i="14"/>
  <c r="CE19" i="14"/>
  <c r="CC19" i="14"/>
  <c r="CA19" i="14"/>
  <c r="BY19" i="14"/>
  <c r="BW19" i="14"/>
  <c r="BU19" i="14"/>
  <c r="BS19" i="14"/>
  <c r="BQ19" i="14"/>
  <c r="BO19" i="14"/>
  <c r="BM19" i="14"/>
  <c r="BK19" i="14"/>
  <c r="BB19" i="14"/>
  <c r="AZ19" i="14"/>
  <c r="AX19" i="14"/>
  <c r="AV19" i="14"/>
  <c r="AT19" i="14"/>
  <c r="AR19" i="14"/>
  <c r="AP19" i="14"/>
  <c r="AN19" i="14"/>
  <c r="AL19" i="14"/>
  <c r="AJ19" i="14"/>
  <c r="AH19" i="14"/>
  <c r="AF19" i="14"/>
  <c r="AD19" i="14"/>
  <c r="AB19" i="14"/>
  <c r="Z19" i="14"/>
  <c r="X19" i="14"/>
  <c r="V19" i="14"/>
  <c r="T19" i="14"/>
  <c r="R19" i="14"/>
  <c r="P19" i="14"/>
  <c r="N19" i="14"/>
  <c r="L19" i="14"/>
  <c r="J19" i="14"/>
  <c r="H19" i="14"/>
  <c r="FU18" i="14"/>
  <c r="FR18" i="14"/>
  <c r="FH18" i="14"/>
  <c r="FF18" i="14"/>
  <c r="FD18" i="14"/>
  <c r="FB18" i="14"/>
  <c r="EZ18" i="14"/>
  <c r="EX18" i="14"/>
  <c r="EV18" i="14"/>
  <c r="ET18" i="14"/>
  <c r="ER18" i="14"/>
  <c r="EP18" i="14"/>
  <c r="EN18" i="14"/>
  <c r="EL18" i="14"/>
  <c r="EJ18" i="14"/>
  <c r="EH18" i="14"/>
  <c r="EF18" i="14"/>
  <c r="ED18" i="14"/>
  <c r="EB18" i="14"/>
  <c r="DZ18" i="14"/>
  <c r="DX18" i="14"/>
  <c r="DV18" i="14"/>
  <c r="DT18" i="14"/>
  <c r="DR18" i="14"/>
  <c r="DP18" i="14"/>
  <c r="DN18" i="14"/>
  <c r="DE18" i="14"/>
  <c r="DC18" i="14"/>
  <c r="DA18" i="14"/>
  <c r="CY18" i="14"/>
  <c r="CW18" i="14"/>
  <c r="CU18" i="14"/>
  <c r="CS18" i="14"/>
  <c r="CQ18" i="14"/>
  <c r="CO18" i="14"/>
  <c r="CM18" i="14"/>
  <c r="CK18" i="14"/>
  <c r="CI18" i="14"/>
  <c r="CG18" i="14"/>
  <c r="CE18" i="14"/>
  <c r="CC18" i="14"/>
  <c r="CA18" i="14"/>
  <c r="BY18" i="14"/>
  <c r="BW18" i="14"/>
  <c r="BU18" i="14"/>
  <c r="BS18" i="14"/>
  <c r="BQ18" i="14"/>
  <c r="BO18" i="14"/>
  <c r="BM18" i="14"/>
  <c r="BK18" i="14"/>
  <c r="BB18" i="14"/>
  <c r="AZ18" i="14"/>
  <c r="AX18" i="14"/>
  <c r="AV18" i="14"/>
  <c r="AT18" i="14"/>
  <c r="AR18" i="14"/>
  <c r="AP18" i="14"/>
  <c r="AN18" i="14"/>
  <c r="AL18" i="14"/>
  <c r="AJ18" i="14"/>
  <c r="AH18" i="14"/>
  <c r="AF18" i="14"/>
  <c r="AD18" i="14"/>
  <c r="AB18" i="14"/>
  <c r="Z18" i="14"/>
  <c r="X18" i="14"/>
  <c r="V18" i="14"/>
  <c r="T18" i="14"/>
  <c r="R18" i="14"/>
  <c r="P18" i="14"/>
  <c r="N18" i="14"/>
  <c r="L18" i="14"/>
  <c r="J18" i="14"/>
  <c r="H18" i="14"/>
  <c r="FU17" i="14"/>
  <c r="FR17" i="14"/>
  <c r="FH17" i="14"/>
  <c r="FF17" i="14"/>
  <c r="FD17" i="14"/>
  <c r="FB17" i="14"/>
  <c r="EZ17" i="14"/>
  <c r="EX17" i="14"/>
  <c r="EV17" i="14"/>
  <c r="ET17" i="14"/>
  <c r="ER17" i="14"/>
  <c r="EP17" i="14"/>
  <c r="EN17" i="14"/>
  <c r="EL17" i="14"/>
  <c r="EJ17" i="14"/>
  <c r="EH17" i="14"/>
  <c r="EF17" i="14"/>
  <c r="ED17" i="14"/>
  <c r="EB17" i="14"/>
  <c r="DZ17" i="14"/>
  <c r="DX17" i="14"/>
  <c r="DV17" i="14"/>
  <c r="DT17" i="14"/>
  <c r="DR17" i="14"/>
  <c r="DP17" i="14"/>
  <c r="DN17" i="14"/>
  <c r="DE17" i="14"/>
  <c r="DC17" i="14"/>
  <c r="DA17" i="14"/>
  <c r="CY17" i="14"/>
  <c r="CW17" i="14"/>
  <c r="CU17" i="14"/>
  <c r="CS17" i="14"/>
  <c r="CQ17" i="14"/>
  <c r="CO17" i="14"/>
  <c r="CM17" i="14"/>
  <c r="CK17" i="14"/>
  <c r="CI17" i="14"/>
  <c r="CG17" i="14"/>
  <c r="CE17" i="14"/>
  <c r="CC17" i="14"/>
  <c r="CA17" i="14"/>
  <c r="BY17" i="14"/>
  <c r="BW17" i="14"/>
  <c r="BU17" i="14"/>
  <c r="BS17" i="14"/>
  <c r="BQ17" i="14"/>
  <c r="BO17" i="14"/>
  <c r="BM17" i="14"/>
  <c r="BK17" i="14"/>
  <c r="BB17" i="14"/>
  <c r="AZ17" i="14"/>
  <c r="AX17" i="14"/>
  <c r="AV17" i="14"/>
  <c r="AT17" i="14"/>
  <c r="AR17" i="14"/>
  <c r="AP17" i="14"/>
  <c r="AN17" i="14"/>
  <c r="AL17" i="14"/>
  <c r="AJ17" i="14"/>
  <c r="AH17" i="14"/>
  <c r="AF17" i="14"/>
  <c r="AD17" i="14"/>
  <c r="AB17" i="14"/>
  <c r="Z17" i="14"/>
  <c r="X17" i="14"/>
  <c r="V17" i="14"/>
  <c r="T17" i="14"/>
  <c r="R17" i="14"/>
  <c r="P17" i="14"/>
  <c r="N17" i="14"/>
  <c r="L17" i="14"/>
  <c r="J17" i="14"/>
  <c r="H17" i="14"/>
  <c r="FU16" i="14"/>
  <c r="FR16" i="14"/>
  <c r="FH16" i="14"/>
  <c r="FF16" i="14"/>
  <c r="FD16" i="14"/>
  <c r="FB16" i="14"/>
  <c r="EZ16" i="14"/>
  <c r="EX16" i="14"/>
  <c r="EV16" i="14"/>
  <c r="ET16" i="14"/>
  <c r="ER16" i="14"/>
  <c r="EP16" i="14"/>
  <c r="EN16" i="14"/>
  <c r="EL16" i="14"/>
  <c r="EJ16" i="14"/>
  <c r="EH16" i="14"/>
  <c r="EF16" i="14"/>
  <c r="ED16" i="14"/>
  <c r="EB16" i="14"/>
  <c r="DZ16" i="14"/>
  <c r="DX16" i="14"/>
  <c r="DV16" i="14"/>
  <c r="DT16" i="14"/>
  <c r="DR16" i="14"/>
  <c r="DP16" i="14"/>
  <c r="DN16" i="14"/>
  <c r="DE16" i="14"/>
  <c r="DC16" i="14"/>
  <c r="DA16" i="14"/>
  <c r="CY16" i="14"/>
  <c r="CW16" i="14"/>
  <c r="CU16" i="14"/>
  <c r="CS16" i="14"/>
  <c r="CQ16" i="14"/>
  <c r="CO16" i="14"/>
  <c r="CM16" i="14"/>
  <c r="CK16" i="14"/>
  <c r="CI16" i="14"/>
  <c r="CG16" i="14"/>
  <c r="CE16" i="14"/>
  <c r="CC16" i="14"/>
  <c r="CA16" i="14"/>
  <c r="BY16" i="14"/>
  <c r="BW16" i="14"/>
  <c r="BU16" i="14"/>
  <c r="BS16" i="14"/>
  <c r="BQ16" i="14"/>
  <c r="BO16" i="14"/>
  <c r="BM16" i="14"/>
  <c r="BK16" i="14"/>
  <c r="BB16" i="14"/>
  <c r="AZ16" i="14"/>
  <c r="AX16" i="14"/>
  <c r="AV16" i="14"/>
  <c r="AT16" i="14"/>
  <c r="AR16" i="14"/>
  <c r="AP16" i="14"/>
  <c r="AN16" i="14"/>
  <c r="AL16" i="14"/>
  <c r="AJ16" i="14"/>
  <c r="AH16" i="14"/>
  <c r="AF16" i="14"/>
  <c r="AD16" i="14"/>
  <c r="AB16" i="14"/>
  <c r="Z16" i="14"/>
  <c r="X16" i="14"/>
  <c r="V16" i="14"/>
  <c r="T16" i="14"/>
  <c r="R16" i="14"/>
  <c r="P16" i="14"/>
  <c r="N16" i="14"/>
  <c r="L16" i="14"/>
  <c r="J16" i="14"/>
  <c r="H16" i="14"/>
  <c r="DM68" i="14"/>
  <c r="BJ68" i="14"/>
  <c r="FU26" i="14"/>
  <c r="FR26" i="14"/>
  <c r="FH26" i="14"/>
  <c r="FF26" i="14"/>
  <c r="FD26" i="14"/>
  <c r="FB26" i="14"/>
  <c r="EZ26" i="14"/>
  <c r="EX26" i="14"/>
  <c r="EV26" i="14"/>
  <c r="ET26" i="14"/>
  <c r="ER26" i="14"/>
  <c r="EP26" i="14"/>
  <c r="EN26" i="14"/>
  <c r="EL26" i="14"/>
  <c r="EJ26" i="14"/>
  <c r="EH26" i="14"/>
  <c r="EF26" i="14"/>
  <c r="ED26" i="14"/>
  <c r="EB26" i="14"/>
  <c r="DZ26" i="14"/>
  <c r="DX26" i="14"/>
  <c r="DV26" i="14"/>
  <c r="DT26" i="14"/>
  <c r="DR26" i="14"/>
  <c r="DP26" i="14"/>
  <c r="DN26" i="14"/>
  <c r="DE26" i="14"/>
  <c r="DC26" i="14"/>
  <c r="DA26" i="14"/>
  <c r="CY26" i="14"/>
  <c r="CW26" i="14"/>
  <c r="CU26" i="14"/>
  <c r="CS26" i="14"/>
  <c r="CQ26" i="14"/>
  <c r="CO26" i="14"/>
  <c r="CM26" i="14"/>
  <c r="CK26" i="14"/>
  <c r="CI26" i="14"/>
  <c r="CG26" i="14"/>
  <c r="CE26" i="14"/>
  <c r="CC26" i="14"/>
  <c r="CA26" i="14"/>
  <c r="BY26" i="14"/>
  <c r="BW26" i="14"/>
  <c r="BU26" i="14"/>
  <c r="BS26" i="14"/>
  <c r="BQ26" i="14"/>
  <c r="BO26" i="14"/>
  <c r="BM26" i="14"/>
  <c r="BK26" i="14"/>
  <c r="BB26" i="14"/>
  <c r="AZ26" i="14"/>
  <c r="AX26" i="14"/>
  <c r="AV26" i="14"/>
  <c r="AT26" i="14"/>
  <c r="AR26" i="14"/>
  <c r="AP26" i="14"/>
  <c r="AN26" i="14"/>
  <c r="AL26" i="14"/>
  <c r="AJ26" i="14"/>
  <c r="AH26" i="14"/>
  <c r="AF26" i="14"/>
  <c r="AD26" i="14"/>
  <c r="AB26" i="14"/>
  <c r="Z26" i="14"/>
  <c r="X26" i="14"/>
  <c r="V26" i="14"/>
  <c r="T26" i="14"/>
  <c r="R26" i="14"/>
  <c r="P26" i="14"/>
  <c r="N26" i="14"/>
  <c r="L26" i="14"/>
  <c r="J26" i="14"/>
  <c r="H26" i="14"/>
  <c r="FU14" i="14"/>
  <c r="FR14" i="14"/>
  <c r="FH14" i="14"/>
  <c r="FF14" i="14"/>
  <c r="FD14" i="14"/>
  <c r="FB14" i="14"/>
  <c r="EZ14" i="14"/>
  <c r="EX14" i="14"/>
  <c r="EV14" i="14"/>
  <c r="ET14" i="14"/>
  <c r="ER14" i="14"/>
  <c r="EP14" i="14"/>
  <c r="EN14" i="14"/>
  <c r="EL14" i="14"/>
  <c r="EJ14" i="14"/>
  <c r="EH14" i="14"/>
  <c r="EF14" i="14"/>
  <c r="ED14" i="14"/>
  <c r="EB14" i="14"/>
  <c r="DZ14" i="14"/>
  <c r="DX14" i="14"/>
  <c r="DV14" i="14"/>
  <c r="DT14" i="14"/>
  <c r="DR14" i="14"/>
  <c r="DP14" i="14"/>
  <c r="DN14" i="14"/>
  <c r="DE14" i="14"/>
  <c r="DC14" i="14"/>
  <c r="DA14" i="14"/>
  <c r="CY14" i="14"/>
  <c r="CW14" i="14"/>
  <c r="CU14" i="14"/>
  <c r="CS14" i="14"/>
  <c r="CQ14" i="14"/>
  <c r="CO14" i="14"/>
  <c r="CM14" i="14"/>
  <c r="CK14" i="14"/>
  <c r="CI14" i="14"/>
  <c r="CG14" i="14"/>
  <c r="CE14" i="14"/>
  <c r="CC14" i="14"/>
  <c r="CA14" i="14"/>
  <c r="BY14" i="14"/>
  <c r="BW14" i="14"/>
  <c r="BU14" i="14"/>
  <c r="BS14" i="14"/>
  <c r="BQ14" i="14"/>
  <c r="BO14" i="14"/>
  <c r="BM14" i="14"/>
  <c r="BK14" i="14"/>
  <c r="BB14" i="14"/>
  <c r="AZ14" i="14"/>
  <c r="AX14" i="14"/>
  <c r="AV14" i="14"/>
  <c r="AT14" i="14"/>
  <c r="AR14" i="14"/>
  <c r="AP14" i="14"/>
  <c r="AN14" i="14"/>
  <c r="AL14" i="14"/>
  <c r="AJ14" i="14"/>
  <c r="AH14" i="14"/>
  <c r="AF14" i="14"/>
  <c r="AD14" i="14"/>
  <c r="AB14" i="14"/>
  <c r="Z14" i="14"/>
  <c r="X14" i="14"/>
  <c r="V14" i="14"/>
  <c r="T14" i="14"/>
  <c r="R14" i="14"/>
  <c r="P14" i="14"/>
  <c r="N14" i="14"/>
  <c r="L14" i="14"/>
  <c r="J14" i="14"/>
  <c r="H14" i="14"/>
  <c r="FE1" i="14"/>
  <c r="DB1" i="14"/>
  <c r="C67" i="7"/>
  <c r="E67" i="7" s="1"/>
  <c r="G67" i="7" s="1"/>
  <c r="I67" i="7" s="1"/>
  <c r="K67" i="7" s="1"/>
  <c r="M67" i="7" s="1"/>
  <c r="C66" i="7"/>
  <c r="E66" i="7" s="1"/>
  <c r="G66" i="7" s="1"/>
  <c r="I66" i="7" s="1"/>
  <c r="K66" i="7" s="1"/>
  <c r="M66" i="7" s="1"/>
  <c r="C65" i="7"/>
  <c r="E65" i="7" s="1"/>
  <c r="G65" i="7" s="1"/>
  <c r="I65" i="7" s="1"/>
  <c r="K65" i="7" s="1"/>
  <c r="M65" i="7" s="1"/>
  <c r="C64" i="7"/>
  <c r="E64" i="7" s="1"/>
  <c r="G64" i="7" s="1"/>
  <c r="I64" i="7" s="1"/>
  <c r="K64" i="7" s="1"/>
  <c r="M64" i="7" s="1"/>
  <c r="C63" i="7"/>
  <c r="E63" i="7" s="1"/>
  <c r="G63" i="7" s="1"/>
  <c r="I63" i="7" s="1"/>
  <c r="K63" i="7" s="1"/>
  <c r="M63" i="7" s="1"/>
  <c r="C62" i="7"/>
  <c r="E62" i="7" s="1"/>
  <c r="G62" i="7" s="1"/>
  <c r="I62" i="7" s="1"/>
  <c r="K62" i="7" s="1"/>
  <c r="M62" i="7" s="1"/>
  <c r="C61" i="7"/>
  <c r="E61" i="7" s="1"/>
  <c r="G61" i="7" s="1"/>
  <c r="I61" i="7" s="1"/>
  <c r="K61" i="7" s="1"/>
  <c r="M61" i="7" s="1"/>
  <c r="C60" i="7"/>
  <c r="E60" i="7" s="1"/>
  <c r="G60" i="7" s="1"/>
  <c r="I60" i="7" s="1"/>
  <c r="K60" i="7" s="1"/>
  <c r="M60" i="7" s="1"/>
  <c r="C59" i="7"/>
  <c r="E59" i="7" s="1"/>
  <c r="G59" i="7" s="1"/>
  <c r="I59" i="7" s="1"/>
  <c r="K59" i="7" s="1"/>
  <c r="M59" i="7" s="1"/>
  <c r="C58" i="7"/>
  <c r="E58" i="7" s="1"/>
  <c r="G58" i="7" s="1"/>
  <c r="I58" i="7" s="1"/>
  <c r="K58" i="7" s="1"/>
  <c r="M58" i="7" s="1"/>
  <c r="E57" i="7"/>
  <c r="G57" i="7" s="1"/>
  <c r="I57" i="7" s="1"/>
  <c r="K57" i="7" s="1"/>
  <c r="M57" i="7" s="1"/>
  <c r="C57" i="7"/>
  <c r="C56" i="7"/>
  <c r="E56" i="7" s="1"/>
  <c r="G56" i="7" s="1"/>
  <c r="I56" i="7" s="1"/>
  <c r="K56" i="7" s="1"/>
  <c r="M56" i="7" s="1"/>
  <c r="C55" i="7"/>
  <c r="E55" i="7" s="1"/>
  <c r="G55" i="7" s="1"/>
  <c r="I55" i="7" s="1"/>
  <c r="K55" i="7" s="1"/>
  <c r="M55" i="7" s="1"/>
  <c r="C54" i="7"/>
  <c r="E54" i="7" s="1"/>
  <c r="G54" i="7" s="1"/>
  <c r="I54" i="7" s="1"/>
  <c r="K54" i="7" s="1"/>
  <c r="M54" i="7" s="1"/>
  <c r="E53" i="7"/>
  <c r="G53" i="7" s="1"/>
  <c r="I53" i="7" s="1"/>
  <c r="K53" i="7" s="1"/>
  <c r="M53" i="7" s="1"/>
  <c r="C53" i="7"/>
  <c r="C52" i="7"/>
  <c r="E52" i="7" s="1"/>
  <c r="G52" i="7" s="1"/>
  <c r="I52" i="7" s="1"/>
  <c r="K52" i="7" s="1"/>
  <c r="M52" i="7" s="1"/>
  <c r="C51" i="7"/>
  <c r="E51" i="7" s="1"/>
  <c r="G51" i="7" s="1"/>
  <c r="I51" i="7" s="1"/>
  <c r="K51" i="7" s="1"/>
  <c r="M51" i="7" s="1"/>
  <c r="C50" i="7"/>
  <c r="E50" i="7" s="1"/>
  <c r="G50" i="7" s="1"/>
  <c r="I50" i="7" s="1"/>
  <c r="K50" i="7" s="1"/>
  <c r="M50" i="7" s="1"/>
  <c r="E49" i="7"/>
  <c r="G49" i="7" s="1"/>
  <c r="I49" i="7" s="1"/>
  <c r="K49" i="7" s="1"/>
  <c r="M49" i="7" s="1"/>
  <c r="C49" i="7"/>
  <c r="C48" i="7"/>
  <c r="E48" i="7" s="1"/>
  <c r="G48" i="7" s="1"/>
  <c r="I48" i="7" s="1"/>
  <c r="K48" i="7" s="1"/>
  <c r="M48" i="7" s="1"/>
  <c r="C47" i="7"/>
  <c r="E47" i="7" s="1"/>
  <c r="G47" i="7" s="1"/>
  <c r="I47" i="7" s="1"/>
  <c r="K47" i="7" s="1"/>
  <c r="M47" i="7" s="1"/>
  <c r="C46" i="7"/>
  <c r="E46" i="7" s="1"/>
  <c r="G46" i="7" s="1"/>
  <c r="I46" i="7" s="1"/>
  <c r="K46" i="7" s="1"/>
  <c r="M46" i="7" s="1"/>
  <c r="E45" i="7"/>
  <c r="G45" i="7" s="1"/>
  <c r="I45" i="7" s="1"/>
  <c r="K45" i="7" s="1"/>
  <c r="M45" i="7" s="1"/>
  <c r="C45" i="7"/>
  <c r="C44" i="7"/>
  <c r="E44" i="7" s="1"/>
  <c r="G44" i="7" s="1"/>
  <c r="I44" i="7" s="1"/>
  <c r="K44" i="7" s="1"/>
  <c r="M44" i="7" s="1"/>
  <c r="C67" i="6"/>
  <c r="E67" i="6" s="1"/>
  <c r="G67" i="6" s="1"/>
  <c r="I67" i="6" s="1"/>
  <c r="K67" i="6" s="1"/>
  <c r="M67" i="6" s="1"/>
  <c r="C66" i="6"/>
  <c r="E66" i="6" s="1"/>
  <c r="G66" i="6" s="1"/>
  <c r="I66" i="6" s="1"/>
  <c r="K66" i="6" s="1"/>
  <c r="M66" i="6" s="1"/>
  <c r="C65" i="6"/>
  <c r="E65" i="6" s="1"/>
  <c r="G65" i="6" s="1"/>
  <c r="I65" i="6" s="1"/>
  <c r="K65" i="6" s="1"/>
  <c r="M65" i="6" s="1"/>
  <c r="C64" i="6"/>
  <c r="E64" i="6" s="1"/>
  <c r="G64" i="6" s="1"/>
  <c r="I64" i="6" s="1"/>
  <c r="K64" i="6" s="1"/>
  <c r="M64" i="6" s="1"/>
  <c r="C63" i="6"/>
  <c r="E63" i="6" s="1"/>
  <c r="G63" i="6" s="1"/>
  <c r="I63" i="6" s="1"/>
  <c r="K63" i="6" s="1"/>
  <c r="M63" i="6" s="1"/>
  <c r="C62" i="6"/>
  <c r="E62" i="6" s="1"/>
  <c r="G62" i="6" s="1"/>
  <c r="I62" i="6" s="1"/>
  <c r="K62" i="6" s="1"/>
  <c r="M62" i="6" s="1"/>
  <c r="C61" i="6"/>
  <c r="E61" i="6" s="1"/>
  <c r="G61" i="6" s="1"/>
  <c r="I61" i="6" s="1"/>
  <c r="K61" i="6" s="1"/>
  <c r="M61" i="6" s="1"/>
  <c r="C60" i="6"/>
  <c r="E60" i="6" s="1"/>
  <c r="G60" i="6" s="1"/>
  <c r="I60" i="6" s="1"/>
  <c r="K60" i="6" s="1"/>
  <c r="M60" i="6" s="1"/>
  <c r="C59" i="6"/>
  <c r="E59" i="6" s="1"/>
  <c r="G59" i="6" s="1"/>
  <c r="I59" i="6" s="1"/>
  <c r="K59" i="6" s="1"/>
  <c r="M59" i="6" s="1"/>
  <c r="C58" i="6"/>
  <c r="E58" i="6" s="1"/>
  <c r="G58" i="6" s="1"/>
  <c r="I58" i="6" s="1"/>
  <c r="K58" i="6" s="1"/>
  <c r="M58" i="6" s="1"/>
  <c r="C57" i="6"/>
  <c r="E57" i="6" s="1"/>
  <c r="G57" i="6" s="1"/>
  <c r="I57" i="6" s="1"/>
  <c r="K57" i="6" s="1"/>
  <c r="M57" i="6" s="1"/>
  <c r="C56" i="6"/>
  <c r="E56" i="6" s="1"/>
  <c r="G56" i="6" s="1"/>
  <c r="I56" i="6" s="1"/>
  <c r="K56" i="6" s="1"/>
  <c r="M56" i="6" s="1"/>
  <c r="C55" i="6"/>
  <c r="E55" i="6" s="1"/>
  <c r="G55" i="6" s="1"/>
  <c r="I55" i="6" s="1"/>
  <c r="K55" i="6" s="1"/>
  <c r="M55" i="6" s="1"/>
  <c r="C54" i="6"/>
  <c r="E54" i="6" s="1"/>
  <c r="G54" i="6" s="1"/>
  <c r="I54" i="6" s="1"/>
  <c r="K54" i="6" s="1"/>
  <c r="M54" i="6" s="1"/>
  <c r="C53" i="6"/>
  <c r="E53" i="6" s="1"/>
  <c r="G53" i="6" s="1"/>
  <c r="I53" i="6" s="1"/>
  <c r="K53" i="6" s="1"/>
  <c r="M53" i="6" s="1"/>
  <c r="C52" i="6"/>
  <c r="E52" i="6" s="1"/>
  <c r="G52" i="6" s="1"/>
  <c r="I52" i="6" s="1"/>
  <c r="K52" i="6" s="1"/>
  <c r="M52" i="6" s="1"/>
  <c r="C51" i="6"/>
  <c r="E51" i="6" s="1"/>
  <c r="G51" i="6" s="1"/>
  <c r="I51" i="6" s="1"/>
  <c r="K51" i="6" s="1"/>
  <c r="M51" i="6" s="1"/>
  <c r="C50" i="6"/>
  <c r="E50" i="6" s="1"/>
  <c r="G50" i="6" s="1"/>
  <c r="I50" i="6" s="1"/>
  <c r="K50" i="6" s="1"/>
  <c r="M50" i="6" s="1"/>
  <c r="G49" i="6"/>
  <c r="I49" i="6" s="1"/>
  <c r="K49" i="6" s="1"/>
  <c r="M49" i="6" s="1"/>
  <c r="E49" i="6"/>
  <c r="C49" i="6"/>
  <c r="C48" i="6"/>
  <c r="E48" i="6" s="1"/>
  <c r="G48" i="6" s="1"/>
  <c r="I48" i="6" s="1"/>
  <c r="K48" i="6" s="1"/>
  <c r="M48" i="6" s="1"/>
  <c r="C47" i="6"/>
  <c r="E47" i="6" s="1"/>
  <c r="G47" i="6" s="1"/>
  <c r="I47" i="6" s="1"/>
  <c r="K47" i="6" s="1"/>
  <c r="M47" i="6" s="1"/>
  <c r="C46" i="6"/>
  <c r="E46" i="6" s="1"/>
  <c r="G46" i="6" s="1"/>
  <c r="I46" i="6" s="1"/>
  <c r="K46" i="6" s="1"/>
  <c r="M46" i="6" s="1"/>
  <c r="C45" i="6"/>
  <c r="E45" i="6" s="1"/>
  <c r="G45" i="6" s="1"/>
  <c r="I45" i="6" s="1"/>
  <c r="K45" i="6" s="1"/>
  <c r="M45" i="6" s="1"/>
  <c r="C44" i="6"/>
  <c r="E44" i="6" s="1"/>
  <c r="G44" i="6" s="1"/>
  <c r="I44" i="6" s="1"/>
  <c r="K44" i="6" s="1"/>
  <c r="M44" i="6" s="1"/>
  <c r="C67" i="5"/>
  <c r="E67" i="5" s="1"/>
  <c r="G67" i="5" s="1"/>
  <c r="I67" i="5" s="1"/>
  <c r="K67" i="5" s="1"/>
  <c r="M67" i="5" s="1"/>
  <c r="C66" i="5"/>
  <c r="E66" i="5" s="1"/>
  <c r="G66" i="5" s="1"/>
  <c r="I66" i="5" s="1"/>
  <c r="K66" i="5" s="1"/>
  <c r="M66" i="5" s="1"/>
  <c r="C65" i="5"/>
  <c r="E65" i="5" s="1"/>
  <c r="G65" i="5" s="1"/>
  <c r="I65" i="5" s="1"/>
  <c r="K65" i="5" s="1"/>
  <c r="M65" i="5" s="1"/>
  <c r="C64" i="5"/>
  <c r="E64" i="5" s="1"/>
  <c r="G64" i="5" s="1"/>
  <c r="I64" i="5" s="1"/>
  <c r="K64" i="5" s="1"/>
  <c r="M64" i="5" s="1"/>
  <c r="E63" i="5"/>
  <c r="G63" i="5" s="1"/>
  <c r="I63" i="5" s="1"/>
  <c r="K63" i="5" s="1"/>
  <c r="M63" i="5" s="1"/>
  <c r="C63" i="5"/>
  <c r="C62" i="5"/>
  <c r="E62" i="5" s="1"/>
  <c r="G62" i="5" s="1"/>
  <c r="I62" i="5" s="1"/>
  <c r="K62" i="5" s="1"/>
  <c r="M62" i="5" s="1"/>
  <c r="C61" i="5"/>
  <c r="E61" i="5" s="1"/>
  <c r="G61" i="5" s="1"/>
  <c r="I61" i="5" s="1"/>
  <c r="K61" i="5" s="1"/>
  <c r="M61" i="5" s="1"/>
  <c r="C60" i="5"/>
  <c r="E60" i="5" s="1"/>
  <c r="G60" i="5" s="1"/>
  <c r="I60" i="5" s="1"/>
  <c r="K60" i="5" s="1"/>
  <c r="M60" i="5" s="1"/>
  <c r="E59" i="5"/>
  <c r="G59" i="5" s="1"/>
  <c r="I59" i="5" s="1"/>
  <c r="K59" i="5" s="1"/>
  <c r="M59" i="5" s="1"/>
  <c r="C59" i="5"/>
  <c r="C58" i="5"/>
  <c r="E58" i="5" s="1"/>
  <c r="G58" i="5" s="1"/>
  <c r="I58" i="5" s="1"/>
  <c r="K58" i="5" s="1"/>
  <c r="M58" i="5" s="1"/>
  <c r="C57" i="5"/>
  <c r="E57" i="5" s="1"/>
  <c r="G57" i="5" s="1"/>
  <c r="I57" i="5" s="1"/>
  <c r="K57" i="5" s="1"/>
  <c r="M57" i="5" s="1"/>
  <c r="C56" i="5"/>
  <c r="E56" i="5" s="1"/>
  <c r="G56" i="5" s="1"/>
  <c r="I56" i="5" s="1"/>
  <c r="K56" i="5" s="1"/>
  <c r="M56" i="5" s="1"/>
  <c r="E55" i="5"/>
  <c r="G55" i="5" s="1"/>
  <c r="I55" i="5" s="1"/>
  <c r="K55" i="5" s="1"/>
  <c r="M55" i="5" s="1"/>
  <c r="C55" i="5"/>
  <c r="C54" i="5"/>
  <c r="E54" i="5" s="1"/>
  <c r="G54" i="5" s="1"/>
  <c r="I54" i="5" s="1"/>
  <c r="K54" i="5" s="1"/>
  <c r="M54" i="5" s="1"/>
  <c r="C53" i="5"/>
  <c r="E53" i="5" s="1"/>
  <c r="G53" i="5" s="1"/>
  <c r="I53" i="5" s="1"/>
  <c r="K53" i="5" s="1"/>
  <c r="M53" i="5" s="1"/>
  <c r="C52" i="5"/>
  <c r="E52" i="5" s="1"/>
  <c r="G52" i="5" s="1"/>
  <c r="I52" i="5" s="1"/>
  <c r="K52" i="5" s="1"/>
  <c r="M52" i="5" s="1"/>
  <c r="E51" i="5"/>
  <c r="G51" i="5" s="1"/>
  <c r="I51" i="5" s="1"/>
  <c r="K51" i="5" s="1"/>
  <c r="M51" i="5" s="1"/>
  <c r="C51" i="5"/>
  <c r="C50" i="5"/>
  <c r="E50" i="5" s="1"/>
  <c r="G50" i="5" s="1"/>
  <c r="I50" i="5" s="1"/>
  <c r="K50" i="5" s="1"/>
  <c r="M50" i="5" s="1"/>
  <c r="C49" i="5"/>
  <c r="E49" i="5" s="1"/>
  <c r="G49" i="5" s="1"/>
  <c r="I49" i="5" s="1"/>
  <c r="K49" i="5" s="1"/>
  <c r="M49" i="5" s="1"/>
  <c r="C48" i="5"/>
  <c r="E48" i="5" s="1"/>
  <c r="G48" i="5" s="1"/>
  <c r="I48" i="5" s="1"/>
  <c r="K48" i="5" s="1"/>
  <c r="M48" i="5" s="1"/>
  <c r="C47" i="5"/>
  <c r="E47" i="5" s="1"/>
  <c r="G47" i="5" s="1"/>
  <c r="I47" i="5" s="1"/>
  <c r="K47" i="5" s="1"/>
  <c r="M47" i="5" s="1"/>
  <c r="C46" i="5"/>
  <c r="E46" i="5" s="1"/>
  <c r="G46" i="5" s="1"/>
  <c r="I46" i="5" s="1"/>
  <c r="K46" i="5" s="1"/>
  <c r="M46" i="5" s="1"/>
  <c r="C45" i="5"/>
  <c r="E45" i="5" s="1"/>
  <c r="G45" i="5" s="1"/>
  <c r="I45" i="5" s="1"/>
  <c r="K45" i="5" s="1"/>
  <c r="M45" i="5" s="1"/>
  <c r="C44" i="5"/>
  <c r="E44" i="5" s="1"/>
  <c r="G44" i="5" s="1"/>
  <c r="I44" i="5" s="1"/>
  <c r="K44" i="5" s="1"/>
  <c r="M44" i="5" s="1"/>
  <c r="C67" i="4"/>
  <c r="E67" i="4" s="1"/>
  <c r="G67" i="4" s="1"/>
  <c r="I67" i="4" s="1"/>
  <c r="K67" i="4" s="1"/>
  <c r="M67" i="4" s="1"/>
  <c r="C66" i="4"/>
  <c r="E66" i="4" s="1"/>
  <c r="G66" i="4" s="1"/>
  <c r="I66" i="4" s="1"/>
  <c r="K66" i="4" s="1"/>
  <c r="M66" i="4" s="1"/>
  <c r="E65" i="4"/>
  <c r="G65" i="4" s="1"/>
  <c r="I65" i="4" s="1"/>
  <c r="K65" i="4" s="1"/>
  <c r="M65" i="4" s="1"/>
  <c r="C65" i="4"/>
  <c r="C64" i="4"/>
  <c r="E64" i="4" s="1"/>
  <c r="G64" i="4" s="1"/>
  <c r="I64" i="4" s="1"/>
  <c r="K64" i="4" s="1"/>
  <c r="M64" i="4" s="1"/>
  <c r="C63" i="4"/>
  <c r="E63" i="4" s="1"/>
  <c r="G63" i="4" s="1"/>
  <c r="I63" i="4" s="1"/>
  <c r="K63" i="4" s="1"/>
  <c r="M63" i="4" s="1"/>
  <c r="C62" i="4"/>
  <c r="E62" i="4" s="1"/>
  <c r="G62" i="4" s="1"/>
  <c r="I62" i="4" s="1"/>
  <c r="K62" i="4" s="1"/>
  <c r="M62" i="4" s="1"/>
  <c r="E61" i="4"/>
  <c r="G61" i="4" s="1"/>
  <c r="I61" i="4" s="1"/>
  <c r="K61" i="4" s="1"/>
  <c r="M61" i="4" s="1"/>
  <c r="C61" i="4"/>
  <c r="C60" i="4"/>
  <c r="E60" i="4" s="1"/>
  <c r="G60" i="4" s="1"/>
  <c r="I60" i="4" s="1"/>
  <c r="K60" i="4" s="1"/>
  <c r="M60" i="4" s="1"/>
  <c r="C59" i="4"/>
  <c r="E59" i="4" s="1"/>
  <c r="G59" i="4" s="1"/>
  <c r="I59" i="4" s="1"/>
  <c r="K59" i="4" s="1"/>
  <c r="M59" i="4" s="1"/>
  <c r="C58" i="4"/>
  <c r="E58" i="4" s="1"/>
  <c r="G58" i="4" s="1"/>
  <c r="I58" i="4" s="1"/>
  <c r="K58" i="4" s="1"/>
  <c r="M58" i="4" s="1"/>
  <c r="E57" i="4"/>
  <c r="G57" i="4" s="1"/>
  <c r="I57" i="4" s="1"/>
  <c r="K57" i="4" s="1"/>
  <c r="M57" i="4" s="1"/>
  <c r="C57" i="4"/>
  <c r="C56" i="4"/>
  <c r="E56" i="4" s="1"/>
  <c r="G56" i="4" s="1"/>
  <c r="I56" i="4" s="1"/>
  <c r="K56" i="4" s="1"/>
  <c r="M56" i="4" s="1"/>
  <c r="C55" i="4"/>
  <c r="E55" i="4" s="1"/>
  <c r="G55" i="4" s="1"/>
  <c r="I55" i="4" s="1"/>
  <c r="K55" i="4" s="1"/>
  <c r="M55" i="4" s="1"/>
  <c r="C54" i="4"/>
  <c r="E54" i="4" s="1"/>
  <c r="G54" i="4" s="1"/>
  <c r="I54" i="4" s="1"/>
  <c r="K54" i="4" s="1"/>
  <c r="M54" i="4" s="1"/>
  <c r="E53" i="4"/>
  <c r="G53" i="4" s="1"/>
  <c r="I53" i="4" s="1"/>
  <c r="K53" i="4" s="1"/>
  <c r="M53" i="4" s="1"/>
  <c r="C53" i="4"/>
  <c r="C52" i="4"/>
  <c r="E52" i="4" s="1"/>
  <c r="G52" i="4" s="1"/>
  <c r="I52" i="4" s="1"/>
  <c r="K52" i="4" s="1"/>
  <c r="M52" i="4" s="1"/>
  <c r="C51" i="4"/>
  <c r="E51" i="4" s="1"/>
  <c r="G51" i="4" s="1"/>
  <c r="I51" i="4" s="1"/>
  <c r="K51" i="4" s="1"/>
  <c r="M51" i="4" s="1"/>
  <c r="C50" i="4"/>
  <c r="E50" i="4" s="1"/>
  <c r="G50" i="4" s="1"/>
  <c r="I50" i="4" s="1"/>
  <c r="K50" i="4" s="1"/>
  <c r="M50" i="4" s="1"/>
  <c r="E49" i="4"/>
  <c r="G49" i="4" s="1"/>
  <c r="I49" i="4" s="1"/>
  <c r="K49" i="4" s="1"/>
  <c r="M49" i="4" s="1"/>
  <c r="C49" i="4"/>
  <c r="C48" i="4"/>
  <c r="E48" i="4" s="1"/>
  <c r="G48" i="4" s="1"/>
  <c r="I48" i="4" s="1"/>
  <c r="K48" i="4" s="1"/>
  <c r="M48" i="4" s="1"/>
  <c r="C47" i="4"/>
  <c r="E47" i="4" s="1"/>
  <c r="G47" i="4" s="1"/>
  <c r="I47" i="4" s="1"/>
  <c r="K47" i="4" s="1"/>
  <c r="M47" i="4" s="1"/>
  <c r="C46" i="4"/>
  <c r="E46" i="4" s="1"/>
  <c r="G46" i="4" s="1"/>
  <c r="I46" i="4" s="1"/>
  <c r="K46" i="4" s="1"/>
  <c r="M46" i="4" s="1"/>
  <c r="E45" i="4"/>
  <c r="G45" i="4" s="1"/>
  <c r="I45" i="4" s="1"/>
  <c r="K45" i="4" s="1"/>
  <c r="M45" i="4" s="1"/>
  <c r="C45" i="4"/>
  <c r="C44" i="4"/>
  <c r="E44" i="4" s="1"/>
  <c r="G44" i="4" s="1"/>
  <c r="I44" i="4" s="1"/>
  <c r="K44" i="4" s="1"/>
  <c r="M44" i="4" s="1"/>
  <c r="GA54" i="21" l="1"/>
  <c r="FY54" i="21"/>
  <c r="GE54" i="25" l="1"/>
  <c r="FY54" i="24"/>
  <c r="GE54" i="24"/>
  <c r="GA54" i="24"/>
  <c r="GE54" i="23"/>
  <c r="GE54" i="22"/>
  <c r="GE54" i="21"/>
  <c r="GE54" i="20"/>
  <c r="GE54" i="19"/>
  <c r="GA54" i="19"/>
  <c r="FY54" i="19"/>
  <c r="GA54" i="18"/>
  <c r="GE54" i="18"/>
  <c r="FY54" i="18"/>
  <c r="FY54" i="17"/>
  <c r="FY54" i="25" l="1"/>
  <c r="GA54" i="25"/>
  <c r="FW54" i="24"/>
  <c r="GC54" i="24"/>
  <c r="GA54" i="22"/>
  <c r="FY54" i="22"/>
  <c r="GC54" i="21"/>
  <c r="FW54" i="21"/>
  <c r="FW54" i="19"/>
  <c r="GC54" i="19"/>
  <c r="FW54" i="18"/>
  <c r="GC54" i="18"/>
  <c r="FW54" i="17"/>
  <c r="GE54" i="17"/>
  <c r="GE54" i="16"/>
  <c r="GA54" i="16"/>
  <c r="FY54" i="16"/>
  <c r="FW54" i="15"/>
  <c r="FY54" i="15"/>
  <c r="GA54" i="15"/>
  <c r="GE54" i="15"/>
  <c r="FW54" i="25" l="1"/>
  <c r="GC54" i="25"/>
  <c r="GA54" i="23"/>
  <c r="FY54" i="23"/>
  <c r="FW54" i="22"/>
  <c r="GC54" i="22"/>
  <c r="FY54" i="20"/>
  <c r="GA54" i="20"/>
  <c r="FW54" i="16"/>
  <c r="GC54" i="16"/>
  <c r="GC54" i="15"/>
  <c r="FY54" i="14"/>
  <c r="FW54" i="14"/>
  <c r="GE54" i="14"/>
  <c r="GA54" i="14"/>
  <c r="FW54" i="23" l="1"/>
  <c r="GC54" i="23"/>
  <c r="GC54" i="20"/>
  <c r="FW54" i="20"/>
  <c r="GA54" i="17"/>
  <c r="GC54" i="17"/>
  <c r="GC54" i="14"/>
</calcChain>
</file>

<file path=xl/comments1.xml><?xml version="1.0" encoding="utf-8"?>
<comments xmlns="http://schemas.openxmlformats.org/spreadsheetml/2006/main">
  <authors>
    <author>Bohra Staff</author>
  </authors>
  <commentList>
    <comment ref="N4" authorId="0" shapeId="0">
      <text>
        <r>
          <rPr>
            <sz val="9"/>
            <color indexed="81"/>
            <rFont val="Meiryo UI"/>
            <family val="3"/>
            <charset val="128"/>
          </rPr>
          <t>乾球温度：33.70[℃]
相対湿度：56[％]
比エンタルピ：81.6[kJ/kg]
絶対湿度：0.0186[kg/kg]
湿球温度：26.2[℃]</t>
        </r>
      </text>
    </comment>
    <comment ref="N5" authorId="0" shapeId="0">
      <text>
        <r>
          <rPr>
            <sz val="9"/>
            <color indexed="81"/>
            <rFont val="Meiryo UI"/>
            <family val="3"/>
            <charset val="128"/>
          </rPr>
          <t>乾球温度：30.51[℃]
相対湿度：51[％]
比エンタルピ：66.9[kJ/kg]
絶対湿度：0.0142[kg/kg]
湿球温度：22.7[℃]</t>
        </r>
      </text>
    </comment>
    <comment ref="N6" authorId="0" shapeId="0">
      <text>
        <r>
          <rPr>
            <sz val="9"/>
            <color indexed="81"/>
            <rFont val="Meiryo UI"/>
            <family val="3"/>
            <charset val="128"/>
          </rPr>
          <t>乾球温度：19.79[℃]
相対湿度：95[％]
比エンタルピ：55.0[kJ/kg]
絶対湿度：0.0138[kg/kg]
湿球温度：19.2[℃]</t>
        </r>
      </text>
    </comment>
    <comment ref="N7" authorId="0" shapeId="0">
      <text>
        <r>
          <rPr>
            <sz val="9"/>
            <color indexed="81"/>
            <rFont val="Meiryo UI"/>
            <family val="3"/>
            <charset val="128"/>
          </rPr>
          <t>乾球温度：20.21[℃]
相対湿度：93[％]
比エンタルピ：55.4[kJ/kg]
絶対湿度：0.0138[kg/kg]
湿球温度：19.4[℃]</t>
        </r>
      </text>
    </comment>
    <comment ref="N9" authorId="0" shapeId="0">
      <text>
        <r>
          <rPr>
            <sz val="9"/>
            <color indexed="81"/>
            <rFont val="Meiryo UI"/>
            <family val="3"/>
            <charset val="128"/>
          </rPr>
          <t>乾球温度：28.00[℃]
相対湿度：45[％]
比エンタルピ：55.4[kJ/kg]
絶対湿度：0.0107[kg/kg]
湿球温度：19.5[℃]</t>
        </r>
      </text>
    </comment>
    <comment ref="N11" authorId="0" shapeId="0">
      <text>
        <r>
          <rPr>
            <sz val="9"/>
            <color indexed="81"/>
            <rFont val="Meiryo UI"/>
            <family val="3"/>
            <charset val="128"/>
          </rPr>
          <t>乾球温度：2.00[℃]
相対湿度：32[％]
比エンタルピ：5.5[kJ/kg]
絶対湿度：0.0014[kg/kg]
湿球温度：-2.6[℃]</t>
        </r>
      </text>
    </comment>
    <comment ref="N12" authorId="0" shapeId="0">
      <text>
        <r>
          <rPr>
            <sz val="9"/>
            <color indexed="81"/>
            <rFont val="Meiryo UI"/>
            <family val="3"/>
            <charset val="128"/>
          </rPr>
          <t>乾球温度：11.52[℃]
相対湿度：44[％]
比エンタルピ：20.9[kJ/kg]
絶対湿度：0.0037[kg/kg]
湿球温度：6.1[℃]</t>
        </r>
      </text>
    </comment>
    <comment ref="N13" authorId="0" shapeId="0">
      <text>
        <r>
          <rPr>
            <sz val="9"/>
            <color indexed="81"/>
            <rFont val="Meiryo UI"/>
            <family val="3"/>
            <charset val="128"/>
          </rPr>
          <t>乾球温度：23.40[℃]
相対湿度：21[％]
比エンタルピ：32.9[kJ/kg]
絶対湿度：0.0037[kg/kg]
湿球温度：11.6[℃]</t>
        </r>
      </text>
    </comment>
    <comment ref="N14" authorId="0" shapeId="0">
      <text>
        <r>
          <rPr>
            <sz val="9"/>
            <color indexed="81"/>
            <rFont val="Meiryo UI"/>
            <family val="3"/>
            <charset val="128"/>
          </rPr>
          <t>乾球温度：19.00[℃]
相対湿度：40[％]
比エンタルピ：33.0[kJ/kg]
絶対湿度：0.0055[kg/kg]
湿球温度：11.6[℃]</t>
        </r>
      </text>
    </comment>
  </commentList>
</comments>
</file>

<file path=xl/comments2.xml><?xml version="1.0" encoding="utf-8"?>
<comments xmlns="http://schemas.openxmlformats.org/spreadsheetml/2006/main">
  <authors>
    <author>Bohra Staff</author>
  </authors>
  <commentList>
    <comment ref="N4" authorId="0" shapeId="0">
      <text>
        <r>
          <rPr>
            <sz val="9"/>
            <color indexed="81"/>
            <rFont val="Meiryo UI"/>
            <family val="3"/>
            <charset val="128"/>
          </rPr>
          <t>乾球温度：33.70[℃]
相対湿度：56[％]
比エンタルピ：81.6[kJ/kg]
絶対湿度：0.0186[kg/kg]
湿球温度：26.2[℃]</t>
        </r>
      </text>
    </comment>
    <comment ref="N5" authorId="0" shapeId="0">
      <text>
        <r>
          <rPr>
            <sz val="9"/>
            <color indexed="81"/>
            <rFont val="Meiryo UI"/>
            <family val="3"/>
            <charset val="128"/>
          </rPr>
          <t>乾球温度：13.64[℃]
相対湿度：95[％]
比エンタルピ：37.2[kJ/kg]
絶対湿度：0.0093[kg/kg]
湿球温度：13.1[℃]</t>
        </r>
      </text>
    </comment>
    <comment ref="N6" authorId="0" shapeId="0">
      <text>
        <r>
          <rPr>
            <sz val="9"/>
            <color indexed="81"/>
            <rFont val="Meiryo UI"/>
            <family val="3"/>
            <charset val="128"/>
          </rPr>
          <t>乾球温度：14.89[℃]
相対湿度：88[％]
比エンタルピ：38.4[kJ/kg]
絶対湿度：0.0093[kg/kg]
湿球温度：13.6[℃]</t>
        </r>
      </text>
    </comment>
    <comment ref="N7" authorId="0" shapeId="0">
      <text>
        <r>
          <rPr>
            <sz val="9"/>
            <color indexed="81"/>
            <rFont val="Meiryo UI"/>
            <family val="3"/>
            <charset val="128"/>
          </rPr>
          <t>乾球温度：24.00[℃]
相対湿度：50[％]
比エンタルピ：47.8[kJ/kg]
絶対湿度：0.0093[kg/kg]
湿球温度：17.0[℃]</t>
        </r>
      </text>
    </comment>
    <comment ref="N10" authorId="0" shapeId="0">
      <text>
        <r>
          <rPr>
            <sz val="9"/>
            <color indexed="81"/>
            <rFont val="Meiryo UI"/>
            <family val="3"/>
            <charset val="128"/>
          </rPr>
          <t>乾球温度：-0.30[℃]
相対湿度：38[％]
比エンタルピ：3.2[kJ/kg]
絶対湿度：0.0014[kg/kg]
湿球温度：-4.0[℃]</t>
        </r>
      </text>
    </comment>
    <comment ref="N11" authorId="0" shapeId="0">
      <text>
        <r>
          <rPr>
            <sz val="9"/>
            <color indexed="81"/>
            <rFont val="Meiryo UI"/>
            <family val="3"/>
            <charset val="128"/>
          </rPr>
          <t>乾球温度：31.83[℃]
相対湿度：5[％]
比エンタルピ：35.6[kJ/kg]
絶対湿度：0.0014[kg/kg]
湿球温度：12.7[℃]</t>
        </r>
      </text>
    </comment>
    <comment ref="N12" authorId="0" shapeId="0">
      <text>
        <r>
          <rPr>
            <sz val="9"/>
            <color indexed="81"/>
            <rFont val="Meiryo UI"/>
            <family val="3"/>
            <charset val="128"/>
          </rPr>
          <t>乾球温度：32.73[℃]
相対湿度：30[％]
比エンタルピ：56.9[kJ/kg]
絶対湿度：0.0093[kg/kg]
湿球温度：19.9[℃]</t>
        </r>
      </text>
    </comment>
    <comment ref="N13" authorId="0" shapeId="0">
      <text>
        <r>
          <rPr>
            <sz val="9"/>
            <color indexed="81"/>
            <rFont val="Meiryo UI"/>
            <family val="3"/>
            <charset val="128"/>
          </rPr>
          <t>乾球温度：24.00[℃]
相対湿度：50[％]
比エンタルピ：47.8[kJ/kg]
絶対湿度：0.0093[kg/kg]
湿球温度：17.0[℃]</t>
        </r>
      </text>
    </comment>
  </commentList>
</comments>
</file>

<file path=xl/comments3.xml><?xml version="1.0" encoding="utf-8"?>
<comments xmlns="http://schemas.openxmlformats.org/spreadsheetml/2006/main">
  <authors>
    <author>Bohra Staff</author>
  </authors>
  <commentList>
    <comment ref="N4" authorId="0" shapeId="0">
      <text>
        <r>
          <rPr>
            <sz val="9"/>
            <color indexed="81"/>
            <rFont val="Meiryo UI"/>
            <family val="3"/>
            <charset val="128"/>
          </rPr>
          <t>乾球温度：33.70[℃]
相対湿度：56[％]
比エンタルピ：81.6[kJ/kg]
絶対湿度：0.0186[kg/kg]
湿球温度：26.2[℃]</t>
        </r>
      </text>
    </comment>
    <comment ref="N5" authorId="0" shapeId="0">
      <text>
        <r>
          <rPr>
            <sz val="9"/>
            <color indexed="81"/>
            <rFont val="Meiryo UI"/>
            <family val="3"/>
            <charset val="128"/>
          </rPr>
          <t>乾球温度：17.11[℃]
相対湿度：95[％]
比エンタルピ：46.7[kJ/kg]
絶対湿度：0.0116[kg/kg]
湿球温度：16.6[℃]</t>
        </r>
      </text>
    </comment>
    <comment ref="N6" authorId="0" shapeId="0">
      <text>
        <r>
          <rPr>
            <sz val="9"/>
            <color indexed="81"/>
            <rFont val="Meiryo UI"/>
            <family val="3"/>
            <charset val="128"/>
          </rPr>
          <t>乾球温度：18.29[℃]
相対湿度：88[％]
比エンタルピ：47.9[kJ/kg]
絶対湿度：0.0116[kg/kg]
湿球温度：17.0[℃]</t>
        </r>
      </text>
    </comment>
    <comment ref="N8" authorId="0" shapeId="0">
      <text>
        <r>
          <rPr>
            <sz val="9"/>
            <color indexed="81"/>
            <rFont val="Meiryo UI"/>
            <family val="3"/>
            <charset val="128"/>
          </rPr>
          <t>乾球温度：24.00[℃]
相対湿度：50[％]
比エンタルピ：47.9[kJ/kg]
絶対湿度：0.0093[kg/kg]
湿球温度：17.0[℃]</t>
        </r>
      </text>
    </comment>
    <comment ref="N10" authorId="0" shapeId="0">
      <text>
        <r>
          <rPr>
            <sz val="9"/>
            <color indexed="81"/>
            <rFont val="Meiryo UI"/>
            <family val="3"/>
            <charset val="128"/>
          </rPr>
          <t>乾球温度：-0.30[℃]
相対湿度：38[％]
比エンタルピ：3.2[kJ/kg]
絶対湿度：0.0014[kg/kg]
湿球温度：-4.0[℃]</t>
        </r>
      </text>
    </comment>
    <comment ref="N11" authorId="0" shapeId="0">
      <text>
        <r>
          <rPr>
            <sz val="9"/>
            <color indexed="81"/>
            <rFont val="Meiryo UI"/>
            <family val="3"/>
            <charset val="128"/>
          </rPr>
          <t>乾球温度：24.00[℃]
相対湿度：8[％]
比エンタルピ：27.7[kJ/kg]
絶対湿度：0.0014[kg/kg]
湿球温度：9.4[℃]</t>
        </r>
      </text>
    </comment>
  </commentList>
</comments>
</file>

<file path=xl/sharedStrings.xml><?xml version="1.0" encoding="utf-8"?>
<sst xmlns="http://schemas.openxmlformats.org/spreadsheetml/2006/main" count="26986" uniqueCount="1301">
  <si>
    <t>負荷仕切紙</t>
  </si>
  <si>
    <t>計算用外界条件等</t>
  </si>
  <si>
    <t xml:space="preserve">  1.建物の位置、太陽位置などを示しています。</t>
  </si>
  <si>
    <t>位置情報・建物方位角など</t>
    <rPh sb="0" eb="2">
      <t>イチ</t>
    </rPh>
    <rPh sb="2" eb="4">
      <t>ジョウホウ</t>
    </rPh>
    <rPh sb="5" eb="7">
      <t>タテモノ</t>
    </rPh>
    <rPh sb="7" eb="9">
      <t>ホウイ</t>
    </rPh>
    <rPh sb="9" eb="10">
      <t>カク</t>
    </rPh>
    <phoneticPr fontId="10"/>
  </si>
  <si>
    <t>地点情報</t>
    <rPh sb="0" eb="2">
      <t>チテン</t>
    </rPh>
    <rPh sb="2" eb="4">
      <t>ジョウホウ</t>
    </rPh>
    <phoneticPr fontId="13"/>
  </si>
  <si>
    <t>斜面（壁面）方位角</t>
    <rPh sb="0" eb="2">
      <t>シャメン</t>
    </rPh>
    <rPh sb="3" eb="5">
      <t>ヘキメン</t>
    </rPh>
    <rPh sb="6" eb="8">
      <t>ホウイ</t>
    </rPh>
    <rPh sb="8" eb="9">
      <t>カク</t>
    </rPh>
    <phoneticPr fontId="13"/>
  </si>
  <si>
    <t>地点名称</t>
    <rPh sb="0" eb="2">
      <t>チテン</t>
    </rPh>
    <rPh sb="2" eb="4">
      <t>メイショウ</t>
    </rPh>
    <phoneticPr fontId="13"/>
  </si>
  <si>
    <t>緯度[°]</t>
    <rPh sb="0" eb="2">
      <t>イド</t>
    </rPh>
    <phoneticPr fontId="13"/>
  </si>
  <si>
    <t>経度[°]</t>
    <rPh sb="0" eb="2">
      <t>ケイド</t>
    </rPh>
    <phoneticPr fontId="13"/>
  </si>
  <si>
    <t>標準子午線経度[°]</t>
    <rPh sb="0" eb="2">
      <t>ヒョウジュン</t>
    </rPh>
    <rPh sb="2" eb="5">
      <t>シゴセン</t>
    </rPh>
    <rPh sb="5" eb="7">
      <t>ケイド</t>
    </rPh>
    <phoneticPr fontId="13"/>
  </si>
  <si>
    <t>斜面方位表示</t>
    <rPh sb="0" eb="2">
      <t>シャメン</t>
    </rPh>
    <rPh sb="2" eb="4">
      <t>ホウイ</t>
    </rPh>
    <rPh sb="4" eb="6">
      <t>ヒョウジ</t>
    </rPh>
    <phoneticPr fontId="13"/>
  </si>
  <si>
    <t>N</t>
    <phoneticPr fontId="13"/>
  </si>
  <si>
    <t>E</t>
    <phoneticPr fontId="13"/>
  </si>
  <si>
    <t>S</t>
    <phoneticPr fontId="13"/>
  </si>
  <si>
    <t>W</t>
    <phoneticPr fontId="13"/>
  </si>
  <si>
    <t>斜面方位角 α[°]</t>
    <rPh sb="0" eb="2">
      <t>シャメン</t>
    </rPh>
    <phoneticPr fontId="13"/>
  </si>
  <si>
    <t>太陽位置</t>
    <rPh sb="0" eb="2">
      <t>タイヨウ</t>
    </rPh>
    <rPh sb="2" eb="4">
      <t>イチ</t>
    </rPh>
    <phoneticPr fontId="13"/>
  </si>
  <si>
    <t>h-t基準</t>
    <phoneticPr fontId="13"/>
  </si>
  <si>
    <t>Jc-t基準</t>
    <phoneticPr fontId="13"/>
  </si>
  <si>
    <t>Js-t基準</t>
    <phoneticPr fontId="13"/>
  </si>
  <si>
    <t>太陽高度角 φ[°]</t>
    <rPh sb="4" eb="5">
      <t>カク</t>
    </rPh>
    <phoneticPr fontId="13"/>
  </si>
  <si>
    <t>太陽方位角 γ[°]</t>
    <phoneticPr fontId="13"/>
  </si>
  <si>
    <t>東京</t>
  </si>
  <si>
    <t>太陽位置計算日 ： 8月1日</t>
  </si>
  <si>
    <t>太陽位置計算日 ： 9月15日</t>
  </si>
  <si>
    <t xml:space="preserve">  2.設計用外気温湿度、地中温度などを示しています。</t>
  </si>
  <si>
    <t>外気条件・地中温度</t>
    <rPh sb="2" eb="4">
      <t>ジョウケン</t>
    </rPh>
    <phoneticPr fontId="10"/>
  </si>
  <si>
    <t>参照地点名</t>
    <rPh sb="0" eb="2">
      <t>サンショウ</t>
    </rPh>
    <rPh sb="2" eb="4">
      <t>チテン</t>
    </rPh>
    <rPh sb="4" eb="5">
      <t>メイ</t>
    </rPh>
    <phoneticPr fontId="13"/>
  </si>
  <si>
    <t>冷房設計用外気条件</t>
    <rPh sb="0" eb="2">
      <t>レイボウ</t>
    </rPh>
    <rPh sb="2" eb="5">
      <t>セッケイヨウ</t>
    </rPh>
    <rPh sb="5" eb="7">
      <t>ガイキ</t>
    </rPh>
    <rPh sb="7" eb="9">
      <t>ジョウケン</t>
    </rPh>
    <phoneticPr fontId="13"/>
  </si>
  <si>
    <t>h-t基準</t>
    <phoneticPr fontId="13"/>
  </si>
  <si>
    <t>注記：下線部は8時-18時運転時の、太字は24時間運転時の空調機外気負荷設計用外気条件</t>
    <rPh sb="0" eb="2">
      <t>チュウキ</t>
    </rPh>
    <rPh sb="3" eb="6">
      <t>カセンブ</t>
    </rPh>
    <rPh sb="8" eb="9">
      <t>ジ</t>
    </rPh>
    <rPh sb="12" eb="13">
      <t>ジ</t>
    </rPh>
    <rPh sb="13" eb="15">
      <t>ウンテン</t>
    </rPh>
    <rPh sb="15" eb="16">
      <t>ジ</t>
    </rPh>
    <rPh sb="18" eb="20">
      <t>フトジ</t>
    </rPh>
    <rPh sb="23" eb="25">
      <t>ジカン</t>
    </rPh>
    <rPh sb="25" eb="27">
      <t>ウンテン</t>
    </rPh>
    <rPh sb="27" eb="28">
      <t>ジ</t>
    </rPh>
    <rPh sb="29" eb="32">
      <t>クウチョウキ</t>
    </rPh>
    <rPh sb="32" eb="34">
      <t>ガイキ</t>
    </rPh>
    <rPh sb="34" eb="36">
      <t>フカ</t>
    </rPh>
    <rPh sb="36" eb="39">
      <t>セッケイヨウ</t>
    </rPh>
    <rPh sb="39" eb="41">
      <t>ガイキ</t>
    </rPh>
    <rPh sb="41" eb="43">
      <t>ジョウケン</t>
    </rPh>
    <phoneticPr fontId="13"/>
  </si>
  <si>
    <t>乾球温度[℃]</t>
    <rPh sb="0" eb="2">
      <t>カンキュウ</t>
    </rPh>
    <rPh sb="2" eb="4">
      <t>オンド</t>
    </rPh>
    <phoneticPr fontId="13"/>
  </si>
  <si>
    <t>絶対湿度[g/kg]</t>
    <rPh sb="0" eb="2">
      <t>ゼッタイ</t>
    </rPh>
    <rPh sb="2" eb="4">
      <t>シツド</t>
    </rPh>
    <phoneticPr fontId="13"/>
  </si>
  <si>
    <t>比エンタルピ [kJ/kg]</t>
    <phoneticPr fontId="13"/>
  </si>
  <si>
    <t>Jc-t基準</t>
    <phoneticPr fontId="13"/>
  </si>
  <si>
    <t>暖房設計用外気条件</t>
    <rPh sb="0" eb="2">
      <t>ダンボウ</t>
    </rPh>
    <rPh sb="2" eb="5">
      <t>セッケイヨウ</t>
    </rPh>
    <rPh sb="5" eb="7">
      <t>ガイキ</t>
    </rPh>
    <rPh sb="7" eb="9">
      <t>ジョウケン</t>
    </rPh>
    <phoneticPr fontId="13"/>
  </si>
  <si>
    <t>t-x基準</t>
    <phoneticPr fontId="13"/>
  </si>
  <si>
    <t>室負荷計算用外気条件</t>
    <rPh sb="0" eb="1">
      <t>シツ</t>
    </rPh>
    <rPh sb="1" eb="3">
      <t>フカ</t>
    </rPh>
    <rPh sb="3" eb="6">
      <t>ケイサンヨウ</t>
    </rPh>
    <rPh sb="6" eb="8">
      <t>ガイキ</t>
    </rPh>
    <rPh sb="8" eb="10">
      <t>ジョウケン</t>
    </rPh>
    <phoneticPr fontId="13"/>
  </si>
  <si>
    <t>左記外気条件を与える時刻における相当外気温度</t>
    <rPh sb="0" eb="2">
      <t>サキ</t>
    </rPh>
    <rPh sb="2" eb="4">
      <t>ガイキ</t>
    </rPh>
    <rPh sb="4" eb="6">
      <t>ジョウケン</t>
    </rPh>
    <rPh sb="7" eb="8">
      <t>アタ</t>
    </rPh>
    <rPh sb="10" eb="12">
      <t>ジコク</t>
    </rPh>
    <rPh sb="16" eb="18">
      <t>ソウトウ</t>
    </rPh>
    <rPh sb="18" eb="20">
      <t>ガイキ</t>
    </rPh>
    <rPh sb="20" eb="22">
      <t>オンド</t>
    </rPh>
    <phoneticPr fontId="13"/>
  </si>
  <si>
    <t>外気負荷設計用外気条件</t>
    <rPh sb="0" eb="2">
      <t>ガイキ</t>
    </rPh>
    <rPh sb="2" eb="4">
      <t>フカ</t>
    </rPh>
    <rPh sb="4" eb="7">
      <t>セッケイヨウ</t>
    </rPh>
    <rPh sb="7" eb="9">
      <t>ガイキ</t>
    </rPh>
    <rPh sb="9" eb="11">
      <t>ジョウケン</t>
    </rPh>
    <phoneticPr fontId="13"/>
  </si>
  <si>
    <t>9-18時用</t>
    <rPh sb="4" eb="5">
      <t>ジ</t>
    </rPh>
    <rPh sb="5" eb="6">
      <t>ヨウ</t>
    </rPh>
    <phoneticPr fontId="13"/>
  </si>
  <si>
    <t>24時間用</t>
    <rPh sb="2" eb="4">
      <t>ジカン</t>
    </rPh>
    <rPh sb="4" eb="5">
      <t>ヨウ</t>
    </rPh>
    <phoneticPr fontId="13"/>
  </si>
  <si>
    <t>上向き水平面</t>
    <rPh sb="0" eb="2">
      <t>ウエム</t>
    </rPh>
    <rPh sb="3" eb="6">
      <t>スイヘイメン</t>
    </rPh>
    <phoneticPr fontId="13"/>
  </si>
  <si>
    <t>垂直面</t>
    <rPh sb="0" eb="2">
      <t>スイチョク</t>
    </rPh>
    <rPh sb="2" eb="3">
      <t>メン</t>
    </rPh>
    <phoneticPr fontId="13"/>
  </si>
  <si>
    <t>下向き水平面</t>
    <rPh sb="0" eb="2">
      <t>シタム</t>
    </rPh>
    <rPh sb="3" eb="6">
      <t>スイヘイメン</t>
    </rPh>
    <phoneticPr fontId="13"/>
  </si>
  <si>
    <t>時刻</t>
    <rPh sb="0" eb="2">
      <t>ジコク</t>
    </rPh>
    <phoneticPr fontId="13"/>
  </si>
  <si>
    <t>設計値</t>
    <rPh sb="0" eb="3">
      <t>セッケイチ</t>
    </rPh>
    <phoneticPr fontId="13"/>
  </si>
  <si>
    <t>t-Jh基準</t>
    <phoneticPr fontId="13"/>
  </si>
  <si>
    <t>比エンタルピ [kJ/kg]</t>
    <phoneticPr fontId="13"/>
  </si>
  <si>
    <t>注記</t>
    <rPh sb="0" eb="2">
      <t>チュウキ</t>
    </rPh>
    <phoneticPr fontId="13"/>
  </si>
  <si>
    <t>暖房設計用土間床、地中壁設計条件</t>
    <rPh sb="0" eb="2">
      <t>ダンボウ</t>
    </rPh>
    <rPh sb="2" eb="4">
      <t>セッケイ</t>
    </rPh>
    <rPh sb="4" eb="5">
      <t>ヨウ</t>
    </rPh>
    <rPh sb="5" eb="7">
      <t>ドマ</t>
    </rPh>
    <rPh sb="7" eb="8">
      <t>ユカ</t>
    </rPh>
    <rPh sb="9" eb="11">
      <t>チチュウ</t>
    </rPh>
    <rPh sb="11" eb="12">
      <t>ヘキ</t>
    </rPh>
    <rPh sb="12" eb="14">
      <t>セッケイ</t>
    </rPh>
    <rPh sb="14" eb="16">
      <t>ジョウケン</t>
    </rPh>
    <phoneticPr fontId="13"/>
  </si>
  <si>
    <t>赤坂・坂井の方法により算出するときの地下実効温度差</t>
    <rPh sb="11" eb="13">
      <t>サンシュツ</t>
    </rPh>
    <rPh sb="18" eb="20">
      <t>チカ</t>
    </rPh>
    <rPh sb="20" eb="22">
      <t>ジッコウ</t>
    </rPh>
    <rPh sb="22" eb="25">
      <t>オンドサ</t>
    </rPh>
    <phoneticPr fontId="19"/>
  </si>
  <si>
    <t>地中温度[℃]</t>
    <phoneticPr fontId="10"/>
  </si>
  <si>
    <t>赤坂・坂井の方法により算出する場合は使用しません。</t>
    <rPh sb="11" eb="13">
      <t>サンシュツ</t>
    </rPh>
    <rPh sb="15" eb="17">
      <t>バアイ</t>
    </rPh>
    <rPh sb="18" eb="20">
      <t>シヨウ</t>
    </rPh>
    <phoneticPr fontId="19"/>
  </si>
  <si>
    <t>基準値[K]</t>
    <rPh sb="0" eb="3">
      <t>キジュンチ</t>
    </rPh>
    <phoneticPr fontId="13"/>
  </si>
  <si>
    <t>平均気温[℃]</t>
    <rPh sb="0" eb="2">
      <t>ヘイキン</t>
    </rPh>
    <rPh sb="2" eb="4">
      <t>キオン</t>
    </rPh>
    <phoneticPr fontId="13"/>
  </si>
  <si>
    <t>東京の平均気温[℃]</t>
    <rPh sb="0" eb="2">
      <t>トウキョウ</t>
    </rPh>
    <rPh sb="3" eb="5">
      <t>ヘイキン</t>
    </rPh>
    <rPh sb="5" eb="7">
      <t>キオン</t>
    </rPh>
    <phoneticPr fontId="13"/>
  </si>
  <si>
    <t>決定値[K]</t>
    <rPh sb="0" eb="2">
      <t>ケッテイ</t>
    </rPh>
    <rPh sb="2" eb="3">
      <t>チ</t>
    </rPh>
    <phoneticPr fontId="13"/>
  </si>
  <si>
    <t>深度</t>
    <phoneticPr fontId="10"/>
  </si>
  <si>
    <t>t-x基準</t>
  </si>
  <si>
    <t>t-Jh基準</t>
  </si>
  <si>
    <t>平均気温はHASPEEデータの1時～24時までの暖房設計用外気温度の平均値です。</t>
    <rPh sb="0" eb="2">
      <t>ヘイキン</t>
    </rPh>
    <rPh sb="2" eb="4">
      <t>キオン</t>
    </rPh>
    <rPh sb="16" eb="17">
      <t>ジ</t>
    </rPh>
    <rPh sb="20" eb="21">
      <t>ジ</t>
    </rPh>
    <rPh sb="24" eb="26">
      <t>ダンボウ</t>
    </rPh>
    <rPh sb="26" eb="28">
      <t>セッケイ</t>
    </rPh>
    <rPh sb="28" eb="29">
      <t>ヨウ</t>
    </rPh>
    <rPh sb="29" eb="31">
      <t>ガイキ</t>
    </rPh>
    <rPh sb="31" eb="33">
      <t>オンド</t>
    </rPh>
    <rPh sb="34" eb="37">
      <t>ヘイキンチ</t>
    </rPh>
    <phoneticPr fontId="13"/>
  </si>
  <si>
    <t>東京</t>
    <phoneticPr fontId="13"/>
  </si>
  <si>
    <t>本設計（計算）においては夜間放射量（赤外放射熱損失）は考慮していません。</t>
  </si>
  <si>
    <t>したがって、暖房設計用相当外気温度はすべて外気温度に等しくなります。</t>
  </si>
  <si>
    <t>地中温度参照地点は東京です。</t>
  </si>
  <si>
    <t>実効温度差　ETD[K]</t>
    <rPh sb="0" eb="5">
      <t>ジッコウオンドサ</t>
    </rPh>
    <phoneticPr fontId="13"/>
  </si>
  <si>
    <t>水平</t>
  </si>
  <si>
    <t>N</t>
  </si>
  <si>
    <t>NE</t>
  </si>
  <si>
    <t>E</t>
  </si>
  <si>
    <t>SE</t>
  </si>
  <si>
    <t>S</t>
  </si>
  <si>
    <t>SW</t>
  </si>
  <si>
    <t>W</t>
  </si>
  <si>
    <t>NW</t>
  </si>
  <si>
    <t>実効温度差計算用無次元化貫流応答係数 yj = 貫流応答係数 Yj / 熱貫流率 U</t>
    <rPh sb="0" eb="2">
      <t>ジッコウ</t>
    </rPh>
    <rPh sb="2" eb="5">
      <t>オンドサ</t>
    </rPh>
    <rPh sb="5" eb="8">
      <t>ケイサンヨウ</t>
    </rPh>
    <rPh sb="8" eb="11">
      <t>ムジゲン</t>
    </rPh>
    <rPh sb="11" eb="12">
      <t>カ</t>
    </rPh>
    <rPh sb="12" eb="14">
      <t>カンリュウ</t>
    </rPh>
    <rPh sb="14" eb="18">
      <t>オウトウケイスウ</t>
    </rPh>
    <rPh sb="24" eb="26">
      <t>カンリュウ</t>
    </rPh>
    <rPh sb="26" eb="28">
      <t>オウトウ</t>
    </rPh>
    <rPh sb="28" eb="30">
      <t>ケイスウ</t>
    </rPh>
    <rPh sb="36" eb="37">
      <t>ネツ</t>
    </rPh>
    <rPh sb="37" eb="39">
      <t>カンリュウ</t>
    </rPh>
    <rPh sb="39" eb="40">
      <t>リツ</t>
    </rPh>
    <phoneticPr fontId="13"/>
  </si>
  <si>
    <t>ｊ</t>
    <phoneticPr fontId="13"/>
  </si>
  <si>
    <t>yj</t>
  </si>
  <si>
    <t>ｊ</t>
  </si>
  <si>
    <t>日陰</t>
    <phoneticPr fontId="4"/>
  </si>
  <si>
    <t>日陰</t>
    <phoneticPr fontId="4"/>
  </si>
  <si>
    <t>日陰</t>
    <phoneticPr fontId="4"/>
  </si>
  <si>
    <t>1.イタリック表示の部分は計算値です。</t>
  </si>
  <si>
    <t>2.実効温度差は室温26[℃]の時の値です。</t>
  </si>
  <si>
    <t xml:space="preserve">  また、各方位の値は斜面傾斜角（壁面の水平面に対する角度）が90[°]の時の値です。</t>
  </si>
  <si>
    <t>3.日射吸収率：0.7</t>
  </si>
  <si>
    <t>4.夜間放射量は考慮していません。</t>
  </si>
  <si>
    <t>5.外表面熱伝達率：23[W/(㎡・K)]</t>
  </si>
  <si>
    <t xml:space="preserve">  （上記の外表面熱伝達率は、相当外気温度の計算のみに使用しています。</t>
  </si>
  <si>
    <t xml:space="preserve">  　応答係数計算時の外表面熱伝達率は、壁タイプⅠ～Ⅳの場合は常に23[W/(㎡・K)]、</t>
  </si>
  <si>
    <t xml:space="preserve">  　壁タイプによらず個別に計算する場合は、熱貫流率データで指定された値です。）</t>
  </si>
  <si>
    <t>6.建物方位角：20[°]</t>
  </si>
  <si>
    <t xml:space="preserve">  （各方位の実効温度差は建物方位角を考慮して計算しなおしています。）</t>
  </si>
  <si>
    <t>実効温度差及び無次元化貫流応答係数 (外壁 OW1・壁タイプⅡ)</t>
    <phoneticPr fontId="13"/>
  </si>
  <si>
    <t>日陰</t>
    <phoneticPr fontId="4"/>
  </si>
  <si>
    <t>日陰</t>
    <phoneticPr fontId="4"/>
  </si>
  <si>
    <t>実効温度差及び無次元化貫流応答係数 (外壁 OW2・壁タイプⅡ)</t>
    <phoneticPr fontId="13"/>
  </si>
  <si>
    <t>上向日陰</t>
    <phoneticPr fontId="4"/>
  </si>
  <si>
    <t>---</t>
  </si>
  <si>
    <t>上向日陰</t>
    <phoneticPr fontId="4"/>
  </si>
  <si>
    <t>上向日陰</t>
    <phoneticPr fontId="4"/>
  </si>
  <si>
    <t>6.上向日陰の相当外気温度計算用の日射量を計算する際、</t>
  </si>
  <si>
    <t xml:space="preserve">  太陽方向の高輝度成分を考慮せず、直散分離後の値をそのまま用いています｡</t>
  </si>
  <si>
    <t>実効温度差 (屋根 OR1・壁タイプⅣ)</t>
    <phoneticPr fontId="13"/>
  </si>
  <si>
    <t>上向日陰</t>
    <phoneticPr fontId="4"/>
  </si>
  <si>
    <t>実効温度差 (屋根 OR2・壁タイプⅣ)</t>
    <phoneticPr fontId="13"/>
  </si>
  <si>
    <t xml:space="preserve">  3.外壁・屋根などの実効温度差を示しています。</t>
  </si>
  <si>
    <t xml:space="preserve">  4.非空調室の温度条件を示しています。</t>
  </si>
  <si>
    <t>非空調室などの温度条件</t>
    <rPh sb="0" eb="1">
      <t>ヒ</t>
    </rPh>
    <rPh sb="1" eb="3">
      <t>クウチョウ</t>
    </rPh>
    <rPh sb="3" eb="4">
      <t>シツ</t>
    </rPh>
    <rPh sb="7" eb="9">
      <t>オンド</t>
    </rPh>
    <rPh sb="9" eb="11">
      <t>ジョウケン</t>
    </rPh>
    <phoneticPr fontId="13"/>
  </si>
  <si>
    <t>中間季の値は参考値です</t>
    <rPh sb="0" eb="2">
      <t>チュウカン</t>
    </rPh>
    <rPh sb="2" eb="3">
      <t>キ</t>
    </rPh>
    <rPh sb="4" eb="5">
      <t>アタイ</t>
    </rPh>
    <rPh sb="6" eb="8">
      <t>サンコウ</t>
    </rPh>
    <rPh sb="8" eb="9">
      <t>チ</t>
    </rPh>
    <phoneticPr fontId="13"/>
  </si>
  <si>
    <t>隣室記号</t>
    <rPh sb="0" eb="2">
      <t>リンシツ</t>
    </rPh>
    <rPh sb="2" eb="4">
      <t>キゴウ</t>
    </rPh>
    <phoneticPr fontId="13"/>
  </si>
  <si>
    <t>室名</t>
    <rPh sb="0" eb="2">
      <t>シツメイ</t>
    </rPh>
    <phoneticPr fontId="13"/>
  </si>
  <si>
    <t>温度条件</t>
    <rPh sb="0" eb="2">
      <t>オンド</t>
    </rPh>
    <rPh sb="2" eb="4">
      <t>ジョウケン</t>
    </rPh>
    <phoneticPr fontId="13"/>
  </si>
  <si>
    <t>夏季</t>
    <rPh sb="0" eb="2">
      <t>カキ</t>
    </rPh>
    <phoneticPr fontId="13"/>
  </si>
  <si>
    <t>冬季</t>
    <rPh sb="0" eb="2">
      <t>トウキ</t>
    </rPh>
    <phoneticPr fontId="13"/>
  </si>
  <si>
    <t>中間季</t>
    <rPh sb="0" eb="2">
      <t>チュウカン</t>
    </rPh>
    <rPh sb="2" eb="3">
      <t>キ</t>
    </rPh>
    <phoneticPr fontId="13"/>
  </si>
  <si>
    <t>廊下</t>
  </si>
  <si>
    <t>廊下等</t>
  </si>
  <si>
    <t>隣室温度差係数=0.3</t>
  </si>
  <si>
    <t>階段</t>
  </si>
  <si>
    <t>階段室等</t>
  </si>
  <si>
    <t>隣室温度差係数=0.4</t>
  </si>
  <si>
    <t>WC</t>
  </si>
  <si>
    <t>トイレ</t>
  </si>
  <si>
    <t>風除室</t>
  </si>
  <si>
    <t>風除室等</t>
  </si>
  <si>
    <t>隣室温度差係数=1</t>
  </si>
  <si>
    <t>物置</t>
  </si>
  <si>
    <t>物置・倉庫</t>
  </si>
  <si>
    <t>厨房</t>
  </si>
  <si>
    <t>厨房等</t>
  </si>
  <si>
    <t>外気温度+2[K]</t>
  </si>
  <si>
    <t>倉庫</t>
  </si>
  <si>
    <t>倉庫（サーモ付換気扇）</t>
  </si>
  <si>
    <t>室温=40[℃]</t>
  </si>
  <si>
    <t>外気温度+5[K]</t>
  </si>
  <si>
    <t>機械室</t>
  </si>
  <si>
    <t>機械Ｓ</t>
  </si>
  <si>
    <t>機械室（サーモ付換気扇）</t>
  </si>
  <si>
    <t>電気室</t>
  </si>
  <si>
    <t>電気室（サーモ付換気扇）</t>
  </si>
  <si>
    <t>ボイラ</t>
  </si>
  <si>
    <t>ボイラー室</t>
  </si>
  <si>
    <t>外気温度+10[K]</t>
  </si>
  <si>
    <t>コンプ</t>
  </si>
  <si>
    <t>コンプレッサー室（サーモ付換気扇）</t>
  </si>
  <si>
    <t>凍-20℃</t>
  </si>
  <si>
    <t>冷凍庫（-20[℃]）</t>
  </si>
  <si>
    <t>室温=-20[℃]</t>
  </si>
  <si>
    <t>冷5℃</t>
  </si>
  <si>
    <t>冷蔵庫（5[℃]）</t>
  </si>
  <si>
    <t>室温=5[℃]</t>
  </si>
  <si>
    <t>参照地点名</t>
    <rPh sb="2" eb="4">
      <t>チテン</t>
    </rPh>
    <phoneticPr fontId="10"/>
  </si>
  <si>
    <t>注記</t>
    <rPh sb="0" eb="2">
      <t>チュウキ</t>
    </rPh>
    <phoneticPr fontId="10"/>
  </si>
  <si>
    <t>日陰コード</t>
    <rPh sb="0" eb="2">
      <t>ヒカゲ</t>
    </rPh>
    <phoneticPr fontId="10"/>
  </si>
  <si>
    <t>各部寸法[mm]</t>
  </si>
  <si>
    <t>V</t>
  </si>
  <si>
    <t>B</t>
  </si>
  <si>
    <t>b</t>
  </si>
  <si>
    <t>H</t>
  </si>
  <si>
    <t>h</t>
  </si>
  <si>
    <t>h'</t>
  </si>
  <si>
    <t>断面図</t>
    <rPh sb="0" eb="3">
      <t>ダンメンズ</t>
    </rPh>
    <phoneticPr fontId="10"/>
  </si>
  <si>
    <t>平面図</t>
    <rPh sb="0" eb="3">
      <t>ヘイメンズ</t>
    </rPh>
    <phoneticPr fontId="10"/>
  </si>
  <si>
    <t>上向日陰</t>
    <rPh sb="0" eb="2">
      <t>ウエム</t>
    </rPh>
    <rPh sb="2" eb="4">
      <t>ヒカゲ</t>
    </rPh>
    <phoneticPr fontId="10"/>
  </si>
  <si>
    <t>水平面拡散日射熱取得IGSh</t>
    <rPh sb="0" eb="2">
      <t>スイヘイ</t>
    </rPh>
    <rPh sb="2" eb="3">
      <t>メン</t>
    </rPh>
    <rPh sb="3" eb="5">
      <t>カクサン</t>
    </rPh>
    <rPh sb="5" eb="7">
      <t>ニッシャ</t>
    </rPh>
    <rPh sb="7" eb="8">
      <t>ネツ</t>
    </rPh>
    <rPh sb="8" eb="10">
      <t>シュトク</t>
    </rPh>
    <phoneticPr fontId="10"/>
  </si>
  <si>
    <t>日陰</t>
    <phoneticPr fontId="10"/>
  </si>
  <si>
    <t>垂直面拡散日射熱取得IGS</t>
    <rPh sb="0" eb="2">
      <t>スイチョク</t>
    </rPh>
    <rPh sb="2" eb="3">
      <t>メン</t>
    </rPh>
    <rPh sb="3" eb="5">
      <t>カクサン</t>
    </rPh>
    <rPh sb="5" eb="7">
      <t>ニッシャ</t>
    </rPh>
    <rPh sb="7" eb="8">
      <t>ネツ</t>
    </rPh>
    <rPh sb="8" eb="10">
      <t>シュトク</t>
    </rPh>
    <phoneticPr fontId="10"/>
  </si>
  <si>
    <t>水平面全日射熱取得IG</t>
    <rPh sb="0" eb="3">
      <t>スイヘイメン</t>
    </rPh>
    <rPh sb="3" eb="4">
      <t>ゼン</t>
    </rPh>
    <rPh sb="4" eb="6">
      <t>ニッシャ</t>
    </rPh>
    <rPh sb="6" eb="7">
      <t>ネツ</t>
    </rPh>
    <rPh sb="7" eb="9">
      <t>シュトク</t>
    </rPh>
    <phoneticPr fontId="10"/>
  </si>
  <si>
    <t>直達日射熱取得IGD</t>
    <rPh sb="0" eb="2">
      <t>チョクタツ</t>
    </rPh>
    <rPh sb="2" eb="4">
      <t>ニッシャ</t>
    </rPh>
    <rPh sb="4" eb="5">
      <t>ネツ</t>
    </rPh>
    <rPh sb="5" eb="7">
      <t>シュトク</t>
    </rPh>
    <phoneticPr fontId="10"/>
  </si>
  <si>
    <t>日照面積率SG</t>
    <phoneticPr fontId="10"/>
  </si>
  <si>
    <t>全日射熱取得IG=IGD･SG+IGS</t>
    <rPh sb="0" eb="1">
      <t>ゼン</t>
    </rPh>
    <rPh sb="1" eb="3">
      <t>ニッシャ</t>
    </rPh>
    <rPh sb="3" eb="4">
      <t>ネツ</t>
    </rPh>
    <rPh sb="4" eb="6">
      <t>シュトク</t>
    </rPh>
    <phoneticPr fontId="10"/>
  </si>
  <si>
    <t>日照面積率SG</t>
    <phoneticPr fontId="10"/>
  </si>
  <si>
    <t>水平日陰</t>
    <rPh sb="0" eb="2">
      <t>スイヘイ</t>
    </rPh>
    <phoneticPr fontId="10"/>
  </si>
  <si>
    <t>日陰</t>
    <phoneticPr fontId="10"/>
  </si>
  <si>
    <t>日照面積率SG</t>
    <phoneticPr fontId="10"/>
  </si>
  <si>
    <t>日陰</t>
    <phoneticPr fontId="10"/>
  </si>
  <si>
    <t>外部遮蔽計算用寸法と各時刻における日照面積率及びガラス透過日射熱取得[W/㎡]（外部遮蔽無し）</t>
    <phoneticPr fontId="13"/>
  </si>
  <si>
    <t>外部遮蔽無し</t>
  </si>
  <si>
    <t>1.日射熱取得単位は[W/㎡]</t>
  </si>
  <si>
    <t>2.イタリック表示の部分は計算値です。</t>
  </si>
  <si>
    <t>3.直散分離には渡辺モデルを使用しています｡</t>
  </si>
  <si>
    <t>4.真近点離角を求める際の太陽位置は</t>
  </si>
  <si>
    <t xml:space="preserve">  山崎の方法(計算年=1990年)で計算しています。</t>
  </si>
  <si>
    <t>5.入射角特性はJIS A 2103(附属書G)で計算しています。</t>
  </si>
  <si>
    <t>日照面積率SG</t>
    <phoneticPr fontId="10"/>
  </si>
  <si>
    <t>外部遮蔽計算用寸法と各時刻における日照面積率及びガラス透過日射熱取得[W/㎡]（日陰コード：2F-E）</t>
    <phoneticPr fontId="13"/>
  </si>
  <si>
    <t>2F-E</t>
  </si>
  <si>
    <t xml:space="preserve">  5.ガラス透過日射熱取得の値を示しています。</t>
  </si>
  <si>
    <t>熱貫流率計算表</t>
  </si>
  <si>
    <t xml:space="preserve">  構造体の熱貫流率を計算しています。</t>
  </si>
  <si>
    <t>熱貫流率の計算</t>
    <rPh sb="0" eb="1">
      <t>ネツ</t>
    </rPh>
    <rPh sb="1" eb="3">
      <t>カンリュウ</t>
    </rPh>
    <rPh sb="3" eb="4">
      <t>リツ</t>
    </rPh>
    <rPh sb="5" eb="7">
      <t>ケイサン</t>
    </rPh>
    <phoneticPr fontId="10"/>
  </si>
  <si>
    <t>略　　図</t>
    <rPh sb="0" eb="1">
      <t>リャク</t>
    </rPh>
    <rPh sb="3" eb="4">
      <t>ズ</t>
    </rPh>
    <phoneticPr fontId="10"/>
  </si>
  <si>
    <t>番号</t>
    <phoneticPr fontId="10"/>
  </si>
  <si>
    <t>材　料　名</t>
    <rPh sb="0" eb="1">
      <t>ザイ</t>
    </rPh>
    <rPh sb="2" eb="3">
      <t>リョウ</t>
    </rPh>
    <rPh sb="4" eb="5">
      <t>メイ</t>
    </rPh>
    <phoneticPr fontId="10"/>
  </si>
  <si>
    <t>厚さ
t
[m]</t>
    <phoneticPr fontId="10"/>
  </si>
  <si>
    <t>熱伝導率
λ
[W/(m･K)]</t>
    <phoneticPr fontId="10"/>
  </si>
  <si>
    <t>t/λ
[㎡･K/W]</t>
    <phoneticPr fontId="10"/>
  </si>
  <si>
    <t>厚さ
t
[m]</t>
  </si>
  <si>
    <t>熱伝導率
λ
[W/(m･K)]</t>
  </si>
  <si>
    <t>t/λ
[㎡･K/W]</t>
  </si>
  <si>
    <t>１行目</t>
  </si>
  <si>
    <t>外壁</t>
  </si>
  <si>
    <t>OW1</t>
  </si>
  <si>
    <t>壁タイプ=Ⅱ</t>
  </si>
  <si>
    <t>日射吸収率=0.7</t>
  </si>
  <si>
    <t>外壁外表面熱伝達率</t>
  </si>
  <si>
    <t>-</t>
  </si>
  <si>
    <t>(23[W/(㎡・K])</t>
  </si>
  <si>
    <t>気泡コンクリート（ALC）</t>
  </si>
  <si>
    <t>吹付け硬質ウレタンフォームＡ種3</t>
  </si>
  <si>
    <t>非密閉空気層</t>
  </si>
  <si>
    <t>せっこうボード</t>
  </si>
  <si>
    <t>ケイ酸カルシウム板　0.8mm</t>
  </si>
  <si>
    <t>室内表面熱伝達率</t>
  </si>
  <si>
    <t>(9[W/(㎡・K])</t>
  </si>
  <si>
    <t>熱抵抗(ｔ／λ合計)</t>
  </si>
  <si>
    <t>熱貫流率　U = 1/1.485≒0.67[W/(㎡･K)]</t>
  </si>
  <si>
    <t>OW2</t>
  </si>
  <si>
    <t>吹付け硬質ウレタンフォームＡ種１</t>
  </si>
  <si>
    <t>熱貫流率　U = 1/1.562≒0.64[W/(㎡･K)]</t>
  </si>
  <si>
    <t>外壁ｶﾞﾗｽ</t>
  </si>
  <si>
    <t>OG1</t>
  </si>
  <si>
    <t>透明 5mm</t>
  </si>
  <si>
    <t>(ブラインド無し)</t>
  </si>
  <si>
    <t>ガラス面積比率=0.85</t>
  </si>
  <si>
    <t>遮蔽係数 = 0.97</t>
  </si>
  <si>
    <t>熱貫流率 U = 5.9[W/(㎡･K)]</t>
  </si>
  <si>
    <t>OG2</t>
  </si>
  <si>
    <t>(明色ブラインド付)</t>
  </si>
  <si>
    <t>遮蔽係数 = 0.49→0.97</t>
  </si>
  <si>
    <t>熱貫流率 U = 4.2|5.9[W/(㎡･K)]</t>
  </si>
  <si>
    <t>OG3</t>
  </si>
  <si>
    <t>熱反シルバー+透明 6mm (空気層12mm)</t>
  </si>
  <si>
    <t>遮蔽係数 = 0.7</t>
  </si>
  <si>
    <t>熱貫流率 U = 2.8[W/(㎡･K)]</t>
  </si>
  <si>
    <t>屋根</t>
  </si>
  <si>
    <t>OR1</t>
  </si>
  <si>
    <t>壁タイプ=Ⅳ</t>
  </si>
  <si>
    <t>軽量コンクリート（軽量2種）</t>
  </si>
  <si>
    <t>押出法ポリスチレンフォーム　保温板　2種</t>
  </si>
  <si>
    <t>アスファルト類</t>
  </si>
  <si>
    <t>コンクリート</t>
  </si>
  <si>
    <t>熱貫流率　U = 1/2.143≒0.47[W/(㎡･K)]</t>
  </si>
  <si>
    <t>OR2</t>
  </si>
  <si>
    <t>熱貫流率　U = 1/2.176≒0.46[W/(㎡･K)]</t>
  </si>
  <si>
    <t>内壁</t>
  </si>
  <si>
    <t>IW1</t>
  </si>
  <si>
    <t>熱貫流率　U = 1/0.492≒2.03[W/(㎡･K)]</t>
  </si>
  <si>
    <t>IW2</t>
  </si>
  <si>
    <t>熱貫流率　U = 1/0.426≒2.35[W/(㎡･K)]</t>
  </si>
  <si>
    <t>IW3</t>
  </si>
  <si>
    <t>熱貫流率　U = 1/0.459≒2.18[W/(㎡･K)]</t>
  </si>
  <si>
    <t>天井･床</t>
  </si>
  <si>
    <t>C1</t>
  </si>
  <si>
    <t xml:space="preserve">ビニル系床材  </t>
  </si>
  <si>
    <t>セメント・モルタル</t>
  </si>
  <si>
    <t>熱貫流率　U = 1/0.480≒2.08[W/(㎡･K)]</t>
  </si>
  <si>
    <t>C2</t>
  </si>
  <si>
    <t>熱貫流率　U = 1/0.298≒3.36[W/(㎡･K)]</t>
  </si>
  <si>
    <t>C3</t>
  </si>
  <si>
    <t>熱貫流率　U = 1/0.352≒2.84[W/(㎡･K)]</t>
  </si>
  <si>
    <t>土間床</t>
  </si>
  <si>
    <t>BF1</t>
  </si>
  <si>
    <t>岩石</t>
  </si>
  <si>
    <t>土壌</t>
  </si>
  <si>
    <t>熱貫流率　U = 1/1.289≒0.78[W/(㎡･K)]</t>
  </si>
  <si>
    <t>BF2</t>
  </si>
  <si>
    <t>熱貫流率　U = 1/1.473≒0.68[W/(㎡･K)]</t>
  </si>
  <si>
    <t>地中壁</t>
  </si>
  <si>
    <t>BW1</t>
  </si>
  <si>
    <t>コンクリートブロック（軽量）</t>
  </si>
  <si>
    <t>熱貫流率　U = 1/1.631≒0.61[W/(㎡･K)]</t>
  </si>
  <si>
    <t>各室熱負荷計算書</t>
  </si>
  <si>
    <t xml:space="preserve">  各室の構造体負荷、内部負荷および外気負荷を計算しています。</t>
  </si>
  <si>
    <t>空調使用時間：</t>
    <rPh sb="0" eb="2">
      <t>クウチョウ</t>
    </rPh>
    <rPh sb="2" eb="4">
      <t>シヨウ</t>
    </rPh>
    <rPh sb="4" eb="6">
      <t>ジカン</t>
    </rPh>
    <phoneticPr fontId="6"/>
  </si>
  <si>
    <t>負荷計算用紙J24h</t>
    <rPh sb="0" eb="2">
      <t>フカ</t>
    </rPh>
    <rPh sb="2" eb="4">
      <t>ケイサン</t>
    </rPh>
    <rPh sb="4" eb="6">
      <t>ヨウシ</t>
    </rPh>
    <phoneticPr fontId="6"/>
  </si>
  <si>
    <t>面積</t>
  </si>
  <si>
    <t>外壁面積法による分</t>
  </si>
  <si>
    <t>隙間風合計：</t>
  </si>
  <si>
    <t>明記なき単位は以下のとおり
 日射量ig：[W/㎡]、熱貫流率U：[W/(㎡・K)]、温度差⊿t：[K]</t>
    <rPh sb="0" eb="2">
      <t>メイキ</t>
    </rPh>
    <rPh sb="4" eb="6">
      <t>タンイ</t>
    </rPh>
    <rPh sb="7" eb="9">
      <t>イカ</t>
    </rPh>
    <phoneticPr fontId="6"/>
  </si>
  <si>
    <t>h-t基準　冷房負荷[W]</t>
    <rPh sb="3" eb="5">
      <t>キジュン</t>
    </rPh>
    <phoneticPr fontId="6"/>
  </si>
  <si>
    <t>Jc-t基準　冷房負荷[W]</t>
    <rPh sb="4" eb="6">
      <t>キジュン</t>
    </rPh>
    <phoneticPr fontId="6"/>
  </si>
  <si>
    <t>Js-t基準　冷房負荷[W]</t>
    <rPh sb="4" eb="6">
      <t>キジュン</t>
    </rPh>
    <phoneticPr fontId="6"/>
  </si>
  <si>
    <t>暖房負荷[W]</t>
    <rPh sb="0" eb="2">
      <t>ダンボウ</t>
    </rPh>
    <phoneticPr fontId="6"/>
  </si>
  <si>
    <t>最大負荷[W]</t>
    <rPh sb="0" eb="2">
      <t>サイダイ</t>
    </rPh>
    <rPh sb="2" eb="4">
      <t>フカ</t>
    </rPh>
    <phoneticPr fontId="6"/>
  </si>
  <si>
    <t>t-x基準</t>
    <rPh sb="3" eb="5">
      <t>キジュン</t>
    </rPh>
    <phoneticPr fontId="6"/>
  </si>
  <si>
    <t>t-Jh基準</t>
    <rPh sb="4" eb="6">
      <t>キジュン</t>
    </rPh>
    <phoneticPr fontId="6"/>
  </si>
  <si>
    <t>ガラス透過負荷</t>
    <rPh sb="3" eb="5">
      <t>トウカ</t>
    </rPh>
    <rPh sb="5" eb="7">
      <t>フカ</t>
    </rPh>
    <phoneticPr fontId="6"/>
  </si>
  <si>
    <t>壁体記号</t>
  </si>
  <si>
    <t>方位</t>
  </si>
  <si>
    <t>面積S[m2]</t>
    <phoneticPr fontId="6"/>
  </si>
  <si>
    <t>遮蔽係数SC</t>
    <phoneticPr fontId="13"/>
  </si>
  <si>
    <t>日陰コード</t>
    <rPh sb="0" eb="2">
      <t>ヒカゲ</t>
    </rPh>
    <phoneticPr fontId="6"/>
  </si>
  <si>
    <t>ig</t>
    <phoneticPr fontId="6"/>
  </si>
  <si>
    <t>S・S.C.・ig</t>
    <phoneticPr fontId="13"/>
  </si>
  <si>
    <t>ig</t>
  </si>
  <si>
    <t>S・S.C.・ig</t>
  </si>
  <si>
    <t>時刻</t>
    <rPh sb="0" eb="2">
      <t>ジコク</t>
    </rPh>
    <phoneticPr fontId="6"/>
  </si>
  <si>
    <t>-</t>
    <phoneticPr fontId="6"/>
  </si>
  <si>
    <t>h-t基準
設計最大負荷
↓
↓
↓</t>
    <rPh sb="3" eb="5">
      <t>キジュン</t>
    </rPh>
    <rPh sb="6" eb="8">
      <t>セッケイ</t>
    </rPh>
    <rPh sb="8" eb="10">
      <t>サイダイ</t>
    </rPh>
    <phoneticPr fontId="6"/>
  </si>
  <si>
    <t>Jc-t基準
設計最大負荷
↓
↓
↓</t>
    <rPh sb="4" eb="6">
      <t>キジュン</t>
    </rPh>
    <rPh sb="9" eb="11">
      <t>サイダイ</t>
    </rPh>
    <phoneticPr fontId="6"/>
  </si>
  <si>
    <t>Js-t基準
設計最大負荷
↓
↓
↓</t>
    <rPh sb="4" eb="6">
      <t>キジュン</t>
    </rPh>
    <rPh sb="9" eb="11">
      <t>サイダイ</t>
    </rPh>
    <phoneticPr fontId="6"/>
  </si>
  <si>
    <t>-</t>
    <phoneticPr fontId="6"/>
  </si>
  <si>
    <t>①顕熱負荷1 [W]</t>
    <phoneticPr fontId="6"/>
  </si>
  <si>
    <t>①顕熱負荷1 [W]</t>
    <phoneticPr fontId="6"/>
  </si>
  <si>
    <t>壁体貫流負荷</t>
    <rPh sb="0" eb="1">
      <t>ヘキ</t>
    </rPh>
    <rPh sb="1" eb="2">
      <t>タイ</t>
    </rPh>
    <rPh sb="2" eb="4">
      <t>カンリュウ</t>
    </rPh>
    <rPh sb="4" eb="6">
      <t>フカ</t>
    </rPh>
    <phoneticPr fontId="6"/>
  </si>
  <si>
    <t>面積S[m2]</t>
    <phoneticPr fontId="6"/>
  </si>
  <si>
    <t>熱貫流率U</t>
  </si>
  <si>
    <t>隣室記号</t>
    <rPh sb="0" eb="2">
      <t>リンシツ</t>
    </rPh>
    <rPh sb="2" eb="4">
      <t>キゴウ</t>
    </rPh>
    <phoneticPr fontId="6"/>
  </si>
  <si>
    <t>⊿t</t>
    <phoneticPr fontId="6"/>
  </si>
  <si>
    <t>S・U・⊿t</t>
    <phoneticPr fontId="6"/>
  </si>
  <si>
    <t>⊿t</t>
  </si>
  <si>
    <t>S・U・⊿t</t>
    <phoneticPr fontId="6"/>
  </si>
  <si>
    <t>S・U・⊿t</t>
    <phoneticPr fontId="6"/>
  </si>
  <si>
    <t>S・U・⊿t</t>
  </si>
  <si>
    <t>⊿t</t>
    <phoneticPr fontId="6"/>
  </si>
  <si>
    <t>[㎡]</t>
    <phoneticPr fontId="6"/>
  </si>
  <si>
    <t>[W/㎡]</t>
    <phoneticPr fontId="6"/>
  </si>
  <si>
    <t>②顕熱負荷2 [W]</t>
    <phoneticPr fontId="6"/>
  </si>
  <si>
    <t>②顕熱負荷2 [W]</t>
    <phoneticPr fontId="6"/>
  </si>
  <si>
    <t>r</t>
    <phoneticPr fontId="6"/>
  </si>
  <si>
    <t>取得熱量</t>
  </si>
  <si>
    <t>損失熱量</t>
    <rPh sb="0" eb="2">
      <t>ソンシツ</t>
    </rPh>
    <phoneticPr fontId="6"/>
  </si>
  <si>
    <t>③顕熱負荷3 [W]</t>
    <phoneticPr fontId="6"/>
  </si>
  <si>
    <t>顕熱負荷</t>
  </si>
  <si>
    <t>④顕熱負荷4[W]</t>
    <phoneticPr fontId="6"/>
  </si>
  <si>
    <t>L・U・⊿t</t>
    <phoneticPr fontId="6"/>
  </si>
  <si>
    <t>⑤顕熱負荷5 [W]</t>
    <phoneticPr fontId="6"/>
  </si>
  <si>
    <t>⑥顕熱負荷6 [W]</t>
    <phoneticPr fontId="6"/>
  </si>
  <si>
    <t>h-t基準
設計顕熱負荷
↓
↓</t>
    <rPh sb="8" eb="10">
      <t>ケンネツ</t>
    </rPh>
    <phoneticPr fontId="13"/>
  </si>
  <si>
    <t>Jc-t基準
設計顕熱負荷
↓
↓</t>
    <rPh sb="9" eb="11">
      <t>ケンネツ</t>
    </rPh>
    <phoneticPr fontId="13"/>
  </si>
  <si>
    <t>Js-t基準
設計顕熱負荷
↓
↓</t>
    <rPh sb="9" eb="11">
      <t>ケンネツ</t>
    </rPh>
    <phoneticPr fontId="13"/>
  </si>
  <si>
    <t>冷房設計
最大顕熱負荷
↓
↓</t>
    <rPh sb="7" eb="9">
      <t>ケンネツ</t>
    </rPh>
    <phoneticPr fontId="13"/>
  </si>
  <si>
    <t>暖房設計
最大顕熱負荷
↓
↓</t>
    <rPh sb="7" eb="9">
      <t>ケンネツ</t>
    </rPh>
    <phoneticPr fontId="13"/>
  </si>
  <si>
    <t>⑧余裕係数×送風機負荷係数</t>
    <phoneticPr fontId="6"/>
  </si>
  <si>
    <t xml:space="preserve"> (A)顕熱負荷 ⑦×⑧ [W]</t>
    <phoneticPr fontId="6"/>
  </si>
  <si>
    <t>h-t基準
設計潜熱負荷
↓
↓</t>
  </si>
  <si>
    <t>Jc-t基準
設計潜熱負荷
↓
↓</t>
  </si>
  <si>
    <t>Js-t基準
設計潜熱負荷
↓
↓</t>
  </si>
  <si>
    <t>冷房設計
最大潜熱負荷
↓
↓</t>
  </si>
  <si>
    <t>暖房設計
最大潜熱負荷
↓
↓</t>
  </si>
  <si>
    <t>Cj0</t>
    <phoneticPr fontId="6"/>
  </si>
  <si>
    <t>(C)室内全熱負荷　(A)+(B) [W]</t>
    <phoneticPr fontId="6"/>
  </si>
  <si>
    <t>単位負荷（室内全熱負荷(C)／室面積） [W/m2]</t>
    <phoneticPr fontId="6"/>
  </si>
  <si>
    <t xml:space="preserve">
外気負荷、過冷却負荷及び全負荷</t>
    <rPh sb="1" eb="5">
      <t>ガイキフカ</t>
    </rPh>
    <rPh sb="6" eb="9">
      <t>カレイキャク</t>
    </rPh>
    <rPh sb="9" eb="11">
      <t>フカ</t>
    </rPh>
    <rPh sb="11" eb="12">
      <t>オヨ</t>
    </rPh>
    <rPh sb="13" eb="14">
      <t>ゼン</t>
    </rPh>
    <rPh sb="14" eb="16">
      <t>フカ</t>
    </rPh>
    <phoneticPr fontId="6"/>
  </si>
  <si>
    <t xml:space="preserve">
外気負荷及び全負荷</t>
    <rPh sb="1" eb="5">
      <t>ガイキフカ</t>
    </rPh>
    <rPh sb="5" eb="6">
      <t>オヨ</t>
    </rPh>
    <rPh sb="7" eb="8">
      <t>ゼン</t>
    </rPh>
    <rPh sb="8" eb="10">
      <t>フカ</t>
    </rPh>
    <phoneticPr fontId="6"/>
  </si>
  <si>
    <t>t-x基準</t>
    <phoneticPr fontId="6"/>
  </si>
  <si>
    <t>h-t基準</t>
    <rPh sb="3" eb="5">
      <t>キジュン</t>
    </rPh>
    <phoneticPr fontId="6"/>
  </si>
  <si>
    <t>Jc-t基準</t>
    <rPh sb="4" eb="6">
      <t>キジュン</t>
    </rPh>
    <phoneticPr fontId="6"/>
  </si>
  <si>
    <t>Js-t基準</t>
    <rPh sb="4" eb="6">
      <t>キジュン</t>
    </rPh>
    <phoneticPr fontId="6"/>
  </si>
  <si>
    <t>冷房最大</t>
    <rPh sb="0" eb="2">
      <t>レイボウ</t>
    </rPh>
    <rPh sb="2" eb="4">
      <t>サイダイ</t>
    </rPh>
    <phoneticPr fontId="6"/>
  </si>
  <si>
    <t>暖房最大</t>
    <rPh sb="0" eb="2">
      <t>ダンボウ</t>
    </rPh>
    <rPh sb="2" eb="4">
      <t>サイダイ</t>
    </rPh>
    <phoneticPr fontId="6"/>
  </si>
  <si>
    <t>⊿h</t>
  </si>
  <si>
    <t>[W]</t>
    <phoneticPr fontId="6"/>
  </si>
  <si>
    <t>　　その他の負荷</t>
    <rPh sb="4" eb="5">
      <t>タ</t>
    </rPh>
    <rPh sb="6" eb="8">
      <t>フカ</t>
    </rPh>
    <phoneticPr fontId="6"/>
  </si>
  <si>
    <t>その他の負荷</t>
    <rPh sb="2" eb="3">
      <t>タ</t>
    </rPh>
    <rPh sb="4" eb="6">
      <t>フカ</t>
    </rPh>
    <phoneticPr fontId="6"/>
  </si>
  <si>
    <t>負荷量</t>
  </si>
  <si>
    <t>⊿x</t>
  </si>
  <si>
    <t>　　備考</t>
    <rPh sb="2" eb="4">
      <t>ビコウ</t>
    </rPh>
    <phoneticPr fontId="6"/>
  </si>
  <si>
    <t>B102</t>
  </si>
  <si>
    <t>B1</t>
  </si>
  <si>
    <t>仮眠室</t>
  </si>
  <si>
    <t>24時間</t>
  </si>
  <si>
    <t>24時間</t>
    <phoneticPr fontId="6"/>
  </si>
  <si>
    <t>h-t</t>
  </si>
  <si>
    <t>冷房設計
最大負荷
(外気負荷
を含む全負荷
により決定、
h-t基準
採用)
↓
↓
↓</t>
    <phoneticPr fontId="6"/>
  </si>
  <si>
    <t>t-x</t>
  </si>
  <si>
    <t>暖房設計
最大負荷
(外気負荷
を含む全負荷
により決定、
t-x基準
採用)
↓
↓
↓</t>
    <phoneticPr fontId="6"/>
  </si>
  <si>
    <t>室NO</t>
  </si>
  <si>
    <t>室NO</t>
    <phoneticPr fontId="6"/>
  </si>
  <si>
    <t>B102</t>
    <phoneticPr fontId="4"/>
  </si>
  <si>
    <t>室名</t>
  </si>
  <si>
    <t>室名</t>
    <phoneticPr fontId="6"/>
  </si>
  <si>
    <t>仮眠室</t>
    <phoneticPr fontId="4"/>
  </si>
  <si>
    <t>設計外気風量[m3/h]</t>
    <phoneticPr fontId="6"/>
  </si>
  <si>
    <t>夜間外気風量[m3/h]</t>
    <phoneticPr fontId="6"/>
  </si>
  <si>
    <t>冷房設計温湿度目標値</t>
    <phoneticPr fontId="6"/>
  </si>
  <si>
    <t>系統記号</t>
    <phoneticPr fontId="6"/>
  </si>
  <si>
    <t>室NO</t>
    <phoneticPr fontId="6"/>
  </si>
  <si>
    <t>設計外気風量[m3/h]</t>
    <phoneticPr fontId="6"/>
  </si>
  <si>
    <t>冷房設計温湿度目標値</t>
    <phoneticPr fontId="6"/>
  </si>
  <si>
    <t>系統記号</t>
    <phoneticPr fontId="6"/>
  </si>
  <si>
    <t>室NO</t>
    <phoneticPr fontId="6"/>
  </si>
  <si>
    <t>夜間外気風量[m3/h]</t>
    <phoneticPr fontId="6"/>
  </si>
  <si>
    <t>暖房設計温湿度目標値</t>
    <phoneticPr fontId="6"/>
  </si>
  <si>
    <t>乾球温度</t>
    <phoneticPr fontId="4"/>
  </si>
  <si>
    <t>相対湿度</t>
    <phoneticPr fontId="25"/>
  </si>
  <si>
    <t>比エンタルピ</t>
    <phoneticPr fontId="25"/>
  </si>
  <si>
    <t>絶対湿度</t>
    <phoneticPr fontId="6"/>
  </si>
  <si>
    <t>相対湿度</t>
    <phoneticPr fontId="25"/>
  </si>
  <si>
    <t>比エンタルピ</t>
    <phoneticPr fontId="25"/>
  </si>
  <si>
    <t>絶対湿度</t>
    <phoneticPr fontId="6"/>
  </si>
  <si>
    <t>階</t>
  </si>
  <si>
    <t>階</t>
    <phoneticPr fontId="6"/>
  </si>
  <si>
    <t>B1</t>
    <phoneticPr fontId="4"/>
  </si>
  <si>
    <t>面積</t>
    <phoneticPr fontId="4"/>
  </si>
  <si>
    <t>天井高</t>
    <phoneticPr fontId="6"/>
  </si>
  <si>
    <t>容積</t>
    <phoneticPr fontId="6"/>
  </si>
  <si>
    <t>28.0[℃]</t>
    <phoneticPr fontId="4"/>
  </si>
  <si>
    <t>45[％]</t>
    <phoneticPr fontId="4"/>
  </si>
  <si>
    <t>55.4[kJ/kg]</t>
    <phoneticPr fontId="4"/>
  </si>
  <si>
    <t>10.7[g/kg]</t>
    <phoneticPr fontId="4"/>
  </si>
  <si>
    <t>容積</t>
    <phoneticPr fontId="6"/>
  </si>
  <si>
    <t>28.0[℃]</t>
    <phoneticPr fontId="4"/>
  </si>
  <si>
    <t>55.4[kJ/kg]</t>
    <phoneticPr fontId="4"/>
  </si>
  <si>
    <t>10.7[g/kg]</t>
    <phoneticPr fontId="4"/>
  </si>
  <si>
    <t>階</t>
    <phoneticPr fontId="6"/>
  </si>
  <si>
    <t>45[％]</t>
    <phoneticPr fontId="4"/>
  </si>
  <si>
    <t>天井高</t>
    <phoneticPr fontId="6"/>
  </si>
  <si>
    <t>19.0[℃]</t>
    <phoneticPr fontId="4"/>
  </si>
  <si>
    <t>40[％]</t>
    <phoneticPr fontId="4"/>
  </si>
  <si>
    <t>33.0[kJ/kg]</t>
    <phoneticPr fontId="4"/>
  </si>
  <si>
    <t>5.5[g/kg]</t>
    <phoneticPr fontId="4"/>
  </si>
  <si>
    <t>隙間風→→</t>
    <phoneticPr fontId="6"/>
  </si>
  <si>
    <t>サッシより： -</t>
  </si>
  <si>
    <t>ドアより： -</t>
  </si>
  <si>
    <t>外壁面積法による分</t>
    <phoneticPr fontId="6"/>
  </si>
  <si>
    <t>隙間風合計：</t>
    <phoneticPr fontId="6"/>
  </si>
  <si>
    <t>h-t基準</t>
  </si>
  <si>
    <t>Jc-t基準</t>
  </si>
  <si>
    <t>Js-t基準</t>
  </si>
  <si>
    <t>Js-t基準</t>
    <phoneticPr fontId="13"/>
  </si>
  <si>
    <t>隙間風→→</t>
    <phoneticPr fontId="13"/>
  </si>
  <si>
    <t>外壁面積法による分</t>
    <phoneticPr fontId="4"/>
  </si>
  <si>
    <t>隙間風合計：</t>
    <phoneticPr fontId="4"/>
  </si>
  <si>
    <t>内部負荷</t>
    <phoneticPr fontId="6"/>
  </si>
  <si>
    <t>取得熱量</t>
    <phoneticPr fontId="4"/>
  </si>
  <si>
    <t>r</t>
    <phoneticPr fontId="6"/>
  </si>
  <si>
    <t>取得熱量</t>
    <phoneticPr fontId="4"/>
  </si>
  <si>
    <t>内部負荷</t>
    <phoneticPr fontId="6"/>
  </si>
  <si>
    <t>内部負荷</t>
    <phoneticPr fontId="6"/>
  </si>
  <si>
    <t>時刻</t>
    <phoneticPr fontId="6"/>
  </si>
  <si>
    <t>損失熱量</t>
    <phoneticPr fontId="6"/>
  </si>
  <si>
    <t>人間</t>
    <phoneticPr fontId="6"/>
  </si>
  <si>
    <t>×稼働率r</t>
  </si>
  <si>
    <t>人間</t>
    <phoneticPr fontId="6"/>
  </si>
  <si>
    <t>照明</t>
    <phoneticPr fontId="6"/>
  </si>
  <si>
    <t>照明</t>
    <phoneticPr fontId="6"/>
  </si>
  <si>
    <t>OA機器</t>
    <phoneticPr fontId="4"/>
  </si>
  <si>
    <t>OA機器</t>
    <phoneticPr fontId="4"/>
  </si>
  <si>
    <t>大形事務器、生産装置</t>
    <phoneticPr fontId="6"/>
  </si>
  <si>
    <t>大形事務器、生産装置</t>
    <phoneticPr fontId="6"/>
  </si>
  <si>
    <t>その他の顕熱負荷</t>
    <phoneticPr fontId="6"/>
  </si>
  <si>
    <t>③顕熱負荷3 [W]</t>
    <phoneticPr fontId="6"/>
  </si>
  <si>
    <t>隙間風</t>
    <phoneticPr fontId="6"/>
  </si>
  <si>
    <t>⊿t</t>
    <phoneticPr fontId="4"/>
  </si>
  <si>
    <t>⊿t</t>
    <phoneticPr fontId="4"/>
  </si>
  <si>
    <t>隙間風</t>
    <phoneticPr fontId="6"/>
  </si>
  <si>
    <t>時刻</t>
    <phoneticPr fontId="6"/>
  </si>
  <si>
    <t>損失熱量</t>
    <phoneticPr fontId="6"/>
  </si>
  <si>
    <t>顕熱負荷</t>
    <phoneticPr fontId="4"/>
  </si>
  <si>
    <t>④顕熱負荷4[W]</t>
    <phoneticPr fontId="6"/>
  </si>
  <si>
    <t>地中構造体</t>
    <phoneticPr fontId="6"/>
  </si>
  <si>
    <t>外気に接する長さL[m]</t>
    <phoneticPr fontId="13"/>
  </si>
  <si>
    <t>周長基準熱貫流率U</t>
    <phoneticPr fontId="13"/>
  </si>
  <si>
    <t>L・U・⊿t</t>
    <phoneticPr fontId="6"/>
  </si>
  <si>
    <t>L・U・⊿t</t>
    <phoneticPr fontId="4"/>
  </si>
  <si>
    <t>L・U・⊿t</t>
    <phoneticPr fontId="4"/>
  </si>
  <si>
    <t>外気に接する長さL[m]</t>
    <phoneticPr fontId="13"/>
  </si>
  <si>
    <t>周長基準熱貫流率U</t>
    <phoneticPr fontId="13"/>
  </si>
  <si>
    <t>地中構造体</t>
    <phoneticPr fontId="6"/>
  </si>
  <si>
    <t>⊿t</t>
    <phoneticPr fontId="6"/>
  </si>
  <si>
    <t>土間床</t>
    <phoneticPr fontId="13"/>
  </si>
  <si>
    <t>地中壁</t>
    <phoneticPr fontId="13"/>
  </si>
  <si>
    <t>⑤顕熱負荷5 [W]</t>
    <phoneticPr fontId="6"/>
  </si>
  <si>
    <t>蓄熱負荷</t>
    <phoneticPr fontId="6"/>
  </si>
  <si>
    <t>蓄熱負荷</t>
    <phoneticPr fontId="6"/>
  </si>
  <si>
    <t>地上（HASPEEの方法による分）</t>
    <phoneticPr fontId="13"/>
  </si>
  <si>
    <t>地上（HASPEEの方法による分）</t>
    <phoneticPr fontId="13"/>
  </si>
  <si>
    <t>地中（井上の方法による分）</t>
    <phoneticPr fontId="13"/>
  </si>
  <si>
    <t>地中（井上の方法による分）</t>
    <phoneticPr fontId="13"/>
  </si>
  <si>
    <t>⑥顕熱負荷6 [W]</t>
    <phoneticPr fontId="6"/>
  </si>
  <si>
    <t>⑥顕熱負荷6 [W]</t>
    <phoneticPr fontId="6"/>
  </si>
  <si>
    <t>⑥顕熱負荷6 [W]</t>
    <phoneticPr fontId="6"/>
  </si>
  <si>
    <t>⑦顕熱負荷小計　①+②+③+④+⑤+⑥ [W]</t>
    <phoneticPr fontId="6"/>
  </si>
  <si>
    <t>1.00×1.05</t>
  </si>
  <si>
    <t>⑧余裕係数×送風機負荷係数</t>
    <phoneticPr fontId="6"/>
  </si>
  <si>
    <t>⑧余裕係数×送風機負荷係数</t>
    <phoneticPr fontId="6"/>
  </si>
  <si>
    <t>⑧余裕係数</t>
    <phoneticPr fontId="6"/>
  </si>
  <si>
    <t xml:space="preserve"> (A)顕熱負荷 ⑦×⑧ [W]</t>
    <phoneticPr fontId="6"/>
  </si>
  <si>
    <t>潜熱負荷</t>
    <phoneticPr fontId="6"/>
  </si>
  <si>
    <t>絶対湿度差⊿xの単位：[g/kg]</t>
    <phoneticPr fontId="37"/>
  </si>
  <si>
    <t>r,⊿x</t>
    <phoneticPr fontId="4"/>
  </si>
  <si>
    <t>r,⊿x</t>
    <phoneticPr fontId="4"/>
  </si>
  <si>
    <t>r,⊿x</t>
    <phoneticPr fontId="4"/>
  </si>
  <si>
    <t>r,⊿x</t>
    <phoneticPr fontId="4"/>
  </si>
  <si>
    <t>取得熱量</t>
    <phoneticPr fontId="4"/>
  </si>
  <si>
    <t>r,⊿x</t>
    <phoneticPr fontId="4"/>
  </si>
  <si>
    <t>取得熱量</t>
    <phoneticPr fontId="4"/>
  </si>
  <si>
    <t>r,⊿x</t>
    <phoneticPr fontId="4"/>
  </si>
  <si>
    <t>r,⊿x</t>
    <phoneticPr fontId="4"/>
  </si>
  <si>
    <t>r,⊿x</t>
    <phoneticPr fontId="4"/>
  </si>
  <si>
    <t>取得熱量</t>
    <phoneticPr fontId="4"/>
  </si>
  <si>
    <t>r,⊿x</t>
    <phoneticPr fontId="4"/>
  </si>
  <si>
    <t>取得熱量</t>
    <phoneticPr fontId="4"/>
  </si>
  <si>
    <t>取得熱量</t>
    <phoneticPr fontId="4"/>
  </si>
  <si>
    <t>潜熱負荷</t>
    <phoneticPr fontId="6"/>
  </si>
  <si>
    <t>絶対湿度差⊿xの単位：[g/kg]</t>
    <phoneticPr fontId="37"/>
  </si>
  <si>
    <t>損失熱量</t>
    <phoneticPr fontId="6"/>
  </si>
  <si>
    <t>時刻</t>
    <phoneticPr fontId="6"/>
  </si>
  <si>
    <t>損失熱量</t>
    <phoneticPr fontId="6"/>
  </si>
  <si>
    <t>人間</t>
    <phoneticPr fontId="6"/>
  </si>
  <si>
    <t>隙間風</t>
    <phoneticPr fontId="6"/>
  </si>
  <si>
    <t>その他の潜熱負荷</t>
    <phoneticPr fontId="6"/>
  </si>
  <si>
    <t>その他の潜熱負荷</t>
    <phoneticPr fontId="6"/>
  </si>
  <si>
    <t>その他の潜熱負荷</t>
    <phoneticPr fontId="6"/>
  </si>
  <si>
    <t>(B)潜熱負荷合計 [W]</t>
    <phoneticPr fontId="6"/>
  </si>
  <si>
    <t>(B)潜熱負荷合計 [W]</t>
    <phoneticPr fontId="6"/>
  </si>
  <si>
    <t>(B)潜熱負荷合計 [W]</t>
    <phoneticPr fontId="6"/>
  </si>
  <si>
    <t>(C)室内全熱負荷　(A)+(B) [W]</t>
    <phoneticPr fontId="6"/>
  </si>
  <si>
    <t>(C)室内全熱負荷　(A)+(B) [W]</t>
    <phoneticPr fontId="6"/>
  </si>
  <si>
    <t>空調使用時間：</t>
    <phoneticPr fontId="6"/>
  </si>
  <si>
    <t>冷暖</t>
    <phoneticPr fontId="4"/>
  </si>
  <si>
    <t>冷房設計用蓄熱負荷の計算</t>
    <phoneticPr fontId="6"/>
  </si>
  <si>
    <t>暖房設計用蓄熱負荷の計算</t>
    <phoneticPr fontId="6"/>
  </si>
  <si>
    <t>本室の冷房蓄熱負荷の扱い</t>
    <phoneticPr fontId="6"/>
  </si>
  <si>
    <t>休日分のみ考慮</t>
    <phoneticPr fontId="6"/>
  </si>
  <si>
    <t>本室の暖房蓄熱負荷の扱い</t>
    <phoneticPr fontId="6"/>
  </si>
  <si>
    <t>休日分のみ考慮</t>
    <phoneticPr fontId="6"/>
  </si>
  <si>
    <t>予冷時間</t>
    <phoneticPr fontId="6"/>
  </si>
  <si>
    <t>予熱時間</t>
    <phoneticPr fontId="6"/>
  </si>
  <si>
    <t>予冷終了後の負荷変動に対する公比 r</t>
    <phoneticPr fontId="6"/>
  </si>
  <si>
    <t>予熱時間補正係数 Cp</t>
    <phoneticPr fontId="6"/>
  </si>
  <si>
    <t xml:space="preserve"> 表1　窓方位係数 Csr と予冷時間補正係数 Cp 窓面積比 Ag/Afの計算</t>
    <phoneticPr fontId="6"/>
  </si>
  <si>
    <t xml:space="preserve"> 表2　窓方位係数 Csr の計算</t>
    <phoneticPr fontId="6"/>
  </si>
  <si>
    <t>方位</t>
    <phoneticPr fontId="6"/>
  </si>
  <si>
    <t>窓面積Ag</t>
    <phoneticPr fontId="6"/>
  </si>
  <si>
    <t>Csr</t>
    <phoneticPr fontId="6"/>
  </si>
  <si>
    <t>Cp</t>
    <phoneticPr fontId="6"/>
  </si>
  <si>
    <t>Ag×Csr</t>
    <phoneticPr fontId="6"/>
  </si>
  <si>
    <t>Ag×Cp</t>
    <phoneticPr fontId="6"/>
  </si>
  <si>
    <t>室NO</t>
    <phoneticPr fontId="6"/>
  </si>
  <si>
    <t>窓面積Ag×SG</t>
    <phoneticPr fontId="6"/>
  </si>
  <si>
    <t>Ag×SG×Csr</t>
    <phoneticPr fontId="6"/>
  </si>
  <si>
    <t>合計</t>
    <phoneticPr fontId="6"/>
  </si>
  <si>
    <t>合計</t>
    <phoneticPr fontId="6"/>
  </si>
  <si>
    <t>加重平均</t>
    <phoneticPr fontId="6"/>
  </si>
  <si>
    <t>加重平均</t>
    <phoneticPr fontId="6"/>
  </si>
  <si>
    <t>床面積Af=</t>
    <phoneticPr fontId="6"/>
  </si>
  <si>
    <t>注：SGは対象の窓ガラスの1月30日9時における日照面積率</t>
    <phoneticPr fontId="6"/>
  </si>
  <si>
    <t>窓面積比=Ag/Af=</t>
    <phoneticPr fontId="6"/>
  </si>
  <si>
    <t>t-x基準12時の水平面全天日射量</t>
    <phoneticPr fontId="6"/>
  </si>
  <si>
    <t>上記による軽減係数</t>
    <phoneticPr fontId="6"/>
  </si>
  <si>
    <t>地域と設計室温の補正係数　Ct　の計算</t>
    <phoneticPr fontId="36"/>
  </si>
  <si>
    <t>Csrの決定値</t>
    <phoneticPr fontId="6"/>
  </si>
  <si>
    <t>Jc-t基準気象データの6時の外気温度 to6Jct</t>
    <phoneticPr fontId="6"/>
  </si>
  <si>
    <t>[℃]</t>
    <phoneticPr fontId="6"/>
  </si>
  <si>
    <t>冷房室内設計温度 tr</t>
    <phoneticPr fontId="6"/>
  </si>
  <si>
    <t>[℃]</t>
    <phoneticPr fontId="6"/>
  </si>
  <si>
    <t>表3　熱損失係数 Kt および</t>
    <phoneticPr fontId="6"/>
  </si>
  <si>
    <t xml:space="preserve">⊿t=to6Jct-tr= 27.3 [℃]- 28.0 [℃]= </t>
  </si>
  <si>
    <t>基準負荷(連日運転) qbase0、基準負荷(休日成分) qbase1 の計算</t>
    <phoneticPr fontId="6"/>
  </si>
  <si>
    <t xml:space="preserve">Ct=0.22×(⊿t-1.3) = 0.22×(-0.7 -1.3)= </t>
  </si>
  <si>
    <t>1Kあたりの熱損失[W/K]</t>
    <phoneticPr fontId="6"/>
  </si>
  <si>
    <t>床面積Af
[㎡]</t>
    <phoneticPr fontId="6"/>
  </si>
  <si>
    <t>Ct決定値　</t>
  </si>
  <si>
    <t>窓
ΣU・A</t>
    <phoneticPr fontId="6"/>
  </si>
  <si>
    <t>外壁・屋根
ΣU・A</t>
    <phoneticPr fontId="6"/>
  </si>
  <si>
    <t>内壁・天井
・床
ΣU・Aj</t>
    <phoneticPr fontId="6"/>
  </si>
  <si>
    <t>隙間風
cρV</t>
    <phoneticPr fontId="6"/>
  </si>
  <si>
    <t>連日運転の実用蓄熱負荷 qst0　の計算</t>
    <phoneticPr fontId="6"/>
  </si>
  <si>
    <t>B102</t>
    <phoneticPr fontId="4"/>
  </si>
  <si>
    <t>連日運転分は考慮しません</t>
  </si>
  <si>
    <t>[W/㎡]</t>
    <phoneticPr fontId="6"/>
  </si>
  <si>
    <t>実用蓄熱負荷の休日成分 qst1 の計算</t>
    <phoneticPr fontId="6"/>
  </si>
  <si>
    <t xml:space="preserve">qst1=47(1+0.6Ct)Ag/Af+10=47×(1+0.6×(-0.44))×0.00 +10 = </t>
  </si>
  <si>
    <t>[W/㎡]</t>
    <phoneticPr fontId="6"/>
  </si>
  <si>
    <t>冷房設計用実用蓄熱負荷の各値の計算</t>
    <phoneticPr fontId="6"/>
  </si>
  <si>
    <t>連日運転分
[W/㎡]</t>
    <phoneticPr fontId="6"/>
  </si>
  <si>
    <t>休日成分
[W/㎡]</t>
    <phoneticPr fontId="6"/>
  </si>
  <si>
    <t>合計
[W/㎡]</t>
    <phoneticPr fontId="6"/>
  </si>
  <si>
    <t>熱損失係数 Kt</t>
    <phoneticPr fontId="6"/>
  </si>
  <si>
    <t>予冷終了時</t>
    <phoneticPr fontId="6"/>
  </si>
  <si>
    <t>考慮しない</t>
  </si>
  <si>
    <t>1.0×qst1=</t>
  </si>
  <si>
    <t>予冷終了後</t>
    <phoneticPr fontId="6"/>
  </si>
  <si>
    <t>0.65×qst1=</t>
  </si>
  <si>
    <t>t-Jh基準気象データの9時の外気温度 to9Jh</t>
    <phoneticPr fontId="6"/>
  </si>
  <si>
    <t>暖房室内設計温度 tr</t>
    <phoneticPr fontId="6"/>
  </si>
  <si>
    <t>[℃]</t>
    <phoneticPr fontId="6"/>
  </si>
  <si>
    <t xml:space="preserve">⊿T=tr-to9Jh= 19.0 [℃]- 1.5 [℃]= </t>
  </si>
  <si>
    <t>[℃]</t>
    <phoneticPr fontId="6"/>
  </si>
  <si>
    <t>注記</t>
  </si>
  <si>
    <t xml:space="preserve">Ct=0.05×(⊿t-20.5) = 0.05×(17.5 -20.5)= </t>
  </si>
  <si>
    <t>1.　予冷終了時とは部屋使用開始時刻（通常9時）を示します。</t>
  </si>
  <si>
    <t>2.　予冷終了後とは上記の次の時刻（通常10時）以降を示します。</t>
  </si>
  <si>
    <t>3.　各時刻の蓄熱負荷は下記のようになります。</t>
  </si>
  <si>
    <t>[W/㎡]</t>
    <phoneticPr fontId="6"/>
  </si>
  <si>
    <t>経過時間
j [h]</t>
    <phoneticPr fontId="6"/>
  </si>
  <si>
    <t>連日分
[W/㎡]</t>
    <phoneticPr fontId="6"/>
  </si>
  <si>
    <t>休日成分
[W/㎡]</t>
    <phoneticPr fontId="6"/>
  </si>
  <si>
    <t>実用蓄熱負荷の休日成分 qst1 の計算</t>
    <phoneticPr fontId="6"/>
  </si>
  <si>
    <t xml:space="preserve">qst1=(1+1.8Ct-Csr)qbase1=(1+1.8× -0.15 - 0.00 )× 35.9 = </t>
  </si>
  <si>
    <t>暖房設計用実用蓄熱負荷合計値　qst</t>
    <phoneticPr fontId="6"/>
  </si>
  <si>
    <t>地中（井上の方法=赤坂・坂井の方法にり計算した負荷に対する蓄熱負荷）</t>
    <phoneticPr fontId="6"/>
  </si>
  <si>
    <t>土間床</t>
    <phoneticPr fontId="6"/>
  </si>
  <si>
    <t>[W]</t>
  </si>
  <si>
    <t>地中壁</t>
    <phoneticPr fontId="6"/>
  </si>
  <si>
    <t>[W]</t>
    <phoneticPr fontId="6"/>
  </si>
  <si>
    <t>蓄熱負荷係数　r</t>
    <phoneticPr fontId="6"/>
  </si>
  <si>
    <t>前日が平日の場合</t>
    <phoneticPr fontId="6"/>
  </si>
  <si>
    <t>前日、前々日が休日の場合</t>
    <phoneticPr fontId="6"/>
  </si>
  <si>
    <t>休日分のみ考慮するので</t>
  </si>
  <si>
    <t>冷房時は安全側であるため、計算しません。</t>
    <phoneticPr fontId="6"/>
  </si>
  <si>
    <t>予熱時間による補正係数 r2</t>
  </si>
  <si>
    <t>よって、蓄熱負荷 qp は</t>
  </si>
  <si>
    <t xml:space="preserve">qp=(1+r)qs・r2=(1+ 2.0 )× 232 × 0.90 = </t>
  </si>
  <si>
    <t>土間床・地中壁に対する蓄熱負荷</t>
  </si>
  <si>
    <r>
      <t>qbase0=90(1-e</t>
    </r>
    <r>
      <rPr>
        <vertAlign val="superscript"/>
        <sz val="9"/>
        <rFont val="ＭＳ Ｐゴシック"/>
        <family val="3"/>
        <charset val="128"/>
      </rPr>
      <t>-0.31Kt</t>
    </r>
    <r>
      <rPr>
        <sz val="9"/>
        <rFont val="ＭＳ Ｐゴシック"/>
        <family val="3"/>
        <charset val="128"/>
      </rPr>
      <t>)[W/㎡]</t>
    </r>
    <phoneticPr fontId="6"/>
  </si>
  <si>
    <r>
      <t>qbase1=43(1-e</t>
    </r>
    <r>
      <rPr>
        <vertAlign val="superscript"/>
        <sz val="9"/>
        <rFont val="ＭＳ Ｐゴシック"/>
        <family val="3"/>
        <charset val="128"/>
      </rPr>
      <t>-0.70Kt</t>
    </r>
    <r>
      <rPr>
        <sz val="9"/>
        <rFont val="ＭＳ Ｐゴシック"/>
        <family val="3"/>
        <charset val="128"/>
      </rPr>
      <t>)[W/㎡]</t>
    </r>
    <phoneticPr fontId="6"/>
  </si>
  <si>
    <t>外気風量[㎥/h]</t>
    <phoneticPr fontId="6"/>
  </si>
  <si>
    <t>外気風量[㎥/h]</t>
    <phoneticPr fontId="6"/>
  </si>
  <si>
    <t>外気負荷 [W]</t>
    <phoneticPr fontId="6"/>
  </si>
  <si>
    <t>外気風量×1.2×⊿h[kJ/kg]/3.6</t>
  </si>
  <si>
    <t>外気負荷 [W]</t>
    <phoneticPr fontId="6"/>
  </si>
  <si>
    <t>外気負荷 [W]</t>
    <phoneticPr fontId="6"/>
  </si>
  <si>
    <t>h-t</t>
    <phoneticPr fontId="4"/>
  </si>
  <si>
    <t>t-x</t>
    <phoneticPr fontId="4"/>
  </si>
  <si>
    <t>全負荷 [W]</t>
    <phoneticPr fontId="6"/>
  </si>
  <si>
    <t>全負荷 [W]</t>
    <phoneticPr fontId="6"/>
  </si>
  <si>
    <t>h-t</t>
    <phoneticPr fontId="4"/>
  </si>
  <si>
    <t>加湿量[kg/h]</t>
    <phoneticPr fontId="6"/>
  </si>
  <si>
    <t>外気風量×1.2×⊿x[g/kg]/1000</t>
  </si>
  <si>
    <t>面積S[m2]</t>
    <phoneticPr fontId="6"/>
  </si>
  <si>
    <t>遮蔽係数SC</t>
    <phoneticPr fontId="13"/>
  </si>
  <si>
    <t>ig</t>
    <phoneticPr fontId="6"/>
  </si>
  <si>
    <t>S・S.C.・ig</t>
    <phoneticPr fontId="13"/>
  </si>
  <si>
    <t>-</t>
    <phoneticPr fontId="6"/>
  </si>
  <si>
    <t>-</t>
    <phoneticPr fontId="6"/>
  </si>
  <si>
    <t>①顕熱負荷1 [W]</t>
    <phoneticPr fontId="6"/>
  </si>
  <si>
    <t>①顕熱負荷1 [W]</t>
    <phoneticPr fontId="6"/>
  </si>
  <si>
    <t>面積S[m2]</t>
    <phoneticPr fontId="6"/>
  </si>
  <si>
    <t>⊿t</t>
    <phoneticPr fontId="6"/>
  </si>
  <si>
    <t>S・U・⊿t</t>
    <phoneticPr fontId="6"/>
  </si>
  <si>
    <t>S・U・⊿t</t>
    <phoneticPr fontId="6"/>
  </si>
  <si>
    <t>S・U・⊿t</t>
    <phoneticPr fontId="6"/>
  </si>
  <si>
    <t>S・U・⊿t</t>
    <phoneticPr fontId="6"/>
  </si>
  <si>
    <t>面積S[m2]</t>
    <phoneticPr fontId="6"/>
  </si>
  <si>
    <t>⊿t</t>
    <phoneticPr fontId="6"/>
  </si>
  <si>
    <t>②顕熱負荷2 [W]</t>
    <phoneticPr fontId="6"/>
  </si>
  <si>
    <t>②顕熱負荷2 [W]</t>
    <phoneticPr fontId="6"/>
  </si>
  <si>
    <t>t-x基準</t>
    <phoneticPr fontId="6"/>
  </si>
  <si>
    <t>製造室</t>
  </si>
  <si>
    <t>BM-1</t>
  </si>
  <si>
    <t>24時間</t>
    <phoneticPr fontId="6"/>
  </si>
  <si>
    <t>冷房設計
最大負荷
(外気負荷
を含む全負荷
により決定、
h-t基準
採用)
↓
↓
↓</t>
    <phoneticPr fontId="6"/>
  </si>
  <si>
    <t>暖房設計
最大負荷
(外気負荷
を含む全負荷
により決定、
t-x基準
採用)
↓
↓
↓</t>
    <phoneticPr fontId="6"/>
  </si>
  <si>
    <t>室NO</t>
    <phoneticPr fontId="6"/>
  </si>
  <si>
    <t>室名</t>
    <phoneticPr fontId="6"/>
  </si>
  <si>
    <t>製造室</t>
    <phoneticPr fontId="4"/>
  </si>
  <si>
    <t>暖房設計温湿度目標値</t>
    <phoneticPr fontId="6"/>
  </si>
  <si>
    <t>乾球温度</t>
    <phoneticPr fontId="4"/>
  </si>
  <si>
    <t>BM-1</t>
    <phoneticPr fontId="4"/>
  </si>
  <si>
    <t>BM-1</t>
    <phoneticPr fontId="4"/>
  </si>
  <si>
    <t>面積</t>
    <phoneticPr fontId="4"/>
  </si>
  <si>
    <t>26.0[℃]</t>
    <phoneticPr fontId="4"/>
  </si>
  <si>
    <t>50[％]</t>
    <phoneticPr fontId="4"/>
  </si>
  <si>
    <t>53.0[kJ/kg]</t>
    <phoneticPr fontId="4"/>
  </si>
  <si>
    <t>10.5[g/kg]</t>
    <phoneticPr fontId="4"/>
  </si>
  <si>
    <t>26.0[℃]</t>
    <phoneticPr fontId="4"/>
  </si>
  <si>
    <t>53.0[kJ/kg]</t>
    <phoneticPr fontId="4"/>
  </si>
  <si>
    <t>10.5[g/kg]</t>
    <phoneticPr fontId="4"/>
  </si>
  <si>
    <t>隙間風→→</t>
    <phoneticPr fontId="6"/>
  </si>
  <si>
    <t>外壁面積法による分</t>
    <phoneticPr fontId="6"/>
  </si>
  <si>
    <t>h-t基準</t>
    <phoneticPr fontId="13"/>
  </si>
  <si>
    <t>外壁面積法による分</t>
    <phoneticPr fontId="4"/>
  </si>
  <si>
    <t>隙間風合計：</t>
    <phoneticPr fontId="4"/>
  </si>
  <si>
    <t>その他の顕熱負荷</t>
    <phoneticPr fontId="6"/>
  </si>
  <si>
    <t>土間床</t>
    <phoneticPr fontId="13"/>
  </si>
  <si>
    <t>地中壁</t>
    <phoneticPr fontId="13"/>
  </si>
  <si>
    <t>⑥顕熱負荷6 [W]</t>
    <phoneticPr fontId="6"/>
  </si>
  <si>
    <t>⑦顕熱負荷小計　①+②+③+④+⑤+⑥ [W]</t>
    <phoneticPr fontId="6"/>
  </si>
  <si>
    <t>⑧余裕係数×送風機負荷係数</t>
    <phoneticPr fontId="6"/>
  </si>
  <si>
    <t>⑧余裕係数</t>
    <phoneticPr fontId="6"/>
  </si>
  <si>
    <t>潜熱負荷</t>
    <phoneticPr fontId="6"/>
  </si>
  <si>
    <t>絶対湿度差⊿xの単位：[g/kg]</t>
    <phoneticPr fontId="37"/>
  </si>
  <si>
    <t>r,⊿x</t>
    <phoneticPr fontId="4"/>
  </si>
  <si>
    <t>その他の潜熱負荷</t>
    <phoneticPr fontId="6"/>
  </si>
  <si>
    <t>(B)潜熱負荷合計 [W]</t>
    <phoneticPr fontId="6"/>
  </si>
  <si>
    <t>(C)室内全熱負荷　(A)+(B) [W]</t>
    <phoneticPr fontId="6"/>
  </si>
  <si>
    <t>単位負荷（室内全熱負荷(C)／室面積） [W/m2]</t>
    <phoneticPr fontId="6"/>
  </si>
  <si>
    <t>冷房設計用蓄熱負荷の計算</t>
    <phoneticPr fontId="6"/>
  </si>
  <si>
    <t>暖房設計用蓄熱負荷の計算</t>
    <phoneticPr fontId="6"/>
  </si>
  <si>
    <t>本室の冷房蓄熱負荷の扱い</t>
    <phoneticPr fontId="6"/>
  </si>
  <si>
    <t>休日分のみ考慮</t>
    <phoneticPr fontId="6"/>
  </si>
  <si>
    <t>本室の暖房蓄熱負荷の扱い</t>
    <phoneticPr fontId="6"/>
  </si>
  <si>
    <t>予冷時間</t>
    <phoneticPr fontId="6"/>
  </si>
  <si>
    <t>予冷終了後の負荷変動に対する公比 r</t>
    <phoneticPr fontId="6"/>
  </si>
  <si>
    <t>予熱時間補正係数 Cp</t>
    <phoneticPr fontId="6"/>
  </si>
  <si>
    <t xml:space="preserve"> 表2　窓方位係数 Csr の計算</t>
    <phoneticPr fontId="6"/>
  </si>
  <si>
    <t>Cp</t>
    <phoneticPr fontId="6"/>
  </si>
  <si>
    <t>Ag×Csr</t>
    <phoneticPr fontId="6"/>
  </si>
  <si>
    <t>Ag×Cp</t>
    <phoneticPr fontId="6"/>
  </si>
  <si>
    <t>窓面積Ag×SG</t>
    <phoneticPr fontId="6"/>
  </si>
  <si>
    <t>Ag×SG×Csr</t>
    <phoneticPr fontId="6"/>
  </si>
  <si>
    <t>一般方位</t>
    <phoneticPr fontId="4"/>
  </si>
  <si>
    <t>SE,S,SW</t>
    <phoneticPr fontId="4"/>
  </si>
  <si>
    <t>合計</t>
    <phoneticPr fontId="6"/>
  </si>
  <si>
    <t>加重平均</t>
    <phoneticPr fontId="6"/>
  </si>
  <si>
    <t>床面積Af=</t>
    <phoneticPr fontId="6"/>
  </si>
  <si>
    <t>注：SGは対象の窓ガラスの1月30日9時における日照面積率</t>
    <phoneticPr fontId="6"/>
  </si>
  <si>
    <t>窓面積比=Ag/Af=</t>
    <phoneticPr fontId="6"/>
  </si>
  <si>
    <t>t-x基準12時の水平面全天日射量</t>
    <phoneticPr fontId="6"/>
  </si>
  <si>
    <t>[W/㎡]</t>
    <phoneticPr fontId="6"/>
  </si>
  <si>
    <t>Csrの決定値</t>
    <phoneticPr fontId="6"/>
  </si>
  <si>
    <t>[℃]</t>
    <phoneticPr fontId="6"/>
  </si>
  <si>
    <t>冷房室内設計温度 tr</t>
    <phoneticPr fontId="6"/>
  </si>
  <si>
    <t>表3　熱損失係数 Kt および</t>
    <phoneticPr fontId="6"/>
  </si>
  <si>
    <t xml:space="preserve">⊿t=to6Jct-tr= 27.3 [℃]- 26.0 [℃]= </t>
  </si>
  <si>
    <t xml:space="preserve">Ct=0.22×(⊿t-1.3) = 0.22×(1.3 -1.3)= </t>
  </si>
  <si>
    <t>1Kあたりの熱損失[W/K]</t>
    <phoneticPr fontId="6"/>
  </si>
  <si>
    <t>床面積Af
[㎡]</t>
    <phoneticPr fontId="6"/>
  </si>
  <si>
    <t>窓
ΣU・A</t>
    <phoneticPr fontId="6"/>
  </si>
  <si>
    <t>外壁・屋根
ΣU・A</t>
    <phoneticPr fontId="6"/>
  </si>
  <si>
    <t>内壁・天井
・床
ΣU・Aj</t>
    <phoneticPr fontId="6"/>
  </si>
  <si>
    <t>隙間風
cρV</t>
    <phoneticPr fontId="6"/>
  </si>
  <si>
    <t xml:space="preserve">qst1=47(1+0.6Ct)Ag/Af+10=47×(1+0.6×0.00)×0.04 +10 = </t>
  </si>
  <si>
    <t>冷房設計用実用蓄熱負荷の各値の計算</t>
    <phoneticPr fontId="6"/>
  </si>
  <si>
    <t>予冷終了時</t>
    <phoneticPr fontId="6"/>
  </si>
  <si>
    <t>予冷終了後</t>
    <phoneticPr fontId="6"/>
  </si>
  <si>
    <t>地域と設計室温の補正係数　Ct　の計算</t>
    <phoneticPr fontId="36"/>
  </si>
  <si>
    <t>t-Jh基準気象データの9時の外気温度 to9Jh</t>
    <phoneticPr fontId="6"/>
  </si>
  <si>
    <t>暖房室内設計温度 tr</t>
    <phoneticPr fontId="6"/>
  </si>
  <si>
    <t>Cj0</t>
    <phoneticPr fontId="6"/>
  </si>
  <si>
    <t>連日分
[W/㎡]</t>
    <phoneticPr fontId="6"/>
  </si>
  <si>
    <t xml:space="preserve">qst1=(1+1.8Ct-Csr)qbase1=(1+1.8× -0.15 - 0.65 )× 35.2 = </t>
  </si>
  <si>
    <t>暖房設計用実用蓄熱負荷合計値　qst</t>
    <phoneticPr fontId="6"/>
  </si>
  <si>
    <t>土間床</t>
    <phoneticPr fontId="6"/>
  </si>
  <si>
    <t>[W]</t>
    <phoneticPr fontId="6"/>
  </si>
  <si>
    <t>蓄熱負荷係数　r</t>
    <phoneticPr fontId="6"/>
  </si>
  <si>
    <t>前日が平日の場合</t>
    <phoneticPr fontId="6"/>
  </si>
  <si>
    <t>前日、前々日が休日の場合</t>
    <phoneticPr fontId="6"/>
  </si>
  <si>
    <t>冷房時は安全側であるため、計算しません。</t>
    <phoneticPr fontId="6"/>
  </si>
  <si>
    <t xml:space="preserve">qp=(1+r)qs・r2=(1+ 2.0 )× 353 × 0.90 = </t>
  </si>
  <si>
    <r>
      <t>qbase1=43(1-e</t>
    </r>
    <r>
      <rPr>
        <vertAlign val="superscript"/>
        <sz val="9"/>
        <rFont val="ＭＳ Ｐゴシック"/>
        <family val="3"/>
        <charset val="128"/>
      </rPr>
      <t>-0.70Kt</t>
    </r>
    <r>
      <rPr>
        <sz val="9"/>
        <rFont val="ＭＳ Ｐゴシック"/>
        <family val="3"/>
        <charset val="128"/>
      </rPr>
      <t>)[W/㎡]</t>
    </r>
    <phoneticPr fontId="6"/>
  </si>
  <si>
    <t>外気風量[㎥/h]</t>
    <phoneticPr fontId="6"/>
  </si>
  <si>
    <t>外気負荷 [W]</t>
    <phoneticPr fontId="6"/>
  </si>
  <si>
    <t>t-x</t>
    <phoneticPr fontId="4"/>
  </si>
  <si>
    <t>全負荷 [W]</t>
    <phoneticPr fontId="6"/>
  </si>
  <si>
    <t>加湿量[kg/h]</t>
    <phoneticPr fontId="6"/>
  </si>
  <si>
    <t>室NO</t>
    <phoneticPr fontId="6"/>
  </si>
  <si>
    <t>室名</t>
    <phoneticPr fontId="6"/>
  </si>
  <si>
    <t>面積S[m2]</t>
    <phoneticPr fontId="6"/>
  </si>
  <si>
    <t>遮蔽係数SC</t>
    <phoneticPr fontId="13"/>
  </si>
  <si>
    <t>ig</t>
    <phoneticPr fontId="6"/>
  </si>
  <si>
    <t>S・S.C.・ig</t>
    <phoneticPr fontId="13"/>
  </si>
  <si>
    <t>-</t>
    <phoneticPr fontId="6"/>
  </si>
  <si>
    <t>①顕熱負荷1 [W]</t>
    <phoneticPr fontId="6"/>
  </si>
  <si>
    <t>①顕熱負荷1 [W]</t>
    <phoneticPr fontId="6"/>
  </si>
  <si>
    <t>①顕熱負荷1 [W]</t>
    <phoneticPr fontId="6"/>
  </si>
  <si>
    <t>⊿t</t>
    <phoneticPr fontId="6"/>
  </si>
  <si>
    <t>S・U・⊿t</t>
    <phoneticPr fontId="6"/>
  </si>
  <si>
    <t>S・U・⊿t</t>
    <phoneticPr fontId="6"/>
  </si>
  <si>
    <t>②顕熱負荷2 [W]</t>
    <phoneticPr fontId="6"/>
  </si>
  <si>
    <t>②顕熱負荷2 [W]</t>
    <phoneticPr fontId="6"/>
  </si>
  <si>
    <t>⊿t</t>
    <phoneticPr fontId="6"/>
  </si>
  <si>
    <t>t-x基準</t>
    <phoneticPr fontId="6"/>
  </si>
  <si>
    <t>t-x基準</t>
    <phoneticPr fontId="6"/>
  </si>
  <si>
    <t>出荷室</t>
  </si>
  <si>
    <t>冷房設計
最大負荷
(外気負荷
を含む全負荷
により決定、
h-t基準
採用)
↓
↓
↓</t>
    <phoneticPr fontId="6"/>
  </si>
  <si>
    <t>暖房設計
最大負荷
(外気負荷
を含む全負荷
により決定、
t-x基準
採用)
↓
↓
↓</t>
    <phoneticPr fontId="6"/>
  </si>
  <si>
    <t>出荷室</t>
    <phoneticPr fontId="4"/>
  </si>
  <si>
    <t>50[％]</t>
    <phoneticPr fontId="4"/>
  </si>
  <si>
    <t>10.5[g/kg]</t>
    <phoneticPr fontId="4"/>
  </si>
  <si>
    <t>内部負荷</t>
    <phoneticPr fontId="6"/>
  </si>
  <si>
    <t>顕熱負荷</t>
    <phoneticPr fontId="4"/>
  </si>
  <si>
    <t xml:space="preserve"> (A)顕熱負荷 ⑦×⑧ [W]</t>
    <phoneticPr fontId="6"/>
  </si>
  <si>
    <t>冷暖</t>
    <phoneticPr fontId="4"/>
  </si>
  <si>
    <t>冷房設計用蓄熱負荷の計算</t>
    <phoneticPr fontId="6"/>
  </si>
  <si>
    <t>暖房設計用蓄熱負荷の計算</t>
    <phoneticPr fontId="6"/>
  </si>
  <si>
    <t>本室の冷房蓄熱負荷の扱い</t>
    <phoneticPr fontId="6"/>
  </si>
  <si>
    <t>予熱時間</t>
    <phoneticPr fontId="6"/>
  </si>
  <si>
    <t>方位</t>
    <phoneticPr fontId="6"/>
  </si>
  <si>
    <t>一般方位</t>
    <phoneticPr fontId="4"/>
  </si>
  <si>
    <t>SE,S,SW</t>
    <phoneticPr fontId="4"/>
  </si>
  <si>
    <t>床面積Af=</t>
    <phoneticPr fontId="6"/>
  </si>
  <si>
    <t>注：SGは対象の窓ガラスの1月30日9時における日照面積率</t>
    <phoneticPr fontId="6"/>
  </si>
  <si>
    <t>Jc-t基準気象データの6時の外気温度 to6Jct</t>
    <phoneticPr fontId="6"/>
  </si>
  <si>
    <t>表3　熱損失係数 Kt および</t>
    <phoneticPr fontId="6"/>
  </si>
  <si>
    <t>基準負荷(連日運転) qbase0、基準負荷(休日成分) qbase1 の計算</t>
    <phoneticPr fontId="6"/>
  </si>
  <si>
    <t>1Kあたりの熱損失[W/K]</t>
    <phoneticPr fontId="6"/>
  </si>
  <si>
    <t>隙間風
cρV</t>
    <phoneticPr fontId="6"/>
  </si>
  <si>
    <t>連日運転の実用蓄熱負荷 qst0　の計算</t>
    <phoneticPr fontId="6"/>
  </si>
  <si>
    <t xml:space="preserve">qst1=47(1+0.6Ct)Ag/Af+10=47×(1+0.6×0.00)×0.05 +10 = </t>
  </si>
  <si>
    <t>熱損失係数 Kt</t>
    <phoneticPr fontId="6"/>
  </si>
  <si>
    <t>予冷終了後</t>
    <phoneticPr fontId="6"/>
  </si>
  <si>
    <t>連日分
[W/㎡]</t>
    <phoneticPr fontId="6"/>
  </si>
  <si>
    <t>合計
[W/㎡]</t>
    <phoneticPr fontId="6"/>
  </si>
  <si>
    <t>実用蓄熱負荷の休日成分 qst1 の計算</t>
    <phoneticPr fontId="6"/>
  </si>
  <si>
    <t xml:space="preserve">qst1=(1+1.8Ct-Csr)qbase1=(1+1.8× -0.15 - 0.65 )× 35.3 = </t>
  </si>
  <si>
    <t>地中（井上の方法=赤坂・坂井の方法にり計算した負荷に対する蓄熱負荷）</t>
    <phoneticPr fontId="6"/>
  </si>
  <si>
    <t>蓄熱負荷係数　r</t>
    <phoneticPr fontId="6"/>
  </si>
  <si>
    <t>冷房時は安全側であるため、計算しません。</t>
    <phoneticPr fontId="6"/>
  </si>
  <si>
    <t xml:space="preserve">qp=(1+r)qs・r2=(1+ 2.0 )× 317 × 0.90 = </t>
  </si>
  <si>
    <r>
      <t>qbase0=90(1-e</t>
    </r>
    <r>
      <rPr>
        <vertAlign val="superscript"/>
        <sz val="9"/>
        <rFont val="ＭＳ Ｐゴシック"/>
        <family val="3"/>
        <charset val="128"/>
      </rPr>
      <t>-0.31Kt</t>
    </r>
    <r>
      <rPr>
        <sz val="9"/>
        <rFont val="ＭＳ Ｐゴシック"/>
        <family val="3"/>
        <charset val="128"/>
      </rPr>
      <t>)[W/㎡]</t>
    </r>
    <phoneticPr fontId="6"/>
  </si>
  <si>
    <t>h-t</t>
    <phoneticPr fontId="4"/>
  </si>
  <si>
    <t>加湿量[kg/h]</t>
    <phoneticPr fontId="6"/>
  </si>
  <si>
    <t>遮蔽係数SC</t>
    <phoneticPr fontId="13"/>
  </si>
  <si>
    <t>ig</t>
    <phoneticPr fontId="6"/>
  </si>
  <si>
    <t>S・S.C.・ig</t>
    <phoneticPr fontId="13"/>
  </si>
  <si>
    <t>S・S.C.・ig</t>
    <phoneticPr fontId="13"/>
  </si>
  <si>
    <t>遮蔽係数SC</t>
    <phoneticPr fontId="13"/>
  </si>
  <si>
    <t>-</t>
    <phoneticPr fontId="6"/>
  </si>
  <si>
    <t>-</t>
    <phoneticPr fontId="6"/>
  </si>
  <si>
    <t>①顕熱負荷1 [W]</t>
    <phoneticPr fontId="6"/>
  </si>
  <si>
    <t>S・U・⊿t</t>
    <phoneticPr fontId="6"/>
  </si>
  <si>
    <t>⊿t</t>
    <phoneticPr fontId="6"/>
  </si>
  <si>
    <t>面積S[m2]</t>
    <phoneticPr fontId="6"/>
  </si>
  <si>
    <t>エントランス</t>
  </si>
  <si>
    <t>BM-2</t>
  </si>
  <si>
    <t>9時-18時</t>
  </si>
  <si>
    <t>9時-18時</t>
    <phoneticPr fontId="6"/>
  </si>
  <si>
    <t>冷房設計
最大負荷
(外気負荷
を含む全負荷
により決定、
h-t基準
採用)
↓
↓
↓</t>
    <phoneticPr fontId="6"/>
  </si>
  <si>
    <t>t-Jh</t>
  </si>
  <si>
    <t>暖房設計
最大負荷
(外気負荷
を含む全負荷
により決定、
t-Jh基準
採用)
↓
↓
↓</t>
    <phoneticPr fontId="6"/>
  </si>
  <si>
    <t>室NO</t>
    <phoneticPr fontId="6"/>
  </si>
  <si>
    <t>室名</t>
    <phoneticPr fontId="6"/>
  </si>
  <si>
    <t>エントランス</t>
    <phoneticPr fontId="4"/>
  </si>
  <si>
    <t>設計外気風量[m3/h]</t>
    <phoneticPr fontId="6"/>
  </si>
  <si>
    <t>BM-2</t>
    <phoneticPr fontId="4"/>
  </si>
  <si>
    <t>BM-2</t>
    <phoneticPr fontId="4"/>
  </si>
  <si>
    <t>10.7[g/kg]</t>
    <phoneticPr fontId="4"/>
  </si>
  <si>
    <t>⑧余裕係数</t>
    <phoneticPr fontId="6"/>
  </si>
  <si>
    <t>空調使用時間：</t>
    <phoneticPr fontId="6"/>
  </si>
  <si>
    <t>連日分、休日分の両方を考慮</t>
    <phoneticPr fontId="6"/>
  </si>
  <si>
    <t>連日分、休日分の両方を考慮</t>
    <phoneticPr fontId="6"/>
  </si>
  <si>
    <t>予冷時間</t>
    <phoneticPr fontId="6"/>
  </si>
  <si>
    <t xml:space="preserve"> 表1　窓方位係数 Csr と予冷時間補正係数 Cp 窓面積比 Ag/Afの計算</t>
    <phoneticPr fontId="6"/>
  </si>
  <si>
    <t xml:space="preserve"> 表2　窓方位係数 Csr の計算</t>
    <phoneticPr fontId="6"/>
  </si>
  <si>
    <t>窓面積Ag</t>
    <phoneticPr fontId="6"/>
  </si>
  <si>
    <t>Csr</t>
    <phoneticPr fontId="6"/>
  </si>
  <si>
    <t>上記による軽減係数</t>
    <phoneticPr fontId="6"/>
  </si>
  <si>
    <t>Csrの決定値</t>
    <phoneticPr fontId="6"/>
  </si>
  <si>
    <t>窓
ΣU・A</t>
    <phoneticPr fontId="6"/>
  </si>
  <si>
    <t xml:space="preserve">qst0=13(1+Ct+Csr)Ag/Af+7=13×(1+ (-0.44)+0.00)×0.00 +7 = </t>
  </si>
  <si>
    <t>休日成分
[W/㎡]</t>
    <phoneticPr fontId="6"/>
  </si>
  <si>
    <t>Cp×1.0×qst0=</t>
  </si>
  <si>
    <t>0.65×qst0=</t>
  </si>
  <si>
    <t xml:space="preserve">1.　Cp= 1.00 （表1にて計算済） </t>
  </si>
  <si>
    <t>2.　予冷終了時とは部屋使用開始時刻（通常9時）を示します。</t>
  </si>
  <si>
    <t>3.　予冷終了後とは上記の次の時刻（通常10時）以降を示します。</t>
  </si>
  <si>
    <t xml:space="preserve">4.　予冷終了後の蓄熱負荷は公比 0.92 により下記のように計算します。 </t>
  </si>
  <si>
    <t xml:space="preserve">qst0=Cp(1+Ct)qbase0-20=1.00× (1+ (-0.15) )× 45.7 -20= </t>
  </si>
  <si>
    <t>qst0 の決定値　</t>
  </si>
  <si>
    <t xml:space="preserve">qst1=(1+1.8Ct-Csr)qbase1=(1+1.8× -0.15 - 0.00 )× 34.3 = </t>
  </si>
  <si>
    <t>暖房設計用実用蓄熱負荷合計値　qst</t>
    <phoneticPr fontId="6"/>
  </si>
  <si>
    <t>地中壁</t>
    <phoneticPr fontId="6"/>
  </si>
  <si>
    <t>連日分、休日分共考慮するので</t>
  </si>
  <si>
    <t xml:space="preserve">qp=(1+r)qs・r2=(1+ 3.7 )× 138 × 0.90 = </t>
  </si>
  <si>
    <r>
      <t>qbase0=90(1-e</t>
    </r>
    <r>
      <rPr>
        <vertAlign val="superscript"/>
        <sz val="9"/>
        <rFont val="ＭＳ Ｐゴシック"/>
        <family val="3"/>
        <charset val="128"/>
      </rPr>
      <t>-0.31Kt</t>
    </r>
    <r>
      <rPr>
        <sz val="9"/>
        <rFont val="ＭＳ Ｐゴシック"/>
        <family val="3"/>
        <charset val="128"/>
      </rPr>
      <t>)[W/㎡]</t>
    </r>
    <phoneticPr fontId="6"/>
  </si>
  <si>
    <r>
      <t>qbase1=43(1-e</t>
    </r>
    <r>
      <rPr>
        <vertAlign val="superscript"/>
        <sz val="9"/>
        <rFont val="ＭＳ Ｐゴシック"/>
        <family val="3"/>
        <charset val="128"/>
      </rPr>
      <t>-0.70Kt</t>
    </r>
    <r>
      <rPr>
        <sz val="9"/>
        <rFont val="ＭＳ Ｐゴシック"/>
        <family val="3"/>
        <charset val="128"/>
      </rPr>
      <t>)[W/㎡]</t>
    </r>
    <phoneticPr fontId="6"/>
  </si>
  <si>
    <t>t-Jh</t>
    <phoneticPr fontId="4"/>
  </si>
  <si>
    <t>室NO</t>
    <phoneticPr fontId="6"/>
  </si>
  <si>
    <t>面積S[m2]</t>
    <phoneticPr fontId="6"/>
  </si>
  <si>
    <t>遮蔽係数SC</t>
    <phoneticPr fontId="13"/>
  </si>
  <si>
    <t>ig</t>
    <phoneticPr fontId="6"/>
  </si>
  <si>
    <t>S・S.C.・ig</t>
    <phoneticPr fontId="13"/>
  </si>
  <si>
    <t>-</t>
    <phoneticPr fontId="6"/>
  </si>
  <si>
    <t>⊿t</t>
    <phoneticPr fontId="6"/>
  </si>
  <si>
    <t>S・U・⊿t</t>
    <phoneticPr fontId="6"/>
  </si>
  <si>
    <t>S・U・⊿t</t>
    <phoneticPr fontId="6"/>
  </si>
  <si>
    <t>面積S[m2]</t>
    <phoneticPr fontId="6"/>
  </si>
  <si>
    <t>②顕熱負荷2 [W]</t>
    <phoneticPr fontId="6"/>
  </si>
  <si>
    <t>②顕熱負荷2 [W]</t>
    <phoneticPr fontId="6"/>
  </si>
  <si>
    <t>事務室</t>
  </si>
  <si>
    <t>4.20|5.90</t>
  </si>
  <si>
    <t>0.49→0.97</t>
  </si>
  <si>
    <t>9時-18時</t>
    <phoneticPr fontId="6"/>
  </si>
  <si>
    <t>冷房設計
最大負荷
(外気負荷
を含む全負荷
により決定、
h-t基準
採用)
↓
↓
↓</t>
    <phoneticPr fontId="6"/>
  </si>
  <si>
    <t>暖房設計
最大負荷
(外気負荷
を含む全負荷
により決定、
t-Jh基準
採用)
↓
↓
↓</t>
    <phoneticPr fontId="6"/>
  </si>
  <si>
    <t>室NO</t>
    <phoneticPr fontId="6"/>
  </si>
  <si>
    <t>事務室</t>
    <phoneticPr fontId="4"/>
  </si>
  <si>
    <t>隙間風合計：</t>
    <phoneticPr fontId="6"/>
  </si>
  <si>
    <t>Jc-t基準</t>
    <phoneticPr fontId="13"/>
  </si>
  <si>
    <t>内部負荷</t>
    <phoneticPr fontId="6"/>
  </si>
  <si>
    <t>⑧余裕係数×送風機負荷係数</t>
    <phoneticPr fontId="6"/>
  </si>
  <si>
    <t>床面積Af
[㎡]</t>
    <phoneticPr fontId="6"/>
  </si>
  <si>
    <t xml:space="preserve">qst0=13(1+Ct+Csr)Ag/Af+7=13×(1+ (-0.44)+0.00)×0.20 +7 = </t>
  </si>
  <si>
    <t xml:space="preserve">qst1=47(1+0.6Ct)Ag/Af+10=47×(1+0.6×(-0.44))×0.20 +10 = </t>
  </si>
  <si>
    <t>連日運転分
[W/㎡]</t>
    <phoneticPr fontId="6"/>
  </si>
  <si>
    <t xml:space="preserve">qst0=Cp(1+Ct)qbase0-20=1.00× (1+ (-0.15) )× 55.9 -20= </t>
  </si>
  <si>
    <t xml:space="preserve">qst1=(1+1.8Ct-Csr)qbase1=(1+1.8× -0.15 - 0.65 )× 38.2 = </t>
  </si>
  <si>
    <t>外気風量[㎥/h]</t>
    <phoneticPr fontId="6"/>
  </si>
  <si>
    <t>面積S[m2]</t>
    <phoneticPr fontId="6"/>
  </si>
  <si>
    <t>遮蔽係数SC</t>
    <phoneticPr fontId="13"/>
  </si>
  <si>
    <t>ig</t>
    <phoneticPr fontId="6"/>
  </si>
  <si>
    <t>S・S.C.・ig</t>
    <phoneticPr fontId="13"/>
  </si>
  <si>
    <t>-</t>
    <phoneticPr fontId="6"/>
  </si>
  <si>
    <t>①顕熱負荷1 [W]</t>
    <phoneticPr fontId="6"/>
  </si>
  <si>
    <t>①顕熱負荷1 [W]</t>
    <phoneticPr fontId="6"/>
  </si>
  <si>
    <t>⊿t</t>
    <phoneticPr fontId="6"/>
  </si>
  <si>
    <t>S・U・⊿t</t>
    <phoneticPr fontId="6"/>
  </si>
  <si>
    <t>⊿t</t>
    <phoneticPr fontId="6"/>
  </si>
  <si>
    <t>S・U・⊿t</t>
    <phoneticPr fontId="6"/>
  </si>
  <si>
    <t>②顕熱負荷2 [W]</t>
    <phoneticPr fontId="6"/>
  </si>
  <si>
    <t>更衣室(M)</t>
  </si>
  <si>
    <t>9時-18時</t>
    <phoneticPr fontId="6"/>
  </si>
  <si>
    <t>暖房設計
最大負荷
(外気負荷
を含む全負荷
により決定、
t-Jh基準
採用)
↓
↓
↓</t>
    <phoneticPr fontId="6"/>
  </si>
  <si>
    <t>更衣室(M)</t>
    <phoneticPr fontId="4"/>
  </si>
  <si>
    <t>設計外気風量[m3/h]</t>
    <phoneticPr fontId="6"/>
  </si>
  <si>
    <t>夜間外気風量[m3/h]</t>
    <phoneticPr fontId="6"/>
  </si>
  <si>
    <t>隙間風→→</t>
    <phoneticPr fontId="13"/>
  </si>
  <si>
    <t>[㎡]</t>
    <phoneticPr fontId="6"/>
  </si>
  <si>
    <t xml:space="preserve">qst0=Cp(1+Ct)qbase0-20=1.00× (1+ (-0.15) )× 55.1 -20= </t>
  </si>
  <si>
    <t>経過時間
j [h]</t>
    <phoneticPr fontId="6"/>
  </si>
  <si>
    <t xml:space="preserve">qst1=(1+1.8Ct-Csr)qbase1=(1+1.8× -0.15 - 0.00 )× 38.0 = </t>
  </si>
  <si>
    <r>
      <t>qbase0=90(1-e</t>
    </r>
    <r>
      <rPr>
        <vertAlign val="superscript"/>
        <sz val="9"/>
        <rFont val="ＭＳ Ｐゴシック"/>
        <family val="3"/>
        <charset val="128"/>
      </rPr>
      <t>-0.31Kt</t>
    </r>
    <r>
      <rPr>
        <sz val="9"/>
        <rFont val="ＭＳ Ｐゴシック"/>
        <family val="3"/>
        <charset val="128"/>
      </rPr>
      <t>)[W/㎡]</t>
    </r>
    <phoneticPr fontId="6"/>
  </si>
  <si>
    <t>t-Jh</t>
    <phoneticPr fontId="4"/>
  </si>
  <si>
    <t>面積S[m2]</t>
    <phoneticPr fontId="6"/>
  </si>
  <si>
    <t>遮蔽係数SC</t>
    <phoneticPr fontId="13"/>
  </si>
  <si>
    <t>ig</t>
    <phoneticPr fontId="6"/>
  </si>
  <si>
    <t>S・S.C.・ig</t>
    <phoneticPr fontId="13"/>
  </si>
  <si>
    <t>-</t>
    <phoneticPr fontId="6"/>
  </si>
  <si>
    <t>面積S[m2]</t>
    <phoneticPr fontId="6"/>
  </si>
  <si>
    <t>S・U・⊿t</t>
    <phoneticPr fontId="6"/>
  </si>
  <si>
    <t>S・U・⊿t</t>
    <phoneticPr fontId="6"/>
  </si>
  <si>
    <t>②顕熱負荷2 [W]</t>
    <phoneticPr fontId="6"/>
  </si>
  <si>
    <t>r</t>
    <phoneticPr fontId="6"/>
  </si>
  <si>
    <t>更衣室(F)</t>
  </si>
  <si>
    <t>9時-18時</t>
    <phoneticPr fontId="6"/>
  </si>
  <si>
    <t>冷房設計
最大負荷
(外気負荷
を含む全負荷
により決定、
h-t基準
採用)
↓
↓
↓</t>
    <phoneticPr fontId="6"/>
  </si>
  <si>
    <t>暖房設計
最大負荷
(外気負荷
を含む全負荷
により決定、
t-Jh基準
採用)
↓
↓
↓</t>
    <phoneticPr fontId="6"/>
  </si>
  <si>
    <t>更衣室(F)</t>
    <phoneticPr fontId="4"/>
  </si>
  <si>
    <t>t-Jh基準気象データの9時の外気温度 to9Jh</t>
    <phoneticPr fontId="6"/>
  </si>
  <si>
    <t xml:space="preserve">qst0=Cp(1+Ct)qbase0-20=1.00× (1+ (-0.15) )× 59.8 -20= </t>
  </si>
  <si>
    <t xml:space="preserve">qst1=(1+1.8Ct-Csr)qbase1=(1+1.8× -0.15 - 0.00 )× 39.3 = </t>
  </si>
  <si>
    <r>
      <t>qbase1=43(1-e</t>
    </r>
    <r>
      <rPr>
        <vertAlign val="superscript"/>
        <sz val="9"/>
        <rFont val="ＭＳ Ｐゴシック"/>
        <family val="3"/>
        <charset val="128"/>
      </rPr>
      <t>-0.70Kt</t>
    </r>
    <r>
      <rPr>
        <sz val="9"/>
        <rFont val="ＭＳ Ｐゴシック"/>
        <family val="3"/>
        <charset val="128"/>
      </rPr>
      <t>)[W/㎡]</t>
    </r>
    <phoneticPr fontId="6"/>
  </si>
  <si>
    <t>外気風量[㎥/h]</t>
    <phoneticPr fontId="6"/>
  </si>
  <si>
    <t>①顕熱負荷1 [W]</t>
    <phoneticPr fontId="6"/>
  </si>
  <si>
    <t>①顕熱負荷1 [W]</t>
    <phoneticPr fontId="6"/>
  </si>
  <si>
    <t>S・U・⊿t</t>
    <phoneticPr fontId="6"/>
  </si>
  <si>
    <t>⊿t</t>
    <phoneticPr fontId="6"/>
  </si>
  <si>
    <t>t-x基準</t>
    <phoneticPr fontId="6"/>
  </si>
  <si>
    <t>展示スペース</t>
  </si>
  <si>
    <t>9時-18時</t>
    <phoneticPr fontId="6"/>
  </si>
  <si>
    <t>冷房設計
最大負荷
(外気負荷
を含む全負荷
により決定、
h-t基準
採用)
↓
↓
↓</t>
    <phoneticPr fontId="6"/>
  </si>
  <si>
    <t>暖房設計
最大負荷
(外気負荷
を含む全負荷
により決定、
t-Jh基準
採用)
↓
↓
↓</t>
    <phoneticPr fontId="6"/>
  </si>
  <si>
    <t>展示スペース</t>
    <phoneticPr fontId="4"/>
  </si>
  <si>
    <t>設計外気風量[m3/h]</t>
    <phoneticPr fontId="6"/>
  </si>
  <si>
    <t>E</t>
    <phoneticPr fontId="4"/>
  </si>
  <si>
    <t>E,W</t>
    <phoneticPr fontId="4"/>
  </si>
  <si>
    <t xml:space="preserve">qst0=13(1+Ct+Csr)Ag/Af+7=13×(1+ (-0.44)+1.80)×0.10 +7 = </t>
  </si>
  <si>
    <t xml:space="preserve">qst1=47(1+0.6Ct)Ag/Af+10=47×(1+0.6×(-0.44))×0.10 +10 = </t>
  </si>
  <si>
    <t xml:space="preserve">qst0=Cp(1+Ct)qbase0-20=1.00× (1+ (-0.15) )× 49.2 -20= </t>
  </si>
  <si>
    <t xml:space="preserve">qst1=(1+1.8Ct-Csr)qbase1=(1+1.8× -0.15 - 0.30 )× 35.8 = </t>
  </si>
  <si>
    <r>
      <t>qbase0=90(1-e</t>
    </r>
    <r>
      <rPr>
        <vertAlign val="superscript"/>
        <sz val="9"/>
        <rFont val="ＭＳ Ｐゴシック"/>
        <family val="3"/>
        <charset val="128"/>
      </rPr>
      <t>-0.31Kt</t>
    </r>
    <r>
      <rPr>
        <sz val="9"/>
        <rFont val="ＭＳ Ｐゴシック"/>
        <family val="3"/>
        <charset val="128"/>
      </rPr>
      <t>)[W/㎡]</t>
    </r>
    <phoneticPr fontId="6"/>
  </si>
  <si>
    <t>S・U・⊿t</t>
    <phoneticPr fontId="6"/>
  </si>
  <si>
    <t>食堂</t>
  </si>
  <si>
    <t>BM-3</t>
  </si>
  <si>
    <t>Jc-t</t>
  </si>
  <si>
    <t>冷房設計
最大負荷
(外気負荷
を含む全負荷
により決定、
Jc-t基準
採用)
↓
↓
↓</t>
    <phoneticPr fontId="6"/>
  </si>
  <si>
    <t>暖房設計
最大負荷
(外気負荷
を含む全負荷
により決定、
t-x基準
採用)
↓
↓
↓</t>
    <phoneticPr fontId="6"/>
  </si>
  <si>
    <t>室名</t>
    <phoneticPr fontId="6"/>
  </si>
  <si>
    <t>食堂</t>
    <phoneticPr fontId="4"/>
  </si>
  <si>
    <t>BM-3</t>
    <phoneticPr fontId="4"/>
  </si>
  <si>
    <t>BM-3</t>
    <phoneticPr fontId="4"/>
  </si>
  <si>
    <t>r</t>
    <phoneticPr fontId="6"/>
  </si>
  <si>
    <t xml:space="preserve">qst0=13(1+Ct+Csr)Ag/Af+7=13×(1+ (-0.44)+0.00)×0.27 +7 = </t>
  </si>
  <si>
    <t xml:space="preserve">qst1=47(1+0.6Ct)Ag/Af+10=47×(1+0.6×(-0.44))×0.27 +10 = </t>
  </si>
  <si>
    <t xml:space="preserve">qst1=(1+1.8Ct-Csr)qbase1=(1+1.8× -0.15 - 0.50 )× 38.0 = </t>
  </si>
  <si>
    <t>Jc-t</t>
    <phoneticPr fontId="4"/>
  </si>
  <si>
    <t>面積S[m2]</t>
    <phoneticPr fontId="6"/>
  </si>
  <si>
    <t>遮蔽係数SC</t>
    <phoneticPr fontId="13"/>
  </si>
  <si>
    <t>ig</t>
    <phoneticPr fontId="6"/>
  </si>
  <si>
    <t>S・S.C.・ig</t>
    <phoneticPr fontId="13"/>
  </si>
  <si>
    <t>①顕熱負荷1 [W]</t>
    <phoneticPr fontId="6"/>
  </si>
  <si>
    <t>S・U・⊿t</t>
    <phoneticPr fontId="6"/>
  </si>
  <si>
    <t>S・U・⊿t</t>
    <phoneticPr fontId="6"/>
  </si>
  <si>
    <t>⊿t</t>
    <phoneticPr fontId="6"/>
  </si>
  <si>
    <t>②顕熱負荷2 [W]</t>
    <phoneticPr fontId="6"/>
  </si>
  <si>
    <t>応接室1</t>
  </si>
  <si>
    <t>9時-18時</t>
    <phoneticPr fontId="6"/>
  </si>
  <si>
    <t>冷房設計
最大負荷
(外気負荷
を含む全負荷
により決定、
Jc-t基準
採用)
↓
↓
↓</t>
    <phoneticPr fontId="6"/>
  </si>
  <si>
    <t>暖房設計
最大負荷
(外気負荷
を含む全負荷
により決定、
t-Jh基準
採用)
↓
↓
↓</t>
    <phoneticPr fontId="6"/>
  </si>
  <si>
    <t>応接室1</t>
    <phoneticPr fontId="4"/>
  </si>
  <si>
    <t xml:space="preserve">qst0=13(1+Ct+Csr)Ag/Af+7=13×(1+ (-0.44)+0.00)×0.41 +7 = </t>
  </si>
  <si>
    <t xml:space="preserve">qst1=47(1+0.6Ct)Ag/Af+10=47×(1+0.6×(-0.44))×0.41 +10 = </t>
  </si>
  <si>
    <t xml:space="preserve">qst0=Cp(1+Ct)qbase0-20=1.00× (1+ (-0.15) )× 64.8 -20= </t>
  </si>
  <si>
    <t xml:space="preserve">qst1=(1+1.8Ct-Csr)qbase1=(1+1.8× -0.15 - 0.30 )× 40.6 = </t>
  </si>
  <si>
    <r>
      <t>qbase0=90(1-e</t>
    </r>
    <r>
      <rPr>
        <vertAlign val="superscript"/>
        <sz val="9"/>
        <rFont val="ＭＳ Ｐゴシック"/>
        <family val="3"/>
        <charset val="128"/>
      </rPr>
      <t>-0.31Kt</t>
    </r>
    <r>
      <rPr>
        <sz val="9"/>
        <rFont val="ＭＳ Ｐゴシック"/>
        <family val="3"/>
        <charset val="128"/>
      </rPr>
      <t>)[W/㎡]</t>
    </r>
    <phoneticPr fontId="6"/>
  </si>
  <si>
    <t>面積S[m2]</t>
    <phoneticPr fontId="6"/>
  </si>
  <si>
    <t>遮蔽係数SC</t>
    <phoneticPr fontId="13"/>
  </si>
  <si>
    <t>ig</t>
    <phoneticPr fontId="6"/>
  </si>
  <si>
    <t>S・S.C.・ig</t>
    <phoneticPr fontId="13"/>
  </si>
  <si>
    <t>-</t>
    <phoneticPr fontId="6"/>
  </si>
  <si>
    <t>①顕熱負荷1 [W]</t>
    <phoneticPr fontId="6"/>
  </si>
  <si>
    <t>S・U・⊿t</t>
    <phoneticPr fontId="6"/>
  </si>
  <si>
    <t>⊿t</t>
    <phoneticPr fontId="6"/>
  </si>
  <si>
    <t>⊿t</t>
    <phoneticPr fontId="6"/>
  </si>
  <si>
    <t>S・U・⊿t</t>
    <phoneticPr fontId="6"/>
  </si>
  <si>
    <t>応接室2</t>
  </si>
  <si>
    <t>9時-18時</t>
    <phoneticPr fontId="6"/>
  </si>
  <si>
    <t>冷房設計
最大負荷
(外気負荷
を含む全負荷
により決定、
h-t基準
採用)
↓
↓
↓</t>
    <phoneticPr fontId="6"/>
  </si>
  <si>
    <t>暖房設計
最大負荷
(外気負荷
を含む全負荷
により決定、
t-Jh基準
採用)
↓
↓
↓</t>
    <phoneticPr fontId="6"/>
  </si>
  <si>
    <t>室NO</t>
    <phoneticPr fontId="6"/>
  </si>
  <si>
    <t>室名</t>
    <phoneticPr fontId="6"/>
  </si>
  <si>
    <t>応接室2</t>
    <phoneticPr fontId="4"/>
  </si>
  <si>
    <t>室NO</t>
    <phoneticPr fontId="6"/>
  </si>
  <si>
    <t>空調使用時間：</t>
    <phoneticPr fontId="6"/>
  </si>
  <si>
    <t xml:space="preserve">qst0=Cp(1+Ct)qbase0-20=1.00× (1+ (-0.15) )× 38.3 -20= </t>
  </si>
  <si>
    <t xml:space="preserve">qst1=(1+1.8Ct-Csr)qbase1=(1+1.8× -0.15 - 0.00 )× 30.7 = </t>
  </si>
  <si>
    <t>外気風量[㎥/h]</t>
    <phoneticPr fontId="6"/>
  </si>
  <si>
    <t>面積S[m2]</t>
    <phoneticPr fontId="6"/>
  </si>
  <si>
    <t>遮蔽係数SC</t>
    <phoneticPr fontId="13"/>
  </si>
  <si>
    <t>ig</t>
    <phoneticPr fontId="6"/>
  </si>
  <si>
    <t>S・S.C.・ig</t>
    <phoneticPr fontId="13"/>
  </si>
  <si>
    <t>-</t>
    <phoneticPr fontId="6"/>
  </si>
  <si>
    <t>⊿t</t>
    <phoneticPr fontId="6"/>
  </si>
  <si>
    <t>S・U・⊿t</t>
    <phoneticPr fontId="6"/>
  </si>
  <si>
    <t>t-x基準</t>
    <phoneticPr fontId="6"/>
  </si>
  <si>
    <t>開発室</t>
  </si>
  <si>
    <t>AHU-1</t>
  </si>
  <si>
    <t>(C)室内全熱負荷以降の外気負荷等は、熱源容量計算用の基準別、時刻別の値です。外気負荷を含めた空調機の容量の計算等は別紙「AHU-1系統 空調機容量の計算」をご参照ください。また、本系統はオールフレッシュのため、外気風量はすべて空調機風量です。</t>
  </si>
  <si>
    <t>24時間</t>
    <phoneticPr fontId="6"/>
  </si>
  <si>
    <t>冷房設計
最大負荷
(顕熱負荷
により決定、
Jc-t基準
採用)
↓
↓
↓</t>
    <phoneticPr fontId="6"/>
  </si>
  <si>
    <t>暖房設計
最大負荷
(顕熱負荷
により決定、
t-x基準
採用)
↓
↓
↓</t>
    <phoneticPr fontId="6"/>
  </si>
  <si>
    <t>開発室</t>
    <phoneticPr fontId="4"/>
  </si>
  <si>
    <t>AHU-1</t>
    <phoneticPr fontId="4"/>
  </si>
  <si>
    <t>AHU-1</t>
    <phoneticPr fontId="4"/>
  </si>
  <si>
    <t>24.0[℃]</t>
    <phoneticPr fontId="4"/>
  </si>
  <si>
    <t>47.9[kJ/kg]</t>
    <phoneticPr fontId="4"/>
  </si>
  <si>
    <t>9.3[g/kg]</t>
    <phoneticPr fontId="4"/>
  </si>
  <si>
    <t>47.9[kJ/kg]</t>
    <phoneticPr fontId="4"/>
  </si>
  <si>
    <t>9.3[g/kg]</t>
    <phoneticPr fontId="4"/>
  </si>
  <si>
    <t>24.0[℃]</t>
    <phoneticPr fontId="4"/>
  </si>
  <si>
    <t>9.3[g/kg]</t>
    <phoneticPr fontId="4"/>
  </si>
  <si>
    <t>1.00×1.00</t>
  </si>
  <si>
    <t xml:space="preserve">⊿t=to6Jct-tr= 27.3 [℃]- 24.0 [℃]= </t>
  </si>
  <si>
    <t xml:space="preserve">Ct=0.22×(⊿t-1.3) = 0.22×(3.3 -1.3)= </t>
  </si>
  <si>
    <t xml:space="preserve">qst1=47(1+0.6Ct)Ag/Af+10=47×(1+0.6×0.44)×0.12 +10 = </t>
  </si>
  <si>
    <t xml:space="preserve">⊿T=tr-to9Jh= 24.0 [℃]- 1.5 [℃]= </t>
  </si>
  <si>
    <t xml:space="preserve">Ct=0.05×(⊿t-20.5) = 0.05×(22.5 -20.5)= </t>
  </si>
  <si>
    <t xml:space="preserve">qst1=(1+1.8Ct-Csr)qbase1=(1+1.8× 0.10 - 0.30 )× 40.8 = </t>
  </si>
  <si>
    <t>面積S[m2]</t>
    <phoneticPr fontId="6"/>
  </si>
  <si>
    <t>遮蔽係数SC</t>
    <phoneticPr fontId="13"/>
  </si>
  <si>
    <t>ig</t>
    <phoneticPr fontId="6"/>
  </si>
  <si>
    <t>S・S.C.・ig</t>
    <phoneticPr fontId="13"/>
  </si>
  <si>
    <t>-</t>
    <phoneticPr fontId="6"/>
  </si>
  <si>
    <t>①顕熱負荷1 [W]</t>
    <phoneticPr fontId="6"/>
  </si>
  <si>
    <t>①顕熱負荷1 [W]</t>
    <phoneticPr fontId="6"/>
  </si>
  <si>
    <t>⊿t</t>
    <phoneticPr fontId="6"/>
  </si>
  <si>
    <t>S・U・⊿t</t>
    <phoneticPr fontId="6"/>
  </si>
  <si>
    <t>⊿t</t>
    <phoneticPr fontId="6"/>
  </si>
  <si>
    <t>S・U・⊿t</t>
    <phoneticPr fontId="6"/>
  </si>
  <si>
    <t>②顕熱負荷2 [W]</t>
    <phoneticPr fontId="6"/>
  </si>
  <si>
    <t>t-x基準</t>
    <phoneticPr fontId="6"/>
  </si>
  <si>
    <t>202OA</t>
  </si>
  <si>
    <t>開発室ドラフト外気処理</t>
  </si>
  <si>
    <t>OAHU-1</t>
  </si>
  <si>
    <t>(C)室内全熱負荷以降の外気負荷等は、熱源容量計算用の基準別、時刻別の値です。外気負荷を含めた空調機の容量の計算等は別紙「OAHU-1系統 空調機容量の計算」をご参照ください。</t>
  </si>
  <si>
    <t>24時間</t>
    <phoneticPr fontId="6"/>
  </si>
  <si>
    <t>冷房設計
最大負荷
(顕熱負荷
により決定、
h-t基準
採用)
↓
↓
↓</t>
    <phoneticPr fontId="6"/>
  </si>
  <si>
    <t>暖房設計
最大負荷
(顕熱負荷
により決定、
t-x基準
採用)
↓
↓
↓</t>
    <phoneticPr fontId="6"/>
  </si>
  <si>
    <t>202OA</t>
    <phoneticPr fontId="4"/>
  </si>
  <si>
    <t>開発室ドラフト外気処理</t>
    <phoneticPr fontId="4"/>
  </si>
  <si>
    <t>OAHU-1</t>
    <phoneticPr fontId="4"/>
  </si>
  <si>
    <t>系統別集計表参照</t>
    <phoneticPr fontId="4"/>
  </si>
  <si>
    <t>系統別集計表参照</t>
    <phoneticPr fontId="4"/>
  </si>
  <si>
    <t>系統別集計表</t>
  </si>
  <si>
    <t xml:space="preserve">  空調機系統ごとに集計し、外気負荷を考慮した空調機の容量を求めています。</t>
  </si>
  <si>
    <t>[g/kg]</t>
    <phoneticPr fontId="13"/>
  </si>
  <si>
    <t>[kJ/kg]</t>
    <phoneticPr fontId="13"/>
  </si>
  <si>
    <t>[％]</t>
    <phoneticPr fontId="13"/>
  </si>
  <si>
    <t>[℃]</t>
    <phoneticPr fontId="13"/>
  </si>
  <si>
    <t>合計</t>
    <phoneticPr fontId="13"/>
  </si>
  <si>
    <t>他ゾーンへ</t>
    <rPh sb="0" eb="1">
      <t>タ</t>
    </rPh>
    <phoneticPr fontId="37"/>
  </si>
  <si>
    <t>絶対湿度</t>
    <rPh sb="0" eb="2">
      <t>ゼッタイ</t>
    </rPh>
    <rPh sb="2" eb="4">
      <t>シツド</t>
    </rPh>
    <phoneticPr fontId="13"/>
  </si>
  <si>
    <t>比エンタルピ</t>
    <rPh sb="0" eb="1">
      <t>ヒ</t>
    </rPh>
    <phoneticPr fontId="13"/>
  </si>
  <si>
    <t>相対湿度</t>
    <rPh sb="0" eb="2">
      <t>ソウタイ</t>
    </rPh>
    <rPh sb="2" eb="4">
      <t>シツド</t>
    </rPh>
    <phoneticPr fontId="13"/>
  </si>
  <si>
    <t>乾球温度</t>
    <rPh sb="0" eb="2">
      <t>カンキュウ</t>
    </rPh>
    <rPh sb="2" eb="4">
      <t>オンド</t>
    </rPh>
    <phoneticPr fontId="13"/>
  </si>
  <si>
    <t>合計</t>
    <rPh sb="0" eb="2">
      <t>ゴウケイ</t>
    </rPh>
    <phoneticPr fontId="13"/>
  </si>
  <si>
    <t>外気
負荷</t>
    <rPh sb="0" eb="2">
      <t>ガイキ</t>
    </rPh>
    <rPh sb="3" eb="5">
      <t>フカ</t>
    </rPh>
    <phoneticPr fontId="13"/>
  </si>
  <si>
    <t>室内負荷
合計</t>
    <rPh sb="0" eb="2">
      <t>シツナイ</t>
    </rPh>
    <rPh sb="5" eb="7">
      <t>ゴウケイ</t>
    </rPh>
    <phoneticPr fontId="13"/>
  </si>
  <si>
    <t>潜熱
負荷</t>
    <phoneticPr fontId="13"/>
  </si>
  <si>
    <t>暖房時</t>
    <rPh sb="0" eb="2">
      <t>ダンボウ</t>
    </rPh>
    <rPh sb="2" eb="3">
      <t>ジ</t>
    </rPh>
    <phoneticPr fontId="13"/>
  </si>
  <si>
    <t>冷房時</t>
    <rPh sb="0" eb="2">
      <t>レイボウ</t>
    </rPh>
    <rPh sb="2" eb="3">
      <t>ジ</t>
    </rPh>
    <phoneticPr fontId="13"/>
  </si>
  <si>
    <t>暖房負荷（最大値）[W]</t>
    <rPh sb="0" eb="2">
      <t>ダンボウ</t>
    </rPh>
    <rPh sb="5" eb="8">
      <t>サイダイチ</t>
    </rPh>
    <phoneticPr fontId="38"/>
  </si>
  <si>
    <t>冷房負荷（最大値）[W]</t>
    <rPh sb="5" eb="8">
      <t>サイダイチ</t>
    </rPh>
    <phoneticPr fontId="38"/>
  </si>
  <si>
    <t>容積
[㎥]</t>
    <phoneticPr fontId="37"/>
  </si>
  <si>
    <t>天井高
[m]</t>
    <phoneticPr fontId="13"/>
  </si>
  <si>
    <t>面積
[㎡]</t>
    <phoneticPr fontId="13"/>
  </si>
  <si>
    <t>室　　　　名</t>
    <phoneticPr fontId="37"/>
  </si>
  <si>
    <t>実際の部屋の温湿度</t>
    <rPh sb="0" eb="2">
      <t>ジッサイ</t>
    </rPh>
    <rPh sb="3" eb="5">
      <t>ヘヤ</t>
    </rPh>
    <rPh sb="6" eb="9">
      <t>オンシツド</t>
    </rPh>
    <phoneticPr fontId="13"/>
  </si>
  <si>
    <t>設計時の部屋の温湿度</t>
    <rPh sb="0" eb="3">
      <t>セッケイジ</t>
    </rPh>
    <rPh sb="4" eb="6">
      <t>ヘヤ</t>
    </rPh>
    <rPh sb="7" eb="10">
      <t>オンシツド</t>
    </rPh>
    <phoneticPr fontId="13"/>
  </si>
  <si>
    <t>データチェック用の欄</t>
    <rPh sb="7" eb="8">
      <t>ヨウ</t>
    </rPh>
    <rPh sb="9" eb="10">
      <t>ラン</t>
    </rPh>
    <phoneticPr fontId="13"/>
  </si>
  <si>
    <t>BM-1系統熱負荷集計表</t>
  </si>
  <si>
    <t>19.0[℃]
(19.0[℃])</t>
    <phoneticPr fontId="4"/>
  </si>
  <si>
    <t>40[％]
(10[％])</t>
    <phoneticPr fontId="4"/>
  </si>
  <si>
    <t>33.0[kJ/kg]
(22.7[kJ/kg])</t>
    <phoneticPr fontId="4"/>
  </si>
  <si>
    <t>5.5[g/kg]
(1.4[g/kg])</t>
    <phoneticPr fontId="4"/>
  </si>
  <si>
    <t>暖房設計温湿度目標値（( )内は空調機設計条件における実際値）</t>
    <phoneticPr fontId="6"/>
  </si>
  <si>
    <t>40[％]
(10[％])</t>
    <phoneticPr fontId="4"/>
  </si>
  <si>
    <t>33.0[kJ/kg]
(22.7[kJ/kg])</t>
    <phoneticPr fontId="4"/>
  </si>
  <si>
    <t>5.5[g/kg]
(1.4[g/kg])</t>
    <phoneticPr fontId="4"/>
  </si>
  <si>
    <t>合　　　計</t>
  </si>
  <si>
    <t>顕熱
負荷</t>
  </si>
  <si>
    <t>BM-2系統熱負荷集計表</t>
  </si>
  <si>
    <t>19.0[℃]
(19.0[℃])</t>
    <phoneticPr fontId="4"/>
  </si>
  <si>
    <t>40[％]
(10[％])</t>
    <phoneticPr fontId="4"/>
  </si>
  <si>
    <t>33.0[kJ/kg]
(22.7[kJ/kg])</t>
    <phoneticPr fontId="4"/>
  </si>
  <si>
    <t>5.5[g/kg]
(1.4[g/kg])</t>
    <phoneticPr fontId="4"/>
  </si>
  <si>
    <t>暖房設計温湿度目標値（( )内は空調機設計条件における実際値）</t>
    <phoneticPr fontId="6"/>
  </si>
  <si>
    <t>19.0[℃]
(19.0[℃])</t>
    <phoneticPr fontId="4"/>
  </si>
  <si>
    <t>40[％]
(10[％])</t>
    <phoneticPr fontId="4"/>
  </si>
  <si>
    <t>33.0[kJ/kg]
(22.7[kJ/kg])</t>
    <phoneticPr fontId="4"/>
  </si>
  <si>
    <t>40[％]
(10[％])</t>
    <phoneticPr fontId="4"/>
  </si>
  <si>
    <t>33.0[kJ/kg]
(22.7[kJ/kg])</t>
    <phoneticPr fontId="4"/>
  </si>
  <si>
    <t>暖房設計温湿度目標値（( )内は空調機設計条件における実際値）</t>
    <phoneticPr fontId="6"/>
  </si>
  <si>
    <t>19.0[℃]
(19.0[℃])</t>
    <phoneticPr fontId="4"/>
  </si>
  <si>
    <t>暖房設計温湿度目標値（( )内は空調機設計条件における実際値）</t>
    <phoneticPr fontId="6"/>
  </si>
  <si>
    <t>19.0[℃]
(19.0[℃])</t>
    <phoneticPr fontId="4"/>
  </si>
  <si>
    <t>33.0[kJ/kg]
(22.7[kJ/kg])</t>
    <phoneticPr fontId="4"/>
  </si>
  <si>
    <t>5.5[g/kg]
(1.4[g/kg])</t>
    <phoneticPr fontId="4"/>
  </si>
  <si>
    <t>19.0[℃]
(19.0[℃])</t>
    <phoneticPr fontId="4"/>
  </si>
  <si>
    <t>40[％]
(10[％])</t>
    <phoneticPr fontId="4"/>
  </si>
  <si>
    <t>BM-3系統熱負荷集計表</t>
  </si>
  <si>
    <t>暖房</t>
    <rPh sb="0" eb="2">
      <t>ダンボウ</t>
    </rPh>
    <phoneticPr fontId="13"/>
  </si>
  <si>
    <t>冷房</t>
    <rPh sb="0" eb="2">
      <t>レイボウ</t>
    </rPh>
    <phoneticPr fontId="13"/>
  </si>
  <si>
    <t>給気
風量</t>
    <rPh sb="0" eb="2">
      <t>キュウキ</t>
    </rPh>
    <rPh sb="3" eb="5">
      <t>フウリョウ</t>
    </rPh>
    <phoneticPr fontId="13"/>
  </si>
  <si>
    <t>顕熱負荷
より</t>
    <rPh sb="0" eb="2">
      <t>ケンネツ</t>
    </rPh>
    <rPh sb="2" eb="4">
      <t>フカ</t>
    </rPh>
    <phoneticPr fontId="37"/>
  </si>
  <si>
    <t>④給気
風量</t>
    <rPh sb="1" eb="3">
      <t>キュウキ</t>
    </rPh>
    <rPh sb="4" eb="6">
      <t>フウリョウ</t>
    </rPh>
    <phoneticPr fontId="13"/>
  </si>
  <si>
    <t>③換気回数より</t>
    <rPh sb="1" eb="3">
      <t>カンキ</t>
    </rPh>
    <rPh sb="3" eb="5">
      <t>カイスウ</t>
    </rPh>
    <phoneticPr fontId="37"/>
  </si>
  <si>
    <t>②顕熱
負荷より</t>
    <rPh sb="1" eb="3">
      <t>ケンネツ</t>
    </rPh>
    <rPh sb="4" eb="6">
      <t>フカ</t>
    </rPh>
    <phoneticPr fontId="37"/>
  </si>
  <si>
    <t>①設計
外気量</t>
    <rPh sb="1" eb="3">
      <t>セッケイ</t>
    </rPh>
    <rPh sb="4" eb="6">
      <t>ガイキ</t>
    </rPh>
    <rPh sb="6" eb="7">
      <t>リョウ</t>
    </rPh>
    <phoneticPr fontId="37"/>
  </si>
  <si>
    <t>換気
回数
[回/h]</t>
    <phoneticPr fontId="13"/>
  </si>
  <si>
    <t>送風量[㎥/h]</t>
    <phoneticPr fontId="37"/>
  </si>
  <si>
    <t>吹出温度差[K]</t>
    <rPh sb="0" eb="2">
      <t>フキダ</t>
    </rPh>
    <rPh sb="2" eb="5">
      <t>オンドサ</t>
    </rPh>
    <phoneticPr fontId="37"/>
  </si>
  <si>
    <t>再熱
負荷
[W]</t>
    <rPh sb="0" eb="1">
      <t>サイ</t>
    </rPh>
    <rPh sb="1" eb="2">
      <t>ネツ</t>
    </rPh>
    <phoneticPr fontId="37"/>
  </si>
  <si>
    <t>端数切上前の
の風量[㎥/h]</t>
    <rPh sb="0" eb="2">
      <t>ハスウ</t>
    </rPh>
    <rPh sb="2" eb="4">
      <t>キリアゲ</t>
    </rPh>
    <rPh sb="4" eb="5">
      <t>マエ</t>
    </rPh>
    <rPh sb="8" eb="10">
      <t>フウリョウ</t>
    </rPh>
    <phoneticPr fontId="13"/>
  </si>
  <si>
    <t>実際の部屋の温湿度（設計時の給気温湿度条件を固定した場合の値）</t>
    <rPh sb="0" eb="2">
      <t>ジッサイ</t>
    </rPh>
    <rPh sb="3" eb="5">
      <t>ヘヤ</t>
    </rPh>
    <rPh sb="6" eb="9">
      <t>オンシツド</t>
    </rPh>
    <rPh sb="10" eb="13">
      <t>セッケイジ</t>
    </rPh>
    <rPh sb="14" eb="16">
      <t>キュウキ</t>
    </rPh>
    <rPh sb="16" eb="19">
      <t>オンシツド</t>
    </rPh>
    <rPh sb="19" eb="21">
      <t>ジョウケン</t>
    </rPh>
    <rPh sb="22" eb="24">
      <t>コテイ</t>
    </rPh>
    <rPh sb="26" eb="28">
      <t>バアイ</t>
    </rPh>
    <rPh sb="29" eb="30">
      <t>アタイ</t>
    </rPh>
    <phoneticPr fontId="13"/>
  </si>
  <si>
    <t>BM-3外気処理系統外気風量一覧表</t>
  </si>
  <si>
    <t>冷房時吹出温度= 20.2[℃]冷房時吹出空気比エンタルピ= 55.4[kJ/kg]</t>
  </si>
  <si>
    <t>その他の負荷</t>
  </si>
  <si>
    <t>■空調機のファンによる発熱負荷</t>
  </si>
  <si>
    <t>ファンによる温度上昇=300/(1.006×1.2×1000×(60/100))≒0.42[K]</t>
  </si>
  <si>
    <t>発熱負荷=540×0.42×1.006×1.2×(1000 / 3600)≒76[W]</t>
  </si>
  <si>
    <t>外気条件，システム条件など</t>
    <rPh sb="0" eb="2">
      <t>ガイキ</t>
    </rPh>
    <rPh sb="2" eb="4">
      <t>ジョウケン</t>
    </rPh>
    <rPh sb="9" eb="11">
      <t>ジョウケン</t>
    </rPh>
    <phoneticPr fontId="13"/>
  </si>
  <si>
    <t>湿り空気 h-x 線図
大気圧 101.325[kPa]</t>
  </si>
  <si>
    <t xml:space="preserve"> </t>
  </si>
  <si>
    <t>①：外気(冷房)</t>
  </si>
  <si>
    <t>②：全熱交換機出口(冷房)</t>
  </si>
  <si>
    <t>③：冷却コイル出口</t>
  </si>
  <si>
    <t>④：給気(冷房)</t>
  </si>
  <si>
    <t>　   =冷房時室内比エンタルピ</t>
  </si>
  <si>
    <t>⑤：室内(冷房)</t>
  </si>
  <si>
    <t>⑥：外気(暖房)</t>
  </si>
  <si>
    <t>⑦：全熱交換機出口(暖房)</t>
  </si>
  <si>
    <t>⑧：加熱コイル出口(暖房)</t>
  </si>
  <si>
    <t>⑨：給気(暖房)</t>
  </si>
  <si>
    <t>凡例</t>
    <phoneticPr fontId="4"/>
  </si>
  <si>
    <t>■冷房設計用外気条件：33.7[℃]，56[％](h-t基準)，暖房設計用外気条件：2.0[℃]，32[％](t-x基準)，外気比：1.00[-]</t>
  </si>
  <si>
    <t>■空調機形式：外気処理 ，除湿制御：なし ，加湿制御：あり(滴下浸透式) ，全熱交換機効率=70[％](排気風量/外気風量=0.8)[-]</t>
  </si>
  <si>
    <t>BM-3系統外気処理ユニット空気線図</t>
  </si>
  <si>
    <t>　設計風量</t>
  </si>
  <si>
    <r>
      <t>空調機風量=540[m</t>
    </r>
    <r>
      <rPr>
        <vertAlign val="superscript"/>
        <sz val="9"/>
        <rFont val="ＭＳ Ｐゴシック"/>
        <family val="3"/>
        <charset val="128"/>
      </rPr>
      <t>3</t>
    </r>
    <r>
      <rPr>
        <sz val="9"/>
        <rFont val="ＭＳ Ｐゴシック"/>
        <family val="3"/>
        <charset val="128"/>
      </rPr>
      <t>/h]，外気風量=540[m</t>
    </r>
    <r>
      <rPr>
        <vertAlign val="superscript"/>
        <sz val="9"/>
        <rFont val="ＭＳ Ｐゴシック"/>
        <family val="3"/>
        <charset val="128"/>
      </rPr>
      <t>3</t>
    </r>
    <r>
      <rPr>
        <sz val="9"/>
        <rFont val="ＭＳ Ｐゴシック"/>
        <family val="3"/>
        <charset val="128"/>
      </rPr>
      <t>/h]</t>
    </r>
  </si>
  <si>
    <t>　冷房関連</t>
  </si>
  <si>
    <t>■冷却コイル容量(②→③のプロセス)</t>
  </si>
  <si>
    <r>
      <t>540[m</t>
    </r>
    <r>
      <rPr>
        <vertAlign val="superscript"/>
        <sz val="9"/>
        <rFont val="ＭＳ Ｐゴシック"/>
        <family val="3"/>
        <charset val="128"/>
      </rPr>
      <t>3</t>
    </r>
    <r>
      <rPr>
        <sz val="9"/>
        <rFont val="ＭＳ Ｐゴシック"/>
        <family val="3"/>
        <charset val="128"/>
      </rPr>
      <t>/h]×1.2[kg/m</t>
    </r>
    <r>
      <rPr>
        <vertAlign val="superscript"/>
        <sz val="9"/>
        <rFont val="ＭＳ Ｐゴシック"/>
        <family val="3"/>
        <charset val="128"/>
      </rPr>
      <t>3</t>
    </r>
    <r>
      <rPr>
        <sz val="9"/>
        <rFont val="ＭＳ Ｐゴシック"/>
        <family val="3"/>
        <charset val="128"/>
      </rPr>
      <t>]×(66.9 - 55.0)[kJ/kg] / 3600[sec/h] ≒ 2.2[kW]</t>
    </r>
  </si>
  <si>
    <t>入口空気条件：乾球温度= 30.5[℃]，湿球温度= 22.7[℃]</t>
  </si>
  <si>
    <t>　暖房関連</t>
  </si>
  <si>
    <t>■加熱コイル容量(⑦→⑧のプロセス)</t>
  </si>
  <si>
    <r>
      <t>540[m</t>
    </r>
    <r>
      <rPr>
        <vertAlign val="superscript"/>
        <sz val="9"/>
        <rFont val="ＭＳ Ｐゴシック"/>
        <family val="3"/>
        <charset val="128"/>
      </rPr>
      <t>3</t>
    </r>
    <r>
      <rPr>
        <sz val="9"/>
        <rFont val="ＭＳ Ｐゴシック"/>
        <family val="3"/>
        <charset val="128"/>
      </rPr>
      <t>/h]×1.006[kJ/kg･K]×1.2[kg/m</t>
    </r>
    <r>
      <rPr>
        <vertAlign val="superscript"/>
        <sz val="9"/>
        <rFont val="ＭＳ Ｐゴシック"/>
        <family val="3"/>
        <charset val="128"/>
      </rPr>
      <t>3</t>
    </r>
    <r>
      <rPr>
        <sz val="9"/>
        <rFont val="ＭＳ Ｐゴシック"/>
        <family val="3"/>
        <charset val="128"/>
      </rPr>
      <t>]</t>
    </r>
  </si>
  <si>
    <t>　×(23.40 - 11.52)[K] / 3600[sec/h] ≒ 2.2[kW]</t>
  </si>
  <si>
    <t>入口空気条件：乾球温度= 11.5[℃]，湿球温度= 6.1[℃]</t>
  </si>
  <si>
    <t>■加湿器容量(⑧→⑨のプロセス)</t>
  </si>
  <si>
    <r>
      <t>540[m</t>
    </r>
    <r>
      <rPr>
        <vertAlign val="superscript"/>
        <sz val="9"/>
        <rFont val="ＭＳ Ｐゴシック"/>
        <family val="3"/>
        <charset val="128"/>
      </rPr>
      <t>3</t>
    </r>
    <r>
      <rPr>
        <sz val="9"/>
        <rFont val="ＭＳ Ｐゴシック"/>
        <family val="3"/>
        <charset val="128"/>
      </rPr>
      <t>/h]×1.2[kg/m</t>
    </r>
    <r>
      <rPr>
        <vertAlign val="superscript"/>
        <sz val="9"/>
        <rFont val="ＭＳ Ｐゴシック"/>
        <family val="3"/>
        <charset val="128"/>
      </rPr>
      <t>3</t>
    </r>
    <r>
      <rPr>
        <sz val="9"/>
        <rFont val="ＭＳ Ｐゴシック"/>
        <family val="3"/>
        <charset val="128"/>
      </rPr>
      <t>]×(0.0055 - 0.0037)[kg/kg] ≒ 1.2[kg/h]</t>
    </r>
  </si>
  <si>
    <t>入口空気条件：乾球温度= 23.4[℃]，絶対湿度= 0.0037[kg/kg]</t>
  </si>
  <si>
    <t>　注記</t>
  </si>
  <si>
    <t>■③→④のプロセスはファン、ダクト系の摩擦熱による温度上昇を示します。</t>
  </si>
  <si>
    <t>■各コイルなどの容量および加湿容量の値は小数第二位で切り上げています。</t>
  </si>
  <si>
    <t>■乾き空気の密度は厳密には乾球温度により変化しますが、</t>
  </si>
  <si>
    <r>
      <t>　 計算時は乾球温度約 20[℃]のときの値 1.2[kg/m</t>
    </r>
    <r>
      <rPr>
        <vertAlign val="superscript"/>
        <sz val="9"/>
        <rFont val="ＭＳ Ｐゴシック"/>
        <family val="3"/>
        <charset val="128"/>
      </rPr>
      <t>3</t>
    </r>
    <r>
      <rPr>
        <sz val="9"/>
        <rFont val="ＭＳ Ｐゴシック"/>
        <family val="3"/>
        <charset val="128"/>
      </rPr>
      <t>] としています。</t>
    </r>
  </si>
  <si>
    <t>■乾き空気の定圧比熱も同様に一定値 1.006[kJ/kg･K] としています。</t>
  </si>
  <si>
    <t>BM-3系統外気処理ユニット空調機容量の計算</t>
  </si>
  <si>
    <t>AHU-1系統熱負荷集計および風量一覧表</t>
  </si>
  <si>
    <t>冷房時の系統全体の顕熱比= 0.98[-]</t>
  </si>
  <si>
    <t>注：吹出温度差は風量計算用の値で、実際の値ではありません。</t>
  </si>
  <si>
    <t>過冷却負荷= (A) の最大値- (A)  [W]</t>
  </si>
  <si>
    <t>過冷却負荷= (A) の最大値- (A) [W]</t>
  </si>
  <si>
    <t>再熱負荷=(A) の最大値 - (③×余裕係数) [W]</t>
  </si>
  <si>
    <t>再熱負荷=(A) の最大値-(①+②+④+⑥)×余裕係数[W]</t>
  </si>
  <si>
    <t>ファンによる温度上昇=900/(1.006×1.2×1000×(60/100))≒1.25[K]</t>
  </si>
  <si>
    <t>発熱負荷=3,250×1.25×1.006×1.2×(1000 / 3600)≒1,362[W]</t>
  </si>
  <si>
    <t>②：冷却コイル出口</t>
  </si>
  <si>
    <t>③：給気(冷房)</t>
  </si>
  <si>
    <t>④：室内(冷房)</t>
  </si>
  <si>
    <t>　  =余剰排気</t>
  </si>
  <si>
    <t>⑤：外気(暖房)</t>
  </si>
  <si>
    <t>⑥：加熱コイル出口(暖房)</t>
  </si>
  <si>
    <t>⑦：給気(暖房)</t>
  </si>
  <si>
    <t>⑧：室内(暖房)</t>
  </si>
  <si>
    <t>　  =余剰排気(暖房)</t>
  </si>
  <si>
    <t>凡例</t>
    <phoneticPr fontId="4"/>
  </si>
  <si>
    <t>■冷房設計用外気条件：33.7[℃]，56[％](h-t基準)，暖房設計用外気条件：-0.3[℃]，38[％](t-x基準)，外気比：1.00[-]</t>
  </si>
  <si>
    <t>■空調機形式：オールフレッシュ ，除湿制御：あり(冷却除湿) ，加湿制御：あり(間接蒸気式)</t>
  </si>
  <si>
    <t>■再熱・加熱方式：空調機内部ヒータ</t>
  </si>
  <si>
    <t>AHU-1系統空気線図</t>
  </si>
  <si>
    <r>
      <t>空調機風量=3,250[m</t>
    </r>
    <r>
      <rPr>
        <vertAlign val="superscript"/>
        <sz val="9"/>
        <rFont val="ＭＳ Ｐゴシック"/>
        <family val="3"/>
        <charset val="128"/>
      </rPr>
      <t>3</t>
    </r>
    <r>
      <rPr>
        <sz val="9"/>
        <rFont val="ＭＳ Ｐゴシック"/>
        <family val="3"/>
        <charset val="128"/>
      </rPr>
      <t>/h]，外気風量=3,250[m</t>
    </r>
    <r>
      <rPr>
        <vertAlign val="superscript"/>
        <sz val="9"/>
        <rFont val="ＭＳ Ｐゴシック"/>
        <family val="3"/>
        <charset val="128"/>
      </rPr>
      <t>3</t>
    </r>
    <r>
      <rPr>
        <sz val="9"/>
        <rFont val="ＭＳ Ｐゴシック"/>
        <family val="3"/>
        <charset val="128"/>
      </rPr>
      <t>/h]</t>
    </r>
  </si>
  <si>
    <t>■冷却コイル容量(①→②のプロセス)</t>
  </si>
  <si>
    <r>
      <t>3,250[m</t>
    </r>
    <r>
      <rPr>
        <vertAlign val="superscript"/>
        <sz val="9"/>
        <rFont val="ＭＳ Ｐゴシック"/>
        <family val="3"/>
        <charset val="128"/>
      </rPr>
      <t>3</t>
    </r>
    <r>
      <rPr>
        <sz val="9"/>
        <rFont val="ＭＳ Ｐゴシック"/>
        <family val="3"/>
        <charset val="128"/>
      </rPr>
      <t>/h]×1.2[kg/m</t>
    </r>
    <r>
      <rPr>
        <vertAlign val="superscript"/>
        <sz val="9"/>
        <rFont val="ＭＳ Ｐゴシック"/>
        <family val="3"/>
        <charset val="128"/>
      </rPr>
      <t>3</t>
    </r>
    <r>
      <rPr>
        <sz val="9"/>
        <rFont val="ＭＳ Ｐゴシック"/>
        <family val="3"/>
        <charset val="128"/>
      </rPr>
      <t>]×(81.6 - 37.2)[kJ/kg] / 3600[sec/h] ≒ 48.1[kW]</t>
    </r>
  </si>
  <si>
    <t>入口空気条件：乾球温度= 33.7[℃]，湿球温度= 26.2[℃]</t>
  </si>
  <si>
    <t>■再熱コイル容量(②→④の途中の乾球温度にいたるプロセス)</t>
  </si>
  <si>
    <t>別項「AHU-1系統熱負荷集計および風量一覧表」より、</t>
  </si>
  <si>
    <t>各室の再熱負荷の合計は</t>
  </si>
  <si>
    <t>7,970[W] (8.0[kW])</t>
  </si>
  <si>
    <t>入口空気条件：乾球温度= 13.6[℃]，湿球温度= 13.1[℃]</t>
  </si>
  <si>
    <t>■加熱コイル容量(⑤→⑥のプロセス)</t>
  </si>
  <si>
    <r>
      <t>3,250[m</t>
    </r>
    <r>
      <rPr>
        <vertAlign val="superscript"/>
        <sz val="9"/>
        <rFont val="ＭＳ Ｐゴシック"/>
        <family val="3"/>
        <charset val="128"/>
      </rPr>
      <t>3</t>
    </r>
    <r>
      <rPr>
        <sz val="9"/>
        <rFont val="ＭＳ Ｐゴシック"/>
        <family val="3"/>
        <charset val="128"/>
      </rPr>
      <t>/h]×1.006[kJ/kg･K]×1.2[kg/m</t>
    </r>
    <r>
      <rPr>
        <vertAlign val="superscript"/>
        <sz val="9"/>
        <rFont val="ＭＳ Ｐゴシック"/>
        <family val="3"/>
        <charset val="128"/>
      </rPr>
      <t>3</t>
    </r>
    <r>
      <rPr>
        <sz val="9"/>
        <rFont val="ＭＳ Ｐゴシック"/>
        <family val="3"/>
        <charset val="128"/>
      </rPr>
      <t>]</t>
    </r>
  </si>
  <si>
    <t>　×(31.83 - (-0.30))[K] / 3600[sec/h] ≒ 35.1[kW]</t>
  </si>
  <si>
    <t>入口空気条件：乾球温度= -0.3[℃]，湿球温度= -4.0[℃]</t>
  </si>
  <si>
    <t>■加湿器容量(⑥→⑦のプロセス)</t>
  </si>
  <si>
    <r>
      <t>3,250[m</t>
    </r>
    <r>
      <rPr>
        <vertAlign val="superscript"/>
        <sz val="9"/>
        <rFont val="ＭＳ Ｐゴシック"/>
        <family val="3"/>
        <charset val="128"/>
      </rPr>
      <t>3</t>
    </r>
    <r>
      <rPr>
        <sz val="9"/>
        <rFont val="ＭＳ Ｐゴシック"/>
        <family val="3"/>
        <charset val="128"/>
      </rPr>
      <t>/h]×1.2[kg/m</t>
    </r>
    <r>
      <rPr>
        <vertAlign val="superscript"/>
        <sz val="9"/>
        <rFont val="ＭＳ Ｐゴシック"/>
        <family val="3"/>
        <charset val="128"/>
      </rPr>
      <t>3</t>
    </r>
    <r>
      <rPr>
        <sz val="9"/>
        <rFont val="ＭＳ Ｐゴシック"/>
        <family val="3"/>
        <charset val="128"/>
      </rPr>
      <t>]×(0.0093 - 0.0014)[kg/kg] ≒ 30.8[kg/h]</t>
    </r>
  </si>
  <si>
    <t>入口空気条件：乾球温度= 31.8[℃]，絶対湿度= 0.0014[kg/kg]</t>
  </si>
  <si>
    <t>■②→③のプロセスはファン、ダクト系の摩擦熱による温度上昇を示します。</t>
  </si>
  <si>
    <t>AHU-1系統空調機容量の計算</t>
  </si>
  <si>
    <t>OAHU-1系統外気風量一覧表</t>
  </si>
  <si>
    <t>冷房時吹出温度= 18.3[℃]冷房時吹出空気比エンタルピ= 47.8[kJ/kg]</t>
  </si>
  <si>
    <t>ファンによる温度上昇=850/(1.006×1.2×1000×(60/100))≒1.18[K]</t>
  </si>
  <si>
    <t>発熱負荷=2,640×1.18×1.006×1.2×(1000 / 3600)≒1,045[W]</t>
  </si>
  <si>
    <t>⑥：給気(暖房)</t>
  </si>
  <si>
    <t>■空調機形式：外気処理 ，除湿制御：なし ，加湿制御：なし</t>
  </si>
  <si>
    <t>OAHU-1系統空気線図</t>
  </si>
  <si>
    <r>
      <t>空調機風量=2,640[m</t>
    </r>
    <r>
      <rPr>
        <vertAlign val="superscript"/>
        <sz val="9"/>
        <rFont val="ＭＳ Ｐゴシック"/>
        <family val="3"/>
        <charset val="128"/>
      </rPr>
      <t>3</t>
    </r>
    <r>
      <rPr>
        <sz val="9"/>
        <rFont val="ＭＳ Ｐゴシック"/>
        <family val="3"/>
        <charset val="128"/>
      </rPr>
      <t>/h]，外気風量=2,640[m</t>
    </r>
    <r>
      <rPr>
        <vertAlign val="superscript"/>
        <sz val="9"/>
        <rFont val="ＭＳ Ｐゴシック"/>
        <family val="3"/>
        <charset val="128"/>
      </rPr>
      <t>3</t>
    </r>
    <r>
      <rPr>
        <sz val="9"/>
        <rFont val="ＭＳ Ｐゴシック"/>
        <family val="3"/>
        <charset val="128"/>
      </rPr>
      <t>/h]</t>
    </r>
  </si>
  <si>
    <r>
      <t>2,640[m</t>
    </r>
    <r>
      <rPr>
        <vertAlign val="superscript"/>
        <sz val="9"/>
        <rFont val="ＭＳ Ｐゴシック"/>
        <family val="3"/>
        <charset val="128"/>
      </rPr>
      <t>3</t>
    </r>
    <r>
      <rPr>
        <sz val="9"/>
        <rFont val="ＭＳ Ｐゴシック"/>
        <family val="3"/>
        <charset val="128"/>
      </rPr>
      <t>/h]×1.2[kg/m</t>
    </r>
    <r>
      <rPr>
        <vertAlign val="superscript"/>
        <sz val="9"/>
        <rFont val="ＭＳ Ｐゴシック"/>
        <family val="3"/>
        <charset val="128"/>
      </rPr>
      <t>3</t>
    </r>
    <r>
      <rPr>
        <sz val="9"/>
        <rFont val="ＭＳ Ｐゴシック"/>
        <family val="3"/>
        <charset val="128"/>
      </rPr>
      <t>]×(81.6 - 46.7)[kJ/kg] / 3600[sec/h] ≒ 30.8[kW]</t>
    </r>
  </si>
  <si>
    <r>
      <t>2,640[m</t>
    </r>
    <r>
      <rPr>
        <vertAlign val="superscript"/>
        <sz val="9"/>
        <rFont val="ＭＳ Ｐゴシック"/>
        <family val="3"/>
        <charset val="128"/>
      </rPr>
      <t>3</t>
    </r>
    <r>
      <rPr>
        <sz val="9"/>
        <rFont val="ＭＳ Ｐゴシック"/>
        <family val="3"/>
        <charset val="128"/>
      </rPr>
      <t>/h]×1.006[kJ/kg･K]×1.2[kg/m</t>
    </r>
    <r>
      <rPr>
        <vertAlign val="superscript"/>
        <sz val="9"/>
        <rFont val="ＭＳ Ｐゴシック"/>
        <family val="3"/>
        <charset val="128"/>
      </rPr>
      <t>3</t>
    </r>
    <r>
      <rPr>
        <sz val="9"/>
        <rFont val="ＭＳ Ｐゴシック"/>
        <family val="3"/>
        <charset val="128"/>
      </rPr>
      <t>]</t>
    </r>
  </si>
  <si>
    <t>　×(24.00 - (-0.30))[K] / 3600[sec/h] ≒ 21.6[kW]</t>
  </si>
  <si>
    <t>■各コイルなどの容量の値は小数第二位で切り上げています。</t>
  </si>
  <si>
    <t>OAHU-1系統空調機容量の計算</t>
  </si>
  <si>
    <t>[kJ/kg]</t>
    <phoneticPr fontId="13"/>
  </si>
  <si>
    <t>[kJ/kg]</t>
    <phoneticPr fontId="13"/>
  </si>
  <si>
    <t>個別系統熱負荷集計表</t>
  </si>
  <si>
    <t>熱源集計表</t>
  </si>
  <si>
    <t xml:space="preserve">  熱源負荷を集計しています。</t>
  </si>
  <si>
    <t>備考</t>
    <rPh sb="0" eb="2">
      <t>ビコウ</t>
    </rPh>
    <phoneticPr fontId="13"/>
  </si>
  <si>
    <t>冷房負荷[W]</t>
    <phoneticPr fontId="38"/>
  </si>
  <si>
    <t>BM-1系統冷熱源集計表</t>
  </si>
  <si>
    <t>■BM-1系統 (同系統セット数=1)</t>
  </si>
  <si>
    <t>BM-1系統合計</t>
  </si>
  <si>
    <t>h-t基準合計</t>
    <phoneticPr fontId="4"/>
  </si>
  <si>
    <t>h-t基準合計</t>
    <phoneticPr fontId="4"/>
  </si>
  <si>
    <t>Jc-t基準合計</t>
    <phoneticPr fontId="4"/>
  </si>
  <si>
    <t>Jc-t基準合計</t>
    <phoneticPr fontId="4"/>
  </si>
  <si>
    <t>Js-t基準合計</t>
    <phoneticPr fontId="4"/>
  </si>
  <si>
    <t>Js-t基準合計</t>
    <phoneticPr fontId="4"/>
  </si>
  <si>
    <t>最大値(h-t基準，13時)を含む基準</t>
  </si>
  <si>
    <t>上記÷1000 [kW] (小数点以下切上げ)</t>
  </si>
  <si>
    <r>
      <t>単位負荷[W/m</t>
    </r>
    <r>
      <rPr>
        <b/>
        <vertAlign val="superscript"/>
        <sz val="9"/>
        <rFont val="ＭＳ Ｐゴシック"/>
        <family val="3"/>
        <charset val="128"/>
      </rPr>
      <t>2</t>
    </r>
    <r>
      <rPr>
        <b/>
        <sz val="9"/>
        <rFont val="ＭＳ Ｐゴシック"/>
        <family val="3"/>
        <charset val="128"/>
      </rPr>
      <t>] (小数点以下四捨五入)</t>
    </r>
  </si>
  <si>
    <t>面積
[㎡]</t>
    <phoneticPr fontId="13"/>
  </si>
  <si>
    <t>BM-2系統冷熱源集計表</t>
  </si>
  <si>
    <t>■BM-2系統 (同系統セット数=1)</t>
  </si>
  <si>
    <t>BM-2系統合計</t>
  </si>
  <si>
    <t>最大値(h-t基準，14時)を含む基準</t>
  </si>
  <si>
    <t>室　　　　名</t>
    <phoneticPr fontId="37"/>
  </si>
  <si>
    <t>BM-3系統冷熱源集計表</t>
  </si>
  <si>
    <t>■BM-3系統 (同系統セット数=1)</t>
  </si>
  <si>
    <t>ファン発熱負荷</t>
  </si>
  <si>
    <t>BM-3系統合計</t>
  </si>
  <si>
    <t>最大値(Jc-t基準，15時)を含む基準</t>
  </si>
  <si>
    <t>R-1系統冷熱源集計表</t>
  </si>
  <si>
    <t>■AHU-1系統 (同系統セット数=1)</t>
  </si>
  <si>
    <t>AHU-1系統合計</t>
  </si>
  <si>
    <t>■OAHU-1系統 (同系統セット数=1)</t>
  </si>
  <si>
    <t>OAHU-1系統合計</t>
  </si>
  <si>
    <t>最大値(h-t基準，12時)を含む基準</t>
  </si>
  <si>
    <t>冷房負荷[W]</t>
    <phoneticPr fontId="38"/>
  </si>
  <si>
    <t>個別系統冷熱源集計表</t>
  </si>
  <si>
    <t>■個別系統 (同系統セット数=1)</t>
  </si>
  <si>
    <t>個別系統合計</t>
  </si>
  <si>
    <t>B-1系統再熱・再生熱源集計表</t>
  </si>
  <si>
    <t>最大値(h-t基準，9時)を含む基準</t>
  </si>
  <si>
    <t>暖房負荷[W]</t>
    <rPh sb="0" eb="2">
      <t>ダンボウ</t>
    </rPh>
    <phoneticPr fontId="38"/>
  </si>
  <si>
    <t>BM-1系統温熱源集計表</t>
  </si>
  <si>
    <t>総　合　計</t>
  </si>
  <si>
    <t>BM-2系統温熱源集計表</t>
  </si>
  <si>
    <t>BM-3系統温熱源集計表</t>
  </si>
  <si>
    <t>B-1系統温熱源集計表</t>
  </si>
  <si>
    <t>個別系統温熱源集計表</t>
  </si>
  <si>
    <t>一時側
蒸気量
[kg/h]</t>
    <rPh sb="0" eb="2">
      <t>イチジ</t>
    </rPh>
    <rPh sb="2" eb="3">
      <t>ガワ</t>
    </rPh>
    <rPh sb="4" eb="6">
      <t>ジョウキ</t>
    </rPh>
    <rPh sb="6" eb="7">
      <t>リョウ</t>
    </rPh>
    <phoneticPr fontId="37"/>
  </si>
  <si>
    <t>蒸気量
[kg/h]</t>
    <rPh sb="0" eb="2">
      <t>ジョウキ</t>
    </rPh>
    <rPh sb="2" eb="3">
      <t>リョウ</t>
    </rPh>
    <phoneticPr fontId="37"/>
  </si>
  <si>
    <t>給水量
[kg/h]</t>
    <rPh sb="0" eb="2">
      <t>キュウスイ</t>
    </rPh>
    <rPh sb="2" eb="3">
      <t>リョウ</t>
    </rPh>
    <phoneticPr fontId="37"/>
  </si>
  <si>
    <t>加湿量
[kg/h]</t>
    <rPh sb="0" eb="2">
      <t>カシツ</t>
    </rPh>
    <rPh sb="2" eb="3">
      <t>リョウ</t>
    </rPh>
    <phoneticPr fontId="37"/>
  </si>
  <si>
    <t>熱交換
効率
[％]</t>
    <rPh sb="0" eb="3">
      <t>ネツコウカン</t>
    </rPh>
    <rPh sb="4" eb="6">
      <t>コウリツ</t>
    </rPh>
    <phoneticPr fontId="37"/>
  </si>
  <si>
    <t>一時側蒸気
蒸発潜熱
[kJ/kg]</t>
    <rPh sb="0" eb="2">
      <t>イチジ</t>
    </rPh>
    <rPh sb="2" eb="3">
      <t>ガワ</t>
    </rPh>
    <rPh sb="3" eb="5">
      <t>ジョウキ</t>
    </rPh>
    <rPh sb="6" eb="8">
      <t>ジョウハツ</t>
    </rPh>
    <rPh sb="8" eb="10">
      <t>センネツ</t>
    </rPh>
    <phoneticPr fontId="37"/>
  </si>
  <si>
    <t>加湿蒸気
比エンタルピ
[kJ/kg]</t>
    <rPh sb="0" eb="2">
      <t>カシツ</t>
    </rPh>
    <rPh sb="2" eb="4">
      <t>ジョウキ</t>
    </rPh>
    <rPh sb="5" eb="6">
      <t>ヒ</t>
    </rPh>
    <phoneticPr fontId="37"/>
  </si>
  <si>
    <t>給水有効
利用率
[％]</t>
    <rPh sb="0" eb="2">
      <t>キュウスイ</t>
    </rPh>
    <rPh sb="2" eb="4">
      <t>ユウコウ</t>
    </rPh>
    <rPh sb="5" eb="7">
      <t>リヨウ</t>
    </rPh>
    <rPh sb="7" eb="8">
      <t>リツ</t>
    </rPh>
    <phoneticPr fontId="37"/>
  </si>
  <si>
    <t>加湿器
種別</t>
    <rPh sb="0" eb="2">
      <t>カシツ</t>
    </rPh>
    <rPh sb="2" eb="3">
      <t>キ</t>
    </rPh>
    <rPh sb="4" eb="6">
      <t>シュベツ</t>
    </rPh>
    <phoneticPr fontId="37"/>
  </si>
  <si>
    <t>加湿量、給水量、蒸気量、一時側蒸気量</t>
    <rPh sb="0" eb="2">
      <t>カシツ</t>
    </rPh>
    <rPh sb="2" eb="3">
      <t>リョウ</t>
    </rPh>
    <rPh sb="4" eb="6">
      <t>キュウスイ</t>
    </rPh>
    <rPh sb="6" eb="7">
      <t>リョウ</t>
    </rPh>
    <rPh sb="8" eb="10">
      <t>ジョウキ</t>
    </rPh>
    <rPh sb="10" eb="11">
      <t>リョウ</t>
    </rPh>
    <rPh sb="12" eb="14">
      <t>イチジ</t>
    </rPh>
    <rPh sb="14" eb="15">
      <t>ガワ</t>
    </rPh>
    <rPh sb="15" eb="17">
      <t>ジョウキ</t>
    </rPh>
    <rPh sb="17" eb="18">
      <t>リョウ</t>
    </rPh>
    <phoneticPr fontId="13"/>
  </si>
  <si>
    <t>加湿器仕様</t>
    <rPh sb="0" eb="2">
      <t>カシツ</t>
    </rPh>
    <rPh sb="2" eb="3">
      <t>キ</t>
    </rPh>
    <rPh sb="3" eb="5">
      <t>シヨウ</t>
    </rPh>
    <phoneticPr fontId="13"/>
  </si>
  <si>
    <t>市水系統加湿源集計表</t>
  </si>
  <si>
    <t>滴下浸透式</t>
  </si>
  <si>
    <r>
      <t>単位負荷[g/m</t>
    </r>
    <r>
      <rPr>
        <b/>
        <vertAlign val="superscript"/>
        <sz val="9"/>
        <rFont val="ＭＳ Ｐゴシック"/>
        <family val="3"/>
        <charset val="128"/>
      </rPr>
      <t>2</t>
    </r>
    <r>
      <rPr>
        <b/>
        <sz val="9"/>
        <rFont val="ＭＳ Ｐゴシック"/>
        <family val="3"/>
        <charset val="128"/>
      </rPr>
      <t>] (小数点以下四捨五入)</t>
    </r>
  </si>
  <si>
    <t>精製水系統加湿源集計表</t>
  </si>
  <si>
    <t>間接蒸気式</t>
  </si>
  <si>
    <t>表紙</t>
  </si>
  <si>
    <t>某社</t>
    <phoneticPr fontId="4"/>
  </si>
  <si>
    <t>某プロジェクト</t>
    <phoneticPr fontId="4"/>
  </si>
  <si>
    <t>空調換気設備</t>
    <phoneticPr fontId="4"/>
  </si>
  <si>
    <t>熱負荷計算書</t>
    <phoneticPr fontId="4"/>
  </si>
  <si>
    <t>私の会社</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</si>
</sst>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176" formatCode=";;;"/>
    <numFmt numFmtId="177" formatCode="0.0"/>
    <numFmt numFmtId="178" formatCode="##&quot;時&quot;"/>
    <numFmt numFmtId="179" formatCode="0.0;\-0.0;&quot;-&quot;;"/>
    <numFmt numFmtId="180" formatCode="0.0_);[Red]\(0.0\)"/>
    <numFmt numFmtId="181" formatCode="0.0_ "/>
    <numFmt numFmtId="182" formatCode="##&quot;m&quot;"/>
    <numFmt numFmtId="183" formatCode="##&quot;時&quot;;;"/>
    <numFmt numFmtId="184" formatCode="##&quot;:00&quot;"/>
    <numFmt numFmtId="185" formatCode="0.000_ "/>
    <numFmt numFmtId="186" formatCode="0.00&quot;㎡&quot;"/>
    <numFmt numFmtId="187" formatCode="#,##0_ "/>
    <numFmt numFmtId="188" formatCode="0.000"/>
    <numFmt numFmtId="189" formatCode="0.0000"/>
    <numFmt numFmtId="190" formatCode=";;"/>
    <numFmt numFmtId="191" formatCode="0.00&quot;[㎡]&quot;;;"/>
    <numFmt numFmtId="192" formatCode="0.0\ &quot;[m]&quot;;;"/>
    <numFmt numFmtId="193" formatCode="0.0\ &quot;[㎥]&quot;;;"/>
    <numFmt numFmtId="194" formatCode="#,###"/>
    <numFmt numFmtId="195" formatCode="0.0&quot;[℃]&quot;;\-0.0&quot;[℃]&quot;;"/>
    <numFmt numFmtId="196" formatCode="0&quot;[％]&quot;;;"/>
    <numFmt numFmtId="197" formatCode="#,###.0&quot;[kJ/kg]&quot;;;"/>
    <numFmt numFmtId="198" formatCode="0.0&quot;[g/Kg]&quot;;;"/>
    <numFmt numFmtId="199" formatCode="#,###.0&quot;kJ/kg&quot;"/>
    <numFmt numFmtId="200" formatCode="#,##0&quot;m3/h&quot;;;"/>
    <numFmt numFmtId="201" formatCode="#,##0&quot;[㎥/h]&quot;;;"/>
    <numFmt numFmtId="202" formatCode="#,##0&quot;[㎥/h]&quot;;;&quot;-&quot;"/>
    <numFmt numFmtId="203" formatCode="0&quot;:00&quot;"/>
    <numFmt numFmtId="204" formatCode="##&quot;[h]&quot;"/>
    <numFmt numFmtId="205" formatCode="0;0;&quot;-&quot;"/>
    <numFmt numFmtId="206" formatCode="0.00;\-0.00;0.00;"/>
    <numFmt numFmtId="207" formatCode="0.00;;;@"/>
    <numFmt numFmtId="208" formatCode="0.0;&quot;-&quot;0.0;&quot;-&quot;"/>
    <numFmt numFmtId="209" formatCode="0.00;;;"/>
    <numFmt numFmtId="210" formatCode="&quot;× &quot;0"/>
    <numFmt numFmtId="211" formatCode="0.00_ ;[Red]\-0.00\ "/>
    <numFmt numFmtId="212" formatCode="0.00_);[Red]\(0.00\)"/>
    <numFmt numFmtId="213" formatCode="#,###;;;"/>
    <numFmt numFmtId="214" formatCode="#,##0&quot;[W/人]&quot;;;&quot;&quot;"/>
    <numFmt numFmtId="215" formatCode="&quot;×&quot;#,##0&quot;[人]&quot;;;&quot;&quot;"/>
    <numFmt numFmtId="216" formatCode="&quot;-&quot;#,##0&quot;[W/人]&quot;;;&quot;&quot;"/>
    <numFmt numFmtId="217" formatCode="#,##0&quot;[W/m2]&quot;;;&quot;&quot;"/>
    <numFmt numFmtId="218" formatCode="&quot;×&quot;#,##0.00&quot;[㎡]&quot;;;&quot;&quot;"/>
    <numFmt numFmtId="219" formatCode="&quot;-&quot;#,##0&quot;[W/m2]&quot;;;&quot;&quot;"/>
    <numFmt numFmtId="220" formatCode="&quot;×&quot;0.00;&quot;×-&quot;0.00;"/>
    <numFmt numFmtId="221" formatCode="&quot;×&quot;#,##0.00_ "/>
    <numFmt numFmtId="222" formatCode="#,###&quot;[W]&quot;;;&quot;&quot;"/>
    <numFmt numFmtId="223" formatCode="&quot;-&quot;#,###&quot;[W]&quot;;;&quot;&quot;"/>
    <numFmt numFmtId="224" formatCode="0.0\ &quot;[m]&quot;"/>
    <numFmt numFmtId="225" formatCode="0.0\ &quot;[W/(m・K)]&quot;;;"/>
    <numFmt numFmtId="226" formatCode="0.0;;&quot;-&quot;;"/>
    <numFmt numFmtId="227" formatCode="0;;&quot;-&quot;;"/>
    <numFmt numFmtId="228" formatCode="0.0;;;"/>
    <numFmt numFmtId="229" formatCode="0.0\ &quot;[W/(m・K)]&quot;"/>
    <numFmt numFmtId="230" formatCode="&quot;×&quot;0.00"/>
    <numFmt numFmtId="231" formatCode="&quot;× &quot;0;&quot;× -&quot;0;;"/>
    <numFmt numFmtId="232" formatCode="0.0;\-0.0;&quot;-&quot;"/>
    <numFmt numFmtId="233" formatCode="0.0;&quot;-&quot;0.0;"/>
    <numFmt numFmtId="234" formatCode="0.00;;&quot;-&quot;;"/>
    <numFmt numFmtId="235" formatCode="&quot;×&quot;0.00&quot;×&quot;"/>
    <numFmt numFmtId="236" formatCode="&quot;×&quot;0.00&quot;×&quot;;&quot;×-&quot;0.00&quot;×&quot;;"/>
    <numFmt numFmtId="237" formatCode="&quot;×&quot;0.00;;"/>
    <numFmt numFmtId="238" formatCode="&quot;× &quot;0.0"/>
    <numFmt numFmtId="239" formatCode="#,##0.0"/>
    <numFmt numFmtId="240" formatCode="0.0;\-0.0;;"/>
    <numFmt numFmtId="241" formatCode="0.00;\-0.00;;"/>
    <numFmt numFmtId="242" formatCode="###&quot;)&quot;"/>
  </numFmts>
  <fonts count="62">
    <font>
      <sz val="9"/>
      <color theme="1"/>
      <name val="メイリオ"/>
      <family val="2"/>
      <charset val="128"/>
    </font>
    <font>
      <sz val="9"/>
      <color theme="1"/>
      <name val="メイリオ"/>
      <family val="2"/>
      <charset val="128"/>
    </font>
    <font>
      <b/>
      <sz val="9"/>
      <color theme="1"/>
      <name val="メイリオ"/>
      <family val="2"/>
      <charset val="128"/>
    </font>
    <font>
      <sz val="11"/>
      <name val="ＭＳ Ｐゴシック"/>
      <family val="3"/>
      <charset val="128"/>
    </font>
    <font>
      <sz val="6"/>
      <name val="メイリオ"/>
      <family val="2"/>
      <charset val="128"/>
    </font>
    <font>
      <sz val="9.5"/>
      <name val="ＭＳ Ｐゴシック"/>
      <family val="3"/>
      <charset val="128"/>
    </font>
    <font>
      <sz val="9"/>
      <name val="ＭＳ Ｐゴシック"/>
      <family val="3"/>
      <charset val="128"/>
    </font>
    <font>
      <b/>
      <sz val="14"/>
      <name val="ＭＳ Ｐゴシック"/>
      <family val="3"/>
      <charset val="128"/>
    </font>
    <font>
      <sz val="9"/>
      <name val="ＭＳ ゴシック"/>
      <family val="3"/>
      <charset val="128"/>
    </font>
    <font>
      <b/>
      <sz val="16"/>
      <name val="ＭＳ Ｐゴシック"/>
      <family val="3"/>
      <charset val="128"/>
    </font>
    <font>
      <sz val="11"/>
      <color theme="1"/>
      <name val="游ゴシック"/>
      <family val="2"/>
      <charset val="128"/>
      <scheme val="minor"/>
    </font>
    <font>
      <sz val="10"/>
      <name val="ＭＳ Ｐゴシック"/>
      <family val="3"/>
      <charset val="128"/>
    </font>
    <font>
      <sz val="14"/>
      <name val="ＭＳ Ｐゴシック"/>
      <family val="3"/>
      <charset val="128"/>
    </font>
    <font>
      <sz val="6"/>
      <name val="ＭＳ Ｐゴシック"/>
      <family val="3"/>
      <charset val="128"/>
    </font>
    <font>
      <sz val="9"/>
      <name val="游ゴシック Light"/>
      <family val="3"/>
      <charset val="128"/>
      <scheme val="major"/>
    </font>
    <font>
      <sz val="8"/>
      <name val="ＭＳ Ｐゴシック"/>
      <family val="3"/>
      <charset val="128"/>
    </font>
    <font>
      <sz val="9"/>
      <name val="ＭＳ 明朝"/>
      <family val="1"/>
      <charset val="128"/>
    </font>
    <font>
      <sz val="14"/>
      <name val="游ゴシック Light"/>
      <family val="3"/>
      <charset val="128"/>
      <scheme val="major"/>
    </font>
    <font>
      <sz val="8"/>
      <name val="游ゴシック Light"/>
      <family val="3"/>
      <charset val="128"/>
      <scheme val="major"/>
    </font>
    <font>
      <b/>
      <sz val="9"/>
      <name val="ＭＳ Ｐゴシック"/>
      <family val="3"/>
      <charset val="128"/>
    </font>
    <font>
      <sz val="9"/>
      <color indexed="8"/>
      <name val="游ゴシック Light"/>
      <family val="3"/>
      <charset val="128"/>
      <scheme val="major"/>
    </font>
    <font>
      <u/>
      <sz val="9"/>
      <name val="游ゴシック Light"/>
      <family val="3"/>
      <charset val="128"/>
      <scheme val="major"/>
    </font>
    <font>
      <b/>
      <u/>
      <sz val="9"/>
      <name val="游ゴシック Light"/>
      <family val="3"/>
      <charset val="128"/>
      <scheme val="major"/>
    </font>
    <font>
      <b/>
      <sz val="9"/>
      <name val="游ゴシック Light"/>
      <family val="3"/>
      <charset val="128"/>
      <scheme val="major"/>
    </font>
    <font>
      <b/>
      <sz val="12"/>
      <name val="游ゴシック Light"/>
      <family val="3"/>
      <charset val="128"/>
      <scheme val="major"/>
    </font>
    <font>
      <sz val="11"/>
      <name val="明朝"/>
      <family val="1"/>
      <charset val="128"/>
    </font>
    <font>
      <i/>
      <sz val="9"/>
      <name val="游ゴシック Light"/>
      <family val="3"/>
      <charset val="128"/>
      <scheme val="major"/>
    </font>
    <font>
      <b/>
      <sz val="10"/>
      <name val="游ゴシック Light"/>
      <family val="3"/>
      <charset val="128"/>
      <scheme val="major"/>
    </font>
    <font>
      <sz val="10"/>
      <name val="游ゴシック Light"/>
      <family val="3"/>
      <charset val="128"/>
      <scheme val="major"/>
    </font>
    <font>
      <b/>
      <sz val="14"/>
      <name val="游ゴシック Light"/>
      <family val="3"/>
      <charset val="128"/>
      <scheme val="major"/>
    </font>
    <font>
      <sz val="11"/>
      <name val="游ゴシック Light"/>
      <family val="3"/>
      <charset val="128"/>
      <scheme val="major"/>
    </font>
    <font>
      <sz val="9"/>
      <name val="明朝"/>
      <family val="1"/>
      <charset val="128"/>
    </font>
    <font>
      <b/>
      <sz val="10"/>
      <name val="ＭＳ Ｐゴシック"/>
      <family val="3"/>
      <charset val="128"/>
    </font>
    <font>
      <b/>
      <sz val="24"/>
      <name val="ＭＳ Ｐゴシック"/>
      <family val="3"/>
      <charset val="128"/>
    </font>
    <font>
      <sz val="24"/>
      <name val="ＭＳ Ｐゴシック"/>
      <family val="3"/>
      <charset val="128"/>
    </font>
    <font>
      <vertAlign val="superscript"/>
      <sz val="9"/>
      <name val="ＭＳ Ｐゴシック"/>
      <family val="3"/>
      <charset val="128"/>
    </font>
    <font>
      <sz val="10"/>
      <color theme="1"/>
      <name val="游ゴシック"/>
      <family val="2"/>
      <charset val="128"/>
      <scheme val="minor"/>
    </font>
    <font>
      <sz val="6"/>
      <name val="游ゴシック"/>
      <family val="2"/>
      <charset val="128"/>
      <scheme val="minor"/>
    </font>
    <font>
      <sz val="13.5"/>
      <name val="System"/>
      <charset val="128"/>
    </font>
    <font>
      <sz val="9"/>
      <color theme="1"/>
      <name val="メイリオ"/>
      <family val="3"/>
      <charset val="128"/>
    </font>
    <font>
      <sz val="12"/>
      <color theme="1"/>
      <name val="游ゴシック"/>
      <family val="2"/>
      <charset val="128"/>
      <scheme val="minor"/>
    </font>
    <font>
      <sz val="12"/>
      <color theme="1"/>
      <name val="メイリオ"/>
      <family val="3"/>
      <charset val="128"/>
    </font>
    <font>
      <b/>
      <sz val="11"/>
      <color theme="1"/>
      <name val="メイリオ"/>
      <family val="3"/>
      <charset val="128"/>
    </font>
    <font>
      <sz val="12"/>
      <name val="ＭＳ Ｐゴシック"/>
      <family val="3"/>
      <charset val="128"/>
    </font>
    <font>
      <b/>
      <sz val="12"/>
      <name val="ＭＳ Ｐゴシック"/>
      <family val="3"/>
      <charset val="128"/>
    </font>
    <font>
      <sz val="9"/>
      <color theme="1"/>
      <name val="游ゴシック"/>
      <family val="3"/>
      <charset val="128"/>
      <scheme val="minor"/>
    </font>
    <font>
      <sz val="9"/>
      <name val="メイリオ"/>
      <family val="3"/>
      <charset val="128"/>
    </font>
    <font>
      <sz val="14"/>
      <color theme="1"/>
      <name val="游ゴシック"/>
      <family val="3"/>
      <charset val="128"/>
      <scheme val="minor"/>
    </font>
    <font>
      <sz val="14"/>
      <color theme="1"/>
      <name val="メイリオ"/>
      <family val="3"/>
      <charset val="128"/>
    </font>
    <font>
      <sz val="10"/>
      <name val="明朝"/>
      <family val="1"/>
      <charset val="128"/>
    </font>
    <font>
      <sz val="9"/>
      <color indexed="9"/>
      <name val="ＭＳ Ｐゴシック"/>
      <family val="3"/>
      <charset val="128"/>
    </font>
    <font>
      <i/>
      <sz val="9"/>
      <name val="ＭＳ Ｐゴシック"/>
      <family val="3"/>
      <charset val="128"/>
    </font>
    <font>
      <sz val="9"/>
      <color indexed="81"/>
      <name val="Meiryo UI"/>
      <family val="3"/>
      <charset val="128"/>
    </font>
    <font>
      <sz val="16"/>
      <color theme="1"/>
      <name val="游ゴシック"/>
      <family val="3"/>
      <charset val="128"/>
      <scheme val="minor"/>
    </font>
    <font>
      <sz val="16"/>
      <name val="ＭＳ Ｐゴシック"/>
      <family val="3"/>
      <charset val="128"/>
    </font>
    <font>
      <b/>
      <u/>
      <sz val="9"/>
      <color rgb="FFFF0000"/>
      <name val="ＭＳ Ｐゴシック"/>
      <family val="3"/>
      <charset val="128"/>
    </font>
    <font>
      <b/>
      <vertAlign val="superscript"/>
      <sz val="9"/>
      <name val="ＭＳ Ｐゴシック"/>
      <family val="3"/>
      <charset val="128"/>
    </font>
    <font>
      <sz val="11"/>
      <color theme="1"/>
      <name val="游ゴシック"/>
      <family val="3"/>
      <charset val="128"/>
      <scheme val="minor"/>
    </font>
    <font>
      <b/>
      <sz val="11"/>
      <name val="ＭＳ Ｐゴシック"/>
      <family val="3"/>
      <charset val="128"/>
    </font>
    <font>
      <sz val="12"/>
      <color theme="1"/>
      <name val="游ゴシック"/>
      <family val="3"/>
      <charset val="128"/>
      <scheme val="minor"/>
    </font>
    <font>
      <sz val="20"/>
      <name val="ＭＳ Ｐゴシック"/>
      <family val="3"/>
      <charset val="128"/>
    </font>
    <font>
      <b/>
      <sz val="18"/>
      <name val="ＭＳ Ｐゴシック"/>
      <family val="3"/>
      <charset val="128"/>
    </font>
  </fonts>
  <fills count="25">
    <fill>
      <patternFill patternType="none"/>
    </fill>
    <fill>
      <patternFill patternType="gray125"/>
    </fill>
    <fill>
      <gradientFill degree="270">
        <stop position="0">
          <color rgb="FFFFFFFF"/>
        </stop>
        <stop position="1">
          <color rgb="FFE8E8E8"/>
        </stop>
      </gradientFill>
    </fill>
    <fill>
      <gradientFill degree="90">
        <stop position="0">
          <color rgb="FFFFFFFF"/>
        </stop>
        <stop position="1">
          <color rgb="FFE8E8E8"/>
        </stop>
      </gradientFill>
    </fill>
    <fill>
      <patternFill patternType="solid">
        <fgColor rgb="FFE5FFE5"/>
        <bgColor indexed="64"/>
      </patternFill>
    </fill>
    <fill>
      <patternFill patternType="solid">
        <fgColor rgb="FFDDF2FF"/>
        <bgColor indexed="64"/>
      </patternFill>
    </fill>
    <fill>
      <patternFill patternType="solid">
        <fgColor rgb="FFE1E1FF"/>
        <bgColor indexed="64"/>
      </patternFill>
    </fill>
    <fill>
      <patternFill patternType="solid">
        <fgColor rgb="FFE8E8E8"/>
        <bgColor indexed="64"/>
      </patternFill>
    </fill>
    <fill>
      <patternFill patternType="solid">
        <fgColor rgb="FFEAEAEA"/>
        <bgColor indexed="64"/>
      </patternFill>
    </fill>
    <fill>
      <patternFill patternType="solid">
        <fgColor rgb="FFFFE8D1"/>
        <bgColor indexed="64"/>
      </patternFill>
    </fill>
    <fill>
      <patternFill patternType="solid">
        <fgColor rgb="FFFFE5E5"/>
        <bgColor indexed="64"/>
      </patternFill>
    </fill>
    <fill>
      <patternFill patternType="solid">
        <fgColor indexed="9"/>
        <bgColor indexed="64"/>
      </patternFill>
    </fill>
    <fill>
      <patternFill patternType="gray125">
        <fgColor indexed="10"/>
      </patternFill>
    </fill>
    <fill>
      <gradientFill degree="90">
        <stop position="0">
          <color rgb="FFFFFFFF"/>
        </stop>
        <stop position="1">
          <color rgb="FFE5FFE5"/>
        </stop>
      </gradientFill>
    </fill>
    <fill>
      <gradientFill degree="90">
        <stop position="0">
          <color rgb="FFFFFFFF"/>
        </stop>
        <stop position="1">
          <color rgb="FFCCECFF"/>
        </stop>
      </gradientFill>
    </fill>
    <fill>
      <gradientFill degree="90">
        <stop position="0">
          <color rgb="FFFFFFFF"/>
        </stop>
        <stop position="1">
          <color rgb="FFDDF2FF"/>
        </stop>
      </gradientFill>
    </fill>
    <fill>
      <gradientFill degree="90">
        <stop position="0">
          <color rgb="FFFFFFFF"/>
        </stop>
        <stop position="1">
          <color rgb="FFE1E1FF"/>
        </stop>
      </gradientFill>
    </fill>
    <fill>
      <gradientFill degree="90">
        <stop position="0">
          <color rgb="FFFFFFFF"/>
        </stop>
        <stop position="1">
          <color rgb="FFFFE8D1"/>
        </stop>
      </gradientFill>
    </fill>
    <fill>
      <gradientFill degree="90">
        <stop position="0">
          <color rgb="FFFFFFFF"/>
        </stop>
        <stop position="1">
          <color rgb="FFFFE5E5"/>
        </stop>
      </gradientFill>
    </fill>
    <fill>
      <gradientFill>
        <stop position="0">
          <color rgb="FFFFFFFF"/>
        </stop>
        <stop position="1">
          <color rgb="FFE8E8E8"/>
        </stop>
      </gradientFill>
    </fill>
    <fill>
      <gradientFill degree="90">
        <stop position="0">
          <color rgb="FFFFFFFF"/>
        </stop>
        <stop position="1">
          <color rgb="FFB2B2B2"/>
        </stop>
      </gradientFill>
    </fill>
    <fill>
      <gradientFill degree="90">
        <stop position="0">
          <color rgb="FFE8E8E8"/>
        </stop>
        <stop position="1">
          <color rgb="FFFFFFFF"/>
        </stop>
      </gradientFill>
    </fill>
    <fill>
      <gradientFill degree="270">
        <stop position="0">
          <color rgb="FFFFFFFF"/>
        </stop>
        <stop position="1">
          <color rgb="FFE5FFE5"/>
        </stop>
      </gradientFill>
    </fill>
    <fill>
      <gradientFill degree="270">
        <stop position="0">
          <color rgb="FFFFFFFF"/>
        </stop>
        <stop position="1">
          <color rgb="FFDDF2FF"/>
        </stop>
      </gradientFill>
    </fill>
    <fill>
      <gradientFill degree="270">
        <stop position="0">
          <color rgb="FFFFFFFF"/>
        </stop>
        <stop position="1">
          <color rgb="FFE1E1FF"/>
        </stop>
      </gradientFill>
    </fill>
  </fills>
  <borders count="459">
    <border>
      <left/>
      <right/>
      <top/>
      <bottom/>
      <diagonal/>
    </border>
    <border>
      <left style="thin">
        <color rgb="FFDDDDDD"/>
      </left>
      <right style="thin">
        <color rgb="FF808080"/>
      </right>
      <top style="thin">
        <color rgb="FFF8F8F8"/>
      </top>
      <bottom style="thin">
        <color rgb="FF777777"/>
      </bottom>
      <diagonal/>
    </border>
    <border>
      <left style="thin">
        <color rgb="FFDDDDDD"/>
      </left>
      <right/>
      <top style="thin">
        <color rgb="FFF8F8F8"/>
      </top>
      <bottom style="thin">
        <color rgb="FF777777"/>
      </bottom>
      <diagonal/>
    </border>
    <border>
      <left/>
      <right/>
      <top style="thin">
        <color rgb="FFF8F8F8"/>
      </top>
      <bottom style="thin">
        <color rgb="FF777777"/>
      </bottom>
      <diagonal/>
    </border>
    <border>
      <left/>
      <right style="thin">
        <color rgb="FF808080"/>
      </right>
      <top style="thin">
        <color rgb="FFF8F8F8"/>
      </top>
      <bottom style="thin">
        <color rgb="FF777777"/>
      </bottom>
      <diagonal/>
    </border>
    <border>
      <left style="thin">
        <color rgb="FFDDDDDD"/>
      </left>
      <right style="thin">
        <color rgb="FF777777"/>
      </right>
      <top style="thin">
        <color rgb="FFF8F8F8"/>
      </top>
      <bottom/>
      <diagonal/>
    </border>
    <border>
      <left style="thin">
        <color rgb="FF777777"/>
      </left>
      <right style="thin">
        <color rgb="FF777777"/>
      </right>
      <top style="thin">
        <color rgb="FFF8F8F8"/>
      </top>
      <bottom/>
      <diagonal/>
    </border>
    <border>
      <left style="thin">
        <color rgb="FF777777"/>
      </left>
      <right style="thin">
        <color rgb="FF808080"/>
      </right>
      <top style="thin">
        <color rgb="FFF8F8F8"/>
      </top>
      <bottom/>
      <diagonal/>
    </border>
    <border>
      <left style="thin">
        <color rgb="FFDDDDDD"/>
      </left>
      <right style="thin">
        <color rgb="FF777777"/>
      </right>
      <top style="thin">
        <color rgb="FFF8F8F8"/>
      </top>
      <bottom style="thin">
        <color rgb="FF777777"/>
      </bottom>
      <diagonal/>
    </border>
    <border>
      <left style="thin">
        <color rgb="FF777777"/>
      </left>
      <right style="thin">
        <color rgb="FF777777"/>
      </right>
      <top style="thin">
        <color rgb="FFF8F8F8"/>
      </top>
      <bottom style="thin">
        <color rgb="FF777777"/>
      </bottom>
      <diagonal/>
    </border>
    <border>
      <left style="thin">
        <color rgb="FF777777"/>
      </left>
      <right style="thin">
        <color rgb="FF808080"/>
      </right>
      <top style="thin">
        <color rgb="FFF8F8F8"/>
      </top>
      <bottom style="thin">
        <color rgb="FF777777"/>
      </bottom>
      <diagonal/>
    </border>
    <border>
      <left style="thin">
        <color rgb="FFDDDDDD"/>
      </left>
      <right style="thin">
        <color rgb="FF777777"/>
      </right>
      <top style="thin">
        <color rgb="FF777777"/>
      </top>
      <bottom style="thin">
        <color rgb="FF777777"/>
      </bottom>
      <diagonal/>
    </border>
    <border>
      <left style="thin">
        <color rgb="FF777777"/>
      </left>
      <right style="thin">
        <color rgb="FF777777"/>
      </right>
      <top style="thin">
        <color rgb="FF777777"/>
      </top>
      <bottom style="thin">
        <color rgb="FF777777"/>
      </bottom>
      <diagonal/>
    </border>
    <border>
      <left style="thin">
        <color rgb="FF777777"/>
      </left>
      <right style="thin">
        <color rgb="FF808080"/>
      </right>
      <top style="thin">
        <color rgb="FF777777"/>
      </top>
      <bottom style="thin">
        <color rgb="FF777777"/>
      </bottom>
      <diagonal/>
    </border>
    <border>
      <left style="thin">
        <color rgb="FFDDDDDD"/>
      </left>
      <right style="thin">
        <color rgb="FF777777"/>
      </right>
      <top/>
      <bottom style="thin">
        <color rgb="FF777777"/>
      </bottom>
      <diagonal/>
    </border>
    <border>
      <left style="thin">
        <color rgb="FF777777"/>
      </left>
      <right style="thin">
        <color rgb="FF777777"/>
      </right>
      <top/>
      <bottom style="thin">
        <color rgb="FF777777"/>
      </bottom>
      <diagonal/>
    </border>
    <border>
      <left style="thin">
        <color rgb="FF777777"/>
      </left>
      <right style="thin">
        <color rgb="FF808080"/>
      </right>
      <top/>
      <bottom style="thin">
        <color rgb="FF777777"/>
      </bottom>
      <diagonal/>
    </border>
    <border>
      <left style="thin">
        <color rgb="FFDDDDDD"/>
      </left>
      <right style="thin">
        <color rgb="FF808080"/>
      </right>
      <top style="medium">
        <color rgb="FFF8F8F8"/>
      </top>
      <bottom style="thin">
        <color rgb="FF777777"/>
      </bottom>
      <diagonal/>
    </border>
    <border>
      <left style="thin">
        <color rgb="FF777777"/>
      </left>
      <right style="thin">
        <color rgb="FF777777"/>
      </right>
      <top style="thin">
        <color rgb="FFC0C0C0"/>
      </top>
      <bottom style="thin">
        <color rgb="FF777777"/>
      </bottom>
      <diagonal/>
    </border>
    <border>
      <left style="thin">
        <color rgb="FF777777"/>
      </left>
      <right style="thin">
        <color rgb="FF808080"/>
      </right>
      <top style="thin">
        <color rgb="FFC0C0C0"/>
      </top>
      <bottom style="thin">
        <color rgb="FF777777"/>
      </bottom>
      <diagonal/>
    </border>
    <border>
      <left/>
      <right/>
      <top/>
      <bottom style="thin">
        <color auto="1"/>
      </bottom>
      <diagonal/>
    </border>
    <border>
      <left style="thin">
        <color rgb="FFDDDDDD"/>
      </left>
      <right/>
      <top style="medium">
        <color rgb="FFF8F8F8"/>
      </top>
      <bottom style="thin">
        <color rgb="FF777777"/>
      </bottom>
      <diagonal/>
    </border>
    <border>
      <left/>
      <right/>
      <top style="medium">
        <color rgb="FFF8F8F8"/>
      </top>
      <bottom style="thin">
        <color rgb="FF777777"/>
      </bottom>
      <diagonal/>
    </border>
    <border>
      <left/>
      <right style="thin">
        <color rgb="FF808080"/>
      </right>
      <top style="medium">
        <color rgb="FFF8F8F8"/>
      </top>
      <bottom style="thin">
        <color rgb="FF777777"/>
      </bottom>
      <diagonal/>
    </border>
    <border>
      <left style="thin">
        <color rgb="FFDDDDDD"/>
      </left>
      <right style="thin">
        <color rgb="FF808080"/>
      </right>
      <top style="thin">
        <color rgb="FFF8F8F8"/>
      </top>
      <bottom/>
      <diagonal/>
    </border>
    <border>
      <left/>
      <right style="hair">
        <color indexed="64"/>
      </right>
      <top style="thin">
        <color rgb="FFF8F8F8"/>
      </top>
      <bottom/>
      <diagonal/>
    </border>
    <border>
      <left style="hair">
        <color indexed="64"/>
      </left>
      <right style="hair">
        <color indexed="64"/>
      </right>
      <top style="thin">
        <color rgb="FFF8F8F8"/>
      </top>
      <bottom/>
      <diagonal/>
    </border>
    <border>
      <left style="hair">
        <color indexed="64"/>
      </left>
      <right style="thin">
        <color rgb="FF808080"/>
      </right>
      <top style="thin">
        <color rgb="FFF8F8F8"/>
      </top>
      <bottom/>
      <diagonal/>
    </border>
    <border>
      <left style="thin">
        <color rgb="FFDDDDDD"/>
      </left>
      <right style="thin">
        <color rgb="FF808080"/>
      </right>
      <top style="thin">
        <color rgb="FF777777"/>
      </top>
      <bottom style="thin">
        <color rgb="FF777777"/>
      </bottom>
      <diagonal/>
    </border>
    <border>
      <left style="thin">
        <color rgb="FF808080"/>
      </left>
      <right style="hair">
        <color rgb="FF808080"/>
      </right>
      <top style="thin">
        <color rgb="FF777777"/>
      </top>
      <bottom style="thin">
        <color rgb="FF777777"/>
      </bottom>
      <diagonal/>
    </border>
    <border>
      <left style="hair">
        <color rgb="FF808080"/>
      </left>
      <right style="hair">
        <color rgb="FF808080"/>
      </right>
      <top style="thin">
        <color rgb="FF777777"/>
      </top>
      <bottom style="thin">
        <color rgb="FF777777"/>
      </bottom>
      <diagonal/>
    </border>
    <border>
      <left/>
      <right style="thin">
        <color rgb="FF808080"/>
      </right>
      <top style="thin">
        <color rgb="FF777777"/>
      </top>
      <bottom style="thin">
        <color rgb="FF777777"/>
      </bottom>
      <diagonal/>
    </border>
    <border>
      <left style="thin">
        <color rgb="FFDDDDDD"/>
      </left>
      <right style="thin">
        <color rgb="FF808080"/>
      </right>
      <top style="thin">
        <color rgb="FF777777"/>
      </top>
      <bottom/>
      <diagonal/>
    </border>
    <border>
      <left style="thin">
        <color rgb="FF808080"/>
      </left>
      <right/>
      <top style="thin">
        <color rgb="FFF8F8F8"/>
      </top>
      <bottom style="thin">
        <color rgb="FF808080"/>
      </bottom>
      <diagonal/>
    </border>
    <border>
      <left/>
      <right/>
      <top style="thin">
        <color rgb="FFF8F8F8"/>
      </top>
      <bottom style="thin">
        <color rgb="FF808080"/>
      </bottom>
      <diagonal/>
    </border>
    <border>
      <left/>
      <right style="thin">
        <color rgb="FF808080"/>
      </right>
      <top style="thin">
        <color rgb="FFF8F8F8"/>
      </top>
      <bottom style="thin">
        <color rgb="FF808080"/>
      </bottom>
      <diagonal/>
    </border>
    <border>
      <left style="thin">
        <color rgb="FFDDDDDD"/>
      </left>
      <right style="thin">
        <color rgb="FF808080"/>
      </right>
      <top/>
      <bottom/>
      <diagonal/>
    </border>
    <border>
      <left style="thin">
        <color rgb="FF808080"/>
      </left>
      <right/>
      <top style="thin">
        <color rgb="FF808080"/>
      </top>
      <bottom style="hair">
        <color rgb="FF808080"/>
      </bottom>
      <diagonal/>
    </border>
    <border>
      <left/>
      <right style="thin">
        <color rgb="FF808080"/>
      </right>
      <top style="thin">
        <color rgb="FF808080"/>
      </top>
      <bottom style="hair">
        <color rgb="FF808080"/>
      </bottom>
      <diagonal/>
    </border>
    <border>
      <left/>
      <right/>
      <top style="thin">
        <color rgb="FF808080"/>
      </top>
      <bottom style="hair">
        <color rgb="FF808080"/>
      </bottom>
      <diagonal/>
    </border>
    <border>
      <left style="thin">
        <color rgb="FFDDDDDD"/>
      </left>
      <right style="thin">
        <color rgb="FF808080"/>
      </right>
      <top/>
      <bottom style="thin">
        <color rgb="FF777777"/>
      </bottom>
      <diagonal/>
    </border>
    <border>
      <left style="thin">
        <color rgb="FF808080"/>
      </left>
      <right style="thin">
        <color rgb="FF808080"/>
      </right>
      <top/>
      <bottom style="thin">
        <color rgb="FF777777"/>
      </bottom>
      <diagonal/>
    </border>
    <border>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top/>
      <bottom style="thin">
        <color rgb="FF777777"/>
      </bottom>
      <diagonal/>
    </border>
    <border>
      <left/>
      <right/>
      <top/>
      <bottom style="thin">
        <color rgb="FF777777"/>
      </bottom>
      <diagonal/>
    </border>
    <border>
      <left/>
      <right style="thin">
        <color rgb="FF808080"/>
      </right>
      <top/>
      <bottom style="thin">
        <color rgb="FF777777"/>
      </bottom>
      <diagonal/>
    </border>
    <border>
      <left/>
      <right style="hair">
        <color indexed="64"/>
      </right>
      <top/>
      <bottom style="thin">
        <color rgb="FF777777"/>
      </bottom>
      <diagonal/>
    </border>
    <border>
      <left style="hair">
        <color indexed="64"/>
      </left>
      <right style="thin">
        <color rgb="FF808080"/>
      </right>
      <top/>
      <bottom style="thin">
        <color rgb="FF777777"/>
      </bottom>
      <diagonal/>
    </border>
    <border>
      <left/>
      <right style="thin">
        <color rgb="FF808080"/>
      </right>
      <top/>
      <bottom style="thin">
        <color indexed="64"/>
      </bottom>
      <diagonal/>
    </border>
    <border>
      <left/>
      <right style="thin">
        <color rgb="FF808080"/>
      </right>
      <top/>
      <bottom/>
      <diagonal/>
    </border>
    <border>
      <left style="thin">
        <color rgb="FF808080"/>
      </left>
      <right style="thin">
        <color rgb="FF777777"/>
      </right>
      <top style="thin">
        <color rgb="FF777777"/>
      </top>
      <bottom/>
      <diagonal/>
    </border>
    <border>
      <left style="thin">
        <color rgb="FF777777"/>
      </left>
      <right style="thin">
        <color rgb="FF777777"/>
      </right>
      <top/>
      <bottom/>
      <diagonal/>
    </border>
    <border>
      <left/>
      <right style="thin">
        <color rgb="FF777777"/>
      </right>
      <top/>
      <bottom style="thin">
        <color rgb="FF777777"/>
      </bottom>
      <diagonal/>
    </border>
    <border>
      <left style="thin">
        <color rgb="FF777777"/>
      </left>
      <right style="thin">
        <color rgb="FF777777"/>
      </right>
      <top style="thin">
        <color rgb="FF777777"/>
      </top>
      <bottom/>
      <diagonal/>
    </border>
    <border>
      <left style="thin">
        <color rgb="FF808080"/>
      </left>
      <right style="thin">
        <color rgb="FF777777"/>
      </right>
      <top/>
      <bottom/>
      <diagonal/>
    </border>
    <border diagonalUp="1">
      <left style="thin">
        <color rgb="FF777777"/>
      </left>
      <right style="thin">
        <color rgb="FF777777"/>
      </right>
      <top style="thin">
        <color rgb="FF777777"/>
      </top>
      <bottom style="thin">
        <color rgb="FF777777"/>
      </bottom>
      <diagonal style="thin">
        <color rgb="FF777777"/>
      </diagonal>
    </border>
    <border>
      <left style="thin">
        <color rgb="FF808080"/>
      </left>
      <right style="thin">
        <color rgb="FF777777"/>
      </right>
      <top/>
      <bottom style="thin">
        <color rgb="FF777777"/>
      </bottom>
      <diagonal/>
    </border>
    <border>
      <left style="thin">
        <color rgb="FF808080"/>
      </left>
      <right/>
      <top style="thin">
        <color rgb="FFF8F8F8"/>
      </top>
      <bottom style="thin">
        <color rgb="FF777777"/>
      </bottom>
      <diagonal/>
    </border>
    <border>
      <left style="thin">
        <color rgb="FF808080"/>
      </left>
      <right/>
      <top style="thin">
        <color rgb="FFF8F8F8"/>
      </top>
      <bottom/>
      <diagonal/>
    </border>
    <border>
      <left style="thin">
        <color rgb="FF808080"/>
      </left>
      <right style="thin">
        <color rgb="FF808080"/>
      </right>
      <top style="thin">
        <color rgb="FFF8F8F8"/>
      </top>
      <bottom/>
      <diagonal/>
    </border>
    <border>
      <left/>
      <right style="thin">
        <color rgb="FF808080"/>
      </right>
      <top style="thin">
        <color rgb="FFF8F8F8"/>
      </top>
      <bottom/>
      <diagonal/>
    </border>
    <border>
      <left style="thin">
        <color rgb="FFDDDDDD"/>
      </left>
      <right/>
      <top style="thin">
        <color rgb="FF777777"/>
      </top>
      <bottom style="thin">
        <color rgb="FF777777"/>
      </bottom>
      <diagonal/>
    </border>
    <border>
      <left style="thin">
        <color rgb="FF808080"/>
      </left>
      <right/>
      <top style="thin">
        <color rgb="FF777777"/>
      </top>
      <bottom style="thin">
        <color rgb="FF777777"/>
      </bottom>
      <diagonal/>
    </border>
    <border>
      <left style="thin">
        <color rgb="FF808080"/>
      </left>
      <right style="thin">
        <color rgb="FF808080"/>
      </right>
      <top style="thin">
        <color rgb="FF777777"/>
      </top>
      <bottom style="thin">
        <color rgb="FF777777"/>
      </bottom>
      <diagonal/>
    </border>
    <border>
      <left/>
      <right/>
      <top style="thin">
        <color rgb="FF777777"/>
      </top>
      <bottom style="thin">
        <color rgb="FF777777"/>
      </bottom>
      <diagonal/>
    </border>
    <border>
      <left style="hair">
        <color indexed="64"/>
      </left>
      <right style="hair">
        <color indexed="64"/>
      </right>
      <top/>
      <bottom/>
      <diagonal/>
    </border>
    <border>
      <left style="thin">
        <color rgb="FFDDDDDD"/>
      </left>
      <right style="thin">
        <color rgb="FF808080"/>
      </right>
      <top style="thin">
        <color rgb="FF777777"/>
      </top>
      <bottom style="hair">
        <color indexed="64"/>
      </bottom>
      <diagonal/>
    </border>
    <border>
      <left/>
      <right style="hair">
        <color indexed="64"/>
      </right>
      <top style="thin">
        <color rgb="FF777777"/>
      </top>
      <bottom style="hair">
        <color indexed="64"/>
      </bottom>
      <diagonal/>
    </border>
    <border>
      <left style="hair">
        <color indexed="64"/>
      </left>
      <right style="hair">
        <color indexed="64"/>
      </right>
      <top style="thin">
        <color rgb="FF777777"/>
      </top>
      <bottom style="hair">
        <color indexed="64"/>
      </bottom>
      <diagonal/>
    </border>
    <border>
      <left style="hair">
        <color indexed="64"/>
      </left>
      <right style="thin">
        <color rgb="FF808080"/>
      </right>
      <top style="thin">
        <color rgb="FF777777"/>
      </top>
      <bottom style="hair">
        <color indexed="64"/>
      </bottom>
      <diagonal/>
    </border>
    <border>
      <left style="thin">
        <color rgb="FFDDDDDD"/>
      </left>
      <right style="thin">
        <color rgb="FF808080"/>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rgb="FF808080"/>
      </right>
      <top style="hair">
        <color indexed="64"/>
      </top>
      <bottom style="hair">
        <color indexed="64"/>
      </bottom>
      <diagonal/>
    </border>
    <border>
      <left style="thin">
        <color rgb="FFDDDDDD"/>
      </left>
      <right style="thin">
        <color rgb="FF808080"/>
      </right>
      <top style="hair">
        <color indexed="64"/>
      </top>
      <bottom style="thin">
        <color rgb="FF777777"/>
      </bottom>
      <diagonal/>
    </border>
    <border>
      <left/>
      <right style="hair">
        <color indexed="64"/>
      </right>
      <top style="hair">
        <color indexed="64"/>
      </top>
      <bottom style="thin">
        <color rgb="FF777777"/>
      </bottom>
      <diagonal/>
    </border>
    <border>
      <left style="hair">
        <color indexed="64"/>
      </left>
      <right style="hair">
        <color indexed="64"/>
      </right>
      <top style="hair">
        <color indexed="64"/>
      </top>
      <bottom style="thin">
        <color rgb="FF777777"/>
      </bottom>
      <diagonal/>
    </border>
    <border>
      <left style="hair">
        <color indexed="64"/>
      </left>
      <right style="thin">
        <color rgb="FF808080"/>
      </right>
      <top style="hair">
        <color indexed="64"/>
      </top>
      <bottom style="thin">
        <color rgb="FF777777"/>
      </bottom>
      <diagonal/>
    </border>
    <border>
      <left style="thin">
        <color rgb="FFDDDDDD"/>
      </left>
      <right/>
      <top style="thin">
        <color rgb="FFF8F8F8"/>
      </top>
      <bottom/>
      <diagonal/>
    </border>
    <border>
      <left/>
      <right/>
      <top style="thin">
        <color rgb="FFF8F8F8"/>
      </top>
      <bottom/>
      <diagonal/>
    </border>
    <border>
      <left style="thin">
        <color rgb="FFDDDDDD"/>
      </left>
      <right/>
      <top style="thin">
        <color rgb="FF777777"/>
      </top>
      <bottom style="hair">
        <color indexed="64"/>
      </bottom>
      <diagonal/>
    </border>
    <border>
      <left/>
      <right/>
      <top style="thin">
        <color rgb="FF777777"/>
      </top>
      <bottom style="hair">
        <color indexed="64"/>
      </bottom>
      <diagonal/>
    </border>
    <border>
      <left style="thin">
        <color rgb="FFDDDDDD"/>
      </left>
      <right/>
      <top style="hair">
        <color auto="1"/>
      </top>
      <bottom style="hair">
        <color auto="1"/>
      </bottom>
      <diagonal/>
    </border>
    <border>
      <left/>
      <right/>
      <top style="hair">
        <color indexed="64"/>
      </top>
      <bottom style="hair">
        <color indexed="64"/>
      </bottom>
      <diagonal/>
    </border>
    <border>
      <left style="thin">
        <color rgb="FFDDDDDD"/>
      </left>
      <right/>
      <top style="hair">
        <color indexed="64"/>
      </top>
      <bottom style="thin">
        <color rgb="FF777777"/>
      </bottom>
      <diagonal/>
    </border>
    <border>
      <left/>
      <right/>
      <top style="hair">
        <color indexed="64"/>
      </top>
      <bottom style="thin">
        <color rgb="FF777777"/>
      </bottom>
      <diagonal/>
    </border>
    <border>
      <left/>
      <right/>
      <top style="thin">
        <color rgb="FF777777"/>
      </top>
      <bottom style="thin">
        <color rgb="FFF8F8F8"/>
      </bottom>
      <diagonal/>
    </border>
    <border>
      <left style="thin">
        <color rgb="FFDDDDDD"/>
      </left>
      <right style="thin">
        <color indexed="23"/>
      </right>
      <top style="thin">
        <color rgb="FFF8F8F8"/>
      </top>
      <bottom/>
      <diagonal/>
    </border>
    <border>
      <left style="thin">
        <color indexed="23"/>
      </left>
      <right style="thin">
        <color indexed="23"/>
      </right>
      <top style="thin">
        <color rgb="FFF8F8F8"/>
      </top>
      <bottom/>
      <diagonal/>
    </border>
    <border>
      <left/>
      <right/>
      <top style="thin">
        <color rgb="FFF8F8F8"/>
      </top>
      <bottom style="hair">
        <color auto="1"/>
      </bottom>
      <diagonal/>
    </border>
    <border>
      <left/>
      <right style="thin">
        <color rgb="FF808080"/>
      </right>
      <top style="thin">
        <color rgb="FFF8F8F8"/>
      </top>
      <bottom style="hair">
        <color auto="1"/>
      </bottom>
      <diagonal/>
    </border>
    <border>
      <left style="thin">
        <color rgb="FFDDDDDD"/>
      </left>
      <right style="thin">
        <color indexed="23"/>
      </right>
      <top/>
      <bottom/>
      <diagonal/>
    </border>
    <border>
      <left style="thin">
        <color indexed="23"/>
      </left>
      <right style="thin">
        <color indexed="23"/>
      </right>
      <top/>
      <bottom style="thin">
        <color rgb="FF777777"/>
      </bottom>
      <diagonal/>
    </border>
    <border>
      <left/>
      <right style="thin">
        <color indexed="23"/>
      </right>
      <top style="hair">
        <color auto="1"/>
      </top>
      <bottom/>
      <diagonal/>
    </border>
    <border>
      <left style="thin">
        <color indexed="23"/>
      </left>
      <right style="thin">
        <color indexed="23"/>
      </right>
      <top style="hair">
        <color auto="1"/>
      </top>
      <bottom/>
      <diagonal/>
    </border>
    <border>
      <left style="thin">
        <color rgb="FFDDDDDD"/>
      </left>
      <right style="thin">
        <color indexed="23"/>
      </right>
      <top style="thin">
        <color rgb="FF777777"/>
      </top>
      <bottom style="thin">
        <color indexed="23"/>
      </bottom>
      <diagonal/>
    </border>
    <border>
      <left style="thin">
        <color indexed="23"/>
      </left>
      <right style="thin">
        <color indexed="23"/>
      </right>
      <top style="thin">
        <color rgb="FF777777"/>
      </top>
      <bottom style="thin">
        <color indexed="23"/>
      </bottom>
      <diagonal/>
    </border>
    <border>
      <left/>
      <right style="thin">
        <color rgb="FF808080"/>
      </right>
      <top style="thin">
        <color rgb="FF777777"/>
      </top>
      <bottom style="thin">
        <color indexed="23"/>
      </bottom>
      <diagonal/>
    </border>
    <border>
      <left style="thin">
        <color rgb="FFDDDDDD"/>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style="thin">
        <color rgb="FF808080"/>
      </right>
      <top style="thin">
        <color indexed="23"/>
      </top>
      <bottom style="thin">
        <color indexed="23"/>
      </bottom>
      <diagonal/>
    </border>
    <border>
      <left style="thin">
        <color rgb="FFDDDDDD"/>
      </left>
      <right/>
      <top/>
      <bottom/>
      <diagonal/>
    </border>
    <border>
      <left style="thin">
        <color rgb="FFDDDDDD"/>
      </left>
      <right/>
      <top/>
      <bottom style="thin">
        <color rgb="FF777777"/>
      </bottom>
      <diagonal/>
    </border>
    <border>
      <left style="thin">
        <color rgb="FFDDDDDD"/>
      </left>
      <right style="hair">
        <color indexed="64"/>
      </right>
      <top style="thin">
        <color rgb="FFF8F8F8"/>
      </top>
      <bottom style="hair">
        <color indexed="64"/>
      </bottom>
      <diagonal/>
    </border>
    <border>
      <left/>
      <right style="hair">
        <color indexed="64"/>
      </right>
      <top style="thin">
        <color rgb="FFF8F8F8"/>
      </top>
      <bottom style="hair">
        <color indexed="64"/>
      </bottom>
      <diagonal/>
    </border>
    <border>
      <left style="thin">
        <color rgb="FFDDDDDD"/>
      </left>
      <right style="hair">
        <color indexed="64"/>
      </right>
      <top/>
      <bottom/>
      <diagonal/>
    </border>
    <border>
      <left/>
      <right style="hair">
        <color indexed="64"/>
      </right>
      <top/>
      <bottom/>
      <diagonal/>
    </border>
    <border>
      <left style="thin">
        <color rgb="FFDDDDDD"/>
      </left>
      <right style="hair">
        <color indexed="64"/>
      </right>
      <top style="thin">
        <color rgb="FF777777"/>
      </top>
      <bottom style="thin">
        <color rgb="FF777777"/>
      </bottom>
      <diagonal/>
    </border>
    <border>
      <left/>
      <right style="hair">
        <color indexed="64"/>
      </right>
      <top style="thin">
        <color rgb="FF777777"/>
      </top>
      <bottom style="thin">
        <color rgb="FF777777"/>
      </bottom>
      <diagonal/>
    </border>
    <border>
      <left style="thin">
        <color rgb="FFDDDDDD"/>
      </left>
      <right style="thin">
        <color rgb="FF808080"/>
      </right>
      <top style="medium">
        <color rgb="FFF8F8F8"/>
      </top>
      <bottom/>
      <diagonal/>
    </border>
    <border>
      <left style="thin">
        <color rgb="FFDDDDDD"/>
      </left>
      <right style="thin">
        <color rgb="FF808080"/>
      </right>
      <top style="thin">
        <color rgb="FF777777"/>
      </top>
      <bottom style="medium">
        <color indexed="23"/>
      </bottom>
      <diagonal/>
    </border>
    <border>
      <left/>
      <right style="hair">
        <color indexed="64"/>
      </right>
      <top style="thin">
        <color rgb="FF777777"/>
      </top>
      <bottom style="medium">
        <color indexed="23"/>
      </bottom>
      <diagonal/>
    </border>
    <border>
      <left style="hair">
        <color indexed="64"/>
      </left>
      <right style="hair">
        <color indexed="64"/>
      </right>
      <top style="thin">
        <color rgb="FF777777"/>
      </top>
      <bottom style="medium">
        <color indexed="23"/>
      </bottom>
      <diagonal/>
    </border>
    <border>
      <left style="hair">
        <color indexed="64"/>
      </left>
      <right style="thin">
        <color rgb="FF808080"/>
      </right>
      <top style="thin">
        <color rgb="FF777777"/>
      </top>
      <bottom style="medium">
        <color indexed="23"/>
      </bottom>
      <diagonal/>
    </border>
    <border>
      <left style="thin">
        <color rgb="FFDDDDDD"/>
      </left>
      <right style="thin">
        <color rgb="FF808080"/>
      </right>
      <top style="medium">
        <color indexed="23"/>
      </top>
      <bottom style="medium">
        <color indexed="23"/>
      </bottom>
      <diagonal/>
    </border>
    <border>
      <left/>
      <right style="hair">
        <color indexed="64"/>
      </right>
      <top style="medium">
        <color indexed="23"/>
      </top>
      <bottom style="medium">
        <color indexed="23"/>
      </bottom>
      <diagonal/>
    </border>
    <border>
      <left style="hair">
        <color indexed="64"/>
      </left>
      <right style="hair">
        <color indexed="64"/>
      </right>
      <top style="medium">
        <color indexed="23"/>
      </top>
      <bottom style="medium">
        <color indexed="23"/>
      </bottom>
      <diagonal/>
    </border>
    <border>
      <left style="hair">
        <color indexed="64"/>
      </left>
      <right style="thin">
        <color rgb="FF808080"/>
      </right>
      <top style="medium">
        <color indexed="23"/>
      </top>
      <bottom style="medium">
        <color indexed="23"/>
      </bottom>
      <diagonal/>
    </border>
    <border>
      <left style="thin">
        <color rgb="FFDDDDDD"/>
      </left>
      <right style="thin">
        <color rgb="FF808080"/>
      </right>
      <top style="medium">
        <color indexed="23"/>
      </top>
      <bottom/>
      <diagonal/>
    </border>
    <border>
      <left/>
      <right style="hair">
        <color indexed="64"/>
      </right>
      <top style="medium">
        <color indexed="23"/>
      </top>
      <bottom style="hair">
        <color indexed="64"/>
      </bottom>
      <diagonal/>
    </border>
    <border>
      <left style="hair">
        <color indexed="64"/>
      </left>
      <right style="hair">
        <color indexed="64"/>
      </right>
      <top style="medium">
        <color indexed="23"/>
      </top>
      <bottom style="hair">
        <color indexed="64"/>
      </bottom>
      <diagonal/>
    </border>
    <border>
      <left style="hair">
        <color indexed="64"/>
      </left>
      <right style="thin">
        <color rgb="FF808080"/>
      </right>
      <top style="medium">
        <color indexed="23"/>
      </top>
      <bottom style="hair">
        <color indexed="64"/>
      </bottom>
      <diagonal/>
    </border>
    <border>
      <left style="thin">
        <color rgb="FFDDDDDD"/>
      </left>
      <right style="thin">
        <color rgb="FF808080"/>
      </right>
      <top/>
      <bottom style="medium">
        <color indexed="23"/>
      </bottom>
      <diagonal/>
    </border>
    <border>
      <left/>
      <right style="hair">
        <color indexed="64"/>
      </right>
      <top style="hair">
        <color indexed="64"/>
      </top>
      <bottom style="medium">
        <color indexed="23"/>
      </bottom>
      <diagonal/>
    </border>
    <border>
      <left style="hair">
        <color indexed="64"/>
      </left>
      <right style="hair">
        <color indexed="64"/>
      </right>
      <top style="hair">
        <color indexed="64"/>
      </top>
      <bottom style="medium">
        <color indexed="23"/>
      </bottom>
      <diagonal/>
    </border>
    <border>
      <left style="hair">
        <color indexed="64"/>
      </left>
      <right style="thin">
        <color rgb="FF808080"/>
      </right>
      <top style="hair">
        <color indexed="64"/>
      </top>
      <bottom style="medium">
        <color indexed="23"/>
      </bottom>
      <diagonal/>
    </border>
    <border>
      <left style="thin">
        <color rgb="FFDDDDDD"/>
      </left>
      <right style="thin">
        <color rgb="FF808080"/>
      </right>
      <top style="medium">
        <color indexed="23"/>
      </top>
      <bottom style="hair">
        <color indexed="64"/>
      </bottom>
      <diagonal/>
    </border>
    <border>
      <left style="thin">
        <color rgb="FFDDDDDD"/>
      </left>
      <right style="thin">
        <color rgb="FF808080"/>
      </right>
      <top style="hair">
        <color indexed="64"/>
      </top>
      <bottom style="medium">
        <color indexed="23"/>
      </bottom>
      <diagonal/>
    </border>
    <border>
      <left style="hair">
        <color indexed="64"/>
      </left>
      <right/>
      <top style="thin">
        <color rgb="FFF8F8F8"/>
      </top>
      <bottom/>
      <diagonal/>
    </border>
    <border>
      <left style="hair">
        <color indexed="64"/>
      </left>
      <right/>
      <top/>
      <bottom/>
      <diagonal/>
    </border>
    <border>
      <left style="hair">
        <color indexed="64"/>
      </left>
      <right style="thin">
        <color rgb="FF808080"/>
      </right>
      <top/>
      <bottom/>
      <diagonal/>
    </border>
    <border>
      <left/>
      <right style="hair">
        <color indexed="64"/>
      </right>
      <top style="thin">
        <color rgb="FF777777"/>
      </top>
      <bottom/>
      <diagonal/>
    </border>
    <border>
      <left/>
      <right style="thin">
        <color rgb="FF808080"/>
      </right>
      <top style="thin">
        <color rgb="FF777777"/>
      </top>
      <bottom/>
      <diagonal/>
    </border>
    <border>
      <left/>
      <right style="hair">
        <color indexed="64"/>
      </right>
      <top/>
      <bottom style="thin">
        <color indexed="64"/>
      </bottom>
      <diagonal/>
    </border>
    <border>
      <left/>
      <right style="hair">
        <color indexed="64"/>
      </right>
      <top/>
      <bottom style="hair">
        <color indexed="64"/>
      </bottom>
      <diagonal/>
    </border>
    <border>
      <left/>
      <right style="thin">
        <color rgb="FF808080"/>
      </right>
      <top/>
      <bottom style="hair">
        <color indexed="64"/>
      </bottom>
      <diagonal/>
    </border>
    <border>
      <left/>
      <right style="thin">
        <color rgb="FF808080"/>
      </right>
      <top style="hair">
        <color indexed="64"/>
      </top>
      <bottom style="thin">
        <color rgb="FF777777"/>
      </bottom>
      <diagonal/>
    </border>
    <border>
      <left style="hair">
        <color indexed="64"/>
      </left>
      <right style="hair">
        <color indexed="64"/>
      </right>
      <top style="thin">
        <color rgb="FF777777"/>
      </top>
      <bottom/>
      <diagonal/>
    </border>
    <border>
      <left style="hair">
        <color indexed="64"/>
      </left>
      <right style="hair">
        <color indexed="64"/>
      </right>
      <top style="thin">
        <color auto="1"/>
      </top>
      <bottom/>
      <diagonal/>
    </border>
    <border>
      <left/>
      <right/>
      <top style="thin">
        <color rgb="FFF8F8F8"/>
      </top>
      <bottom style="thin">
        <color rgb="FFF8F8F8"/>
      </bottom>
      <diagonal/>
    </border>
    <border>
      <left/>
      <right style="thin">
        <color rgb="FFF8F8F8"/>
      </right>
      <top style="thin">
        <color rgb="FFF8F8F8"/>
      </top>
      <bottom style="thin">
        <color rgb="FFF8F8F8"/>
      </bottom>
      <diagonal/>
    </border>
    <border>
      <left style="thin">
        <color rgb="FFDDDDDD"/>
      </left>
      <right style="hair">
        <color indexed="64"/>
      </right>
      <top style="thin">
        <color rgb="FFF8F8F8"/>
      </top>
      <bottom/>
      <diagonal/>
    </border>
    <border>
      <left style="hair">
        <color indexed="64"/>
      </left>
      <right style="thin">
        <color indexed="64"/>
      </right>
      <top style="thin">
        <color rgb="FFF8F8F8"/>
      </top>
      <bottom/>
      <diagonal/>
    </border>
    <border>
      <left style="thin">
        <color indexed="64"/>
      </left>
      <right style="hair">
        <color indexed="64"/>
      </right>
      <top style="thin">
        <color rgb="FFF8F8F8"/>
      </top>
      <bottom/>
      <diagonal/>
    </border>
    <border>
      <left/>
      <right style="thin">
        <color indexed="64"/>
      </right>
      <top style="thin">
        <color rgb="FFF8F8F8"/>
      </top>
      <bottom/>
      <diagonal/>
    </border>
    <border>
      <left style="thin">
        <color indexed="64"/>
      </left>
      <right/>
      <top style="thin">
        <color rgb="FFF8F8F8"/>
      </top>
      <bottom/>
      <diagonal/>
    </border>
    <border>
      <left style="thin">
        <color indexed="64"/>
      </left>
      <right/>
      <top style="thin">
        <color rgb="FFF8F8F8"/>
      </top>
      <bottom style="thin">
        <color indexed="64"/>
      </bottom>
      <diagonal/>
    </border>
    <border>
      <left/>
      <right/>
      <top style="thin">
        <color rgb="FFF8F8F8"/>
      </top>
      <bottom style="thin">
        <color indexed="64"/>
      </bottom>
      <diagonal/>
    </border>
    <border>
      <left/>
      <right style="thin">
        <color indexed="64"/>
      </right>
      <top style="thin">
        <color rgb="FFF8F8F8"/>
      </top>
      <bottom style="thin">
        <color indexed="64"/>
      </bottom>
      <diagonal/>
    </border>
    <border>
      <left style="thin">
        <color indexed="64"/>
      </left>
      <right/>
      <top style="thin">
        <color rgb="FFF8F8F8"/>
      </top>
      <bottom style="hair">
        <color indexed="64"/>
      </bottom>
      <diagonal/>
    </border>
    <border>
      <left style="thin">
        <color rgb="FFDDDDDD"/>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style="hair">
        <color indexed="8"/>
      </right>
      <top style="thin">
        <color indexed="64"/>
      </top>
      <bottom style="hair">
        <color indexed="64"/>
      </bottom>
      <diagonal/>
    </border>
    <border>
      <left style="hair">
        <color indexed="8"/>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top/>
      <bottom/>
      <diagonal/>
    </border>
    <border>
      <left/>
      <right style="thin">
        <color rgb="FFF8F8F8"/>
      </right>
      <top/>
      <bottom style="thin">
        <color rgb="FFF8F8F8"/>
      </bottom>
      <diagonal/>
    </border>
    <border>
      <left style="thin">
        <color rgb="FFDDDDDD"/>
      </left>
      <right style="hair">
        <color indexed="64"/>
      </right>
      <top/>
      <bottom style="thin">
        <color rgb="FF777777"/>
      </bottom>
      <diagonal/>
    </border>
    <border>
      <left/>
      <right style="thin">
        <color indexed="64"/>
      </right>
      <top/>
      <bottom style="thin">
        <color rgb="FF777777"/>
      </bottom>
      <diagonal/>
    </border>
    <border>
      <left style="thin">
        <color indexed="64"/>
      </left>
      <right style="hair">
        <color indexed="64"/>
      </right>
      <top style="thin">
        <color indexed="64"/>
      </top>
      <bottom style="thin">
        <color rgb="FF777777"/>
      </bottom>
      <diagonal/>
    </border>
    <border>
      <left/>
      <right style="hair">
        <color indexed="64"/>
      </right>
      <top style="thin">
        <color indexed="64"/>
      </top>
      <bottom style="thin">
        <color rgb="FF777777"/>
      </bottom>
      <diagonal/>
    </border>
    <border>
      <left style="thin">
        <color indexed="64"/>
      </left>
      <right/>
      <top style="thin">
        <color indexed="64"/>
      </top>
      <bottom style="thin">
        <color rgb="FF777777"/>
      </bottom>
      <diagonal/>
    </border>
    <border>
      <left/>
      <right style="hair">
        <color indexed="8"/>
      </right>
      <top style="thin">
        <color indexed="64"/>
      </top>
      <bottom style="thin">
        <color rgb="FF777777"/>
      </bottom>
      <diagonal/>
    </border>
    <border>
      <left style="hair">
        <color indexed="8"/>
      </left>
      <right/>
      <top/>
      <bottom style="thin">
        <color rgb="FF777777"/>
      </bottom>
      <diagonal/>
    </border>
    <border>
      <left style="thin">
        <color indexed="64"/>
      </left>
      <right/>
      <top/>
      <bottom style="thin">
        <color rgb="FF777777"/>
      </bottom>
      <diagonal/>
    </border>
    <border>
      <left/>
      <right style="hair">
        <color indexed="8"/>
      </right>
      <top/>
      <bottom style="thin">
        <color rgb="FF777777"/>
      </bottom>
      <diagonal/>
    </border>
    <border>
      <left style="hair">
        <color indexed="64"/>
      </left>
      <right/>
      <top/>
      <bottom style="thin">
        <color rgb="FF777777"/>
      </bottom>
      <diagonal/>
    </border>
    <border>
      <left/>
      <right/>
      <top style="thin">
        <color rgb="FF777777"/>
      </top>
      <bottom style="medium">
        <color rgb="FFF8F8F8"/>
      </bottom>
      <diagonal/>
    </border>
    <border>
      <left style="thin">
        <color rgb="FF808080"/>
      </left>
      <right/>
      <top/>
      <bottom style="thin">
        <color rgb="FFF8F8F8"/>
      </bottom>
      <diagonal/>
    </border>
    <border>
      <left style="thin">
        <color rgb="FFDDDDDD"/>
      </left>
      <right/>
      <top style="medium">
        <color rgb="FFF8F8F8"/>
      </top>
      <bottom/>
      <diagonal/>
    </border>
    <border>
      <left/>
      <right/>
      <top style="medium">
        <color rgb="FFF8F8F8"/>
      </top>
      <bottom/>
      <diagonal/>
    </border>
    <border>
      <left/>
      <right style="double">
        <color indexed="64"/>
      </right>
      <top style="medium">
        <color rgb="FFF8F8F8"/>
      </top>
      <bottom/>
      <diagonal/>
    </border>
    <border>
      <left style="double">
        <color indexed="64"/>
      </left>
      <right/>
      <top style="medium">
        <color rgb="FFF8F8F8"/>
      </top>
      <bottom style="thin">
        <color indexed="64"/>
      </bottom>
      <diagonal/>
    </border>
    <border>
      <left/>
      <right/>
      <top style="medium">
        <color rgb="FFF8F8F8"/>
      </top>
      <bottom style="thin">
        <color indexed="64"/>
      </bottom>
      <diagonal/>
    </border>
    <border>
      <left/>
      <right style="thin">
        <color rgb="FF808080"/>
      </right>
      <top style="medium">
        <color rgb="FFF8F8F8"/>
      </top>
      <bottom style="thin">
        <color indexed="64"/>
      </bottom>
      <diagonal/>
    </border>
    <border>
      <left style="double">
        <color indexed="64"/>
      </left>
      <right/>
      <top style="medium">
        <color rgb="FFF8F8F8"/>
      </top>
      <bottom/>
      <diagonal/>
    </border>
    <border>
      <left/>
      <right style="thin">
        <color rgb="FF808080"/>
      </right>
      <top style="medium">
        <color rgb="FFF8F8F8"/>
      </top>
      <bottom/>
      <diagonal/>
    </border>
    <border>
      <left/>
      <right style="double">
        <color indexed="64"/>
      </right>
      <top/>
      <bottom style="thin">
        <color rgb="FF777777"/>
      </bottom>
      <diagonal/>
    </border>
    <border>
      <left style="double">
        <color indexed="64"/>
      </left>
      <right/>
      <top/>
      <bottom/>
      <diagonal/>
    </border>
    <border>
      <left style="thin">
        <color indexed="8"/>
      </left>
      <right/>
      <top/>
      <bottom/>
      <diagonal/>
    </border>
    <border>
      <left style="double">
        <color indexed="64"/>
      </left>
      <right/>
      <top style="thin">
        <color indexed="64"/>
      </top>
      <bottom style="thin">
        <color rgb="FF777777"/>
      </bottom>
      <diagonal/>
    </border>
    <border>
      <left/>
      <right/>
      <top style="thin">
        <color indexed="64"/>
      </top>
      <bottom style="thin">
        <color rgb="FF777777"/>
      </bottom>
      <diagonal/>
    </border>
    <border>
      <left/>
      <right style="thin">
        <color indexed="8"/>
      </right>
      <top style="thin">
        <color indexed="64"/>
      </top>
      <bottom style="thin">
        <color rgb="FF777777"/>
      </bottom>
      <diagonal/>
    </border>
    <border>
      <left style="thin">
        <color indexed="8"/>
      </left>
      <right/>
      <top style="thin">
        <color indexed="64"/>
      </top>
      <bottom style="thin">
        <color rgb="FF777777"/>
      </bottom>
      <diagonal/>
    </border>
    <border>
      <left/>
      <right style="hair">
        <color indexed="8"/>
      </right>
      <top style="thin">
        <color rgb="FF777777"/>
      </top>
      <bottom style="thin">
        <color rgb="FF777777"/>
      </bottom>
      <diagonal/>
    </border>
    <border>
      <left style="double">
        <color indexed="64"/>
      </left>
      <right style="hair">
        <color indexed="64"/>
      </right>
      <top style="thin">
        <color rgb="FF777777"/>
      </top>
      <bottom style="thin">
        <color rgb="FF777777"/>
      </bottom>
      <diagonal/>
    </border>
    <border>
      <left style="thin">
        <color indexed="64"/>
      </left>
      <right style="hair">
        <color indexed="64"/>
      </right>
      <top style="thin">
        <color rgb="FF777777"/>
      </top>
      <bottom style="thin">
        <color rgb="FF777777"/>
      </bottom>
      <diagonal/>
    </border>
    <border>
      <left/>
      <right style="hair">
        <color indexed="8"/>
      </right>
      <top/>
      <bottom style="hair">
        <color indexed="64"/>
      </bottom>
      <diagonal/>
    </border>
    <border>
      <left/>
      <right/>
      <top/>
      <bottom style="hair">
        <color indexed="64"/>
      </bottom>
      <diagonal/>
    </border>
    <border>
      <left style="hair">
        <color indexed="8"/>
      </left>
      <right style="hair">
        <color auto="1"/>
      </right>
      <top/>
      <bottom style="hair">
        <color indexed="64"/>
      </bottom>
      <diagonal/>
    </border>
    <border>
      <left style="double">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thin">
        <color rgb="FF808080"/>
      </right>
      <top style="thin">
        <color rgb="FF777777"/>
      </top>
      <bottom style="hair">
        <color indexed="64"/>
      </bottom>
      <diagonal/>
    </border>
    <border>
      <left/>
      <right style="double">
        <color indexed="64"/>
      </right>
      <top/>
      <bottom style="hair">
        <color indexed="64"/>
      </bottom>
      <diagonal/>
    </border>
    <border>
      <left style="double">
        <color indexed="64"/>
      </left>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style="thin">
        <color indexed="64"/>
      </left>
      <right/>
      <top style="thin">
        <color rgb="FF777777"/>
      </top>
      <bottom/>
      <diagonal/>
    </border>
    <border>
      <left/>
      <right style="hair">
        <color indexed="8"/>
      </right>
      <top style="hair">
        <color indexed="64"/>
      </top>
      <bottom style="hair">
        <color indexed="64"/>
      </bottom>
      <diagonal/>
    </border>
    <border>
      <left style="hair">
        <color indexed="8"/>
      </left>
      <right style="hair">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rgb="FF808080"/>
      </right>
      <top style="hair">
        <color indexed="64"/>
      </top>
      <bottom style="hair">
        <color indexed="64"/>
      </bottom>
      <diagonal/>
    </border>
    <border>
      <left/>
      <right style="double">
        <color indexed="64"/>
      </right>
      <top style="hair">
        <color indexed="64"/>
      </top>
      <bottom style="hair">
        <color indexed="64"/>
      </bottom>
      <diagonal/>
    </border>
    <border>
      <left/>
      <right style="thin">
        <color indexed="64"/>
      </right>
      <top/>
      <bottom/>
      <diagonal/>
    </border>
    <border>
      <left style="thin">
        <color indexed="64"/>
      </left>
      <right/>
      <top/>
      <bottom/>
      <diagonal/>
    </border>
    <border>
      <left/>
      <right style="thin">
        <color rgb="FF777777"/>
      </right>
      <top style="thin">
        <color rgb="FFF8F8F8"/>
      </top>
      <bottom/>
      <diagonal/>
    </border>
    <border>
      <left style="thin">
        <color rgb="FF777777"/>
      </left>
      <right/>
      <top style="thin">
        <color rgb="FFF8F8F8"/>
      </top>
      <bottom style="thin">
        <color rgb="FF777777"/>
      </bottom>
      <diagonal/>
    </border>
    <border>
      <left/>
      <right style="thin">
        <color rgb="FF777777"/>
      </right>
      <top style="thin">
        <color rgb="FFF8F8F8"/>
      </top>
      <bottom style="thin">
        <color rgb="FF777777"/>
      </bottom>
      <diagonal/>
    </border>
    <border>
      <left style="thin">
        <color rgb="FF777777"/>
      </left>
      <right/>
      <top style="thin">
        <color rgb="FFF8F8F8"/>
      </top>
      <bottom/>
      <diagonal/>
    </border>
    <border>
      <left/>
      <right style="hair">
        <color indexed="8"/>
      </right>
      <top style="hair">
        <color indexed="64"/>
      </top>
      <bottom/>
      <diagonal/>
    </border>
    <border>
      <left/>
      <right/>
      <top style="hair">
        <color indexed="64"/>
      </top>
      <bottom/>
      <diagonal/>
    </border>
    <border>
      <left style="hair">
        <color indexed="8"/>
      </left>
      <right style="hair">
        <color auto="1"/>
      </right>
      <top style="hair">
        <color indexed="64"/>
      </top>
      <bottom style="thin">
        <color indexed="64"/>
      </bottom>
      <diagonal/>
    </border>
    <border>
      <left style="double">
        <color indexed="64"/>
      </left>
      <right style="hair">
        <color indexed="64"/>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right style="thin">
        <color rgb="FF808080"/>
      </right>
      <top style="hair">
        <color indexed="64"/>
      </top>
      <bottom/>
      <diagonal/>
    </border>
    <border>
      <left/>
      <right style="double">
        <color indexed="64"/>
      </right>
      <top style="hair">
        <color indexed="64"/>
      </top>
      <bottom/>
      <diagonal/>
    </border>
    <border>
      <left/>
      <right style="thin">
        <color rgb="FF777777"/>
      </right>
      <top style="thin">
        <color rgb="FF777777"/>
      </top>
      <bottom style="thin">
        <color rgb="FF777777"/>
      </bottom>
      <diagonal/>
    </border>
    <border>
      <left style="thin">
        <color rgb="FF777777"/>
      </left>
      <right/>
      <top style="thin">
        <color rgb="FF777777"/>
      </top>
      <bottom style="thin">
        <color rgb="FF777777"/>
      </bottom>
      <diagonal/>
    </border>
    <border>
      <left style="thin">
        <color rgb="FFDDDDDD"/>
      </left>
      <right style="thin">
        <color rgb="FF808080"/>
      </right>
      <top/>
      <bottom style="thin">
        <color indexed="23"/>
      </bottom>
      <diagonal/>
    </border>
    <border>
      <left/>
      <right/>
      <top style="thin">
        <color auto="1"/>
      </top>
      <bottom/>
      <diagonal/>
    </border>
    <border>
      <left style="hair">
        <color indexed="64"/>
      </left>
      <right/>
      <top style="thin">
        <color indexed="64"/>
      </top>
      <bottom/>
      <diagonal/>
    </border>
    <border>
      <left style="hair">
        <color indexed="64"/>
      </left>
      <right style="thin">
        <color rgb="FF808080"/>
      </right>
      <top style="thin">
        <color indexed="64"/>
      </top>
      <bottom/>
      <diagonal/>
    </border>
    <border>
      <left style="double">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double">
        <color indexed="64"/>
      </right>
      <top style="thin">
        <color indexed="64"/>
      </top>
      <bottom/>
      <diagonal/>
    </border>
    <border>
      <left style="thin">
        <color rgb="FFDDDDDD"/>
      </left>
      <right style="hair">
        <color indexed="64"/>
      </right>
      <top style="thin">
        <color rgb="FFF8F8F8"/>
      </top>
      <bottom style="thin">
        <color rgb="FF777777"/>
      </bottom>
      <diagonal/>
    </border>
    <border>
      <left style="hair">
        <color indexed="64"/>
      </left>
      <right style="hair">
        <color indexed="64"/>
      </right>
      <top style="thin">
        <color rgb="FFF8F8F8"/>
      </top>
      <bottom style="thin">
        <color rgb="FF777777"/>
      </bottom>
      <diagonal/>
    </border>
    <border>
      <left/>
      <right style="hair">
        <color indexed="64"/>
      </right>
      <top style="thin">
        <color rgb="FFF8F8F8"/>
      </top>
      <bottom style="thin">
        <color rgb="FF777777"/>
      </bottom>
      <diagonal/>
    </border>
    <border>
      <left style="hair">
        <color indexed="64"/>
      </left>
      <right/>
      <top style="thin">
        <color rgb="FFF8F8F8"/>
      </top>
      <bottom style="thin">
        <color rgb="FF777777"/>
      </bottom>
      <diagonal/>
    </border>
    <border>
      <left style="double">
        <color indexed="64"/>
      </left>
      <right style="hair">
        <color indexed="64"/>
      </right>
      <top style="thin">
        <color rgb="FFF8F8F8"/>
      </top>
      <bottom style="thin">
        <color rgb="FF777777"/>
      </bottom>
      <diagonal/>
    </border>
    <border>
      <left style="thin">
        <color indexed="8"/>
      </left>
      <right style="hair">
        <color indexed="64"/>
      </right>
      <top style="thin">
        <color rgb="FFF8F8F8"/>
      </top>
      <bottom style="thin">
        <color rgb="FF777777"/>
      </bottom>
      <diagonal/>
    </border>
    <border>
      <left/>
      <right style="double">
        <color indexed="64"/>
      </right>
      <top style="thin">
        <color rgb="FFF8F8F8"/>
      </top>
      <bottom style="thin">
        <color rgb="FF777777"/>
      </bottom>
      <diagonal/>
    </border>
    <border>
      <left style="hair">
        <color indexed="8"/>
      </left>
      <right/>
      <top/>
      <bottom style="hair">
        <color indexed="64"/>
      </bottom>
      <diagonal/>
    </border>
    <border>
      <left style="thin">
        <color indexed="8"/>
      </left>
      <right style="hair">
        <color indexed="64"/>
      </right>
      <top/>
      <bottom style="hair">
        <color indexed="64"/>
      </bottom>
      <diagonal/>
    </border>
    <border>
      <left style="hair">
        <color indexed="8"/>
      </left>
      <right/>
      <top style="hair">
        <color indexed="64"/>
      </top>
      <bottom style="hair">
        <color indexed="64"/>
      </bottom>
      <diagonal/>
    </border>
    <border>
      <left style="thin">
        <color indexed="8"/>
      </left>
      <right style="hair">
        <color indexed="64"/>
      </right>
      <top style="hair">
        <color indexed="64"/>
      </top>
      <bottom style="hair">
        <color indexed="64"/>
      </bottom>
      <diagonal/>
    </border>
    <border diagonalUp="1">
      <left style="thin">
        <color rgb="FF777777"/>
      </left>
      <right style="thin">
        <color rgb="FF808080"/>
      </right>
      <top style="thin">
        <color rgb="FF777777"/>
      </top>
      <bottom style="thin">
        <color rgb="FF777777"/>
      </bottom>
      <diagonal style="thin">
        <color rgb="FF777777"/>
      </diagonal>
    </border>
    <border>
      <left style="hair">
        <color indexed="8"/>
      </left>
      <right/>
      <top style="hair">
        <color indexed="64"/>
      </top>
      <bottom/>
      <diagonal/>
    </border>
    <border>
      <left style="thin">
        <color indexed="8"/>
      </left>
      <right style="hair">
        <color indexed="64"/>
      </right>
      <top style="hair">
        <color indexed="64"/>
      </top>
      <bottom/>
      <diagonal/>
    </border>
    <border>
      <left style="thin">
        <color indexed="8"/>
      </left>
      <right/>
      <top style="thin">
        <color indexed="64"/>
      </top>
      <bottom/>
      <diagonal/>
    </border>
    <border>
      <left style="thin">
        <color indexed="64"/>
      </left>
      <right/>
      <top style="thin">
        <color indexed="64"/>
      </top>
      <bottom/>
      <diagonal/>
    </border>
    <border>
      <left style="thin">
        <color indexed="8"/>
      </left>
      <right style="hair">
        <color indexed="64"/>
      </right>
      <top style="thin">
        <color indexed="64"/>
      </top>
      <bottom/>
      <diagonal/>
    </border>
    <border>
      <left style="thin">
        <color rgb="FFDDDDDD"/>
      </left>
      <right/>
      <top style="thin">
        <color indexed="23"/>
      </top>
      <bottom/>
      <diagonal/>
    </border>
    <border>
      <left style="thin">
        <color indexed="64"/>
      </left>
      <right style="hair">
        <color indexed="64"/>
      </right>
      <top style="thin">
        <color rgb="FFF8F8F8"/>
      </top>
      <bottom style="thin">
        <color rgb="FF777777"/>
      </bottom>
      <diagonal/>
    </border>
    <border>
      <left/>
      <right style="thin">
        <color rgb="FF777777"/>
      </right>
      <top/>
      <bottom/>
      <diagonal/>
    </border>
    <border>
      <left/>
      <right style="thin">
        <color rgb="FF777777"/>
      </right>
      <top style="medium">
        <color rgb="FFF8F8F8"/>
      </top>
      <bottom style="thin">
        <color rgb="FF777777"/>
      </bottom>
      <diagonal/>
    </border>
    <border>
      <left style="thin">
        <color rgb="FF777777"/>
      </left>
      <right style="thin">
        <color rgb="FF808080"/>
      </right>
      <top style="medium">
        <color rgb="FFF8F8F8"/>
      </top>
      <bottom style="thin">
        <color rgb="FF777777"/>
      </bottom>
      <diagonal/>
    </border>
    <border>
      <left style="thin">
        <color rgb="FF808080"/>
      </left>
      <right/>
      <top style="hair">
        <color indexed="64"/>
      </top>
      <bottom style="thin">
        <color indexed="64"/>
      </bottom>
      <diagonal/>
    </border>
    <border>
      <left/>
      <right/>
      <top style="hair">
        <color indexed="64"/>
      </top>
      <bottom style="thin">
        <color indexed="64"/>
      </bottom>
      <diagonal/>
    </border>
    <border>
      <left style="double">
        <color indexed="64"/>
      </left>
      <right style="hair">
        <color indexed="64"/>
      </right>
      <top/>
      <bottom/>
      <diagonal/>
    </border>
    <border>
      <left style="thin">
        <color indexed="64"/>
      </left>
      <right style="hair">
        <color indexed="64"/>
      </right>
      <top/>
      <bottom/>
      <diagonal/>
    </border>
    <border>
      <left style="thin">
        <color indexed="23"/>
      </left>
      <right style="thin">
        <color rgb="FF808080"/>
      </right>
      <top/>
      <bottom/>
      <diagonal/>
    </border>
    <border>
      <left/>
      <right style="double">
        <color indexed="64"/>
      </right>
      <top/>
      <bottom/>
      <diagonal/>
    </border>
    <border>
      <left/>
      <right style="thin">
        <color indexed="64"/>
      </right>
      <top style="thin">
        <color indexed="64"/>
      </top>
      <bottom/>
      <diagonal/>
    </border>
    <border>
      <left/>
      <right style="hair">
        <color indexed="64"/>
      </right>
      <top style="thin">
        <color indexed="64"/>
      </top>
      <bottom/>
      <diagonal/>
    </border>
    <border>
      <left/>
      <right style="thin">
        <color rgb="FF808080"/>
      </right>
      <top style="thin">
        <color indexed="64"/>
      </top>
      <bottom/>
      <diagonal/>
    </border>
    <border>
      <left/>
      <right style="double">
        <color indexed="64"/>
      </right>
      <top style="thin">
        <color indexed="64"/>
      </top>
      <bottom/>
      <diagonal/>
    </border>
    <border>
      <left style="thin">
        <color rgb="FFDDDDDD"/>
      </left>
      <right/>
      <top style="thin">
        <color rgb="FF808080"/>
      </top>
      <bottom/>
      <diagonal/>
    </border>
    <border>
      <left style="hair">
        <color indexed="8"/>
      </left>
      <right/>
      <top style="thin">
        <color rgb="FF777777"/>
      </top>
      <bottom style="hair">
        <color indexed="64"/>
      </bottom>
      <diagonal/>
    </border>
    <border>
      <left style="hair">
        <color indexed="64"/>
      </left>
      <right/>
      <top style="thin">
        <color rgb="FF777777"/>
      </top>
      <bottom style="hair">
        <color indexed="64"/>
      </bottom>
      <diagonal/>
    </border>
    <border>
      <left/>
      <right style="double">
        <color indexed="64"/>
      </right>
      <top style="thin">
        <color rgb="FF777777"/>
      </top>
      <bottom style="hair">
        <color indexed="64"/>
      </bottom>
      <diagonal/>
    </border>
    <border>
      <left style="hair">
        <color indexed="64"/>
      </left>
      <right/>
      <top style="hair">
        <color indexed="64"/>
      </top>
      <bottom style="hair">
        <color indexed="64"/>
      </bottom>
      <diagonal/>
    </border>
    <border>
      <left style="thin">
        <color rgb="FFDDDDDD"/>
      </left>
      <right style="thin">
        <color rgb="FF808080"/>
      </right>
      <top/>
      <bottom style="thin">
        <color rgb="FF808080"/>
      </bottom>
      <diagonal/>
    </border>
    <border>
      <left style="thin">
        <color rgb="FF777777"/>
      </left>
      <right style="thin">
        <color rgb="FF808080"/>
      </right>
      <top/>
      <bottom/>
      <diagonal/>
    </border>
    <border>
      <left style="thin">
        <color rgb="FF808080"/>
      </left>
      <right/>
      <top style="thin">
        <color rgb="FF777777"/>
      </top>
      <bottom style="hair">
        <color indexed="64"/>
      </bottom>
      <diagonal/>
    </border>
    <border>
      <left/>
      <right style="double">
        <color indexed="64"/>
      </right>
      <top style="hair">
        <color indexed="64"/>
      </top>
      <bottom style="thin">
        <color indexed="64"/>
      </bottom>
      <diagonal/>
    </border>
    <border>
      <left style="double">
        <color indexed="64"/>
      </left>
      <right/>
      <top/>
      <bottom style="thin">
        <color indexed="64"/>
      </bottom>
      <diagonal/>
    </border>
    <border>
      <left style="thin">
        <color indexed="64"/>
      </left>
      <right/>
      <top/>
      <bottom style="thin">
        <color indexed="64"/>
      </bottom>
      <diagonal/>
    </border>
    <border>
      <left style="thin">
        <color rgb="FFDDDDDD"/>
      </left>
      <right/>
      <top style="thin">
        <color rgb="FF777777"/>
      </top>
      <bottom/>
      <diagonal/>
    </border>
    <border>
      <left/>
      <right style="thin">
        <color rgb="FF777777"/>
      </right>
      <top style="thin">
        <color rgb="FF777777"/>
      </top>
      <bottom/>
      <diagonal/>
    </border>
    <border>
      <left style="thin">
        <color rgb="FF777777"/>
      </left>
      <right style="thin">
        <color rgb="FF808080"/>
      </right>
      <top style="thin">
        <color rgb="FF777777"/>
      </top>
      <bottom/>
      <diagonal/>
    </border>
    <border>
      <left style="thin">
        <color rgb="FFDDDDDD"/>
      </left>
      <right style="thin">
        <color rgb="FF808080"/>
      </right>
      <top/>
      <bottom style="double">
        <color indexed="64"/>
      </bottom>
      <diagonal/>
    </border>
    <border>
      <left style="thin">
        <color rgb="FFDDDDDD"/>
      </left>
      <right style="thin">
        <color rgb="FF808080"/>
      </right>
      <top style="thin">
        <color rgb="FF777777"/>
      </top>
      <bottom style="double">
        <color indexed="64"/>
      </bottom>
      <diagonal/>
    </border>
    <border>
      <left style="thin">
        <color rgb="FFDDDDDD"/>
      </left>
      <right/>
      <top/>
      <bottom style="thin">
        <color indexed="64"/>
      </bottom>
      <diagonal/>
    </border>
    <border>
      <left/>
      <right/>
      <top style="double">
        <color indexed="64"/>
      </top>
      <bottom style="thin">
        <color indexed="64"/>
      </bottom>
      <diagonal/>
    </border>
    <border>
      <left style="double">
        <color indexed="64"/>
      </left>
      <right style="hair">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thin">
        <color indexed="23"/>
      </left>
      <right style="thin">
        <color rgb="FF808080"/>
      </right>
      <top style="double">
        <color indexed="64"/>
      </top>
      <bottom style="thin">
        <color indexed="64"/>
      </bottom>
      <diagonal/>
    </border>
    <border>
      <left/>
      <right style="hair">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style="thin">
        <color rgb="FF777777"/>
      </top>
      <bottom/>
      <diagonal/>
    </border>
    <border>
      <left style="thin">
        <color rgb="FFDDDDDD"/>
      </left>
      <right/>
      <top style="thin">
        <color indexed="64"/>
      </top>
      <bottom style="thin">
        <color indexed="64"/>
      </bottom>
      <diagonal/>
    </border>
    <border>
      <left/>
      <right/>
      <top style="thin">
        <color auto="1"/>
      </top>
      <bottom style="thin">
        <color auto="1"/>
      </bottom>
      <diagonal/>
    </border>
    <border>
      <left style="double">
        <color indexed="64"/>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rgb="FF808080"/>
      </right>
      <top style="thin">
        <color indexed="64"/>
      </top>
      <bottom style="thin">
        <color indexed="64"/>
      </bottom>
      <diagonal/>
    </border>
    <border>
      <left style="double">
        <color indexed="64"/>
      </left>
      <right style="hair">
        <color indexed="64"/>
      </right>
      <top style="thin">
        <color indexed="64"/>
      </top>
      <bottom style="thin">
        <color auto="1"/>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rgb="FFDDDDDD"/>
      </left>
      <right/>
      <top style="thin">
        <color indexed="64"/>
      </top>
      <bottom/>
      <diagonal/>
    </border>
    <border>
      <left style="hair">
        <color indexed="64"/>
      </left>
      <right style="thin">
        <color indexed="64"/>
      </right>
      <top style="thin">
        <color indexed="64"/>
      </top>
      <bottom/>
      <diagonal/>
    </border>
    <border>
      <left style="thin">
        <color indexed="23"/>
      </left>
      <right style="thin">
        <color rgb="FF808080"/>
      </right>
      <top style="thin">
        <color indexed="64"/>
      </top>
      <bottom/>
      <diagonal/>
    </border>
    <border>
      <left style="double">
        <color auto="1"/>
      </left>
      <right style="hair">
        <color auto="1"/>
      </right>
      <top style="thin">
        <color auto="1"/>
      </top>
      <bottom style="thin">
        <color rgb="FFF8F8F8"/>
      </bottom>
      <diagonal/>
    </border>
    <border>
      <left style="thin">
        <color rgb="FFDDDDDD"/>
      </left>
      <right/>
      <top style="medium">
        <color theme="0" tint="-0.14993743705557422"/>
      </top>
      <bottom/>
      <diagonal/>
    </border>
    <border>
      <left style="hair">
        <color indexed="64"/>
      </left>
      <right style="thin">
        <color indexed="64"/>
      </right>
      <top style="thin">
        <color rgb="FFF8F8F8"/>
      </top>
      <bottom style="thin">
        <color rgb="FF777777"/>
      </bottom>
      <diagonal/>
    </border>
    <border>
      <left style="thin">
        <color indexed="23"/>
      </left>
      <right style="thin">
        <color rgb="FF808080"/>
      </right>
      <top style="thin">
        <color rgb="FFF8F8F8"/>
      </top>
      <bottom style="thin">
        <color rgb="FF777777"/>
      </bottom>
      <diagonal/>
    </border>
    <border>
      <left style="hair">
        <color indexed="64"/>
      </left>
      <right style="thin">
        <color indexed="64"/>
      </right>
      <top/>
      <bottom style="hair">
        <color indexed="64"/>
      </bottom>
      <diagonal/>
    </border>
    <border>
      <left style="double">
        <color indexed="64"/>
      </left>
      <right/>
      <top style="thin">
        <color rgb="FF777777"/>
      </top>
      <bottom/>
      <diagonal/>
    </border>
    <border>
      <left/>
      <right style="thin">
        <color indexed="64"/>
      </right>
      <top style="thin">
        <color rgb="FF777777"/>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thin">
        <color rgb="FFDDDDDD"/>
      </left>
      <right/>
      <top/>
      <bottom style="double">
        <color indexed="64"/>
      </bottom>
      <diagonal/>
    </border>
    <border>
      <left style="thin">
        <color indexed="23"/>
      </left>
      <right/>
      <top style="thin">
        <color indexed="64"/>
      </top>
      <bottom style="double">
        <color indexed="64"/>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thin">
        <color rgb="FF808080"/>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rgb="FFDDDDDD"/>
      </left>
      <right style="thin">
        <color rgb="FF777777"/>
      </right>
      <top style="thin">
        <color rgb="FF777777"/>
      </top>
      <bottom/>
      <diagonal/>
    </border>
    <border>
      <left style="thin">
        <color rgb="FFDDDDDD"/>
      </left>
      <right/>
      <top style="double">
        <color indexed="64"/>
      </top>
      <bottom/>
      <diagonal/>
    </border>
    <border>
      <left style="thin">
        <color indexed="23"/>
      </left>
      <right/>
      <top style="double">
        <color indexed="64"/>
      </top>
      <bottom/>
      <diagonal/>
    </border>
    <border>
      <left/>
      <right/>
      <top style="double">
        <color indexed="64"/>
      </top>
      <bottom/>
      <diagonal/>
    </border>
    <border>
      <left style="double">
        <color indexed="64"/>
      </left>
      <right style="hair">
        <color indexed="64"/>
      </right>
      <top style="double">
        <color indexed="64"/>
      </top>
      <bottom/>
      <diagonal/>
    </border>
    <border>
      <left style="thin">
        <color indexed="64"/>
      </left>
      <right style="hair">
        <color indexed="64"/>
      </right>
      <top style="double">
        <color indexed="64"/>
      </top>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diagonal/>
    </border>
    <border>
      <left/>
      <right style="thin">
        <color rgb="FF808080"/>
      </right>
      <top style="double">
        <color indexed="64"/>
      </top>
      <bottom/>
      <diagonal/>
    </border>
    <border>
      <left/>
      <right style="double">
        <color indexed="64"/>
      </right>
      <top style="double">
        <color indexed="64"/>
      </top>
      <bottom/>
      <diagonal/>
    </border>
    <border>
      <left style="thin">
        <color rgb="FFDDDDDD"/>
      </left>
      <right/>
      <top style="thin">
        <color indexed="64"/>
      </top>
      <bottom style="thin">
        <color rgb="FF777777"/>
      </bottom>
      <diagonal/>
    </border>
    <border>
      <left style="thin">
        <color indexed="23"/>
      </left>
      <right/>
      <top style="thin">
        <color indexed="64"/>
      </top>
      <bottom style="thin">
        <color rgb="FF777777"/>
      </bottom>
      <diagonal/>
    </border>
    <border>
      <left style="double">
        <color indexed="64"/>
      </left>
      <right style="hair">
        <color indexed="64"/>
      </right>
      <top style="thin">
        <color indexed="64"/>
      </top>
      <bottom style="thin">
        <color rgb="FF777777"/>
      </bottom>
      <diagonal/>
    </border>
    <border>
      <left/>
      <right style="thin">
        <color indexed="64"/>
      </right>
      <top style="thin">
        <color indexed="64"/>
      </top>
      <bottom style="thin">
        <color rgb="FF777777"/>
      </bottom>
      <diagonal/>
    </border>
    <border>
      <left/>
      <right style="thin">
        <color rgb="FF808080"/>
      </right>
      <top style="thin">
        <color indexed="64"/>
      </top>
      <bottom style="thin">
        <color rgb="FF777777"/>
      </bottom>
      <diagonal/>
    </border>
    <border>
      <left/>
      <right style="double">
        <color indexed="64"/>
      </right>
      <top style="thin">
        <color indexed="64"/>
      </top>
      <bottom style="thin">
        <color rgb="FF777777"/>
      </bottom>
      <diagonal/>
    </border>
    <border>
      <left/>
      <right style="double">
        <color indexed="64"/>
      </right>
      <top style="thin">
        <color rgb="FFF8F8F8"/>
      </top>
      <bottom/>
      <diagonal/>
    </border>
    <border>
      <left style="double">
        <color indexed="64"/>
      </left>
      <right/>
      <top style="thin">
        <color rgb="FFF8F8F8"/>
      </top>
      <bottom style="thin">
        <color indexed="23"/>
      </bottom>
      <diagonal/>
    </border>
    <border>
      <left/>
      <right/>
      <top style="thin">
        <color rgb="FFF8F8F8"/>
      </top>
      <bottom style="thin">
        <color indexed="23"/>
      </bottom>
      <diagonal/>
    </border>
    <border>
      <left style="thin">
        <color indexed="8"/>
      </left>
      <right/>
      <top style="thin">
        <color rgb="FFF8F8F8"/>
      </top>
      <bottom style="thin">
        <color indexed="23"/>
      </bottom>
      <diagonal/>
    </border>
    <border>
      <left/>
      <right style="thin">
        <color rgb="FF808080"/>
      </right>
      <top style="thin">
        <color rgb="FFF8F8F8"/>
      </top>
      <bottom style="thin">
        <color indexed="23"/>
      </bottom>
      <diagonal/>
    </border>
    <border>
      <left style="double">
        <color indexed="64"/>
      </left>
      <right style="hair">
        <color indexed="64"/>
      </right>
      <top style="medium">
        <color rgb="FFF8F8F8"/>
      </top>
      <bottom style="thin">
        <color rgb="FF777777"/>
      </bottom>
      <diagonal/>
    </border>
    <border>
      <left/>
      <right style="thin">
        <color indexed="8"/>
      </right>
      <top style="medium">
        <color rgb="FFF8F8F8"/>
      </top>
      <bottom style="thin">
        <color rgb="FF777777"/>
      </bottom>
      <diagonal/>
    </border>
    <border>
      <left style="thin">
        <color indexed="8"/>
      </left>
      <right style="hair">
        <color indexed="64"/>
      </right>
      <top style="medium">
        <color rgb="FFF8F8F8"/>
      </top>
      <bottom style="thin">
        <color rgb="FF777777"/>
      </bottom>
      <diagonal/>
    </border>
    <border>
      <left/>
      <right style="double">
        <color indexed="64"/>
      </right>
      <top style="medium">
        <color rgb="FFF8F8F8"/>
      </top>
      <bottom style="thin">
        <color rgb="FF777777"/>
      </bottom>
      <diagonal/>
    </border>
    <border>
      <left style="thin">
        <color indexed="8"/>
      </left>
      <right style="hair">
        <color indexed="64"/>
      </right>
      <top/>
      <bottom/>
      <diagonal/>
    </border>
    <border>
      <left style="double">
        <color indexed="64"/>
      </left>
      <right style="hair">
        <color indexed="64"/>
      </right>
      <top style="thin">
        <color rgb="FF777777"/>
      </top>
      <bottom style="hair">
        <color indexed="64"/>
      </bottom>
      <diagonal/>
    </border>
    <border>
      <left/>
      <right style="thin">
        <color indexed="64"/>
      </right>
      <top style="thin">
        <color rgb="FF777777"/>
      </top>
      <bottom style="hair">
        <color indexed="64"/>
      </bottom>
      <diagonal/>
    </border>
    <border>
      <left style="thin">
        <color indexed="64"/>
      </left>
      <right style="hair">
        <color indexed="64"/>
      </right>
      <top style="thin">
        <color rgb="FF777777"/>
      </top>
      <bottom style="hair">
        <color indexed="64"/>
      </bottom>
      <diagonal/>
    </border>
    <border>
      <left style="hair">
        <color indexed="64"/>
      </left>
      <right style="thin">
        <color indexed="64"/>
      </right>
      <top style="thin">
        <color rgb="FF777777"/>
      </top>
      <bottom style="hair">
        <color indexed="64"/>
      </bottom>
      <diagonal/>
    </border>
    <border>
      <left style="thin">
        <color rgb="FFDDDDDD"/>
      </left>
      <right/>
      <top/>
      <bottom style="hair">
        <color indexed="64"/>
      </bottom>
      <diagonal/>
    </border>
    <border>
      <left style="double">
        <color indexed="64"/>
      </left>
      <right style="hair">
        <color indexed="64"/>
      </right>
      <top/>
      <bottom style="thin">
        <color rgb="FF777777"/>
      </bottom>
      <diagonal/>
    </border>
    <border>
      <left style="thin">
        <color indexed="64"/>
      </left>
      <right style="hair">
        <color indexed="64"/>
      </right>
      <top/>
      <bottom style="thin">
        <color rgb="FF777777"/>
      </bottom>
      <diagonal/>
    </border>
    <border>
      <left style="double">
        <color indexed="64"/>
      </left>
      <right style="hair">
        <color indexed="64"/>
      </right>
      <top style="hair">
        <color indexed="64"/>
      </top>
      <bottom style="thin">
        <color rgb="FF777777"/>
      </bottom>
      <diagonal/>
    </border>
    <border>
      <left/>
      <right style="thin">
        <color indexed="64"/>
      </right>
      <top style="hair">
        <color indexed="64"/>
      </top>
      <bottom style="thin">
        <color rgb="FF777777"/>
      </bottom>
      <diagonal/>
    </border>
    <border>
      <left style="thin">
        <color indexed="64"/>
      </left>
      <right style="hair">
        <color indexed="64"/>
      </right>
      <top style="hair">
        <color indexed="64"/>
      </top>
      <bottom style="thin">
        <color rgb="FF777777"/>
      </bottom>
      <diagonal/>
    </border>
    <border>
      <left/>
      <right style="double">
        <color auto="1"/>
      </right>
      <top style="hair">
        <color indexed="64"/>
      </top>
      <bottom style="thin">
        <color rgb="FF777777"/>
      </bottom>
      <diagonal/>
    </border>
    <border diagonalUp="1">
      <left style="thin">
        <color indexed="64"/>
      </left>
      <right/>
      <top style="thin">
        <color rgb="FF777777"/>
      </top>
      <bottom style="hair">
        <color indexed="64"/>
      </bottom>
      <diagonal style="thin">
        <color indexed="64"/>
      </diagonal>
    </border>
    <border diagonalUp="1">
      <left/>
      <right style="thin">
        <color rgb="FF808080"/>
      </right>
      <top style="thin">
        <color rgb="FF777777"/>
      </top>
      <bottom style="hair">
        <color indexed="64"/>
      </bottom>
      <diagonal style="thin">
        <color indexed="64"/>
      </diagonal>
    </border>
    <border diagonalUp="1">
      <left style="double">
        <color auto="1"/>
      </left>
      <right/>
      <top style="hair">
        <color indexed="64"/>
      </top>
      <bottom style="thin">
        <color rgb="FF777777"/>
      </bottom>
      <diagonal style="thin">
        <color auto="1"/>
      </diagonal>
    </border>
    <border diagonalUp="1">
      <left/>
      <right/>
      <top style="hair">
        <color indexed="64"/>
      </top>
      <bottom style="thin">
        <color rgb="FF777777"/>
      </bottom>
      <diagonal style="thin">
        <color auto="1"/>
      </diagonal>
    </border>
    <border diagonalUp="1">
      <left/>
      <right style="thin">
        <color indexed="64"/>
      </right>
      <top style="hair">
        <color indexed="64"/>
      </top>
      <bottom style="thin">
        <color rgb="FF777777"/>
      </bottom>
      <diagonal style="thin">
        <color auto="1"/>
      </diagonal>
    </border>
    <border>
      <left style="double">
        <color indexed="64"/>
      </left>
      <right/>
      <top style="medium">
        <color rgb="FFF8F8F8"/>
      </top>
      <bottom style="thin">
        <color rgb="FF777777"/>
      </bottom>
      <diagonal/>
    </border>
    <border>
      <left/>
      <right style="thin">
        <color indexed="64"/>
      </right>
      <top style="medium">
        <color rgb="FFF8F8F8"/>
      </top>
      <bottom style="thin">
        <color rgb="FF777777"/>
      </bottom>
      <diagonal/>
    </border>
    <border>
      <left/>
      <right/>
      <top/>
      <bottom style="thin">
        <color rgb="FFF8F8F8"/>
      </bottom>
      <diagonal/>
    </border>
    <border>
      <left style="thin">
        <color auto="1"/>
      </left>
      <right/>
      <top style="thin">
        <color auto="1"/>
      </top>
      <bottom style="thin">
        <color auto="1"/>
      </bottom>
      <diagonal/>
    </border>
    <border>
      <left style="thin">
        <color auto="1"/>
      </left>
      <right/>
      <top style="thin">
        <color auto="1"/>
      </top>
      <bottom/>
      <diagonal/>
    </border>
    <border>
      <left style="thin">
        <color rgb="FFDDDDDD"/>
      </left>
      <right/>
      <top style="thin">
        <color indexed="23"/>
      </top>
      <bottom/>
      <diagonal/>
    </border>
    <border>
      <left/>
      <right style="thin">
        <color indexed="64"/>
      </right>
      <top style="thin">
        <color indexed="64"/>
      </top>
      <bottom/>
      <diagonal/>
    </border>
    <border>
      <left/>
      <right style="hair">
        <color indexed="64"/>
      </right>
      <top style="thin">
        <color indexed="64"/>
      </top>
      <bottom/>
      <diagonal/>
    </border>
    <border>
      <left/>
      <right style="thin">
        <color rgb="FF808080"/>
      </right>
      <top style="thin">
        <color indexed="64"/>
      </top>
      <bottom/>
      <diagonal/>
    </border>
    <border>
      <left/>
      <right style="double">
        <color indexed="64"/>
      </right>
      <top style="thin">
        <color indexed="64"/>
      </top>
      <bottom/>
      <diagonal/>
    </border>
    <border>
      <left style="thin">
        <color auto="1"/>
      </left>
      <right/>
      <top style="thin">
        <color auto="1"/>
      </top>
      <bottom/>
      <diagonal/>
    </border>
    <border>
      <left style="thin">
        <color rgb="FFDDDDDD"/>
      </left>
      <right/>
      <top style="thin">
        <color indexed="23"/>
      </top>
      <bottom/>
      <diagonal/>
    </border>
    <border>
      <left/>
      <right style="thin">
        <color indexed="64"/>
      </right>
      <top style="thin">
        <color indexed="64"/>
      </top>
      <bottom/>
      <diagonal/>
    </border>
    <border>
      <left/>
      <right style="hair">
        <color indexed="64"/>
      </right>
      <top style="thin">
        <color indexed="64"/>
      </top>
      <bottom/>
      <diagonal/>
    </border>
    <border>
      <left/>
      <right style="thin">
        <color rgb="FF808080"/>
      </right>
      <top style="thin">
        <color indexed="64"/>
      </top>
      <bottom/>
      <diagonal/>
    </border>
    <border>
      <left/>
      <right style="double">
        <color indexed="64"/>
      </right>
      <top style="thin">
        <color indexed="64"/>
      </top>
      <bottom/>
      <diagonal/>
    </border>
    <border>
      <left style="double">
        <color indexed="64"/>
      </left>
      <right/>
      <top style="hair">
        <color indexed="64"/>
      </top>
      <bottom style="hair">
        <color indexed="64"/>
      </bottom>
      <diagonal/>
    </border>
    <border>
      <left style="thin">
        <color indexed="64"/>
      </left>
      <right/>
      <top style="hair">
        <color indexed="64"/>
      </top>
      <bottom style="hair">
        <color indexed="64"/>
      </bottom>
      <diagonal/>
    </border>
    <border>
      <left style="double">
        <color auto="1"/>
      </left>
      <right/>
      <top style="hair">
        <color indexed="64"/>
      </top>
      <bottom style="thin">
        <color rgb="FF777777"/>
      </bottom>
      <diagonal/>
    </border>
    <border>
      <left style="thin">
        <color indexed="64"/>
      </left>
      <right/>
      <top style="hair">
        <color indexed="64"/>
      </top>
      <bottom style="thin">
        <color rgb="FF777777"/>
      </bottom>
      <diagonal/>
    </border>
    <border>
      <left style="thin">
        <color rgb="FF777777"/>
      </left>
      <right/>
      <top/>
      <bottom style="thin">
        <color rgb="FF777777"/>
      </bottom>
      <diagonal/>
    </border>
    <border>
      <left style="hair">
        <color indexed="64"/>
      </left>
      <right style="hair">
        <color indexed="64"/>
      </right>
      <top/>
      <bottom style="thin">
        <color rgb="FF777777"/>
      </bottom>
      <diagonal/>
    </border>
    <border>
      <left style="hair">
        <color indexed="64"/>
      </left>
      <right style="hair">
        <color indexed="64"/>
      </right>
      <top/>
      <bottom style="hair">
        <color indexed="64"/>
      </bottom>
      <diagonal/>
    </border>
    <border>
      <left style="thin">
        <color rgb="FFDDDDDD"/>
      </left>
      <right style="hair">
        <color indexed="64"/>
      </right>
      <top/>
      <bottom style="hair">
        <color indexed="64"/>
      </bottom>
      <diagonal/>
    </border>
    <border>
      <left style="thin">
        <color rgb="FFDDDDDD"/>
      </left>
      <right style="hair">
        <color indexed="64"/>
      </right>
      <top style="thin">
        <color rgb="FF777777"/>
      </top>
      <bottom style="hair">
        <color indexed="64"/>
      </bottom>
      <diagonal/>
    </border>
    <border>
      <left style="thin">
        <color rgb="FF777777"/>
      </left>
      <right style="thin">
        <color rgb="FF808080"/>
      </right>
      <top style="medium">
        <color rgb="FFF8F8F8"/>
      </top>
      <bottom/>
      <diagonal/>
    </border>
    <border>
      <left style="thin">
        <color rgb="FF777777"/>
      </left>
      <right style="thin">
        <color rgb="FF777777"/>
      </right>
      <top style="medium">
        <color rgb="FFF8F8F8"/>
      </top>
      <bottom/>
      <diagonal/>
    </border>
    <border>
      <left style="thin">
        <color rgb="FFDDDDDD"/>
      </left>
      <right style="thin">
        <color rgb="FF777777"/>
      </right>
      <top style="medium">
        <color rgb="FFF8F8F8"/>
      </top>
      <bottom/>
      <diagonal/>
    </border>
    <border>
      <left style="thin">
        <color rgb="FF777777"/>
      </left>
      <right/>
      <top style="medium">
        <color rgb="FFF8F8F8"/>
      </top>
      <bottom/>
      <diagonal/>
    </border>
    <border>
      <left/>
      <right style="thin">
        <color rgb="FF777777"/>
      </right>
      <top style="medium">
        <color rgb="FFF8F8F8"/>
      </top>
      <bottom/>
      <diagonal/>
    </border>
    <border>
      <left style="hair">
        <color indexed="64"/>
      </left>
      <right style="hair">
        <color indexed="64"/>
      </right>
      <top style="hair">
        <color indexed="64"/>
      </top>
      <bottom/>
      <diagonal/>
    </border>
    <border>
      <left/>
      <right style="thin">
        <color indexed="64"/>
      </right>
      <top style="thin">
        <color rgb="FFF8F8F8"/>
      </top>
      <bottom style="hair">
        <color indexed="64"/>
      </bottom>
      <diagonal/>
    </border>
    <border>
      <left style="thin">
        <color rgb="FF808080"/>
      </left>
      <right/>
      <top style="medium">
        <color rgb="FFF8F8F8"/>
      </top>
      <bottom style="thin">
        <color rgb="FF777777"/>
      </bottom>
      <diagonal/>
    </border>
    <border>
      <left/>
      <right/>
      <top style="double">
        <color rgb="FF777777"/>
      </top>
      <bottom style="thin">
        <color rgb="FF777777"/>
      </bottom>
      <diagonal/>
    </border>
    <border>
      <left style="thin">
        <color rgb="FFDDDDDD"/>
      </left>
      <right/>
      <top style="double">
        <color rgb="FF777777"/>
      </top>
      <bottom style="thin">
        <color rgb="FF777777"/>
      </bottom>
      <diagonal/>
    </border>
    <border>
      <left style="hair">
        <color rgb="FF000000"/>
      </left>
      <right/>
      <top style="double">
        <color rgb="FF777777"/>
      </top>
      <bottom style="thin">
        <color rgb="FF777777"/>
      </bottom>
      <diagonal/>
    </border>
    <border>
      <left style="thin">
        <color rgb="FF000000"/>
      </left>
      <right/>
      <top style="double">
        <color rgb="FF777777"/>
      </top>
      <bottom style="thin">
        <color rgb="FF777777"/>
      </bottom>
      <diagonal/>
    </border>
    <border>
      <left style="hair">
        <color rgb="FF000000"/>
      </left>
      <right style="thin">
        <color rgb="FF808080"/>
      </right>
      <top style="double">
        <color rgb="FF777777"/>
      </top>
      <bottom style="thin">
        <color rgb="FF777777"/>
      </bottom>
      <diagonal/>
    </border>
    <border>
      <left/>
      <right style="hair">
        <color rgb="FF000000"/>
      </right>
      <top style="double">
        <color rgb="FF777777"/>
      </top>
      <bottom style="thin">
        <color rgb="FF777777"/>
      </bottom>
      <diagonal/>
    </border>
    <border>
      <left style="thin">
        <color indexed="64"/>
      </left>
      <right/>
      <top style="hair">
        <color indexed="64"/>
      </top>
      <bottom/>
      <diagonal/>
    </border>
    <border>
      <left style="thin">
        <color indexed="64"/>
      </left>
      <right style="thin">
        <color indexed="64"/>
      </right>
      <top/>
      <bottom style="thin">
        <color rgb="FF777777"/>
      </bottom>
      <diagonal/>
    </border>
    <border>
      <left style="thin">
        <color indexed="64"/>
      </left>
      <right style="thin">
        <color indexed="64"/>
      </right>
      <top/>
      <bottom style="hair">
        <color indexed="64"/>
      </bottom>
      <diagonal/>
    </border>
    <border>
      <left style="thin">
        <color indexed="64"/>
      </left>
      <right style="thin">
        <color indexed="64"/>
      </right>
      <top style="thin">
        <color rgb="FF777777"/>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diagonal/>
    </border>
    <border>
      <left style="thin">
        <color indexed="64"/>
      </left>
      <right style="thin">
        <color indexed="64"/>
      </right>
      <top style="thin">
        <color rgb="FFF8F8F8"/>
      </top>
      <bottom/>
      <diagonal/>
    </border>
    <border>
      <left style="thin">
        <color rgb="FF777777"/>
      </left>
      <right style="thin">
        <color rgb="FF777777"/>
      </right>
      <top style="medium">
        <color rgb="FFF8F8F8"/>
      </top>
      <bottom style="thin">
        <color rgb="FF777777"/>
      </bottom>
      <diagonal/>
    </border>
    <border>
      <left style="thin">
        <color rgb="FFDDDDDD"/>
      </left>
      <right style="thin">
        <color rgb="FF777777"/>
      </right>
      <top style="medium">
        <color rgb="FFF8F8F8"/>
      </top>
      <bottom style="thin">
        <color rgb="FF777777"/>
      </bottom>
      <diagonal/>
    </border>
    <border>
      <left/>
      <right/>
      <top style="medium">
        <color rgb="FF5F5F5F"/>
      </top>
      <bottom/>
      <diagonal/>
    </border>
    <border>
      <left/>
      <right/>
      <top/>
      <bottom style="medium">
        <color rgb="FF5F5F5F"/>
      </bottom>
      <diagonal/>
    </border>
    <border>
      <left/>
      <right style="thin">
        <color rgb="FFF8F8F8"/>
      </right>
      <top/>
      <bottom style="medium">
        <color rgb="FFF8F8F8"/>
      </bottom>
      <diagonal/>
    </border>
    <border>
      <left style="thin">
        <color rgb="FFDDDDDD"/>
      </left>
      <right/>
      <top/>
      <bottom style="medium">
        <color rgb="FFF8F8F8"/>
      </bottom>
      <diagonal/>
    </border>
    <border>
      <left/>
      <right style="thin">
        <color rgb="FFF8F8F8"/>
      </right>
      <top style="thin">
        <color rgb="FFB2B2B2"/>
      </top>
      <bottom/>
      <diagonal/>
    </border>
    <border>
      <left style="thin">
        <color rgb="FFDDDDDD"/>
      </left>
      <right/>
      <top style="thin">
        <color rgb="FFB2B2B2"/>
      </top>
      <bottom/>
      <diagonal/>
    </border>
    <border>
      <left style="thin">
        <color indexed="64"/>
      </left>
      <right style="thin">
        <color rgb="FF808080"/>
      </right>
      <top style="thin">
        <color rgb="FFF8F8F8"/>
      </top>
      <bottom/>
      <diagonal/>
    </border>
    <border>
      <left style="thin">
        <color indexed="64"/>
      </left>
      <right style="thin">
        <color rgb="FF808080"/>
      </right>
      <top/>
      <bottom/>
      <diagonal/>
    </border>
    <border>
      <left style="hair">
        <color indexed="64"/>
      </left>
      <right style="thin">
        <color indexed="64"/>
      </right>
      <top style="thin">
        <color rgb="FFDDDDDD"/>
      </top>
      <bottom style="thin">
        <color rgb="FF777777"/>
      </bottom>
      <diagonal/>
    </border>
    <border>
      <left/>
      <right style="hair">
        <color indexed="64"/>
      </right>
      <top style="thin">
        <color rgb="FFDDDDDD"/>
      </top>
      <bottom style="thin">
        <color rgb="FF777777"/>
      </bottom>
      <diagonal/>
    </border>
    <border>
      <left style="thin">
        <color indexed="64"/>
      </left>
      <right style="hair">
        <color indexed="64"/>
      </right>
      <top style="thin">
        <color rgb="FFDDDDDD"/>
      </top>
      <bottom style="thin">
        <color rgb="FF777777"/>
      </bottom>
      <diagonal/>
    </border>
    <border>
      <left/>
      <right style="thin">
        <color indexed="64"/>
      </right>
      <top style="thin">
        <color rgb="FFDDDDDD"/>
      </top>
      <bottom style="thin">
        <color rgb="FF777777"/>
      </bottom>
      <diagonal/>
    </border>
    <border>
      <left/>
      <right style="thin">
        <color rgb="FF808080"/>
      </right>
      <top style="thin">
        <color rgb="FFDDDDDD"/>
      </top>
      <bottom style="thin">
        <color rgb="FF777777"/>
      </bottom>
      <diagonal/>
    </border>
    <border>
      <left style="thin">
        <color rgb="FFDDDDDD"/>
      </left>
      <right/>
      <top style="thin">
        <color rgb="FFDDDDDD"/>
      </top>
      <bottom style="thin">
        <color rgb="FF777777"/>
      </bottom>
      <diagonal/>
    </border>
    <border>
      <left/>
      <right/>
      <top style="thin">
        <color rgb="FFDDDDDD"/>
      </top>
      <bottom style="thin">
        <color rgb="FF777777"/>
      </bottom>
      <diagonal/>
    </border>
    <border>
      <left style="thin">
        <color rgb="FFDDDDDD"/>
      </left>
      <right/>
      <top style="thin">
        <color rgb="FFDDDDDD"/>
      </top>
      <bottom/>
      <diagonal/>
    </border>
    <border>
      <left/>
      <right/>
      <top style="thin">
        <color rgb="FFDDDDDD"/>
      </top>
      <bottom/>
      <diagonal/>
    </border>
    <border>
      <left/>
      <right style="thin">
        <color rgb="FF808080"/>
      </right>
      <top style="thin">
        <color rgb="FFDDDDDD"/>
      </top>
      <bottom/>
      <diagonal/>
    </border>
    <border>
      <left style="thin">
        <color rgb="FFDDDDDD"/>
      </left>
      <right/>
      <top style="double">
        <color rgb="FF000000"/>
      </top>
      <bottom style="hair">
        <color rgb="FF000000"/>
      </bottom>
      <diagonal/>
    </border>
    <border>
      <left style="hair">
        <color rgb="FF000000"/>
      </left>
      <right/>
      <top style="double">
        <color rgb="FF000000"/>
      </top>
      <bottom style="hair">
        <color rgb="FF000000"/>
      </bottom>
      <diagonal/>
    </border>
    <border>
      <left style="thin">
        <color rgb="FF000000"/>
      </left>
      <right/>
      <top style="double">
        <color rgb="FF000000"/>
      </top>
      <bottom style="hair">
        <color rgb="FF000000"/>
      </bottom>
      <diagonal/>
    </border>
    <border>
      <left style="thin">
        <color rgb="FF000000"/>
      </left>
      <right style="thin">
        <color rgb="FF808080"/>
      </right>
      <top style="double">
        <color rgb="FF000000"/>
      </top>
      <bottom style="hair">
        <color rgb="FF000000"/>
      </bottom>
      <diagonal/>
    </border>
    <border>
      <left/>
      <right/>
      <top style="double">
        <color rgb="FF000000"/>
      </top>
      <bottom style="hair">
        <color rgb="FF000000"/>
      </bottom>
      <diagonal/>
    </border>
    <border>
      <left/>
      <right style="thin">
        <color rgb="FF000000"/>
      </right>
      <top style="double">
        <color rgb="FF000000"/>
      </top>
      <bottom style="hair">
        <color rgb="FF000000"/>
      </bottom>
      <diagonal/>
    </border>
    <border>
      <left style="thin">
        <color rgb="FFDDDDDD"/>
      </left>
      <right/>
      <top style="double">
        <color rgb="FF000000"/>
      </top>
      <bottom style="thin">
        <color rgb="FF777777"/>
      </bottom>
      <diagonal/>
    </border>
    <border>
      <left style="hair">
        <color rgb="FF000000"/>
      </left>
      <right/>
      <top style="double">
        <color rgb="FF000000"/>
      </top>
      <bottom style="thin">
        <color rgb="FF777777"/>
      </bottom>
      <diagonal/>
    </border>
    <border>
      <left style="thin">
        <color rgb="FF000000"/>
      </left>
      <right/>
      <top style="double">
        <color rgb="FF000000"/>
      </top>
      <bottom style="thin">
        <color rgb="FF777777"/>
      </bottom>
      <diagonal/>
    </border>
    <border>
      <left style="thin">
        <color rgb="FF000000"/>
      </left>
      <right style="thin">
        <color rgb="FF808080"/>
      </right>
      <top style="double">
        <color rgb="FF000000"/>
      </top>
      <bottom style="thin">
        <color rgb="FF777777"/>
      </bottom>
      <diagonal/>
    </border>
    <border>
      <left style="thin">
        <color rgb="FFDDDDDD"/>
      </left>
      <right/>
      <top style="double">
        <color rgb="FF777777"/>
      </top>
      <bottom/>
      <diagonal/>
    </border>
    <border>
      <left/>
      <right/>
      <top style="double">
        <color rgb="FF777777"/>
      </top>
      <bottom/>
      <diagonal/>
    </border>
    <border>
      <left/>
      <right style="thin">
        <color rgb="FF000000"/>
      </right>
      <top style="double">
        <color rgb="FF777777"/>
      </top>
      <bottom/>
      <diagonal/>
    </border>
    <border>
      <left style="thin">
        <color rgb="FF000000"/>
      </left>
      <right/>
      <top style="double">
        <color rgb="FF777777"/>
      </top>
      <bottom/>
      <diagonal/>
    </border>
    <border>
      <left style="hair">
        <color rgb="FF000000"/>
      </left>
      <right/>
      <top style="double">
        <color rgb="FF777777"/>
      </top>
      <bottom/>
      <diagonal/>
    </border>
    <border>
      <left style="thin">
        <color rgb="FF000000"/>
      </left>
      <right style="thin">
        <color rgb="FF808080"/>
      </right>
      <top style="double">
        <color rgb="FF777777"/>
      </top>
      <bottom/>
      <diagonal/>
    </border>
    <border>
      <left style="thin">
        <color rgb="FF000000"/>
      </left>
      <right/>
      <top style="thin">
        <color rgb="FFDDDDDD"/>
      </top>
      <bottom style="thin">
        <color rgb="FF777777"/>
      </bottom>
      <diagonal/>
    </border>
    <border>
      <left style="hair">
        <color rgb="FF000000"/>
      </left>
      <right/>
      <top style="thin">
        <color rgb="FFDDDDDD"/>
      </top>
      <bottom style="thin">
        <color rgb="FF777777"/>
      </bottom>
      <diagonal/>
    </border>
    <border>
      <left style="thin">
        <color rgb="FF000000"/>
      </left>
      <right style="thin">
        <color rgb="FF808080"/>
      </right>
      <top style="thin">
        <color rgb="FFDDDDDD"/>
      </top>
      <bottom style="thin">
        <color rgb="FF777777"/>
      </bottom>
      <diagonal/>
    </border>
    <border>
      <left/>
      <right style="thin">
        <color rgb="FF000000"/>
      </right>
      <top style="thin">
        <color rgb="FFDDDDDD"/>
      </top>
      <bottom style="thin">
        <color rgb="FF777777"/>
      </bottom>
      <diagonal/>
    </border>
    <border>
      <left style="thin">
        <color rgb="FFDDDDDD"/>
      </left>
      <right/>
      <top style="hair">
        <color auto="1"/>
      </top>
      <bottom/>
      <diagonal/>
    </border>
    <border>
      <left style="hair">
        <color rgb="FF000000"/>
      </left>
      <right/>
      <top style="hair">
        <color indexed="64"/>
      </top>
      <bottom/>
      <diagonal/>
    </border>
    <border>
      <left/>
      <right style="thin">
        <color rgb="FF000000"/>
      </right>
      <top style="hair">
        <color indexed="64"/>
      </top>
      <bottom/>
      <diagonal/>
    </border>
    <border>
      <left style="thin">
        <color rgb="FF000000"/>
      </left>
      <right/>
      <top style="hair">
        <color indexed="64"/>
      </top>
      <bottom/>
      <diagonal/>
    </border>
    <border>
      <left style="thin">
        <color rgb="FF000000"/>
      </left>
      <right style="thin">
        <color rgb="FF808080"/>
      </right>
      <top style="hair">
        <color indexed="64"/>
      </top>
      <bottom/>
      <diagonal/>
    </border>
  </borders>
  <cellStyleXfs count="20">
    <xf numFmtId="0" fontId="0" fillId="0" borderId="0">
      <alignment vertical="center"/>
    </xf>
    <xf numFmtId="0" fontId="3" fillId="0" borderId="0"/>
    <xf numFmtId="0" fontId="8" fillId="0" borderId="0"/>
    <xf numFmtId="0" fontId="11" fillId="0" borderId="0"/>
    <xf numFmtId="0" fontId="6" fillId="0" borderId="0">
      <alignment vertical="center"/>
    </xf>
    <xf numFmtId="0" fontId="16" fillId="0" borderId="0"/>
    <xf numFmtId="0" fontId="25" fillId="0" borderId="0"/>
    <xf numFmtId="0" fontId="16" fillId="0" borderId="0"/>
    <xf numFmtId="0" fontId="3" fillId="0" borderId="0"/>
    <xf numFmtId="0" fontId="31" fillId="0" borderId="0"/>
    <xf numFmtId="0" fontId="25" fillId="0" borderId="0"/>
    <xf numFmtId="0" fontId="8" fillId="0" borderId="0"/>
    <xf numFmtId="38" fontId="11" fillId="0" borderId="0" applyFont="0" applyFill="0" applyBorder="0" applyAlignment="0" applyProtection="0"/>
    <xf numFmtId="0" fontId="10" fillId="0" borderId="0">
      <alignment vertical="center"/>
    </xf>
    <xf numFmtId="0" fontId="38" fillId="0" borderId="0"/>
    <xf numFmtId="0" fontId="11" fillId="0" borderId="0">
      <alignment vertical="center"/>
    </xf>
    <xf numFmtId="0" fontId="49" fillId="0" borderId="0"/>
    <xf numFmtId="0" fontId="38" fillId="0" borderId="0"/>
    <xf numFmtId="0" fontId="1" fillId="0" borderId="0">
      <alignment vertical="center"/>
    </xf>
    <xf numFmtId="0" fontId="16" fillId="0" borderId="0"/>
  </cellStyleXfs>
  <cellXfs count="1776">
    <xf numFmtId="0" fontId="0" fillId="0" borderId="0" xfId="0">
      <alignment vertical="center"/>
    </xf>
    <xf numFmtId="0" fontId="3" fillId="0" borderId="0" xfId="1" applyFont="1" applyBorder="1" applyAlignment="1" applyProtection="1">
      <alignment vertical="center"/>
      <protection locked="0"/>
    </xf>
    <xf numFmtId="0" fontId="3" fillId="0" borderId="0" xfId="1" applyFont="1" applyBorder="1" applyProtection="1">
      <protection locked="0"/>
    </xf>
    <xf numFmtId="0" fontId="5" fillId="0" borderId="0" xfId="1" applyFont="1" applyAlignment="1" applyProtection="1">
      <alignment horizontal="right"/>
      <protection locked="0"/>
    </xf>
    <xf numFmtId="176" fontId="5" fillId="0" borderId="0" xfId="1" applyNumberFormat="1" applyFont="1" applyProtection="1"/>
    <xf numFmtId="0" fontId="3" fillId="0" borderId="0" xfId="1" applyFont="1" applyProtection="1">
      <protection locked="0"/>
    </xf>
    <xf numFmtId="0" fontId="6" fillId="0" borderId="0" xfId="1" applyFont="1" applyAlignment="1" applyProtection="1">
      <alignment vertical="center"/>
      <protection locked="0"/>
    </xf>
    <xf numFmtId="0" fontId="3" fillId="0" borderId="0" xfId="1" applyNumberFormat="1" applyFont="1" applyProtection="1">
      <protection locked="0"/>
    </xf>
    <xf numFmtId="0" fontId="7" fillId="2" borderId="1" xfId="1" applyFont="1" applyFill="1" applyBorder="1" applyAlignment="1" applyProtection="1">
      <alignment horizontal="center" vertical="center" shrinkToFit="1"/>
      <protection locked="0"/>
    </xf>
    <xf numFmtId="0" fontId="5" fillId="0" borderId="0" xfId="1" applyFont="1" applyAlignment="1" applyProtection="1">
      <alignment vertical="center"/>
      <protection locked="0"/>
    </xf>
    <xf numFmtId="0" fontId="9" fillId="2" borderId="2" xfId="2" applyFont="1" applyFill="1" applyBorder="1" applyAlignment="1" applyProtection="1">
      <alignment horizontal="left" vertical="center" indent="1"/>
      <protection locked="0"/>
    </xf>
    <xf numFmtId="0" fontId="12" fillId="2" borderId="3" xfId="3" applyFont="1" applyFill="1" applyBorder="1" applyAlignment="1">
      <alignment horizontal="center" vertical="center"/>
    </xf>
    <xf numFmtId="0" fontId="12" fillId="2" borderId="3" xfId="3" applyFont="1" applyFill="1" applyBorder="1"/>
    <xf numFmtId="0" fontId="12" fillId="2" borderId="4" xfId="3" applyFont="1" applyFill="1" applyBorder="1" applyAlignment="1">
      <alignment horizontal="center" vertical="center"/>
    </xf>
    <xf numFmtId="0" fontId="12" fillId="0" borderId="0" xfId="3" applyFont="1"/>
    <xf numFmtId="0" fontId="6" fillId="0" borderId="0" xfId="3" applyFont="1"/>
    <xf numFmtId="0" fontId="3" fillId="0" borderId="0" xfId="3" applyFont="1" applyBorder="1" applyAlignment="1">
      <alignment horizontal="center" vertical="center"/>
    </xf>
    <xf numFmtId="0" fontId="6" fillId="0" borderId="0" xfId="3" applyFont="1" applyBorder="1"/>
    <xf numFmtId="0" fontId="6" fillId="0" borderId="0" xfId="3" applyFont="1" applyBorder="1" applyAlignment="1"/>
    <xf numFmtId="0" fontId="6" fillId="0" borderId="0" xfId="3" applyFont="1" applyBorder="1" applyAlignment="1">
      <alignment horizontal="center"/>
    </xf>
    <xf numFmtId="0" fontId="6" fillId="3" borderId="5" xfId="3" applyFont="1" applyFill="1" applyBorder="1" applyAlignment="1">
      <alignment horizontal="center" vertical="center"/>
    </xf>
    <xf numFmtId="0" fontId="6" fillId="3" borderId="6" xfId="3" applyFont="1" applyFill="1" applyBorder="1" applyAlignment="1">
      <alignment horizontal="center" vertical="center"/>
    </xf>
    <xf numFmtId="0" fontId="6" fillId="3" borderId="6" xfId="3" applyFont="1" applyFill="1" applyBorder="1" applyAlignment="1">
      <alignment horizontal="center" vertical="center"/>
    </xf>
    <xf numFmtId="0" fontId="6" fillId="3" borderId="7" xfId="3" applyFont="1" applyFill="1" applyBorder="1" applyAlignment="1">
      <alignment horizontal="center" vertical="center"/>
    </xf>
    <xf numFmtId="0" fontId="6" fillId="3" borderId="8" xfId="3" applyFont="1" applyFill="1" applyBorder="1" applyAlignment="1">
      <alignment horizontal="center" vertical="center"/>
    </xf>
    <xf numFmtId="0" fontId="6" fillId="3" borderId="9" xfId="3" applyFont="1" applyFill="1" applyBorder="1" applyAlignment="1">
      <alignment horizontal="center" vertical="center"/>
    </xf>
    <xf numFmtId="0" fontId="6" fillId="3" borderId="9" xfId="3" applyFont="1" applyFill="1" applyBorder="1" applyAlignment="1">
      <alignment horizontal="center" vertical="center"/>
    </xf>
    <xf numFmtId="0" fontId="6" fillId="3" borderId="10" xfId="3" applyFont="1" applyFill="1" applyBorder="1" applyAlignment="1">
      <alignment horizontal="center" vertical="center"/>
    </xf>
    <xf numFmtId="0" fontId="6" fillId="0" borderId="11" xfId="3" applyFont="1" applyBorder="1" applyAlignment="1">
      <alignment horizontal="center" vertical="center"/>
    </xf>
    <xf numFmtId="0" fontId="6" fillId="0" borderId="12" xfId="3" applyFont="1" applyBorder="1" applyAlignment="1">
      <alignment horizontal="center" vertical="center"/>
    </xf>
    <xf numFmtId="177" fontId="6" fillId="0" borderId="12" xfId="3" applyNumberFormat="1" applyFont="1" applyBorder="1" applyAlignment="1">
      <alignment horizontal="right" vertical="center"/>
    </xf>
    <xf numFmtId="177" fontId="6" fillId="0" borderId="12" xfId="3" applyNumberFormat="1" applyFont="1" applyBorder="1" applyAlignment="1">
      <alignment horizontal="right" vertical="center"/>
    </xf>
    <xf numFmtId="177" fontId="6" fillId="0" borderId="13" xfId="3" applyNumberFormat="1" applyFont="1" applyBorder="1" applyAlignment="1">
      <alignment horizontal="right" vertical="center"/>
    </xf>
    <xf numFmtId="0" fontId="6" fillId="0" borderId="14" xfId="3" applyFont="1" applyBorder="1" applyAlignment="1">
      <alignment horizontal="center" vertical="center"/>
    </xf>
    <xf numFmtId="0" fontId="6" fillId="0" borderId="15" xfId="3" applyFont="1" applyBorder="1" applyAlignment="1">
      <alignment horizontal="center" vertical="center"/>
    </xf>
    <xf numFmtId="177" fontId="6" fillId="0" borderId="15" xfId="3" applyNumberFormat="1" applyFont="1" applyBorder="1" applyAlignment="1">
      <alignment horizontal="right" vertical="center"/>
    </xf>
    <xf numFmtId="177" fontId="6" fillId="0" borderId="16" xfId="3" applyNumberFormat="1" applyFont="1" applyBorder="1" applyAlignment="1">
      <alignment horizontal="right" vertical="center"/>
    </xf>
    <xf numFmtId="0" fontId="14" fillId="4" borderId="17" xfId="4" applyFont="1" applyFill="1" applyBorder="1" applyAlignment="1">
      <alignment horizontal="center" vertical="center"/>
    </xf>
    <xf numFmtId="0" fontId="14" fillId="5" borderId="17" xfId="4" applyFont="1" applyFill="1" applyBorder="1" applyAlignment="1">
      <alignment horizontal="center" vertical="center"/>
    </xf>
    <xf numFmtId="0" fontId="14" fillId="6" borderId="17" xfId="4" applyFont="1" applyFill="1" applyBorder="1" applyAlignment="1">
      <alignment horizontal="center" vertical="center"/>
    </xf>
    <xf numFmtId="0" fontId="15" fillId="3" borderId="5" xfId="3" applyFont="1" applyFill="1" applyBorder="1" applyAlignment="1">
      <alignment horizontal="justify" vertical="justify" wrapText="1"/>
    </xf>
    <xf numFmtId="0" fontId="15" fillId="3" borderId="6" xfId="3" applyFont="1" applyFill="1" applyBorder="1" applyAlignment="1">
      <alignment horizontal="justify" vertical="justify" wrapText="1"/>
    </xf>
    <xf numFmtId="178" fontId="6" fillId="3" borderId="6" xfId="3" applyNumberFormat="1" applyFont="1" applyFill="1" applyBorder="1" applyAlignment="1">
      <alignment horizontal="center" vertical="center"/>
    </xf>
    <xf numFmtId="178" fontId="6" fillId="3" borderId="7" xfId="3" applyNumberFormat="1" applyFont="1" applyFill="1" applyBorder="1" applyAlignment="1">
      <alignment horizontal="center" vertical="center"/>
    </xf>
    <xf numFmtId="0" fontId="6" fillId="0" borderId="11" xfId="3" applyFont="1" applyFill="1" applyBorder="1" applyAlignment="1">
      <alignment horizontal="center" vertical="center"/>
    </xf>
    <xf numFmtId="0" fontId="6" fillId="0" borderId="12" xfId="3" applyFont="1" applyFill="1" applyBorder="1" applyAlignment="1">
      <alignment horizontal="center" vertical="center"/>
    </xf>
    <xf numFmtId="179" fontId="6" fillId="0" borderId="18" xfId="3" applyNumberFormat="1" applyFont="1" applyFill="1" applyBorder="1" applyAlignment="1">
      <alignment horizontal="right" shrinkToFit="1"/>
    </xf>
    <xf numFmtId="179" fontId="6" fillId="0" borderId="19" xfId="3" applyNumberFormat="1" applyFont="1" applyFill="1" applyBorder="1" applyAlignment="1">
      <alignment horizontal="right" shrinkToFit="1"/>
    </xf>
    <xf numFmtId="179" fontId="6" fillId="0" borderId="12" xfId="3" applyNumberFormat="1" applyFont="1" applyFill="1" applyBorder="1" applyAlignment="1">
      <alignment horizontal="right" shrinkToFit="1"/>
    </xf>
    <xf numFmtId="179" fontId="6" fillId="0" borderId="13" xfId="3" applyNumberFormat="1" applyFont="1" applyFill="1" applyBorder="1" applyAlignment="1">
      <alignment horizontal="right" shrinkToFit="1"/>
    </xf>
    <xf numFmtId="0" fontId="17" fillId="2" borderId="3" xfId="5" applyFont="1" applyFill="1" applyBorder="1"/>
    <xf numFmtId="49" fontId="17" fillId="2" borderId="3" xfId="5" applyNumberFormat="1" applyFont="1" applyFill="1" applyBorder="1" applyAlignment="1">
      <alignment horizontal="center"/>
    </xf>
    <xf numFmtId="0" fontId="17" fillId="2" borderId="4" xfId="5" applyFont="1" applyFill="1" applyBorder="1"/>
    <xf numFmtId="0" fontId="17" fillId="0" borderId="0" xfId="5" applyFont="1" applyBorder="1"/>
    <xf numFmtId="0" fontId="14" fillId="0" borderId="0" xfId="5" applyFont="1"/>
    <xf numFmtId="0" fontId="6" fillId="0" borderId="20" xfId="4" applyBorder="1">
      <alignment vertical="center"/>
    </xf>
    <xf numFmtId="0" fontId="6" fillId="0" borderId="0" xfId="4">
      <alignment vertical="center"/>
    </xf>
    <xf numFmtId="0" fontId="18" fillId="0" borderId="0" xfId="5" applyFont="1" applyFill="1" applyBorder="1" applyAlignment="1">
      <alignment horizontal="left" vertical="center" wrapText="1"/>
    </xf>
    <xf numFmtId="0" fontId="14" fillId="7" borderId="21" xfId="5" applyFont="1" applyFill="1" applyBorder="1" applyAlignment="1">
      <alignment horizontal="center" vertical="center"/>
    </xf>
    <xf numFmtId="0" fontId="14" fillId="7" borderId="22" xfId="5" applyFont="1" applyFill="1" applyBorder="1" applyAlignment="1">
      <alignment horizontal="center" vertical="center"/>
    </xf>
    <xf numFmtId="0" fontId="14" fillId="7" borderId="23" xfId="5" applyFont="1" applyFill="1" applyBorder="1" applyAlignment="1">
      <alignment horizontal="center" vertical="center"/>
    </xf>
    <xf numFmtId="0" fontId="14" fillId="0" borderId="0" xfId="5" applyFont="1" applyBorder="1"/>
    <xf numFmtId="49" fontId="14" fillId="0" borderId="0" xfId="5" applyNumberFormat="1" applyFont="1" applyBorder="1" applyAlignment="1">
      <alignment horizontal="center"/>
    </xf>
    <xf numFmtId="0" fontId="14" fillId="0" borderId="0" xfId="5" applyFont="1" applyAlignment="1">
      <alignment horizontal="right"/>
    </xf>
    <xf numFmtId="0" fontId="14" fillId="3" borderId="24" xfId="5" applyFont="1" applyFill="1" applyBorder="1" applyAlignment="1">
      <alignment vertical="center"/>
    </xf>
    <xf numFmtId="178" fontId="14" fillId="3" borderId="25" xfId="5" applyNumberFormat="1" applyFont="1" applyFill="1" applyBorder="1" applyAlignment="1">
      <alignment horizontal="center" vertical="center"/>
    </xf>
    <xf numFmtId="178" fontId="14" fillId="3" borderId="26" xfId="5" applyNumberFormat="1" applyFont="1" applyFill="1" applyBorder="1" applyAlignment="1">
      <alignment horizontal="center" vertical="center"/>
    </xf>
    <xf numFmtId="178" fontId="14" fillId="3" borderId="27" xfId="5" applyNumberFormat="1" applyFont="1" applyFill="1" applyBorder="1" applyAlignment="1">
      <alignment horizontal="center" vertical="center"/>
    </xf>
    <xf numFmtId="0" fontId="14" fillId="0" borderId="28" xfId="5" applyFont="1" applyFill="1" applyBorder="1"/>
    <xf numFmtId="180" fontId="14" fillId="0" borderId="29" xfId="5" applyNumberFormat="1" applyFont="1" applyFill="1" applyBorder="1" applyAlignment="1"/>
    <xf numFmtId="180" fontId="14" fillId="0" borderId="30" xfId="5" applyNumberFormat="1" applyFont="1" applyFill="1" applyBorder="1" applyAlignment="1"/>
    <xf numFmtId="180" fontId="14" fillId="0" borderId="31" xfId="5" applyNumberFormat="1" applyFont="1" applyFill="1" applyBorder="1" applyAlignment="1"/>
    <xf numFmtId="49" fontId="14" fillId="0" borderId="0" xfId="5" applyNumberFormat="1" applyFont="1" applyAlignment="1">
      <alignment horizontal="center"/>
    </xf>
    <xf numFmtId="0" fontId="14" fillId="0" borderId="0" xfId="4" applyFont="1">
      <alignment vertical="center"/>
    </xf>
    <xf numFmtId="0" fontId="14" fillId="8" borderId="21" xfId="5" applyFont="1" applyFill="1" applyBorder="1" applyAlignment="1">
      <alignment horizontal="center" vertical="center"/>
    </xf>
    <xf numFmtId="0" fontId="14" fillId="8" borderId="22" xfId="5" applyFont="1" applyFill="1" applyBorder="1" applyAlignment="1">
      <alignment horizontal="center" vertical="center"/>
    </xf>
    <xf numFmtId="0" fontId="14" fillId="8" borderId="23" xfId="5" applyFont="1" applyFill="1" applyBorder="1" applyAlignment="1">
      <alignment horizontal="center" vertical="center"/>
    </xf>
    <xf numFmtId="0" fontId="14" fillId="9" borderId="17" xfId="4" applyFont="1" applyFill="1" applyBorder="1" applyAlignment="1">
      <alignment horizontal="center" vertical="center"/>
    </xf>
    <xf numFmtId="0" fontId="14" fillId="3" borderId="32" xfId="5" applyFont="1" applyFill="1" applyBorder="1" applyAlignment="1">
      <alignment horizontal="center" vertical="center"/>
    </xf>
    <xf numFmtId="178" fontId="14" fillId="3" borderId="33" xfId="5" applyNumberFormat="1" applyFont="1" applyFill="1" applyBorder="1" applyAlignment="1">
      <alignment horizontal="center" vertical="center"/>
    </xf>
    <xf numFmtId="178" fontId="14" fillId="3" borderId="34" xfId="5" applyNumberFormat="1" applyFont="1" applyFill="1" applyBorder="1" applyAlignment="1">
      <alignment horizontal="center" vertical="center"/>
    </xf>
    <xf numFmtId="178" fontId="14" fillId="3" borderId="35" xfId="5" applyNumberFormat="1" applyFont="1" applyFill="1" applyBorder="1" applyAlignment="1">
      <alignment horizontal="center" vertical="center"/>
    </xf>
    <xf numFmtId="0" fontId="14" fillId="3" borderId="36" xfId="5" applyFont="1" applyFill="1" applyBorder="1" applyAlignment="1">
      <alignment horizontal="center" vertical="center"/>
    </xf>
    <xf numFmtId="178" fontId="14" fillId="3" borderId="37" xfId="5" applyNumberFormat="1" applyFont="1" applyFill="1" applyBorder="1" applyAlignment="1">
      <alignment horizontal="center" vertical="center"/>
    </xf>
    <xf numFmtId="178" fontId="14" fillId="3" borderId="38" xfId="5" applyNumberFormat="1" applyFont="1" applyFill="1" applyBorder="1" applyAlignment="1">
      <alignment horizontal="center" vertical="center"/>
    </xf>
    <xf numFmtId="178" fontId="14" fillId="3" borderId="39" xfId="5" applyNumberFormat="1" applyFont="1" applyFill="1" applyBorder="1" applyAlignment="1">
      <alignment horizontal="center" vertical="center"/>
    </xf>
    <xf numFmtId="0" fontId="14" fillId="0" borderId="0" xfId="5" applyFont="1" applyAlignment="1">
      <alignment horizontal="left" indent="1"/>
    </xf>
    <xf numFmtId="0" fontId="14" fillId="3" borderId="40" xfId="5" applyFont="1" applyFill="1" applyBorder="1" applyAlignment="1">
      <alignment horizontal="center" vertical="center"/>
    </xf>
    <xf numFmtId="178" fontId="14" fillId="3" borderId="41" xfId="5" applyNumberFormat="1" applyFont="1" applyFill="1" applyBorder="1" applyAlignment="1">
      <alignment horizontal="center" vertical="center" shrinkToFit="1"/>
    </xf>
    <xf numFmtId="178" fontId="14" fillId="3" borderId="42" xfId="5" applyNumberFormat="1" applyFont="1" applyFill="1" applyBorder="1" applyAlignment="1">
      <alignment horizontal="center" vertical="center"/>
    </xf>
    <xf numFmtId="178" fontId="14" fillId="3" borderId="43" xfId="5" applyNumberFormat="1" applyFont="1" applyFill="1" applyBorder="1" applyAlignment="1">
      <alignment horizontal="center" vertical="center"/>
    </xf>
    <xf numFmtId="178" fontId="14" fillId="3" borderId="44" xfId="5" applyNumberFormat="1" applyFont="1" applyFill="1" applyBorder="1" applyAlignment="1">
      <alignment horizontal="center" vertical="center" shrinkToFit="1"/>
    </xf>
    <xf numFmtId="178" fontId="14" fillId="3" borderId="45" xfId="5" applyNumberFormat="1" applyFont="1" applyFill="1" applyBorder="1" applyAlignment="1">
      <alignment horizontal="center" vertical="center" shrinkToFit="1"/>
    </xf>
    <xf numFmtId="178" fontId="14" fillId="3" borderId="46" xfId="5" applyNumberFormat="1" applyFont="1" applyFill="1" applyBorder="1" applyAlignment="1">
      <alignment horizontal="center" vertical="center" shrinkToFit="1"/>
    </xf>
    <xf numFmtId="178" fontId="14" fillId="3" borderId="47" xfId="5" applyNumberFormat="1" applyFont="1" applyFill="1" applyBorder="1" applyAlignment="1">
      <alignment horizontal="center" vertical="center" shrinkToFit="1"/>
    </xf>
    <xf numFmtId="178" fontId="14" fillId="3" borderId="48" xfId="5" applyNumberFormat="1" applyFont="1" applyFill="1" applyBorder="1" applyAlignment="1">
      <alignment horizontal="center" vertical="center" shrinkToFit="1"/>
    </xf>
    <xf numFmtId="178" fontId="14" fillId="3" borderId="49" xfId="5" applyNumberFormat="1" applyFont="1" applyFill="1" applyBorder="1" applyAlignment="1">
      <alignment horizontal="center" vertical="center"/>
    </xf>
    <xf numFmtId="178" fontId="14" fillId="3" borderId="50" xfId="5" applyNumberFormat="1" applyFont="1" applyFill="1" applyBorder="1" applyAlignment="1">
      <alignment horizontal="center" vertical="center" shrinkToFit="1"/>
    </xf>
    <xf numFmtId="49" fontId="14" fillId="0" borderId="0" xfId="5" applyNumberFormat="1" applyFont="1" applyAlignment="1">
      <alignment horizontal="left" indent="1"/>
    </xf>
    <xf numFmtId="178" fontId="14" fillId="0" borderId="51" xfId="5" applyNumberFormat="1" applyFont="1" applyFill="1" applyBorder="1" applyAlignment="1">
      <alignment horizontal="center" vertical="center"/>
    </xf>
    <xf numFmtId="181" fontId="14" fillId="0" borderId="15" xfId="5" applyNumberFormat="1" applyFont="1" applyFill="1" applyBorder="1" applyAlignment="1"/>
    <xf numFmtId="178" fontId="14" fillId="0" borderId="52" xfId="5" applyNumberFormat="1" applyFont="1" applyFill="1" applyBorder="1" applyAlignment="1">
      <alignment horizontal="center" vertical="center"/>
    </xf>
    <xf numFmtId="181" fontId="14" fillId="0" borderId="53" xfId="5" applyNumberFormat="1" applyFont="1" applyFill="1" applyBorder="1" applyAlignment="1"/>
    <xf numFmtId="178" fontId="14" fillId="0" borderId="54" xfId="5" applyNumberFormat="1" applyFont="1" applyFill="1" applyBorder="1" applyAlignment="1">
      <alignment horizontal="center" vertical="center"/>
    </xf>
    <xf numFmtId="181" fontId="14" fillId="0" borderId="13" xfId="5" applyNumberFormat="1" applyFont="1" applyFill="1" applyBorder="1" applyAlignment="1"/>
    <xf numFmtId="178" fontId="14" fillId="0" borderId="55" xfId="5" applyNumberFormat="1" applyFont="1" applyFill="1" applyBorder="1" applyAlignment="1">
      <alignment horizontal="center" vertical="center"/>
    </xf>
    <xf numFmtId="181" fontId="14" fillId="0" borderId="12" xfId="5" applyNumberFormat="1" applyFont="1" applyFill="1" applyBorder="1"/>
    <xf numFmtId="181" fontId="14" fillId="0" borderId="56" xfId="5" applyNumberFormat="1" applyFont="1" applyFill="1" applyBorder="1"/>
    <xf numFmtId="181" fontId="14" fillId="0" borderId="56" xfId="5" applyNumberFormat="1" applyFont="1" applyFill="1" applyBorder="1" applyAlignment="1">
      <alignment horizontal="center"/>
    </xf>
    <xf numFmtId="178" fontId="14" fillId="0" borderId="57" xfId="5" applyNumberFormat="1" applyFont="1" applyFill="1" applyBorder="1" applyAlignment="1">
      <alignment horizontal="center" vertical="center"/>
    </xf>
    <xf numFmtId="178" fontId="14" fillId="0" borderId="15" xfId="5" applyNumberFormat="1" applyFont="1" applyFill="1" applyBorder="1" applyAlignment="1">
      <alignment horizontal="center" vertical="center"/>
    </xf>
    <xf numFmtId="49" fontId="14" fillId="0" borderId="0" xfId="5" applyNumberFormat="1" applyFont="1"/>
    <xf numFmtId="0" fontId="14" fillId="10" borderId="17" xfId="4" applyFont="1" applyFill="1" applyBorder="1" applyAlignment="1">
      <alignment horizontal="center" vertical="center"/>
    </xf>
    <xf numFmtId="49" fontId="14" fillId="3" borderId="2" xfId="5" applyNumberFormat="1" applyFont="1" applyFill="1" applyBorder="1" applyAlignment="1">
      <alignment horizontal="center" vertical="center"/>
    </xf>
    <xf numFmtId="182" fontId="20" fillId="3" borderId="58" xfId="5" applyNumberFormat="1" applyFont="1" applyFill="1" applyBorder="1" applyAlignment="1">
      <alignment horizontal="center" vertical="center"/>
    </xf>
    <xf numFmtId="182" fontId="20" fillId="3" borderId="3" xfId="5" applyNumberFormat="1" applyFont="1" applyFill="1" applyBorder="1" applyAlignment="1">
      <alignment horizontal="center" vertical="center"/>
    </xf>
    <xf numFmtId="182" fontId="20" fillId="3" borderId="58" xfId="5" applyNumberFormat="1" applyFont="1" applyFill="1" applyBorder="1" applyAlignment="1">
      <alignment horizontal="center" vertical="center" shrinkToFit="1"/>
    </xf>
    <xf numFmtId="182" fontId="20" fillId="3" borderId="4" xfId="5" applyNumberFormat="1" applyFont="1" applyFill="1" applyBorder="1" applyAlignment="1">
      <alignment horizontal="center" vertical="center" shrinkToFit="1"/>
    </xf>
    <xf numFmtId="182" fontId="20" fillId="3" borderId="3" xfId="5" applyNumberFormat="1" applyFont="1" applyFill="1" applyBorder="1" applyAlignment="1">
      <alignment horizontal="center" vertical="center" shrinkToFit="1"/>
    </xf>
    <xf numFmtId="182" fontId="20" fillId="3" borderId="4" xfId="5" applyNumberFormat="1" applyFont="1" applyFill="1" applyBorder="1" applyAlignment="1">
      <alignment horizontal="center" vertical="center"/>
    </xf>
    <xf numFmtId="49" fontId="14" fillId="3" borderId="2" xfId="5" applyNumberFormat="1" applyFont="1" applyFill="1" applyBorder="1" applyAlignment="1">
      <alignment horizontal="center" vertical="center"/>
    </xf>
    <xf numFmtId="49" fontId="14" fillId="3" borderId="3" xfId="5" applyNumberFormat="1" applyFont="1" applyFill="1" applyBorder="1" applyAlignment="1">
      <alignment horizontal="center" vertical="center"/>
    </xf>
    <xf numFmtId="182" fontId="20" fillId="3" borderId="59" xfId="5" applyNumberFormat="1" applyFont="1" applyFill="1" applyBorder="1" applyAlignment="1">
      <alignment horizontal="center" vertical="center"/>
    </xf>
    <xf numFmtId="182" fontId="20" fillId="3" borderId="60" xfId="5" applyNumberFormat="1" applyFont="1" applyFill="1" applyBorder="1" applyAlignment="1">
      <alignment horizontal="center" vertical="center"/>
    </xf>
    <xf numFmtId="182" fontId="20" fillId="3" borderId="61" xfId="5" applyNumberFormat="1" applyFont="1" applyFill="1" applyBorder="1" applyAlignment="1">
      <alignment horizontal="center" vertical="center"/>
    </xf>
    <xf numFmtId="0" fontId="14" fillId="9" borderId="40" xfId="5" applyFont="1" applyFill="1" applyBorder="1" applyAlignment="1">
      <alignment horizontal="center"/>
    </xf>
    <xf numFmtId="181" fontId="14" fillId="0" borderId="45" xfId="5" applyNumberFormat="1" applyFont="1" applyBorder="1"/>
    <xf numFmtId="181" fontId="14" fillId="0" borderId="44" xfId="5" applyNumberFormat="1" applyFont="1" applyBorder="1"/>
    <xf numFmtId="181" fontId="14" fillId="0" borderId="46" xfId="5" applyNumberFormat="1" applyFont="1" applyBorder="1"/>
    <xf numFmtId="0" fontId="14" fillId="9" borderId="62" xfId="5" applyFont="1" applyFill="1" applyBorder="1" applyAlignment="1">
      <alignment horizontal="center"/>
    </xf>
    <xf numFmtId="0" fontId="14" fillId="9" borderId="31" xfId="5" applyFont="1" applyFill="1" applyBorder="1" applyAlignment="1">
      <alignment horizontal="center"/>
    </xf>
    <xf numFmtId="181" fontId="14" fillId="0" borderId="63" xfId="5" applyNumberFormat="1" applyFont="1" applyBorder="1"/>
    <xf numFmtId="181" fontId="14" fillId="0" borderId="64" xfId="5" applyNumberFormat="1" applyFont="1" applyBorder="1"/>
    <xf numFmtId="181" fontId="14" fillId="0" borderId="31" xfId="5" applyNumberFormat="1" applyFont="1" applyBorder="1"/>
    <xf numFmtId="0" fontId="14" fillId="10" borderId="40" xfId="5" applyFont="1" applyFill="1" applyBorder="1" applyAlignment="1">
      <alignment horizontal="center"/>
    </xf>
    <xf numFmtId="181" fontId="14" fillId="0" borderId="65" xfId="5" applyNumberFormat="1" applyFont="1" applyBorder="1"/>
    <xf numFmtId="181" fontId="14" fillId="0" borderId="63" xfId="5" applyNumberFormat="1" applyFont="1" applyBorder="1"/>
    <xf numFmtId="181" fontId="14" fillId="0" borderId="31" xfId="5" applyNumberFormat="1" applyFont="1" applyBorder="1"/>
    <xf numFmtId="0" fontId="14" fillId="10" borderId="62" xfId="5" applyFont="1" applyFill="1" applyBorder="1" applyAlignment="1">
      <alignment horizontal="center"/>
    </xf>
    <xf numFmtId="0" fontId="14" fillId="10" borderId="31" xfId="5" applyFont="1" applyFill="1" applyBorder="1" applyAlignment="1">
      <alignment horizontal="center"/>
    </xf>
    <xf numFmtId="180" fontId="21" fillId="0" borderId="30" xfId="5" applyNumberFormat="1" applyFont="1" applyFill="1" applyBorder="1" applyAlignment="1"/>
    <xf numFmtId="180" fontId="22" fillId="0" borderId="30" xfId="5" applyNumberFormat="1" applyFont="1" applyFill="1" applyBorder="1" applyAlignment="1"/>
    <xf numFmtId="180" fontId="23" fillId="0" borderId="30" xfId="5" applyNumberFormat="1" applyFont="1" applyFill="1" applyBorder="1" applyAlignment="1"/>
    <xf numFmtId="0" fontId="24" fillId="2" borderId="2" xfId="4" applyFont="1" applyFill="1" applyBorder="1" applyAlignment="1">
      <alignment horizontal="left" vertical="center" indent="1"/>
    </xf>
    <xf numFmtId="0" fontId="17" fillId="2" borderId="3" xfId="4" applyFont="1" applyFill="1" applyBorder="1">
      <alignment vertical="center"/>
    </xf>
    <xf numFmtId="0" fontId="17" fillId="2" borderId="3" xfId="5" applyFont="1" applyFill="1" applyBorder="1" applyAlignment="1">
      <alignment horizontal="right"/>
    </xf>
    <xf numFmtId="0" fontId="17" fillId="2" borderId="4" xfId="5" applyFont="1" applyFill="1" applyBorder="1" applyAlignment="1">
      <alignment horizontal="right"/>
    </xf>
    <xf numFmtId="0" fontId="17" fillId="0" borderId="0" xfId="4" applyFont="1">
      <alignment vertical="center"/>
    </xf>
    <xf numFmtId="0" fontId="14" fillId="0" borderId="0" xfId="4" applyFont="1" applyBorder="1">
      <alignment vertical="center"/>
    </xf>
    <xf numFmtId="0" fontId="14" fillId="0" borderId="0" xfId="5" applyFont="1" applyBorder="1" applyAlignment="1">
      <alignment horizontal="right"/>
    </xf>
    <xf numFmtId="0" fontId="14" fillId="3" borderId="24" xfId="5" applyFont="1" applyFill="1" applyBorder="1" applyAlignment="1">
      <alignment horizontal="center"/>
    </xf>
    <xf numFmtId="183" fontId="14" fillId="3" borderId="25" xfId="5" applyNumberFormat="1" applyFont="1" applyFill="1" applyBorder="1" applyAlignment="1">
      <alignment horizontal="center"/>
    </xf>
    <xf numFmtId="183" fontId="14" fillId="3" borderId="26" xfId="5" applyNumberFormat="1" applyFont="1" applyFill="1" applyBorder="1" applyAlignment="1">
      <alignment horizontal="center"/>
    </xf>
    <xf numFmtId="183" fontId="14" fillId="3" borderId="66" xfId="5" applyNumberFormat="1" applyFont="1" applyFill="1" applyBorder="1" applyAlignment="1">
      <alignment horizontal="center"/>
    </xf>
    <xf numFmtId="183" fontId="14" fillId="3" borderId="26" xfId="4" applyNumberFormat="1" applyFont="1" applyFill="1" applyBorder="1" applyAlignment="1">
      <alignment horizontal="center"/>
    </xf>
    <xf numFmtId="183" fontId="14" fillId="3" borderId="27" xfId="4" applyNumberFormat="1" applyFont="1" applyFill="1" applyBorder="1" applyAlignment="1">
      <alignment horizontal="center"/>
    </xf>
    <xf numFmtId="184" fontId="14" fillId="0" borderId="67" xfId="5" applyNumberFormat="1" applyFont="1" applyFill="1" applyBorder="1" applyAlignment="1">
      <alignment horizontal="center" vertical="center" shrinkToFit="1"/>
    </xf>
    <xf numFmtId="0" fontId="14" fillId="0" borderId="68" xfId="5" applyNumberFormat="1" applyFont="1" applyFill="1" applyBorder="1" applyAlignment="1">
      <alignment horizontal="right" vertical="center"/>
    </xf>
    <xf numFmtId="0" fontId="14" fillId="0" borderId="69" xfId="5" applyNumberFormat="1" applyFont="1" applyFill="1" applyBorder="1" applyAlignment="1">
      <alignment horizontal="right" vertical="center"/>
    </xf>
    <xf numFmtId="0" fontId="14" fillId="0" borderId="69" xfId="4" applyFont="1" applyBorder="1" applyAlignment="1">
      <alignment horizontal="right" vertical="center"/>
    </xf>
    <xf numFmtId="0" fontId="14" fillId="0" borderId="70" xfId="4" applyFont="1" applyBorder="1" applyAlignment="1">
      <alignment horizontal="right" vertical="center"/>
    </xf>
    <xf numFmtId="184" fontId="14" fillId="0" borderId="71" xfId="5" applyNumberFormat="1" applyFont="1" applyFill="1" applyBorder="1" applyAlignment="1">
      <alignment horizontal="center" vertical="center" shrinkToFit="1"/>
    </xf>
    <xf numFmtId="0" fontId="14" fillId="0" borderId="72" xfId="5" applyNumberFormat="1" applyFont="1" applyFill="1" applyBorder="1" applyAlignment="1">
      <alignment horizontal="right" vertical="center"/>
    </xf>
    <xf numFmtId="0" fontId="14" fillId="0" borderId="73" xfId="5" applyNumberFormat="1" applyFont="1" applyFill="1" applyBorder="1" applyAlignment="1">
      <alignment horizontal="right" vertical="center"/>
    </xf>
    <xf numFmtId="0" fontId="14" fillId="0" borderId="73" xfId="4" applyFont="1" applyBorder="1" applyAlignment="1">
      <alignment horizontal="right" vertical="center"/>
    </xf>
    <xf numFmtId="0" fontId="14" fillId="0" borderId="74" xfId="4" applyFont="1" applyBorder="1" applyAlignment="1">
      <alignment horizontal="right" vertical="center"/>
    </xf>
    <xf numFmtId="184" fontId="14" fillId="0" borderId="75" xfId="5" applyNumberFormat="1" applyFont="1" applyFill="1" applyBorder="1" applyAlignment="1">
      <alignment horizontal="center" vertical="center" shrinkToFit="1"/>
    </xf>
    <xf numFmtId="0" fontId="14" fillId="0" borderId="76" xfId="5" applyNumberFormat="1" applyFont="1" applyFill="1" applyBorder="1" applyAlignment="1">
      <alignment horizontal="right" vertical="center"/>
    </xf>
    <xf numFmtId="0" fontId="14" fillId="0" borderId="77" xfId="5" applyNumberFormat="1" applyFont="1" applyFill="1" applyBorder="1" applyAlignment="1">
      <alignment horizontal="right" vertical="center"/>
    </xf>
    <xf numFmtId="0" fontId="14" fillId="0" borderId="77" xfId="4" applyFont="1" applyBorder="1" applyAlignment="1">
      <alignment horizontal="right" vertical="center"/>
    </xf>
    <xf numFmtId="0" fontId="14" fillId="0" borderId="78" xfId="4" applyFont="1" applyBorder="1" applyAlignment="1">
      <alignment horizontal="right" vertical="center"/>
    </xf>
    <xf numFmtId="0" fontId="20" fillId="3" borderId="79" xfId="6" applyFont="1" applyFill="1" applyBorder="1" applyAlignment="1" applyProtection="1">
      <alignment horizontal="center"/>
    </xf>
    <xf numFmtId="0" fontId="14" fillId="3" borderId="27" xfId="4" applyFont="1" applyFill="1" applyBorder="1" applyAlignment="1">
      <alignment horizontal="center"/>
    </xf>
    <xf numFmtId="0" fontId="14" fillId="3" borderId="80" xfId="4" applyFont="1" applyFill="1" applyBorder="1" applyAlignment="1">
      <alignment horizontal="center"/>
    </xf>
    <xf numFmtId="0" fontId="14" fillId="3" borderId="25" xfId="4" applyFont="1" applyFill="1" applyBorder="1" applyAlignment="1">
      <alignment horizontal="center"/>
    </xf>
    <xf numFmtId="0" fontId="20" fillId="8" borderId="81" xfId="6" applyNumberFormat="1" applyFont="1" applyFill="1" applyBorder="1" applyAlignment="1" applyProtection="1">
      <alignment horizontal="center" vertical="center"/>
    </xf>
    <xf numFmtId="185" fontId="14" fillId="0" borderId="70" xfId="4" applyNumberFormat="1" applyFont="1" applyBorder="1" applyAlignment="1">
      <alignment horizontal="right" vertical="center" shrinkToFit="1"/>
    </xf>
    <xf numFmtId="0" fontId="14" fillId="8" borderId="82" xfId="4" applyNumberFormat="1" applyFont="1" applyFill="1" applyBorder="1" applyAlignment="1">
      <alignment horizontal="center" vertical="center" shrinkToFit="1"/>
    </xf>
    <xf numFmtId="185" fontId="14" fillId="0" borderId="70" xfId="4" applyNumberFormat="1" applyFont="1" applyFill="1" applyBorder="1" applyAlignment="1">
      <alignment horizontal="right" vertical="center" shrinkToFit="1"/>
    </xf>
    <xf numFmtId="0" fontId="14" fillId="8" borderId="68" xfId="4" applyNumberFormat="1" applyFont="1" applyFill="1" applyBorder="1" applyAlignment="1">
      <alignment horizontal="center" vertical="center" shrinkToFit="1"/>
    </xf>
    <xf numFmtId="185" fontId="14" fillId="0" borderId="70" xfId="4" applyNumberFormat="1" applyFont="1" applyBorder="1" applyAlignment="1">
      <alignment horizontal="right" vertical="center"/>
    </xf>
    <xf numFmtId="0" fontId="14" fillId="0" borderId="0" xfId="4" applyFont="1" applyAlignment="1">
      <alignment horizontal="left" vertical="center" indent="1"/>
    </xf>
    <xf numFmtId="0" fontId="20" fillId="8" borderId="83" xfId="6" applyNumberFormat="1" applyFont="1" applyFill="1" applyBorder="1" applyAlignment="1" applyProtection="1">
      <alignment horizontal="center" vertical="center"/>
    </xf>
    <xf numFmtId="185" fontId="14" fillId="0" borderId="74" xfId="4" applyNumberFormat="1" applyFont="1" applyBorder="1" applyAlignment="1">
      <alignment horizontal="right" vertical="center" shrinkToFit="1"/>
    </xf>
    <xf numFmtId="0" fontId="14" fillId="8" borderId="84" xfId="4" applyNumberFormat="1" applyFont="1" applyFill="1" applyBorder="1" applyAlignment="1">
      <alignment horizontal="center" vertical="center" shrinkToFit="1"/>
    </xf>
    <xf numFmtId="185" fontId="14" fillId="0" borderId="74" xfId="4" applyNumberFormat="1" applyFont="1" applyFill="1" applyBorder="1" applyAlignment="1">
      <alignment horizontal="right" vertical="center" shrinkToFit="1"/>
    </xf>
    <xf numFmtId="0" fontId="14" fillId="8" borderId="72" xfId="4" applyNumberFormat="1" applyFont="1" applyFill="1" applyBorder="1" applyAlignment="1">
      <alignment horizontal="center" vertical="center" shrinkToFit="1"/>
    </xf>
    <xf numFmtId="185" fontId="14" fillId="0" borderId="74" xfId="4" applyNumberFormat="1" applyFont="1" applyBorder="1" applyAlignment="1">
      <alignment horizontal="right" vertical="center"/>
    </xf>
    <xf numFmtId="186" fontId="6" fillId="0" borderId="0" xfId="2" applyNumberFormat="1" applyFont="1" applyFill="1" applyBorder="1" applyAlignment="1" applyProtection="1">
      <alignment horizontal="left" vertical="center" indent="1"/>
    </xf>
    <xf numFmtId="0" fontId="20" fillId="8" borderId="85" xfId="6" applyNumberFormat="1" applyFont="1" applyFill="1" applyBorder="1" applyAlignment="1" applyProtection="1">
      <alignment horizontal="center" vertical="center"/>
    </xf>
    <xf numFmtId="185" fontId="14" fillId="0" borderId="78" xfId="4" applyNumberFormat="1" applyFont="1" applyBorder="1" applyAlignment="1">
      <alignment horizontal="right" vertical="center" shrinkToFit="1"/>
    </xf>
    <xf numFmtId="0" fontId="14" fillId="8" borderId="86" xfId="4" applyNumberFormat="1" applyFont="1" applyFill="1" applyBorder="1" applyAlignment="1">
      <alignment horizontal="center" vertical="center" shrinkToFit="1"/>
    </xf>
    <xf numFmtId="185" fontId="14" fillId="0" borderId="78" xfId="4" applyNumberFormat="1" applyFont="1" applyFill="1" applyBorder="1" applyAlignment="1">
      <alignment horizontal="right" vertical="center" shrinkToFit="1"/>
    </xf>
    <xf numFmtId="0" fontId="14" fillId="8" borderId="76" xfId="4" applyNumberFormat="1" applyFont="1" applyFill="1" applyBorder="1" applyAlignment="1">
      <alignment horizontal="center" vertical="center" shrinkToFit="1"/>
    </xf>
    <xf numFmtId="185" fontId="14" fillId="0" borderId="78" xfId="4" applyNumberFormat="1" applyFont="1" applyBorder="1" applyAlignment="1">
      <alignment horizontal="right" vertical="center"/>
    </xf>
    <xf numFmtId="0" fontId="26" fillId="0" borderId="72" xfId="5" applyNumberFormat="1" applyFont="1" applyFill="1" applyBorder="1" applyAlignment="1">
      <alignment horizontal="right" vertical="center"/>
    </xf>
    <xf numFmtId="0" fontId="26" fillId="0" borderId="73" xfId="5" applyNumberFormat="1" applyFont="1" applyFill="1" applyBorder="1" applyAlignment="1">
      <alignment horizontal="right" vertical="center"/>
    </xf>
    <xf numFmtId="0" fontId="26" fillId="0" borderId="73" xfId="4" applyFont="1" applyBorder="1" applyAlignment="1">
      <alignment horizontal="right" vertical="center"/>
    </xf>
    <xf numFmtId="0" fontId="26" fillId="0" borderId="74" xfId="4" applyFont="1" applyBorder="1" applyAlignment="1">
      <alignment horizontal="right" vertical="center"/>
    </xf>
    <xf numFmtId="0" fontId="26" fillId="0" borderId="76" xfId="5" applyNumberFormat="1" applyFont="1" applyFill="1" applyBorder="1" applyAlignment="1">
      <alignment horizontal="right" vertical="center"/>
    </xf>
    <xf numFmtId="0" fontId="26" fillId="0" borderId="77" xfId="5" applyNumberFormat="1" applyFont="1" applyFill="1" applyBorder="1" applyAlignment="1">
      <alignment horizontal="right" vertical="center"/>
    </xf>
    <xf numFmtId="0" fontId="26" fillId="0" borderId="77" xfId="4" applyFont="1" applyBorder="1" applyAlignment="1">
      <alignment horizontal="right" vertical="center"/>
    </xf>
    <xf numFmtId="0" fontId="26" fillId="0" borderId="78" xfId="4" applyFont="1" applyBorder="1" applyAlignment="1">
      <alignment horizontal="right" vertical="center"/>
    </xf>
    <xf numFmtId="0" fontId="26" fillId="0" borderId="68" xfId="5" applyNumberFormat="1" applyFont="1" applyFill="1" applyBorder="1" applyAlignment="1">
      <alignment horizontal="right" vertical="center"/>
    </xf>
    <xf numFmtId="0" fontId="26" fillId="0" borderId="69" xfId="5" applyNumberFormat="1" applyFont="1" applyFill="1" applyBorder="1" applyAlignment="1">
      <alignment horizontal="right" vertical="center"/>
    </xf>
    <xf numFmtId="0" fontId="26" fillId="0" borderId="69" xfId="4" applyFont="1" applyBorder="1" applyAlignment="1">
      <alignment horizontal="right" vertical="center"/>
    </xf>
    <xf numFmtId="0" fontId="26" fillId="0" borderId="70" xfId="4" applyFont="1" applyBorder="1" applyAlignment="1">
      <alignment horizontal="right" vertical="center"/>
    </xf>
    <xf numFmtId="0" fontId="27" fillId="2" borderId="2" xfId="7" applyNumberFormat="1" applyFont="1" applyFill="1" applyBorder="1" applyAlignment="1">
      <alignment horizontal="left" vertical="center" indent="1"/>
    </xf>
    <xf numFmtId="0" fontId="14" fillId="2" borderId="3" xfId="7" applyNumberFormat="1" applyFont="1" applyFill="1" applyBorder="1"/>
    <xf numFmtId="0" fontId="14" fillId="2" borderId="4" xfId="7" applyNumberFormat="1" applyFont="1" applyFill="1" applyBorder="1"/>
    <xf numFmtId="0" fontId="14" fillId="0" borderId="0" xfId="8" applyFont="1"/>
    <xf numFmtId="0" fontId="14" fillId="0" borderId="0" xfId="8" applyNumberFormat="1" applyFont="1" applyBorder="1" applyAlignment="1">
      <alignment horizontal="center"/>
    </xf>
    <xf numFmtId="0" fontId="14" fillId="0" borderId="0" xfId="8" applyNumberFormat="1" applyFont="1" applyBorder="1"/>
    <xf numFmtId="0" fontId="14" fillId="0" borderId="87" xfId="8" applyNumberFormat="1" applyFont="1" applyBorder="1" applyAlignment="1">
      <alignment horizontal="right"/>
    </xf>
    <xf numFmtId="49" fontId="28" fillId="3" borderId="88" xfId="3" applyNumberFormat="1" applyFont="1" applyFill="1" applyBorder="1" applyAlignment="1">
      <alignment horizontal="center" vertical="center"/>
    </xf>
    <xf numFmtId="0" fontId="28" fillId="3" borderId="89" xfId="3" applyFont="1" applyFill="1" applyBorder="1" applyAlignment="1">
      <alignment horizontal="center" vertical="center" wrapText="1"/>
    </xf>
    <xf numFmtId="0" fontId="28" fillId="3" borderId="90" xfId="3" applyFont="1" applyFill="1" applyBorder="1" applyAlignment="1">
      <alignment horizontal="center" vertical="center" wrapText="1"/>
    </xf>
    <xf numFmtId="0" fontId="28" fillId="3" borderId="91" xfId="3" applyFont="1" applyFill="1" applyBorder="1" applyAlignment="1">
      <alignment horizontal="center" vertical="center" wrapText="1"/>
    </xf>
    <xf numFmtId="0" fontId="14" fillId="0" borderId="0" xfId="8" applyFont="1" applyBorder="1"/>
    <xf numFmtId="49" fontId="28" fillId="3" borderId="92" xfId="3" applyNumberFormat="1" applyFont="1" applyFill="1" applyBorder="1" applyAlignment="1">
      <alignment horizontal="center" vertical="center"/>
    </xf>
    <xf numFmtId="0" fontId="28" fillId="3" borderId="93" xfId="3" applyFont="1" applyFill="1" applyBorder="1" applyAlignment="1">
      <alignment horizontal="center" vertical="center" wrapText="1"/>
    </xf>
    <xf numFmtId="0" fontId="28" fillId="3" borderId="94" xfId="3" applyFont="1" applyFill="1" applyBorder="1" applyAlignment="1">
      <alignment horizontal="center" vertical="center" wrapText="1"/>
    </xf>
    <xf numFmtId="0" fontId="28" fillId="3" borderId="95" xfId="3" applyFont="1" applyFill="1" applyBorder="1" applyAlignment="1">
      <alignment horizontal="center" vertical="center" wrapText="1"/>
    </xf>
    <xf numFmtId="0" fontId="28" fillId="3" borderId="50" xfId="3" applyFont="1" applyFill="1" applyBorder="1" applyAlignment="1">
      <alignment horizontal="center" vertical="center" wrapText="1"/>
    </xf>
    <xf numFmtId="49" fontId="28" fillId="0" borderId="96" xfId="3" applyNumberFormat="1" applyFont="1" applyFill="1" applyBorder="1" applyAlignment="1">
      <alignment horizontal="center"/>
    </xf>
    <xf numFmtId="181" fontId="28" fillId="0" borderId="97" xfId="3" applyNumberFormat="1" applyFont="1" applyFill="1" applyBorder="1" applyAlignment="1"/>
    <xf numFmtId="181" fontId="28" fillId="0" borderId="97" xfId="3" applyNumberFormat="1" applyFont="1" applyFill="1" applyBorder="1" applyAlignment="1">
      <alignment horizontal="center"/>
    </xf>
    <xf numFmtId="181" fontId="28" fillId="0" borderId="98" xfId="3" applyNumberFormat="1" applyFont="1" applyFill="1" applyBorder="1" applyAlignment="1">
      <alignment horizontal="center"/>
    </xf>
    <xf numFmtId="0" fontId="28" fillId="0" borderId="99" xfId="3" applyFont="1" applyFill="1" applyBorder="1" applyAlignment="1">
      <alignment horizontal="center"/>
    </xf>
    <xf numFmtId="181" fontId="28" fillId="0" borderId="100" xfId="3" applyNumberFormat="1" applyFont="1" applyFill="1" applyBorder="1" applyAlignment="1"/>
    <xf numFmtId="181" fontId="28" fillId="0" borderId="100" xfId="3" applyNumberFormat="1" applyFont="1" applyFill="1" applyBorder="1" applyAlignment="1">
      <alignment horizontal="center"/>
    </xf>
    <xf numFmtId="181" fontId="28" fillId="0" borderId="101" xfId="3" applyNumberFormat="1" applyFont="1" applyFill="1" applyBorder="1" applyAlignment="1">
      <alignment horizontal="center"/>
    </xf>
    <xf numFmtId="49" fontId="28" fillId="0" borderId="99" xfId="3" applyNumberFormat="1" applyFont="1" applyFill="1" applyBorder="1" applyAlignment="1">
      <alignment horizontal="center"/>
    </xf>
    <xf numFmtId="0" fontId="14" fillId="0" borderId="102" xfId="8" applyFont="1" applyBorder="1"/>
    <xf numFmtId="0" fontId="14" fillId="0" borderId="103" xfId="8" applyFont="1" applyBorder="1"/>
    <xf numFmtId="0" fontId="14" fillId="0" borderId="45" xfId="8" applyFont="1" applyBorder="1"/>
    <xf numFmtId="49" fontId="29" fillId="2" borderId="2" xfId="5" applyNumberFormat="1" applyFont="1" applyFill="1" applyBorder="1" applyAlignment="1">
      <alignment horizontal="left" vertical="center" indent="1"/>
    </xf>
    <xf numFmtId="0" fontId="30" fillId="0" borderId="0" xfId="5" applyFont="1" applyBorder="1"/>
    <xf numFmtId="0" fontId="14" fillId="0" borderId="20" xfId="5" applyFont="1" applyBorder="1"/>
    <xf numFmtId="0" fontId="14" fillId="3" borderId="104" xfId="9" applyFont="1" applyFill="1" applyBorder="1" applyAlignment="1">
      <alignment horizontal="centerContinuous"/>
    </xf>
    <xf numFmtId="0" fontId="14" fillId="3" borderId="105" xfId="5" applyFont="1" applyFill="1" applyBorder="1" applyAlignment="1">
      <alignment horizontal="centerContinuous"/>
    </xf>
    <xf numFmtId="0" fontId="14" fillId="3" borderId="91" xfId="5" applyFont="1" applyFill="1" applyBorder="1" applyAlignment="1">
      <alignment horizontal="centerContinuous"/>
    </xf>
    <xf numFmtId="0" fontId="14" fillId="3" borderId="106" xfId="9" applyFont="1" applyFill="1" applyBorder="1" applyAlignment="1">
      <alignment horizontal="center"/>
    </xf>
    <xf numFmtId="0" fontId="14" fillId="3" borderId="107" xfId="9" applyFont="1" applyFill="1" applyBorder="1" applyAlignment="1">
      <alignment horizontal="center"/>
    </xf>
    <xf numFmtId="0" fontId="14" fillId="3" borderId="50" xfId="9" applyFont="1" applyFill="1" applyBorder="1" applyAlignment="1">
      <alignment horizontal="center"/>
    </xf>
    <xf numFmtId="187" fontId="14" fillId="0" borderId="108" xfId="5" applyNumberFormat="1" applyFont="1" applyBorder="1" applyAlignment="1">
      <alignment horizontal="center" shrinkToFit="1"/>
    </xf>
    <xf numFmtId="187" fontId="14" fillId="0" borderId="109" xfId="5" applyNumberFormat="1" applyFont="1" applyBorder="1" applyAlignment="1">
      <alignment horizontal="center" shrinkToFit="1"/>
    </xf>
    <xf numFmtId="187" fontId="14" fillId="0" borderId="31" xfId="5" applyNumberFormat="1" applyFont="1" applyBorder="1" applyAlignment="1">
      <alignment horizontal="center" shrinkToFit="1"/>
    </xf>
    <xf numFmtId="0" fontId="14" fillId="4" borderId="110" xfId="4" applyFont="1" applyFill="1" applyBorder="1" applyAlignment="1">
      <alignment horizontal="center" vertical="center"/>
    </xf>
    <xf numFmtId="0" fontId="14" fillId="3" borderId="32" xfId="5" applyFont="1" applyFill="1" applyBorder="1" applyAlignment="1">
      <alignment horizontal="center"/>
    </xf>
    <xf numFmtId="0" fontId="14" fillId="3" borderId="25" xfId="5" applyFont="1" applyFill="1" applyBorder="1" applyAlignment="1">
      <alignment horizontal="center"/>
    </xf>
    <xf numFmtId="0" fontId="14" fillId="3" borderId="26" xfId="5" applyFont="1" applyFill="1" applyBorder="1" applyAlignment="1">
      <alignment horizontal="center"/>
    </xf>
    <xf numFmtId="0" fontId="14" fillId="3" borderId="27" xfId="5" applyFont="1" applyFill="1" applyBorder="1" applyAlignment="1">
      <alignment horizontal="center"/>
    </xf>
    <xf numFmtId="0" fontId="14" fillId="0" borderId="111" xfId="5" applyFont="1" applyBorder="1" applyAlignment="1">
      <alignment horizontal="center" shrinkToFit="1"/>
    </xf>
    <xf numFmtId="0" fontId="14" fillId="0" borderId="112" xfId="5" applyFont="1" applyBorder="1"/>
    <xf numFmtId="0" fontId="14" fillId="0" borderId="113" xfId="5" applyFont="1" applyBorder="1"/>
    <xf numFmtId="0" fontId="14" fillId="0" borderId="114" xfId="5" applyFont="1" applyBorder="1"/>
    <xf numFmtId="0" fontId="14" fillId="0" borderId="112" xfId="5" applyFont="1" applyBorder="1"/>
    <xf numFmtId="0" fontId="14" fillId="0" borderId="113" xfId="5" applyFont="1" applyBorder="1"/>
    <xf numFmtId="0" fontId="14" fillId="0" borderId="114" xfId="5" applyFont="1" applyBorder="1"/>
    <xf numFmtId="0" fontId="14" fillId="0" borderId="115" xfId="5" applyFont="1" applyBorder="1" applyAlignment="1">
      <alignment horizontal="center" shrinkToFit="1"/>
    </xf>
    <xf numFmtId="0" fontId="14" fillId="0" borderId="116" xfId="5" applyFont="1" applyBorder="1"/>
    <xf numFmtId="0" fontId="14" fillId="0" borderId="117" xfId="5" applyFont="1" applyBorder="1"/>
    <xf numFmtId="0" fontId="14" fillId="0" borderId="118" xfId="5" applyFont="1" applyBorder="1"/>
    <xf numFmtId="0" fontId="14" fillId="0" borderId="116" xfId="5" applyFont="1" applyBorder="1"/>
    <xf numFmtId="0" fontId="14" fillId="0" borderId="117" xfId="5" applyFont="1" applyBorder="1"/>
    <xf numFmtId="0" fontId="14" fillId="0" borderId="118" xfId="5" applyFont="1" applyBorder="1"/>
    <xf numFmtId="0" fontId="14" fillId="0" borderId="115" xfId="5" applyFont="1" applyBorder="1" applyAlignment="1">
      <alignment horizontal="center"/>
    </xf>
    <xf numFmtId="0" fontId="14" fillId="0" borderId="119" xfId="5" applyFont="1" applyBorder="1" applyAlignment="1">
      <alignment horizontal="center" vertical="center"/>
    </xf>
    <xf numFmtId="0" fontId="14" fillId="0" borderId="120" xfId="5" applyFont="1" applyBorder="1" applyAlignment="1">
      <alignment wrapText="1"/>
    </xf>
    <xf numFmtId="0" fontId="14" fillId="0" borderId="121" xfId="5" applyFont="1" applyBorder="1"/>
    <xf numFmtId="0" fontId="14" fillId="0" borderId="122" xfId="5" applyFont="1" applyBorder="1"/>
    <xf numFmtId="0" fontId="14" fillId="0" borderId="36" xfId="5" applyFont="1" applyBorder="1" applyAlignment="1">
      <alignment horizontal="center" vertical="center"/>
    </xf>
    <xf numFmtId="0" fontId="14" fillId="0" borderId="72" xfId="5" applyFont="1" applyBorder="1"/>
    <xf numFmtId="0" fontId="14" fillId="0" borderId="73" xfId="5" applyFont="1" applyBorder="1"/>
    <xf numFmtId="0" fontId="14" fillId="0" borderId="74" xfId="5" applyFont="1" applyBorder="1"/>
    <xf numFmtId="0" fontId="14" fillId="0" borderId="123" xfId="5" applyFont="1" applyBorder="1" applyAlignment="1">
      <alignment horizontal="center" vertical="center"/>
    </xf>
    <xf numFmtId="0" fontId="14" fillId="0" borderId="124" xfId="5" applyFont="1" applyBorder="1" applyAlignment="1">
      <alignment shrinkToFit="1"/>
    </xf>
    <xf numFmtId="0" fontId="14" fillId="0" borderId="125" xfId="5" applyFont="1" applyBorder="1" applyAlignment="1">
      <alignment shrinkToFit="1"/>
    </xf>
    <xf numFmtId="0" fontId="14" fillId="0" borderId="126" xfId="5" applyFont="1" applyBorder="1" applyAlignment="1">
      <alignment shrinkToFit="1"/>
    </xf>
    <xf numFmtId="0" fontId="14" fillId="0" borderId="127" xfId="5" applyFont="1" applyBorder="1" applyAlignment="1">
      <alignment horizontal="center" vertical="center"/>
    </xf>
    <xf numFmtId="0" fontId="14" fillId="0" borderId="71" xfId="5" applyFont="1" applyBorder="1" applyAlignment="1">
      <alignment horizontal="center" vertical="center"/>
    </xf>
    <xf numFmtId="0" fontId="14" fillId="0" borderId="128" xfId="5" applyFont="1" applyBorder="1" applyAlignment="1">
      <alignment horizontal="center" vertical="center"/>
    </xf>
    <xf numFmtId="0" fontId="14" fillId="5" borderId="40" xfId="4" applyFont="1" applyFill="1" applyBorder="1" applyAlignment="1">
      <alignment horizontal="center" vertical="center"/>
    </xf>
    <xf numFmtId="184" fontId="14" fillId="3" borderId="26" xfId="5" applyNumberFormat="1" applyFont="1" applyFill="1" applyBorder="1" applyAlignment="1">
      <alignment horizontal="center"/>
    </xf>
    <xf numFmtId="184" fontId="14" fillId="3" borderId="26" xfId="4" applyNumberFormat="1" applyFont="1" applyFill="1" applyBorder="1" applyAlignment="1">
      <alignment horizontal="center"/>
    </xf>
    <xf numFmtId="184" fontId="14" fillId="3" borderId="27" xfId="4" applyNumberFormat="1" applyFont="1" applyFill="1" applyBorder="1" applyAlignment="1">
      <alignment horizontal="center"/>
    </xf>
    <xf numFmtId="0" fontId="26" fillId="0" borderId="120" xfId="5" applyFont="1" applyBorder="1"/>
    <xf numFmtId="0" fontId="26" fillId="0" borderId="121" xfId="5" applyFont="1" applyBorder="1"/>
    <xf numFmtId="0" fontId="26" fillId="0" borderId="122" xfId="5" applyFont="1" applyBorder="1"/>
    <xf numFmtId="0" fontId="26" fillId="0" borderId="72" xfId="5" applyFont="1" applyBorder="1"/>
    <xf numFmtId="0" fontId="26" fillId="0" borderId="73" xfId="5" applyFont="1" applyBorder="1"/>
    <xf numFmtId="0" fontId="26" fillId="0" borderId="74" xfId="5" applyFont="1" applyBorder="1"/>
    <xf numFmtId="0" fontId="26" fillId="0" borderId="124" xfId="5" applyFont="1" applyBorder="1"/>
    <xf numFmtId="0" fontId="26" fillId="0" borderId="125" xfId="5" applyFont="1" applyBorder="1"/>
    <xf numFmtId="0" fontId="26" fillId="0" borderId="126" xfId="5" applyFont="1" applyBorder="1"/>
    <xf numFmtId="0" fontId="32" fillId="2" borderId="2" xfId="2" applyFont="1" applyFill="1" applyBorder="1" applyAlignment="1" applyProtection="1">
      <alignment horizontal="left" vertical="center" indent="1"/>
      <protection locked="0"/>
    </xf>
    <xf numFmtId="0" fontId="3" fillId="2" borderId="3" xfId="2" applyFont="1" applyFill="1" applyBorder="1" applyProtection="1">
      <protection locked="0"/>
    </xf>
    <xf numFmtId="0" fontId="3" fillId="2" borderId="3" xfId="2" applyFont="1" applyFill="1" applyBorder="1" applyAlignment="1" applyProtection="1">
      <alignment horizontal="center"/>
      <protection locked="0"/>
    </xf>
    <xf numFmtId="0" fontId="3" fillId="2" borderId="4" xfId="2" applyFont="1" applyFill="1" applyBorder="1" applyProtection="1">
      <protection locked="0"/>
    </xf>
    <xf numFmtId="0" fontId="3" fillId="0" borderId="0" xfId="2" applyFont="1" applyProtection="1">
      <protection locked="0"/>
    </xf>
    <xf numFmtId="0" fontId="6" fillId="0" borderId="0" xfId="10" applyFont="1" applyBorder="1"/>
    <xf numFmtId="0" fontId="6" fillId="0" borderId="0" xfId="10" applyFont="1" applyBorder="1" applyAlignment="1">
      <alignment horizontal="center"/>
    </xf>
    <xf numFmtId="188" fontId="6" fillId="0" borderId="0" xfId="10" applyNumberFormat="1" applyFont="1" applyBorder="1" applyAlignment="1"/>
    <xf numFmtId="0" fontId="6" fillId="0" borderId="0" xfId="10" applyFont="1" applyBorder="1" applyAlignment="1"/>
    <xf numFmtId="0" fontId="6" fillId="0" borderId="0" xfId="10" applyFont="1"/>
    <xf numFmtId="0" fontId="19" fillId="3" borderId="79" xfId="10" applyFont="1" applyFill="1" applyBorder="1" applyAlignment="1">
      <alignment horizontal="center" vertical="center"/>
    </xf>
    <xf numFmtId="0" fontId="19" fillId="3" borderId="129" xfId="10" applyFont="1" applyFill="1" applyBorder="1" applyAlignment="1">
      <alignment horizontal="center" vertical="center" textRotation="255"/>
    </xf>
    <xf numFmtId="0" fontId="19" fillId="3" borderId="129" xfId="10" applyFont="1" applyFill="1" applyBorder="1" applyAlignment="1">
      <alignment horizontal="center" vertical="center"/>
    </xf>
    <xf numFmtId="188" fontId="19" fillId="3" borderId="26" xfId="10" applyNumberFormat="1" applyFont="1" applyFill="1" applyBorder="1" applyAlignment="1">
      <alignment horizontal="center" vertical="center" wrapText="1"/>
    </xf>
    <xf numFmtId="0" fontId="19" fillId="3" borderId="26" xfId="10" applyFont="1" applyFill="1" applyBorder="1" applyAlignment="1">
      <alignment horizontal="center" vertical="center" wrapText="1" shrinkToFit="1"/>
    </xf>
    <xf numFmtId="0" fontId="19" fillId="3" borderId="129" xfId="10" applyFont="1" applyFill="1" applyBorder="1" applyAlignment="1">
      <alignment horizontal="center" vertical="center" wrapText="1"/>
    </xf>
    <xf numFmtId="0" fontId="19" fillId="3" borderId="27" xfId="10" applyFont="1" applyFill="1" applyBorder="1" applyAlignment="1">
      <alignment horizontal="center" vertical="center" wrapText="1"/>
    </xf>
    <xf numFmtId="0" fontId="19" fillId="3" borderId="106" xfId="10" applyFont="1" applyFill="1" applyBorder="1" applyAlignment="1">
      <alignment horizontal="center" vertical="center"/>
    </xf>
    <xf numFmtId="0" fontId="19" fillId="3" borderId="107" xfId="10" applyFont="1" applyFill="1" applyBorder="1" applyAlignment="1">
      <alignment horizontal="center" vertical="center" textRotation="255"/>
    </xf>
    <xf numFmtId="0" fontId="19" fillId="3" borderId="66" xfId="10" applyFont="1" applyFill="1" applyBorder="1" applyAlignment="1">
      <alignment horizontal="center" vertical="center"/>
    </xf>
    <xf numFmtId="188" fontId="19" fillId="3" borderId="66" xfId="10" applyNumberFormat="1" applyFont="1" applyFill="1" applyBorder="1" applyAlignment="1">
      <alignment horizontal="center" vertical="center" wrapText="1"/>
    </xf>
    <xf numFmtId="0" fontId="19" fillId="3" borderId="66" xfId="10" applyFont="1" applyFill="1" applyBorder="1" applyAlignment="1">
      <alignment horizontal="center" vertical="center" wrapText="1" shrinkToFit="1"/>
    </xf>
    <xf numFmtId="0" fontId="19" fillId="3" borderId="130" xfId="10" applyFont="1" applyFill="1" applyBorder="1" applyAlignment="1">
      <alignment horizontal="center" vertical="center" wrapText="1"/>
    </xf>
    <xf numFmtId="0" fontId="19" fillId="3" borderId="66" xfId="10" applyFont="1" applyFill="1" applyBorder="1" applyAlignment="1">
      <alignment horizontal="center" vertical="center" textRotation="255"/>
    </xf>
    <xf numFmtId="0" fontId="19" fillId="3" borderId="131" xfId="10" applyFont="1" applyFill="1" applyBorder="1" applyAlignment="1">
      <alignment horizontal="center" vertical="center" wrapText="1"/>
    </xf>
    <xf numFmtId="0" fontId="19" fillId="0" borderId="132" xfId="10" applyFont="1" applyBorder="1"/>
    <xf numFmtId="0" fontId="6" fillId="0" borderId="132" xfId="10" applyFont="1" applyBorder="1" applyAlignment="1">
      <alignment horizontal="center"/>
    </xf>
    <xf numFmtId="0" fontId="6" fillId="0" borderId="132" xfId="10" applyFont="1" applyBorder="1" applyAlignment="1">
      <alignment shrinkToFit="1"/>
    </xf>
    <xf numFmtId="189" fontId="6" fillId="0" borderId="132" xfId="10" applyNumberFormat="1" applyFont="1" applyBorder="1" applyAlignment="1">
      <alignment shrinkToFit="1"/>
    </xf>
    <xf numFmtId="0" fontId="6" fillId="0" borderId="132" xfId="10" applyNumberFormat="1" applyFont="1" applyBorder="1" applyAlignment="1">
      <alignment horizontal="right"/>
    </xf>
    <xf numFmtId="188" fontId="6" fillId="11" borderId="133" xfId="10" applyNumberFormat="1" applyFont="1" applyFill="1" applyBorder="1" applyAlignment="1"/>
    <xf numFmtId="0" fontId="19" fillId="0" borderId="107" xfId="10" applyFont="1" applyBorder="1"/>
    <xf numFmtId="0" fontId="6" fillId="0" borderId="107" xfId="10" applyFont="1" applyBorder="1" applyAlignment="1">
      <alignment horizontal="center"/>
    </xf>
    <xf numFmtId="0" fontId="6" fillId="0" borderId="107" xfId="10" applyFont="1" applyBorder="1" applyAlignment="1">
      <alignment shrinkToFit="1"/>
    </xf>
    <xf numFmtId="189" fontId="6" fillId="0" borderId="107" xfId="10" applyNumberFormat="1" applyFont="1" applyBorder="1" applyAlignment="1">
      <alignment shrinkToFit="1"/>
    </xf>
    <xf numFmtId="0" fontId="6" fillId="0" borderId="107" xfId="10" applyNumberFormat="1" applyFont="1" applyBorder="1" applyAlignment="1">
      <alignment horizontal="right"/>
    </xf>
    <xf numFmtId="188" fontId="6" fillId="11" borderId="50" xfId="10" applyNumberFormat="1" applyFont="1" applyFill="1" applyBorder="1" applyAlignment="1"/>
    <xf numFmtId="0" fontId="19" fillId="0" borderId="134" xfId="10" applyFont="1" applyBorder="1"/>
    <xf numFmtId="0" fontId="6" fillId="0" borderId="134" xfId="10" applyFont="1" applyBorder="1" applyAlignment="1">
      <alignment horizontal="center"/>
    </xf>
    <xf numFmtId="0" fontId="6" fillId="0" borderId="134" xfId="10" applyFont="1" applyBorder="1" applyAlignment="1">
      <alignment shrinkToFit="1"/>
    </xf>
    <xf numFmtId="189" fontId="6" fillId="0" borderId="134" xfId="10" applyNumberFormat="1" applyFont="1" applyBorder="1" applyAlignment="1">
      <alignment shrinkToFit="1"/>
    </xf>
    <xf numFmtId="0" fontId="6" fillId="0" borderId="134" xfId="10" applyNumberFormat="1" applyFont="1" applyBorder="1" applyAlignment="1">
      <alignment horizontal="right"/>
    </xf>
    <xf numFmtId="188" fontId="6" fillId="11" borderId="49" xfId="10" applyNumberFormat="1" applyFont="1" applyFill="1" applyBorder="1" applyAlignment="1"/>
    <xf numFmtId="0" fontId="6" fillId="0" borderId="135" xfId="10" applyFont="1" applyBorder="1"/>
    <xf numFmtId="0" fontId="6" fillId="0" borderId="135" xfId="10" applyFont="1" applyBorder="1" applyAlignment="1">
      <alignment horizontal="center"/>
    </xf>
    <xf numFmtId="188" fontId="6" fillId="0" borderId="135" xfId="10" applyNumberFormat="1" applyFont="1" applyBorder="1" applyAlignment="1"/>
    <xf numFmtId="188" fontId="6" fillId="11" borderId="136" xfId="10" applyNumberFormat="1" applyFont="1" applyFill="1" applyBorder="1" applyAlignment="1"/>
    <xf numFmtId="0" fontId="19" fillId="0" borderId="20" xfId="10" applyFont="1" applyBorder="1"/>
    <xf numFmtId="0" fontId="19" fillId="0" borderId="20" xfId="10" applyFont="1" applyBorder="1" applyAlignment="1">
      <alignment horizontal="center"/>
    </xf>
    <xf numFmtId="0" fontId="19" fillId="0" borderId="20" xfId="10" applyFont="1" applyFill="1" applyBorder="1" applyAlignment="1"/>
    <xf numFmtId="188" fontId="19" fillId="0" borderId="20" xfId="10" applyNumberFormat="1" applyFont="1" applyFill="1" applyBorder="1" applyAlignment="1"/>
    <xf numFmtId="0" fontId="19" fillId="0" borderId="20" xfId="10" applyNumberFormat="1" applyFont="1" applyFill="1" applyBorder="1" applyAlignment="1"/>
    <xf numFmtId="188" fontId="19" fillId="0" borderId="49" xfId="10" applyNumberFormat="1" applyFont="1" applyFill="1" applyBorder="1" applyAlignment="1"/>
    <xf numFmtId="0" fontId="6" fillId="0" borderId="107" xfId="10" applyFont="1" applyFill="1" applyBorder="1" applyAlignment="1">
      <alignment shrinkToFit="1"/>
    </xf>
    <xf numFmtId="0" fontId="6" fillId="0" borderId="107" xfId="10" applyNumberFormat="1" applyFont="1" applyFill="1" applyBorder="1" applyAlignment="1">
      <alignment horizontal="right"/>
    </xf>
    <xf numFmtId="188" fontId="6" fillId="0" borderId="50" xfId="10" applyNumberFormat="1" applyFont="1" applyFill="1" applyBorder="1" applyAlignment="1"/>
    <xf numFmtId="0" fontId="6" fillId="0" borderId="134" xfId="10" applyFont="1" applyFill="1" applyBorder="1" applyAlignment="1">
      <alignment shrinkToFit="1"/>
    </xf>
    <xf numFmtId="0" fontId="6" fillId="0" borderId="134" xfId="10" applyNumberFormat="1" applyFont="1" applyFill="1" applyBorder="1" applyAlignment="1">
      <alignment horizontal="right"/>
    </xf>
    <xf numFmtId="188" fontId="6" fillId="0" borderId="49" xfId="10" applyNumberFormat="1" applyFont="1" applyFill="1" applyBorder="1" applyAlignment="1"/>
    <xf numFmtId="0" fontId="6" fillId="0" borderId="135" xfId="10" applyFont="1" applyFill="1" applyBorder="1" applyAlignment="1"/>
    <xf numFmtId="188" fontId="6" fillId="0" borderId="135" xfId="10" applyNumberFormat="1" applyFont="1" applyFill="1" applyBorder="1" applyAlignment="1"/>
    <xf numFmtId="188" fontId="6" fillId="0" borderId="136" xfId="10" applyNumberFormat="1" applyFont="1" applyFill="1" applyBorder="1" applyAlignment="1"/>
    <xf numFmtId="0" fontId="19" fillId="0" borderId="86" xfId="10" applyFont="1" applyBorder="1"/>
    <xf numFmtId="0" fontId="19" fillId="0" borderId="86" xfId="10" applyFont="1" applyBorder="1" applyAlignment="1">
      <alignment horizontal="center"/>
    </xf>
    <xf numFmtId="0" fontId="19" fillId="0" borderId="86" xfId="10" applyFont="1" applyFill="1" applyBorder="1" applyAlignment="1"/>
    <xf numFmtId="188" fontId="19" fillId="0" borderId="86" xfId="10" applyNumberFormat="1" applyFont="1" applyFill="1" applyBorder="1" applyAlignment="1"/>
    <xf numFmtId="0" fontId="19" fillId="0" borderId="86" xfId="10" applyNumberFormat="1" applyFont="1" applyFill="1" applyBorder="1" applyAlignment="1"/>
    <xf numFmtId="188" fontId="19" fillId="0" borderId="137" xfId="10" applyNumberFormat="1" applyFont="1" applyFill="1" applyBorder="1" applyAlignment="1"/>
    <xf numFmtId="0" fontId="6" fillId="0" borderId="0" xfId="10" applyFont="1" applyAlignment="1">
      <alignment horizontal="center"/>
    </xf>
    <xf numFmtId="188" fontId="6" fillId="0" borderId="0" xfId="10" applyNumberFormat="1" applyFont="1" applyAlignment="1"/>
    <xf numFmtId="0" fontId="6" fillId="0" borderId="0" xfId="10" applyFont="1" applyAlignment="1"/>
    <xf numFmtId="0" fontId="19" fillId="12" borderId="0" xfId="10" applyFont="1" applyFill="1"/>
    <xf numFmtId="189" fontId="6" fillId="0" borderId="132" xfId="10" applyNumberFormat="1" applyFont="1" applyBorder="1" applyAlignment="1">
      <alignment horizontal="center" shrinkToFit="1"/>
    </xf>
    <xf numFmtId="189" fontId="6" fillId="0" borderId="107" xfId="10" applyNumberFormat="1" applyFont="1" applyBorder="1" applyAlignment="1">
      <alignment horizontal="center" shrinkToFit="1"/>
    </xf>
    <xf numFmtId="0" fontId="6" fillId="0" borderId="107" xfId="10" applyNumberFormat="1" applyFont="1" applyBorder="1" applyAlignment="1">
      <alignment horizontal="center"/>
    </xf>
    <xf numFmtId="0" fontId="6" fillId="0" borderId="107" xfId="10" applyNumberFormat="1" applyFont="1" applyFill="1" applyBorder="1" applyAlignment="1">
      <alignment horizontal="center"/>
    </xf>
    <xf numFmtId="0" fontId="6" fillId="0" borderId="138" xfId="10" applyFont="1" applyBorder="1" applyAlignment="1">
      <alignment vertical="top" wrapText="1" shrinkToFit="1"/>
    </xf>
    <xf numFmtId="0" fontId="0" fillId="0" borderId="66" xfId="0" applyBorder="1" applyAlignment="1">
      <alignment vertical="top" wrapText="1" shrinkToFit="1"/>
    </xf>
    <xf numFmtId="0" fontId="6" fillId="0" borderId="139" xfId="10" applyFont="1" applyFill="1" applyBorder="1" applyAlignment="1">
      <alignment vertical="top" wrapText="1" shrinkToFit="1"/>
    </xf>
    <xf numFmtId="0" fontId="33" fillId="2" borderId="2" xfId="2" applyFont="1" applyFill="1" applyBorder="1" applyAlignment="1" applyProtection="1">
      <alignment horizontal="left" vertical="center" indent="1"/>
      <protection locked="0"/>
    </xf>
    <xf numFmtId="0" fontId="34" fillId="2" borderId="3" xfId="2" applyFont="1" applyFill="1" applyBorder="1" applyAlignment="1" applyProtection="1">
      <alignment horizontal="left" vertical="center" indent="1"/>
      <protection locked="0"/>
    </xf>
    <xf numFmtId="0" fontId="34" fillId="2" borderId="3" xfId="2" applyFont="1" applyFill="1" applyBorder="1" applyAlignment="1" applyProtection="1">
      <alignment horizontal="left" vertical="center" indent="1"/>
      <protection locked="0"/>
    </xf>
    <xf numFmtId="0" fontId="34" fillId="2" borderId="3" xfId="2" applyFont="1" applyFill="1" applyBorder="1" applyAlignment="1" applyProtection="1">
      <alignment horizontal="right" vertical="center" indent="1"/>
      <protection locked="0"/>
    </xf>
    <xf numFmtId="0" fontId="34" fillId="2" borderId="4" xfId="2" applyFont="1" applyFill="1" applyBorder="1" applyAlignment="1" applyProtection="1">
      <alignment horizontal="left" vertical="center" indent="1"/>
      <protection locked="0"/>
    </xf>
    <xf numFmtId="0" fontId="34" fillId="0" borderId="140" xfId="2" applyFont="1" applyFill="1" applyBorder="1" applyAlignment="1" applyProtection="1">
      <alignment horizontal="left" vertical="center" indent="1"/>
      <protection locked="0"/>
    </xf>
    <xf numFmtId="0" fontId="34" fillId="0" borderId="0" xfId="2" applyFont="1" applyFill="1" applyBorder="1" applyAlignment="1" applyProtection="1">
      <alignment horizontal="left" vertical="center" indent="1"/>
      <protection locked="0"/>
    </xf>
    <xf numFmtId="0" fontId="34" fillId="0" borderId="0" xfId="2" applyNumberFormat="1" applyFont="1" applyFill="1" applyBorder="1" applyAlignment="1" applyProtection="1">
      <alignment horizontal="left" vertical="center" indent="1"/>
      <protection locked="0"/>
    </xf>
    <xf numFmtId="176" fontId="19" fillId="0" borderId="0" xfId="2" applyNumberFormat="1" applyFont="1" applyFill="1" applyAlignment="1" applyProtection="1">
      <alignment horizontal="left" vertical="center" indent="1"/>
      <protection locked="0"/>
    </xf>
    <xf numFmtId="0" fontId="34" fillId="0" borderId="0" xfId="2" applyFont="1" applyFill="1" applyAlignment="1" applyProtection="1">
      <alignment horizontal="left" vertical="center" indent="1"/>
      <protection locked="0"/>
    </xf>
    <xf numFmtId="0" fontId="34" fillId="0" borderId="0" xfId="2" applyFont="1" applyAlignment="1" applyProtection="1">
      <alignment horizontal="left" vertical="center" indent="1"/>
      <protection locked="0"/>
    </xf>
    <xf numFmtId="0" fontId="6" fillId="0" borderId="0" xfId="2" applyFont="1" applyFill="1" applyBorder="1" applyProtection="1">
      <protection locked="0"/>
    </xf>
    <xf numFmtId="0" fontId="6" fillId="0" borderId="0" xfId="2" applyFont="1" applyFill="1" applyProtection="1">
      <protection locked="0"/>
    </xf>
    <xf numFmtId="0" fontId="6" fillId="0" borderId="80" xfId="2" applyFont="1" applyFill="1" applyBorder="1" applyProtection="1">
      <protection locked="0"/>
    </xf>
    <xf numFmtId="0" fontId="6" fillId="0" borderId="140" xfId="2" applyFont="1" applyFill="1" applyBorder="1" applyProtection="1">
      <protection locked="0"/>
    </xf>
    <xf numFmtId="0" fontId="6" fillId="0" borderId="0" xfId="2" applyFont="1" applyFill="1" applyAlignment="1" applyProtection="1">
      <alignment vertical="center"/>
      <protection locked="0"/>
    </xf>
    <xf numFmtId="0" fontId="6" fillId="0" borderId="0" xfId="2" applyFont="1" applyFill="1" applyBorder="1" applyAlignment="1" applyProtection="1">
      <alignment vertical="center"/>
      <protection locked="0"/>
    </xf>
    <xf numFmtId="0" fontId="6" fillId="0" borderId="0" xfId="2" applyFont="1" applyProtection="1">
      <protection locked="0"/>
    </xf>
    <xf numFmtId="0" fontId="6" fillId="0" borderId="142" xfId="2" applyFont="1" applyFill="1" applyBorder="1" applyAlignment="1" applyProtection="1">
      <alignment horizontal="center" vertical="center"/>
    </xf>
    <xf numFmtId="0" fontId="6" fillId="0" borderId="143" xfId="2" applyNumberFormat="1" applyFont="1" applyFill="1" applyBorder="1" applyAlignment="1" applyProtection="1">
      <alignment horizontal="center" vertical="center" shrinkToFit="1"/>
    </xf>
    <xf numFmtId="0" fontId="6" fillId="0" borderId="144" xfId="2" applyFont="1" applyFill="1" applyBorder="1" applyAlignment="1" applyProtection="1">
      <alignment horizontal="center" vertical="center"/>
    </xf>
    <xf numFmtId="190" fontId="6" fillId="0" borderId="80" xfId="2" applyNumberFormat="1" applyFont="1" applyFill="1" applyBorder="1" applyAlignment="1" applyProtection="1">
      <alignment horizontal="left" vertical="center" indent="1" shrinkToFit="1"/>
    </xf>
    <xf numFmtId="190" fontId="6" fillId="0" borderId="145" xfId="2" applyNumberFormat="1" applyFont="1" applyFill="1" applyBorder="1" applyAlignment="1" applyProtection="1">
      <alignment horizontal="left" vertical="center" indent="1" shrinkToFit="1"/>
    </xf>
    <xf numFmtId="0" fontId="6" fillId="0" borderId="146" xfId="2" applyFont="1" applyFill="1" applyBorder="1" applyAlignment="1" applyProtection="1">
      <alignment horizontal="center" vertical="center" wrapText="1"/>
    </xf>
    <xf numFmtId="0" fontId="6" fillId="0" borderId="145" xfId="2" applyFont="1" applyFill="1" applyBorder="1" applyAlignment="1" applyProtection="1">
      <alignment horizontal="center" vertical="center" wrapText="1"/>
    </xf>
    <xf numFmtId="0" fontId="6" fillId="0" borderId="147" xfId="2" applyFont="1" applyFill="1" applyBorder="1" applyAlignment="1" applyProtection="1">
      <alignment horizontal="center" vertical="center"/>
    </xf>
    <xf numFmtId="0" fontId="6" fillId="0" borderId="148" xfId="2" applyFont="1" applyFill="1" applyBorder="1" applyAlignment="1" applyProtection="1">
      <alignment horizontal="center" vertical="center"/>
    </xf>
    <xf numFmtId="0" fontId="6" fillId="0" borderId="149" xfId="2" applyFont="1" applyFill="1" applyBorder="1" applyAlignment="1" applyProtection="1">
      <alignment horizontal="center" vertical="center"/>
    </xf>
    <xf numFmtId="0" fontId="6" fillId="0" borderId="150" xfId="2" applyFont="1" applyFill="1" applyBorder="1" applyAlignment="1" applyProtection="1">
      <alignment horizontal="center" vertical="center"/>
    </xf>
    <xf numFmtId="0" fontId="6" fillId="0" borderId="90" xfId="2" applyFont="1" applyFill="1" applyBorder="1" applyAlignment="1" applyProtection="1">
      <alignment horizontal="center" vertical="center"/>
    </xf>
    <xf numFmtId="0" fontId="6" fillId="0" borderId="91" xfId="2" applyFont="1" applyFill="1" applyBorder="1" applyAlignment="1" applyProtection="1">
      <alignment horizontal="center" vertical="center"/>
    </xf>
    <xf numFmtId="0" fontId="6" fillId="0" borderId="0" xfId="2" applyFont="1" applyFill="1" applyBorder="1" applyAlignment="1" applyProtection="1">
      <alignment horizontal="center"/>
    </xf>
    <xf numFmtId="190" fontId="6" fillId="0" borderId="80" xfId="2" applyNumberFormat="1" applyFont="1" applyFill="1" applyBorder="1" applyAlignment="1" applyProtection="1">
      <alignment vertical="center" shrinkToFit="1"/>
    </xf>
    <xf numFmtId="190" fontId="6" fillId="0" borderId="145" xfId="2" applyNumberFormat="1" applyFont="1" applyFill="1" applyBorder="1" applyAlignment="1" applyProtection="1">
      <alignment vertical="center" shrinkToFit="1"/>
    </xf>
    <xf numFmtId="0" fontId="6" fillId="0" borderId="0" xfId="2" applyFont="1" applyFill="1" applyBorder="1" applyAlignment="1" applyProtection="1">
      <alignment vertical="center"/>
    </xf>
    <xf numFmtId="177" fontId="19" fillId="0" borderId="21" xfId="2" applyNumberFormat="1" applyFont="1" applyFill="1" applyBorder="1" applyAlignment="1" applyProtection="1">
      <alignment horizontal="center" vertical="center"/>
    </xf>
    <xf numFmtId="177" fontId="19" fillId="0" borderId="22" xfId="2" applyNumberFormat="1" applyFont="1" applyFill="1" applyBorder="1" applyAlignment="1" applyProtection="1">
      <alignment horizontal="center" vertical="center"/>
    </xf>
    <xf numFmtId="177" fontId="19" fillId="0" borderId="23" xfId="2" applyNumberFormat="1" applyFont="1" applyFill="1" applyBorder="1" applyAlignment="1" applyProtection="1">
      <alignment horizontal="center" vertical="center"/>
    </xf>
    <xf numFmtId="177" fontId="6" fillId="0" borderId="0" xfId="2" applyNumberFormat="1" applyFont="1" applyFill="1" applyBorder="1" applyAlignment="1" applyProtection="1">
      <alignment vertical="center"/>
    </xf>
    <xf numFmtId="0" fontId="6" fillId="0" borderId="0" xfId="2" applyFont="1" applyFill="1" applyBorder="1" applyAlignment="1" applyProtection="1">
      <alignment horizontal="center" shrinkToFit="1"/>
      <protection locked="0"/>
    </xf>
    <xf numFmtId="0" fontId="6" fillId="0" borderId="0" xfId="2" applyFont="1" applyFill="1" applyAlignment="1" applyProtection="1">
      <alignment horizontal="left"/>
      <protection locked="0"/>
    </xf>
    <xf numFmtId="0" fontId="6" fillId="0" borderId="0" xfId="11" applyFont="1" applyFill="1" applyBorder="1" applyAlignment="1">
      <alignment horizontal="left"/>
    </xf>
    <xf numFmtId="0" fontId="6" fillId="0" borderId="151" xfId="2" applyFont="1" applyFill="1" applyBorder="1" applyAlignment="1" applyProtection="1">
      <alignment horizontal="center" vertical="center"/>
    </xf>
    <xf numFmtId="0" fontId="6" fillId="0" borderId="152" xfId="2" applyNumberFormat="1" applyFont="1" applyFill="1" applyBorder="1" applyAlignment="1" applyProtection="1">
      <alignment horizontal="center" vertical="center" shrinkToFit="1"/>
    </xf>
    <xf numFmtId="0" fontId="6" fillId="0" borderId="153" xfId="2" applyFont="1" applyFill="1" applyBorder="1" applyAlignment="1" applyProtection="1">
      <alignment horizontal="center" vertical="center"/>
    </xf>
    <xf numFmtId="190" fontId="6" fillId="0" borderId="20" xfId="2" applyNumberFormat="1" applyFont="1" applyFill="1" applyBorder="1" applyAlignment="1" applyProtection="1">
      <alignment horizontal="left" vertical="center" indent="1" shrinkToFit="1"/>
    </xf>
    <xf numFmtId="190" fontId="6" fillId="0" borderId="154" xfId="2" applyNumberFormat="1" applyFont="1" applyFill="1" applyBorder="1" applyAlignment="1" applyProtection="1">
      <alignment horizontal="left" vertical="center" indent="1" shrinkToFit="1"/>
    </xf>
    <xf numFmtId="0" fontId="6" fillId="0" borderId="155" xfId="2" applyFont="1" applyFill="1" applyBorder="1" applyAlignment="1" applyProtection="1">
      <alignment horizontal="center" vertical="center" wrapText="1"/>
    </xf>
    <xf numFmtId="0" fontId="6" fillId="0" borderId="156" xfId="2" applyFont="1" applyFill="1" applyBorder="1" applyAlignment="1" applyProtection="1">
      <alignment horizontal="center" vertical="center" wrapText="1"/>
    </xf>
    <xf numFmtId="0" fontId="6" fillId="0" borderId="157" xfId="2" applyFont="1" applyFill="1" applyBorder="1" applyAlignment="1" applyProtection="1">
      <alignment horizontal="center" vertical="center"/>
    </xf>
    <xf numFmtId="0" fontId="6" fillId="0" borderId="158" xfId="2" applyFont="1" applyFill="1" applyBorder="1" applyAlignment="1" applyProtection="1">
      <alignment horizontal="center" vertical="center"/>
    </xf>
    <xf numFmtId="0" fontId="6" fillId="0" borderId="159" xfId="2" applyFont="1" applyFill="1" applyBorder="1" applyAlignment="1" applyProtection="1">
      <alignment horizontal="center" vertical="center"/>
    </xf>
    <xf numFmtId="0" fontId="6" fillId="0" borderId="160" xfId="2" applyFont="1" applyFill="1" applyBorder="1" applyAlignment="1" applyProtection="1">
      <alignment horizontal="center" vertical="center"/>
    </xf>
    <xf numFmtId="0" fontId="6" fillId="0" borderId="161" xfId="2" applyFont="1" applyFill="1" applyBorder="1" applyAlignment="1" applyProtection="1">
      <alignment horizontal="center" vertical="center"/>
    </xf>
    <xf numFmtId="0" fontId="6" fillId="0" borderId="162" xfId="2" applyFont="1" applyFill="1" applyBorder="1" applyAlignment="1" applyProtection="1">
      <alignment horizontal="center" vertical="center"/>
    </xf>
    <xf numFmtId="0" fontId="6" fillId="0" borderId="163" xfId="2" applyFont="1" applyFill="1" applyBorder="1" applyAlignment="1" applyProtection="1">
      <alignment horizontal="center" vertical="center"/>
    </xf>
    <xf numFmtId="190" fontId="6" fillId="0" borderId="164" xfId="2" applyNumberFormat="1" applyFont="1" applyFill="1" applyBorder="1" applyAlignment="1" applyProtection="1">
      <alignment horizontal="center" vertical="center" shrinkToFit="1"/>
    </xf>
    <xf numFmtId="190" fontId="6" fillId="0" borderId="0" xfId="2" applyNumberFormat="1" applyFont="1" applyFill="1" applyBorder="1" applyAlignment="1" applyProtection="1">
      <alignment horizontal="center" vertical="center" shrinkToFit="1"/>
    </xf>
    <xf numFmtId="190" fontId="6" fillId="0" borderId="50" xfId="2" applyNumberFormat="1" applyFont="1" applyFill="1" applyBorder="1" applyAlignment="1" applyProtection="1">
      <alignment horizontal="center" vertical="center" shrinkToFit="1"/>
    </xf>
    <xf numFmtId="190" fontId="6" fillId="0" borderId="20" xfId="2" applyNumberFormat="1" applyFont="1" applyFill="1" applyBorder="1" applyAlignment="1" applyProtection="1">
      <alignment vertical="center" shrinkToFit="1"/>
    </xf>
    <xf numFmtId="190" fontId="6" fillId="0" borderId="154" xfId="2" applyNumberFormat="1" applyFont="1" applyFill="1" applyBorder="1" applyAlignment="1" applyProtection="1">
      <alignment vertical="center" shrinkToFit="1"/>
    </xf>
    <xf numFmtId="177" fontId="19" fillId="0" borderId="0" xfId="2" applyNumberFormat="1" applyFont="1" applyFill="1" applyBorder="1" applyAlignment="1" applyProtection="1">
      <alignment horizontal="center" vertical="center"/>
    </xf>
    <xf numFmtId="0" fontId="6" fillId="0" borderId="0" xfId="2" applyFont="1" applyFill="1" applyBorder="1" applyAlignment="1" applyProtection="1">
      <alignment horizontal="left"/>
      <protection locked="0"/>
    </xf>
    <xf numFmtId="0" fontId="6" fillId="0" borderId="166" xfId="2" applyFont="1" applyFill="1" applyBorder="1" applyAlignment="1" applyProtection="1">
      <alignment horizontal="center" vertical="center"/>
    </xf>
    <xf numFmtId="0" fontId="6" fillId="0" borderId="167" xfId="2" applyNumberFormat="1" applyFont="1" applyFill="1" applyBorder="1" applyAlignment="1" applyProtection="1">
      <alignment horizontal="center" vertical="center"/>
    </xf>
    <xf numFmtId="0" fontId="6" fillId="0" borderId="168" xfId="2" applyFont="1" applyFill="1" applyBorder="1" applyAlignment="1" applyProtection="1">
      <alignment horizontal="center" vertical="center"/>
    </xf>
    <xf numFmtId="191" fontId="6" fillId="0" borderId="167" xfId="2" applyNumberFormat="1" applyFont="1" applyFill="1" applyBorder="1" applyAlignment="1" applyProtection="1">
      <alignment vertical="center"/>
    </xf>
    <xf numFmtId="0" fontId="6" fillId="0" borderId="169" xfId="2" applyFont="1" applyFill="1" applyBorder="1" applyAlignment="1" applyProtection="1">
      <alignment horizontal="center" vertical="center"/>
    </xf>
    <xf numFmtId="192" fontId="6" fillId="0" borderId="167" xfId="2" applyNumberFormat="1" applyFont="1" applyFill="1" applyBorder="1" applyAlignment="1" applyProtection="1">
      <alignment vertical="center"/>
      <protection locked="0"/>
    </xf>
    <xf numFmtId="0" fontId="6" fillId="0" borderId="170" xfId="2" applyFont="1" applyFill="1" applyBorder="1" applyAlignment="1" applyProtection="1">
      <alignment horizontal="center" vertical="center" shrinkToFit="1"/>
    </xf>
    <xf numFmtId="0" fontId="6" fillId="0" borderId="171" xfId="2" applyFont="1" applyFill="1" applyBorder="1" applyAlignment="1" applyProtection="1">
      <alignment horizontal="center" vertical="center" shrinkToFit="1"/>
    </xf>
    <xf numFmtId="193" fontId="6" fillId="0" borderId="172" xfId="2" applyNumberFormat="1" applyFont="1" applyFill="1" applyBorder="1" applyAlignment="1" applyProtection="1">
      <alignment vertical="center"/>
      <protection locked="0"/>
    </xf>
    <xf numFmtId="193" fontId="6" fillId="0" borderId="167" xfId="2" applyNumberFormat="1" applyFont="1" applyFill="1" applyBorder="1" applyAlignment="1" applyProtection="1">
      <alignment vertical="center"/>
      <protection locked="0"/>
    </xf>
    <xf numFmtId="194" fontId="6" fillId="0" borderId="173" xfId="2" applyNumberFormat="1" applyFont="1" applyFill="1" applyBorder="1" applyAlignment="1" applyProtection="1">
      <alignment vertical="center" shrinkToFit="1"/>
      <protection locked="0"/>
    </xf>
    <xf numFmtId="194" fontId="6" fillId="0" borderId="167" xfId="2" applyNumberFormat="1" applyFont="1" applyFill="1" applyBorder="1" applyAlignment="1" applyProtection="1">
      <alignment vertical="center" shrinkToFit="1"/>
      <protection locked="0"/>
    </xf>
    <xf numFmtId="195" fontId="6" fillId="0" borderId="173" xfId="2" applyNumberFormat="1" applyFont="1" applyFill="1" applyBorder="1" applyAlignment="1" applyProtection="1">
      <alignment horizontal="center" vertical="center" shrinkToFit="1"/>
      <protection locked="0"/>
    </xf>
    <xf numFmtId="195" fontId="6" fillId="0" borderId="174" xfId="2" applyNumberFormat="1" applyFont="1" applyFill="1" applyBorder="1" applyAlignment="1" applyProtection="1">
      <alignment horizontal="center" vertical="center" shrinkToFit="1"/>
      <protection locked="0"/>
    </xf>
    <xf numFmtId="196" fontId="6" fillId="0" borderId="172" xfId="2" applyNumberFormat="1" applyFont="1" applyFill="1" applyBorder="1" applyAlignment="1" applyProtection="1">
      <alignment horizontal="center" vertical="center" shrinkToFit="1"/>
      <protection locked="0"/>
    </xf>
    <xf numFmtId="196" fontId="6" fillId="0" borderId="174" xfId="2" applyNumberFormat="1" applyFont="1" applyFill="1" applyBorder="1" applyAlignment="1" applyProtection="1">
      <alignment horizontal="center" vertical="center" shrinkToFit="1"/>
      <protection locked="0"/>
    </xf>
    <xf numFmtId="197" fontId="6" fillId="0" borderId="45" xfId="2" applyNumberFormat="1" applyFont="1" applyFill="1" applyBorder="1" applyAlignment="1" applyProtection="1">
      <alignment horizontal="center" vertical="center" shrinkToFit="1"/>
      <protection locked="0"/>
    </xf>
    <xf numFmtId="197" fontId="6" fillId="0" borderId="47" xfId="2" applyNumberFormat="1" applyFont="1" applyFill="1" applyBorder="1" applyAlignment="1" applyProtection="1">
      <alignment horizontal="center" vertical="center" shrinkToFit="1"/>
      <protection locked="0"/>
    </xf>
    <xf numFmtId="198" fontId="6" fillId="0" borderId="175" xfId="2" applyNumberFormat="1" applyFont="1" applyFill="1" applyBorder="1" applyAlignment="1" applyProtection="1">
      <alignment horizontal="center" vertical="center" shrinkToFit="1"/>
      <protection locked="0"/>
    </xf>
    <xf numFmtId="198" fontId="6" fillId="0" borderId="167" xfId="2" applyNumberFormat="1" applyFont="1" applyFill="1" applyBorder="1" applyAlignment="1" applyProtection="1">
      <alignment horizontal="center" vertical="center" shrinkToFit="1"/>
      <protection locked="0"/>
    </xf>
    <xf numFmtId="190" fontId="6" fillId="0" borderId="173" xfId="2" applyNumberFormat="1" applyFont="1" applyFill="1" applyBorder="1" applyAlignment="1" applyProtection="1">
      <alignment horizontal="center" vertical="center" shrinkToFit="1"/>
    </xf>
    <xf numFmtId="190" fontId="6" fillId="0" borderId="45" xfId="2" applyNumberFormat="1" applyFont="1" applyFill="1" applyBorder="1" applyAlignment="1" applyProtection="1">
      <alignment horizontal="center" vertical="center" shrinkToFit="1"/>
    </xf>
    <xf numFmtId="190" fontId="6" fillId="0" borderId="46" xfId="2" applyNumberFormat="1" applyFont="1" applyFill="1" applyBorder="1" applyAlignment="1" applyProtection="1">
      <alignment horizontal="center" vertical="center" shrinkToFit="1"/>
    </xf>
    <xf numFmtId="199" fontId="6" fillId="0" borderId="0" xfId="2" applyNumberFormat="1" applyFont="1" applyFill="1" applyBorder="1" applyAlignment="1" applyProtection="1">
      <alignment horizontal="center" shrinkToFit="1"/>
      <protection locked="0"/>
    </xf>
    <xf numFmtId="0" fontId="6" fillId="0" borderId="0" xfId="2" applyFont="1" applyFill="1" applyBorder="1" applyAlignment="1" applyProtection="1">
      <alignment vertical="center" shrinkToFit="1"/>
      <protection locked="0"/>
    </xf>
    <xf numFmtId="0" fontId="6" fillId="0" borderId="0" xfId="2" applyFont="1" applyFill="1" applyBorder="1" applyAlignment="1" applyProtection="1">
      <alignment vertical="center" shrinkToFit="1"/>
    </xf>
    <xf numFmtId="200" fontId="6" fillId="0" borderId="0" xfId="2" applyNumberFormat="1" applyFont="1" applyFill="1" applyBorder="1" applyAlignment="1" applyProtection="1">
      <alignment vertical="center"/>
    </xf>
    <xf numFmtId="177" fontId="6" fillId="0" borderId="140" xfId="2" applyNumberFormat="1" applyFont="1" applyFill="1" applyBorder="1" applyAlignment="1" applyProtection="1">
      <alignment horizontal="center"/>
    </xf>
    <xf numFmtId="0" fontId="6" fillId="0" borderId="0" xfId="2" applyFont="1" applyFill="1" applyBorder="1" applyAlignment="1" applyProtection="1">
      <alignment horizontal="left" indent="1"/>
    </xf>
    <xf numFmtId="0" fontId="6" fillId="0" borderId="0" xfId="2" applyFont="1" applyFill="1" applyBorder="1" applyProtection="1"/>
    <xf numFmtId="0" fontId="6" fillId="0" borderId="176" xfId="2" applyFont="1" applyFill="1" applyBorder="1" applyAlignment="1" applyProtection="1">
      <alignment horizontal="right" shrinkToFit="1"/>
    </xf>
    <xf numFmtId="201" fontId="6" fillId="0" borderId="176" xfId="2" applyNumberFormat="1" applyFont="1" applyFill="1" applyBorder="1" applyAlignment="1" applyProtection="1">
      <alignment horizontal="left"/>
    </xf>
    <xf numFmtId="200" fontId="6" fillId="0" borderId="0" xfId="2" applyNumberFormat="1" applyFont="1" applyFill="1" applyBorder="1" applyAlignment="1" applyProtection="1">
      <alignment horizontal="left"/>
    </xf>
    <xf numFmtId="177" fontId="6" fillId="0" borderId="0" xfId="2" applyNumberFormat="1" applyFont="1" applyFill="1" applyBorder="1" applyProtection="1"/>
    <xf numFmtId="0" fontId="6" fillId="0" borderId="0" xfId="2" applyFont="1" applyFill="1" applyBorder="1" applyAlignment="1" applyProtection="1">
      <alignment horizontal="right"/>
    </xf>
    <xf numFmtId="201" fontId="6" fillId="0" borderId="0" xfId="2" applyNumberFormat="1" applyFont="1" applyFill="1" applyBorder="1" applyAlignment="1" applyProtection="1">
      <alignment horizontal="left"/>
    </xf>
    <xf numFmtId="3" fontId="6" fillId="0" borderId="0" xfId="12" applyNumberFormat="1" applyFont="1" applyFill="1" applyBorder="1" applyProtection="1"/>
    <xf numFmtId="177" fontId="6" fillId="0" borderId="0" xfId="2" applyNumberFormat="1" applyFont="1" applyFill="1" applyBorder="1" applyAlignment="1" applyProtection="1">
      <alignment horizontal="right"/>
    </xf>
    <xf numFmtId="202" fontId="6" fillId="0" borderId="0" xfId="12" applyNumberFormat="1" applyFont="1" applyFill="1" applyBorder="1" applyAlignment="1" applyProtection="1">
      <alignment horizontal="left"/>
    </xf>
    <xf numFmtId="200" fontId="6" fillId="0" borderId="0" xfId="2" applyNumberFormat="1" applyFont="1" applyFill="1" applyBorder="1" applyAlignment="1" applyProtection="1">
      <alignment horizontal="left"/>
    </xf>
    <xf numFmtId="200" fontId="6" fillId="0" borderId="0" xfId="2" applyNumberFormat="1" applyFont="1" applyFill="1" applyBorder="1" applyAlignment="1" applyProtection="1">
      <alignment horizontal="right"/>
    </xf>
    <xf numFmtId="0" fontId="6" fillId="0" borderId="177" xfId="2" applyFont="1" applyFill="1" applyBorder="1" applyAlignment="1" applyProtection="1">
      <alignment horizontal="right"/>
    </xf>
    <xf numFmtId="0" fontId="14" fillId="5" borderId="21" xfId="4" applyFont="1" applyFill="1" applyBorder="1" applyAlignment="1">
      <alignment horizontal="center" vertical="center"/>
    </xf>
    <xf numFmtId="0" fontId="6" fillId="0" borderId="140" xfId="2" applyFont="1" applyFill="1" applyBorder="1" applyAlignment="1" applyProtection="1">
      <alignment horizontal="right"/>
    </xf>
    <xf numFmtId="0" fontId="14" fillId="6" borderId="21" xfId="4" applyFont="1" applyFill="1" applyBorder="1" applyAlignment="1">
      <alignment horizontal="center" vertical="center"/>
    </xf>
    <xf numFmtId="203" fontId="6" fillId="0" borderId="0" xfId="2" applyNumberFormat="1" applyFont="1" applyFill="1" applyBorder="1" applyAlignment="1" applyProtection="1">
      <alignment vertical="center"/>
    </xf>
    <xf numFmtId="200" fontId="6" fillId="0" borderId="0" xfId="2" applyNumberFormat="1" applyFont="1" applyFill="1" applyBorder="1" applyAlignment="1" applyProtection="1">
      <alignment vertical="center"/>
    </xf>
    <xf numFmtId="204" fontId="6" fillId="0" borderId="0" xfId="2" applyNumberFormat="1" applyFont="1" applyFill="1" applyBorder="1" applyAlignment="1" applyProtection="1">
      <alignment horizontal="left" vertical="center"/>
    </xf>
    <xf numFmtId="203" fontId="6" fillId="0" borderId="0" xfId="2" applyNumberFormat="1" applyFont="1" applyFill="1" applyBorder="1" applyAlignment="1" applyProtection="1">
      <alignment vertical="center"/>
      <protection locked="0"/>
    </xf>
    <xf numFmtId="203" fontId="6" fillId="0" borderId="140" xfId="2" applyNumberFormat="1" applyFont="1" applyFill="1" applyBorder="1" applyAlignment="1" applyProtection="1"/>
    <xf numFmtId="0" fontId="15" fillId="3" borderId="178" xfId="2" applyFont="1" applyFill="1" applyBorder="1" applyAlignment="1" applyProtection="1">
      <alignment horizontal="left" vertical="center" wrapText="1" indent="1"/>
      <protection locked="0"/>
    </xf>
    <xf numFmtId="0" fontId="15" fillId="3" borderId="179" xfId="2" applyFont="1" applyFill="1" applyBorder="1" applyAlignment="1" applyProtection="1">
      <alignment horizontal="left" vertical="center" wrapText="1" indent="1"/>
      <protection locked="0"/>
    </xf>
    <xf numFmtId="0" fontId="15" fillId="3" borderId="180" xfId="2" applyFont="1" applyFill="1" applyBorder="1" applyAlignment="1" applyProtection="1">
      <alignment horizontal="left" vertical="center" wrapText="1" indent="1"/>
      <protection locked="0"/>
    </xf>
    <xf numFmtId="177" fontId="6" fillId="3" borderId="181" xfId="2" applyNumberFormat="1" applyFont="1" applyFill="1" applyBorder="1" applyAlignment="1" applyProtection="1">
      <alignment horizontal="center" vertical="center"/>
    </xf>
    <xf numFmtId="177" fontId="6" fillId="3" borderId="182" xfId="2" applyNumberFormat="1" applyFont="1" applyFill="1" applyBorder="1" applyAlignment="1" applyProtection="1">
      <alignment horizontal="center" vertical="center"/>
    </xf>
    <xf numFmtId="177" fontId="6" fillId="3" borderId="183" xfId="2" applyNumberFormat="1" applyFont="1" applyFill="1" applyBorder="1" applyAlignment="1" applyProtection="1">
      <alignment horizontal="center" vertical="center"/>
    </xf>
    <xf numFmtId="177" fontId="6" fillId="3" borderId="181" xfId="2" applyNumberFormat="1" applyFont="1" applyFill="1" applyBorder="1" applyAlignment="1" applyProtection="1">
      <alignment horizontal="centerContinuous" vertical="center"/>
    </xf>
    <xf numFmtId="177" fontId="6" fillId="3" borderId="182" xfId="2" applyNumberFormat="1" applyFont="1" applyFill="1" applyBorder="1" applyAlignment="1" applyProtection="1">
      <alignment horizontal="centerContinuous" vertical="center"/>
    </xf>
    <xf numFmtId="177" fontId="6" fillId="3" borderId="184" xfId="2" applyNumberFormat="1" applyFont="1" applyFill="1" applyBorder="1" applyAlignment="1" applyProtection="1">
      <alignment horizontal="center" vertical="center"/>
    </xf>
    <xf numFmtId="177" fontId="6" fillId="3" borderId="179" xfId="2" applyNumberFormat="1" applyFont="1" applyFill="1" applyBorder="1" applyAlignment="1" applyProtection="1">
      <alignment horizontal="center" vertical="center"/>
    </xf>
    <xf numFmtId="177" fontId="6" fillId="3" borderId="185" xfId="2" applyNumberFormat="1" applyFont="1" applyFill="1" applyBorder="1" applyAlignment="1" applyProtection="1">
      <alignment horizontal="center" vertical="center"/>
    </xf>
    <xf numFmtId="205" fontId="6" fillId="0" borderId="0" xfId="2" applyNumberFormat="1" applyFont="1" applyFill="1" applyBorder="1" applyAlignment="1" applyProtection="1">
      <alignment horizontal="right" shrinkToFit="1"/>
    </xf>
    <xf numFmtId="0" fontId="6" fillId="0" borderId="0" xfId="2" applyNumberFormat="1" applyFont="1" applyFill="1" applyBorder="1" applyAlignment="1" applyProtection="1">
      <alignment vertical="center"/>
    </xf>
    <xf numFmtId="0" fontId="11" fillId="0" borderId="0" xfId="3" applyNumberFormat="1" applyAlignment="1">
      <alignment vertical="center"/>
    </xf>
    <xf numFmtId="0" fontId="11" fillId="0" borderId="0" xfId="3" applyNumberFormat="1" applyFill="1" applyAlignment="1">
      <alignment vertical="center"/>
    </xf>
    <xf numFmtId="3" fontId="6" fillId="0" borderId="141" xfId="12" applyNumberFormat="1" applyFont="1" applyFill="1" applyBorder="1" applyAlignment="1" applyProtection="1">
      <alignment horizontal="center" vertical="center" shrinkToFit="1"/>
    </xf>
    <xf numFmtId="2" fontId="6" fillId="0" borderId="0" xfId="2" applyNumberFormat="1" applyFont="1" applyFill="1" applyBorder="1" applyAlignment="1" applyProtection="1">
      <protection locked="0"/>
    </xf>
    <xf numFmtId="0" fontId="15" fillId="3" borderId="103" xfId="2" applyFont="1" applyFill="1" applyBorder="1" applyAlignment="1" applyProtection="1">
      <alignment horizontal="left" vertical="center" wrapText="1" indent="1"/>
      <protection locked="0"/>
    </xf>
    <xf numFmtId="0" fontId="15" fillId="3" borderId="45" xfId="2" applyFont="1" applyFill="1" applyBorder="1" applyAlignment="1" applyProtection="1">
      <alignment horizontal="left" vertical="center" wrapText="1" indent="1"/>
      <protection locked="0"/>
    </xf>
    <xf numFmtId="0" fontId="15" fillId="3" borderId="186" xfId="2" applyFont="1" applyFill="1" applyBorder="1" applyAlignment="1" applyProtection="1">
      <alignment horizontal="left" vertical="center" wrapText="1" indent="1"/>
      <protection locked="0"/>
    </xf>
    <xf numFmtId="183" fontId="6" fillId="13" borderId="187" xfId="2" applyNumberFormat="1" applyFont="1" applyFill="1" applyBorder="1" applyAlignment="1" applyProtection="1">
      <alignment horizontal="centerContinuous"/>
      <protection locked="0"/>
    </xf>
    <xf numFmtId="183" fontId="6" fillId="13" borderId="0" xfId="2" applyNumberFormat="1" applyFont="1" applyFill="1" applyBorder="1" applyAlignment="1" applyProtection="1">
      <alignment horizontal="centerContinuous"/>
    </xf>
    <xf numFmtId="183" fontId="6" fillId="13" borderId="188" xfId="2" applyNumberFormat="1" applyFont="1" applyFill="1" applyBorder="1" applyAlignment="1" applyProtection="1">
      <alignment horizontal="centerContinuous"/>
      <protection locked="0"/>
    </xf>
    <xf numFmtId="183" fontId="6" fillId="13" borderId="50" xfId="2" applyNumberFormat="1" applyFont="1" applyFill="1" applyBorder="1" applyAlignment="1" applyProtection="1">
      <alignment horizontal="centerContinuous"/>
    </xf>
    <xf numFmtId="183" fontId="6" fillId="14" borderId="187" xfId="2" applyNumberFormat="1" applyFont="1" applyFill="1" applyBorder="1" applyAlignment="1" applyProtection="1">
      <alignment horizontal="centerContinuous"/>
      <protection locked="0"/>
    </xf>
    <xf numFmtId="183" fontId="6" fillId="15" borderId="0" xfId="2" applyNumberFormat="1" applyFont="1" applyFill="1" applyBorder="1" applyAlignment="1" applyProtection="1">
      <alignment horizontal="centerContinuous"/>
    </xf>
    <xf numFmtId="183" fontId="6" fillId="15" borderId="188" xfId="2" applyNumberFormat="1" applyFont="1" applyFill="1" applyBorder="1" applyAlignment="1" applyProtection="1">
      <alignment horizontal="centerContinuous"/>
      <protection locked="0"/>
    </xf>
    <xf numFmtId="183" fontId="6" fillId="15" borderId="50" xfId="2" applyNumberFormat="1" applyFont="1" applyFill="1" applyBorder="1" applyAlignment="1" applyProtection="1">
      <alignment horizontal="centerContinuous"/>
    </xf>
    <xf numFmtId="183" fontId="6" fillId="16" borderId="187" xfId="2" applyNumberFormat="1" applyFont="1" applyFill="1" applyBorder="1" applyAlignment="1" applyProtection="1">
      <alignment horizontal="centerContinuous"/>
      <protection locked="0"/>
    </xf>
    <xf numFmtId="183" fontId="6" fillId="16" borderId="0" xfId="2" applyNumberFormat="1" applyFont="1" applyFill="1" applyBorder="1" applyAlignment="1" applyProtection="1">
      <alignment horizontal="centerContinuous"/>
    </xf>
    <xf numFmtId="183" fontId="6" fillId="16" borderId="188" xfId="2" applyNumberFormat="1" applyFont="1" applyFill="1" applyBorder="1" applyAlignment="1" applyProtection="1">
      <alignment horizontal="centerContinuous"/>
      <protection locked="0"/>
    </xf>
    <xf numFmtId="183" fontId="6" fillId="16" borderId="50" xfId="2" applyNumberFormat="1" applyFont="1" applyFill="1" applyBorder="1" applyAlignment="1" applyProtection="1">
      <alignment horizontal="centerContinuous"/>
    </xf>
    <xf numFmtId="203" fontId="6" fillId="17" borderId="189" xfId="2" applyNumberFormat="1" applyFont="1" applyFill="1" applyBorder="1" applyAlignment="1" applyProtection="1">
      <alignment horizontal="centerContinuous" vertical="center"/>
      <protection locked="0"/>
    </xf>
    <xf numFmtId="203" fontId="6" fillId="17" borderId="190" xfId="2" applyNumberFormat="1" applyFont="1" applyFill="1" applyBorder="1" applyAlignment="1" applyProtection="1">
      <alignment horizontal="centerContinuous" vertical="center"/>
      <protection locked="0"/>
    </xf>
    <xf numFmtId="203" fontId="6" fillId="17" borderId="191" xfId="2" applyNumberFormat="1" applyFont="1" applyFill="1" applyBorder="1" applyAlignment="1" applyProtection="1">
      <alignment horizontal="centerContinuous" vertical="center"/>
      <protection locked="0"/>
    </xf>
    <xf numFmtId="203" fontId="6" fillId="18" borderId="192" xfId="2" applyNumberFormat="1" applyFont="1" applyFill="1" applyBorder="1" applyAlignment="1" applyProtection="1">
      <alignment horizontal="centerContinuous" vertical="center"/>
      <protection locked="0"/>
    </xf>
    <xf numFmtId="203" fontId="6" fillId="18" borderId="190" xfId="2" applyNumberFormat="1" applyFont="1" applyFill="1" applyBorder="1" applyAlignment="1" applyProtection="1">
      <alignment horizontal="centerContinuous" vertical="center"/>
      <protection locked="0"/>
    </xf>
    <xf numFmtId="177" fontId="6" fillId="3" borderId="187" xfId="2" applyNumberFormat="1" applyFont="1" applyFill="1" applyBorder="1" applyAlignment="1" applyProtection="1">
      <alignment horizontal="center" vertical="center"/>
    </xf>
    <xf numFmtId="177" fontId="6" fillId="3" borderId="0" xfId="2" applyNumberFormat="1" applyFont="1" applyFill="1" applyBorder="1" applyAlignment="1" applyProtection="1">
      <alignment horizontal="center" vertical="center"/>
    </xf>
    <xf numFmtId="177" fontId="6" fillId="3" borderId="50" xfId="2" applyNumberFormat="1" applyFont="1" applyFill="1" applyBorder="1" applyAlignment="1" applyProtection="1">
      <alignment horizontal="center" vertical="center"/>
    </xf>
    <xf numFmtId="203" fontId="19" fillId="0" borderId="0" xfId="2" applyNumberFormat="1" applyFont="1" applyFill="1" applyBorder="1" applyAlignment="1" applyProtection="1">
      <alignment vertical="center"/>
    </xf>
    <xf numFmtId="205" fontId="6" fillId="0" borderId="0" xfId="2" applyNumberFormat="1" applyFont="1" applyFill="1" applyBorder="1" applyAlignment="1" applyProtection="1">
      <alignment vertical="center"/>
    </xf>
    <xf numFmtId="194" fontId="6" fillId="0" borderId="0" xfId="12" applyNumberFormat="1" applyFont="1" applyFill="1" applyBorder="1" applyAlignment="1" applyProtection="1">
      <alignment vertical="center"/>
    </xf>
    <xf numFmtId="0" fontId="6" fillId="0" borderId="0" xfId="2" applyFont="1" applyAlignment="1" applyProtection="1">
      <alignment horizontal="center"/>
      <protection locked="0"/>
    </xf>
    <xf numFmtId="0" fontId="6" fillId="19" borderId="102" xfId="2" applyFont="1" applyFill="1" applyBorder="1" applyAlignment="1" applyProtection="1">
      <alignment horizontal="center" vertical="center" textRotation="255" shrinkToFit="1"/>
    </xf>
    <xf numFmtId="0" fontId="6" fillId="3" borderId="108" xfId="2" applyFont="1" applyFill="1" applyBorder="1" applyAlignment="1" applyProtection="1">
      <alignment horizontal="center" vertical="center" shrinkToFit="1"/>
    </xf>
    <xf numFmtId="0" fontId="6" fillId="3" borderId="109" xfId="2" applyFont="1" applyFill="1" applyBorder="1" applyAlignment="1" applyProtection="1">
      <alignment horizontal="center" vertical="center" shrinkToFit="1"/>
    </xf>
    <xf numFmtId="0" fontId="6" fillId="3" borderId="193" xfId="2" applyFont="1" applyFill="1" applyBorder="1" applyAlignment="1" applyProtection="1">
      <alignment horizontal="center" vertical="center" shrinkToFit="1"/>
    </xf>
    <xf numFmtId="0" fontId="6" fillId="3" borderId="65" xfId="2" applyFont="1" applyFill="1" applyBorder="1" applyAlignment="1" applyProtection="1">
      <alignment horizontal="center" vertical="center" shrinkToFit="1"/>
    </xf>
    <xf numFmtId="177" fontId="6" fillId="3" borderId="194" xfId="2" applyNumberFormat="1" applyFont="1" applyFill="1" applyBorder="1" applyAlignment="1" applyProtection="1">
      <alignment horizontal="center" vertical="center" wrapText="1" shrinkToFit="1"/>
    </xf>
    <xf numFmtId="3" fontId="6" fillId="3" borderId="65" xfId="12" applyNumberFormat="1" applyFont="1" applyFill="1" applyBorder="1" applyAlignment="1" applyProtection="1">
      <alignment horizontal="center" vertical="center" shrinkToFit="1"/>
    </xf>
    <xf numFmtId="177" fontId="6" fillId="3" borderId="195" xfId="2" applyNumberFormat="1" applyFont="1" applyFill="1" applyBorder="1" applyAlignment="1" applyProtection="1">
      <alignment horizontal="center" vertical="center" wrapText="1" shrinkToFit="1"/>
    </xf>
    <xf numFmtId="3" fontId="6" fillId="3" borderId="31" xfId="12" applyNumberFormat="1" applyFont="1" applyFill="1" applyBorder="1" applyAlignment="1" applyProtection="1">
      <alignment horizontal="center" vertical="center" shrinkToFit="1"/>
    </xf>
    <xf numFmtId="3" fontId="6" fillId="0" borderId="140" xfId="12" applyNumberFormat="1" applyFont="1" applyFill="1" applyBorder="1" applyAlignment="1" applyProtection="1">
      <alignment horizontal="center" vertical="center" shrinkToFit="1"/>
    </xf>
    <xf numFmtId="0" fontId="6" fillId="19" borderId="62" xfId="2" applyFont="1" applyFill="1" applyBorder="1" applyAlignment="1" applyProtection="1">
      <alignment horizontal="center" vertical="center" textRotation="255" shrinkToFit="1"/>
    </xf>
    <xf numFmtId="183" fontId="6" fillId="3" borderId="194" xfId="2" applyNumberFormat="1" applyFont="1" applyFill="1" applyBorder="1" applyAlignment="1" applyProtection="1">
      <alignment horizontal="center" vertical="center" wrapText="1" shrinkToFit="1"/>
    </xf>
    <xf numFmtId="177" fontId="6" fillId="3" borderId="109" xfId="2" applyNumberFormat="1" applyFont="1" applyFill="1" applyBorder="1" applyAlignment="1" applyProtection="1">
      <alignment horizontal="center" vertical="center" shrinkToFit="1"/>
    </xf>
    <xf numFmtId="183" fontId="6" fillId="3" borderId="195" xfId="2" applyNumberFormat="1" applyFont="1" applyFill="1" applyBorder="1" applyAlignment="1" applyProtection="1">
      <alignment horizontal="center" vertical="center" wrapText="1" shrinkToFit="1"/>
    </xf>
    <xf numFmtId="177" fontId="6" fillId="3" borderId="45" xfId="2" applyNumberFormat="1" applyFont="1" applyFill="1" applyBorder="1" applyAlignment="1" applyProtection="1">
      <alignment horizontal="center" vertical="center"/>
    </xf>
    <xf numFmtId="177" fontId="6" fillId="3" borderId="46" xfId="2" applyNumberFormat="1" applyFont="1" applyFill="1" applyBorder="1" applyAlignment="1" applyProtection="1">
      <alignment horizontal="center" vertical="center"/>
    </xf>
    <xf numFmtId="3" fontId="6" fillId="0" borderId="0" xfId="12" applyNumberFormat="1" applyFont="1" applyFill="1" applyBorder="1" applyAlignment="1" applyProtection="1">
      <alignment horizontal="center" vertical="center" wrapText="1"/>
    </xf>
    <xf numFmtId="206" fontId="6" fillId="0" borderId="0" xfId="12" applyNumberFormat="1" applyFont="1" applyFill="1" applyBorder="1" applyAlignment="1" applyProtection="1">
      <alignment vertical="center"/>
    </xf>
    <xf numFmtId="205" fontId="6" fillId="0" borderId="0" xfId="2" applyNumberFormat="1" applyFont="1" applyFill="1" applyBorder="1" applyAlignment="1" applyProtection="1">
      <alignment horizontal="center" vertical="center" shrinkToFit="1"/>
    </xf>
    <xf numFmtId="206" fontId="6" fillId="0" borderId="0" xfId="2" applyNumberFormat="1" applyFont="1" applyFill="1" applyBorder="1" applyAlignment="1" applyProtection="1">
      <alignment vertical="center"/>
      <protection locked="0"/>
    </xf>
    <xf numFmtId="0" fontId="6" fillId="19" borderId="36" xfId="2" applyFont="1" applyFill="1" applyBorder="1" applyAlignment="1" applyProtection="1">
      <alignment horizontal="center" vertical="center" textRotation="255" shrinkToFit="1"/>
    </xf>
    <xf numFmtId="0" fontId="6" fillId="0" borderId="196" xfId="2" applyNumberFormat="1" applyFont="1" applyFill="1" applyBorder="1" applyAlignment="1" applyProtection="1">
      <alignment horizontal="center"/>
    </xf>
    <xf numFmtId="0" fontId="6" fillId="0" borderId="197" xfId="2" applyNumberFormat="1" applyFont="1" applyFill="1" applyBorder="1" applyAlignment="1" applyProtection="1">
      <alignment horizontal="center"/>
    </xf>
    <xf numFmtId="207" fontId="6" fillId="0" borderId="198" xfId="2" applyNumberFormat="1" applyFont="1" applyFill="1" applyBorder="1" applyProtection="1"/>
    <xf numFmtId="205" fontId="6" fillId="0" borderId="199" xfId="2" applyNumberFormat="1" applyFont="1" applyFill="1" applyBorder="1" applyAlignment="1" applyProtection="1">
      <alignment horizontal="right" shrinkToFit="1"/>
    </xf>
    <xf numFmtId="194" fontId="6" fillId="0" borderId="156" xfId="12" applyNumberFormat="1" applyFont="1" applyFill="1" applyBorder="1" applyAlignment="1" applyProtection="1">
      <alignment horizontal="right" shrinkToFit="1"/>
    </xf>
    <xf numFmtId="205" fontId="6" fillId="0" borderId="135" xfId="2" applyNumberFormat="1" applyFont="1" applyFill="1" applyBorder="1" applyAlignment="1" applyProtection="1">
      <alignment horizontal="right" shrinkToFit="1"/>
    </xf>
    <xf numFmtId="194" fontId="6" fillId="0" borderId="197" xfId="12" applyNumberFormat="1" applyFont="1" applyFill="1" applyBorder="1" applyAlignment="1" applyProtection="1">
      <alignment horizontal="right" shrinkToFit="1"/>
    </xf>
    <xf numFmtId="205" fontId="6" fillId="0" borderId="200" xfId="2" applyNumberFormat="1" applyFont="1" applyFill="1" applyBorder="1" applyAlignment="1" applyProtection="1">
      <alignment horizontal="right" shrinkToFit="1"/>
    </xf>
    <xf numFmtId="194" fontId="6" fillId="0" borderId="201" xfId="12" applyNumberFormat="1" applyFont="1" applyFill="1" applyBorder="1" applyAlignment="1" applyProtection="1">
      <alignment horizontal="right" shrinkToFit="1"/>
    </xf>
    <xf numFmtId="194" fontId="6" fillId="0" borderId="141" xfId="12" applyNumberFormat="1" applyFont="1" applyFill="1" applyBorder="1" applyAlignment="1" applyProtection="1">
      <alignment horizontal="right" shrinkToFit="1"/>
    </xf>
    <xf numFmtId="194" fontId="6" fillId="0" borderId="140" xfId="12" applyNumberFormat="1" applyFont="1" applyFill="1" applyBorder="1" applyAlignment="1" applyProtection="1">
      <alignment horizontal="right" shrinkToFit="1"/>
    </xf>
    <xf numFmtId="0" fontId="6" fillId="19" borderId="28" xfId="2" applyFont="1" applyFill="1" applyBorder="1" applyAlignment="1" applyProtection="1">
      <alignment horizontal="center" vertical="center" textRotation="255" shrinkToFit="1"/>
    </xf>
    <xf numFmtId="183" fontId="6" fillId="0" borderId="199" xfId="2" applyNumberFormat="1" applyFont="1" applyFill="1" applyBorder="1" applyAlignment="1" applyProtection="1">
      <alignment horizontal="right" shrinkToFit="1"/>
    </xf>
    <xf numFmtId="183" fontId="6" fillId="0" borderId="135" xfId="2" applyNumberFormat="1" applyFont="1" applyFill="1" applyBorder="1" applyAlignment="1" applyProtection="1">
      <alignment horizontal="right" shrinkToFit="1"/>
    </xf>
    <xf numFmtId="194" fontId="6" fillId="0" borderId="202" xfId="12" applyNumberFormat="1" applyFont="1" applyFill="1" applyBorder="1" applyAlignment="1" applyProtection="1">
      <alignment horizontal="right" shrinkToFit="1"/>
    </xf>
    <xf numFmtId="203" fontId="6" fillId="13" borderId="203" xfId="2" applyNumberFormat="1" applyFont="1" applyFill="1" applyBorder="1" applyAlignment="1" applyProtection="1">
      <alignment horizontal="center" vertical="center" wrapText="1"/>
      <protection locked="0"/>
    </xf>
    <xf numFmtId="203" fontId="6" fillId="13" borderId="204" xfId="2" applyNumberFormat="1" applyFont="1" applyFill="1" applyBorder="1" applyAlignment="1" applyProtection="1">
      <alignment horizontal="center" vertical="center" wrapText="1"/>
      <protection locked="0"/>
    </xf>
    <xf numFmtId="203" fontId="6" fillId="15" borderId="205" xfId="2" applyNumberFormat="1" applyFont="1" applyFill="1" applyBorder="1" applyAlignment="1" applyProtection="1">
      <alignment horizontal="center" vertical="center" wrapText="1"/>
      <protection locked="0"/>
    </xf>
    <xf numFmtId="203" fontId="6" fillId="15" borderId="204" xfId="2" applyNumberFormat="1" applyFont="1" applyFill="1" applyBorder="1" applyAlignment="1" applyProtection="1">
      <alignment horizontal="center" vertical="center" wrapText="1"/>
      <protection locked="0"/>
    </xf>
    <xf numFmtId="203" fontId="6" fillId="16" borderId="205" xfId="2" applyNumberFormat="1" applyFont="1" applyFill="1" applyBorder="1" applyAlignment="1" applyProtection="1">
      <alignment horizontal="center" vertical="center" wrapText="1"/>
      <protection locked="0"/>
    </xf>
    <xf numFmtId="203" fontId="6" fillId="16" borderId="204" xfId="2" applyNumberFormat="1" applyFont="1" applyFill="1" applyBorder="1" applyAlignment="1" applyProtection="1">
      <alignment horizontal="center" vertical="center" wrapText="1"/>
      <protection locked="0"/>
    </xf>
    <xf numFmtId="203" fontId="19" fillId="3" borderId="205" xfId="2" applyNumberFormat="1" applyFont="1" applyFill="1" applyBorder="1" applyAlignment="1" applyProtection="1">
      <alignment horizontal="center" vertical="center" wrapText="1"/>
      <protection locked="0"/>
    </xf>
    <xf numFmtId="203" fontId="19" fillId="3" borderId="204" xfId="2" applyNumberFormat="1" applyFont="1" applyFill="1" applyBorder="1" applyAlignment="1" applyProtection="1">
      <alignment horizontal="center" vertical="center" wrapText="1"/>
      <protection locked="0"/>
    </xf>
    <xf numFmtId="203" fontId="19" fillId="3" borderId="206" xfId="2" applyNumberFormat="1" applyFont="1" applyFill="1" applyBorder="1" applyAlignment="1" applyProtection="1">
      <alignment horizontal="center" vertical="center" wrapText="1"/>
      <protection locked="0"/>
    </xf>
    <xf numFmtId="203" fontId="19" fillId="3" borderId="133" xfId="2" applyNumberFormat="1" applyFont="1" applyFill="1" applyBorder="1" applyAlignment="1" applyProtection="1">
      <alignment horizontal="center" vertical="center" wrapText="1"/>
      <protection locked="0"/>
    </xf>
    <xf numFmtId="0" fontId="6" fillId="0" borderId="0" xfId="12" applyNumberFormat="1" applyFont="1" applyFill="1" applyBorder="1" applyAlignment="1" applyProtection="1">
      <alignment vertical="center"/>
    </xf>
    <xf numFmtId="0" fontId="6" fillId="0" borderId="0" xfId="2" applyNumberFormat="1" applyFont="1" applyFill="1" applyBorder="1" applyAlignment="1" applyProtection="1">
      <alignment vertical="center"/>
      <protection locked="0"/>
    </xf>
    <xf numFmtId="3" fontId="6" fillId="0" borderId="0" xfId="12" applyNumberFormat="1" applyFont="1" applyFill="1" applyBorder="1" applyAlignment="1" applyProtection="1">
      <alignment vertical="center"/>
    </xf>
    <xf numFmtId="0" fontId="6" fillId="0" borderId="207" xfId="2" applyNumberFormat="1" applyFont="1" applyFill="1" applyBorder="1" applyAlignment="1" applyProtection="1">
      <alignment horizontal="center"/>
    </xf>
    <xf numFmtId="0" fontId="6" fillId="0" borderId="84" xfId="2" applyNumberFormat="1" applyFont="1" applyFill="1" applyBorder="1" applyAlignment="1" applyProtection="1">
      <alignment horizontal="center"/>
    </xf>
    <xf numFmtId="207" fontId="6" fillId="0" borderId="208" xfId="2" applyNumberFormat="1" applyFont="1" applyFill="1" applyBorder="1" applyProtection="1"/>
    <xf numFmtId="205" fontId="6" fillId="0" borderId="209" xfId="2" applyNumberFormat="1" applyFont="1" applyFill="1" applyBorder="1" applyAlignment="1" applyProtection="1">
      <alignment horizontal="right" shrinkToFit="1"/>
    </xf>
    <xf numFmtId="194" fontId="6" fillId="0" borderId="210" xfId="12" applyNumberFormat="1" applyFont="1" applyFill="1" applyBorder="1" applyAlignment="1" applyProtection="1">
      <alignment horizontal="right" shrinkToFit="1"/>
    </xf>
    <xf numFmtId="205" fontId="6" fillId="0" borderId="72" xfId="2" applyNumberFormat="1" applyFont="1" applyFill="1" applyBorder="1" applyAlignment="1" applyProtection="1">
      <alignment horizontal="right" shrinkToFit="1"/>
    </xf>
    <xf numFmtId="194" fontId="6" fillId="0" borderId="84" xfId="12" applyNumberFormat="1" applyFont="1" applyFill="1" applyBorder="1" applyAlignment="1" applyProtection="1">
      <alignment horizontal="right" shrinkToFit="1"/>
    </xf>
    <xf numFmtId="205" fontId="6" fillId="0" borderId="211" xfId="2" applyNumberFormat="1" applyFont="1" applyFill="1" applyBorder="1" applyAlignment="1" applyProtection="1">
      <alignment horizontal="right" shrinkToFit="1"/>
    </xf>
    <xf numFmtId="194" fontId="6" fillId="0" borderId="212" xfId="12" applyNumberFormat="1" applyFont="1" applyFill="1" applyBorder="1" applyAlignment="1" applyProtection="1">
      <alignment horizontal="right" shrinkToFit="1"/>
    </xf>
    <xf numFmtId="183" fontId="6" fillId="0" borderId="209" xfId="2" applyNumberFormat="1" applyFont="1" applyFill="1" applyBorder="1" applyAlignment="1" applyProtection="1">
      <alignment horizontal="right" shrinkToFit="1"/>
    </xf>
    <xf numFmtId="183" fontId="6" fillId="0" borderId="72" xfId="2" applyNumberFormat="1" applyFont="1" applyFill="1" applyBorder="1" applyAlignment="1" applyProtection="1">
      <alignment horizontal="right" shrinkToFit="1"/>
    </xf>
    <xf numFmtId="194" fontId="6" fillId="0" borderId="213" xfId="12" applyNumberFormat="1" applyFont="1" applyFill="1" applyBorder="1" applyAlignment="1" applyProtection="1">
      <alignment horizontal="right" shrinkToFit="1"/>
    </xf>
    <xf numFmtId="203" fontId="6" fillId="13" borderId="187" xfId="2" applyNumberFormat="1" applyFont="1" applyFill="1" applyBorder="1" applyAlignment="1" applyProtection="1">
      <alignment horizontal="center" vertical="center" wrapText="1"/>
      <protection locked="0"/>
    </xf>
    <xf numFmtId="203" fontId="6" fillId="13" borderId="214" xfId="2" applyNumberFormat="1" applyFont="1" applyFill="1" applyBorder="1" applyAlignment="1" applyProtection="1">
      <alignment horizontal="center" vertical="center" wrapText="1"/>
      <protection locked="0"/>
    </xf>
    <xf numFmtId="203" fontId="6" fillId="15" borderId="215" xfId="2" applyNumberFormat="1" applyFont="1" applyFill="1" applyBorder="1" applyAlignment="1" applyProtection="1">
      <alignment horizontal="center" vertical="center" wrapText="1"/>
      <protection locked="0"/>
    </xf>
    <xf numFmtId="203" fontId="6" fillId="15" borderId="214" xfId="2" applyNumberFormat="1" applyFont="1" applyFill="1" applyBorder="1" applyAlignment="1" applyProtection="1">
      <alignment horizontal="center" vertical="center" wrapText="1"/>
      <protection locked="0"/>
    </xf>
    <xf numFmtId="203" fontId="6" fillId="16" borderId="215" xfId="2" applyNumberFormat="1" applyFont="1" applyFill="1" applyBorder="1" applyAlignment="1" applyProtection="1">
      <alignment horizontal="center" vertical="center" wrapText="1"/>
      <protection locked="0"/>
    </xf>
    <xf numFmtId="203" fontId="6" fillId="16" borderId="214" xfId="2" applyNumberFormat="1" applyFont="1" applyFill="1" applyBorder="1" applyAlignment="1" applyProtection="1">
      <alignment horizontal="center" vertical="center" wrapText="1"/>
      <protection locked="0"/>
    </xf>
    <xf numFmtId="203" fontId="19" fillId="3" borderId="215" xfId="2" applyNumberFormat="1" applyFont="1" applyFill="1" applyBorder="1" applyAlignment="1" applyProtection="1">
      <alignment horizontal="center" vertical="center" wrapText="1"/>
      <protection locked="0"/>
    </xf>
    <xf numFmtId="203" fontId="19" fillId="3" borderId="214" xfId="2" applyNumberFormat="1" applyFont="1" applyFill="1" applyBorder="1" applyAlignment="1" applyProtection="1">
      <alignment horizontal="center" vertical="center" wrapText="1"/>
      <protection locked="0"/>
    </xf>
    <xf numFmtId="203" fontId="19" fillId="3" borderId="50" xfId="2" applyNumberFormat="1" applyFont="1" applyFill="1" applyBorder="1" applyAlignment="1" applyProtection="1">
      <alignment horizontal="center" vertical="center" wrapText="1"/>
      <protection locked="0"/>
    </xf>
    <xf numFmtId="194" fontId="6" fillId="0" borderId="0" xfId="12" applyNumberFormat="1" applyFont="1" applyFill="1" applyBorder="1" applyAlignment="1" applyProtection="1">
      <alignment vertical="center" shrinkToFit="1"/>
    </xf>
    <xf numFmtId="177" fontId="6" fillId="3" borderId="14" xfId="2" applyNumberFormat="1" applyFont="1" applyFill="1" applyBorder="1" applyAlignment="1" applyProtection="1">
      <alignment horizontal="center" vertical="center"/>
    </xf>
    <xf numFmtId="177" fontId="6" fillId="3" borderId="15" xfId="2" applyNumberFormat="1" applyFont="1" applyFill="1" applyBorder="1" applyAlignment="1" applyProtection="1">
      <alignment horizontal="center" vertical="center"/>
    </xf>
    <xf numFmtId="0" fontId="6" fillId="3" borderId="216" xfId="2" applyFont="1" applyFill="1" applyBorder="1" applyAlignment="1" applyProtection="1">
      <alignment horizontal="center" vertical="center"/>
    </xf>
    <xf numFmtId="0" fontId="6" fillId="3" borderId="6" xfId="2" applyFont="1" applyFill="1" applyBorder="1" applyAlignment="1" applyProtection="1">
      <alignment horizontal="center" vertical="center"/>
    </xf>
    <xf numFmtId="177" fontId="6" fillId="3" borderId="6" xfId="2" applyNumberFormat="1" applyFont="1" applyFill="1" applyBorder="1" applyAlignment="1" applyProtection="1">
      <alignment horizontal="center" vertical="center"/>
    </xf>
    <xf numFmtId="177" fontId="6" fillId="3" borderId="7" xfId="2" applyNumberFormat="1" applyFont="1" applyFill="1" applyBorder="1" applyAlignment="1" applyProtection="1">
      <alignment horizontal="center" vertical="center"/>
    </xf>
    <xf numFmtId="3" fontId="6" fillId="0" borderId="0" xfId="12" applyNumberFormat="1" applyFont="1" applyFill="1" applyBorder="1" applyAlignment="1" applyProtection="1">
      <alignment horizontal="center" vertical="center"/>
    </xf>
    <xf numFmtId="0" fontId="6" fillId="3" borderId="217" xfId="2" applyFont="1" applyFill="1" applyBorder="1" applyAlignment="1" applyProtection="1">
      <alignment horizontal="center" vertical="center"/>
    </xf>
    <xf numFmtId="0" fontId="6" fillId="3" borderId="218" xfId="2" applyFont="1" applyFill="1" applyBorder="1" applyAlignment="1" applyProtection="1">
      <alignment horizontal="center" vertical="center"/>
    </xf>
    <xf numFmtId="3" fontId="6" fillId="3" borderId="6" xfId="12" applyNumberFormat="1" applyFont="1" applyFill="1" applyBorder="1" applyAlignment="1" applyProtection="1">
      <alignment horizontal="center" vertical="center"/>
    </xf>
    <xf numFmtId="177" fontId="6" fillId="3" borderId="219" xfId="2" applyNumberFormat="1" applyFont="1" applyFill="1" applyBorder="1" applyAlignment="1" applyProtection="1">
      <alignment horizontal="center" vertical="center"/>
    </xf>
    <xf numFmtId="177" fontId="6" fillId="3" borderId="61" xfId="2" applyNumberFormat="1" applyFont="1" applyFill="1" applyBorder="1" applyAlignment="1" applyProtection="1">
      <alignment horizontal="center" vertical="center"/>
    </xf>
    <xf numFmtId="208" fontId="6" fillId="0" borderId="0" xfId="2" applyNumberFormat="1" applyFont="1" applyFill="1" applyBorder="1" applyAlignment="1" applyProtection="1">
      <alignment vertical="center"/>
      <protection locked="0"/>
    </xf>
    <xf numFmtId="0" fontId="6" fillId="0" borderId="220" xfId="2" applyNumberFormat="1" applyFont="1" applyFill="1" applyBorder="1" applyAlignment="1" applyProtection="1">
      <alignment horizontal="center"/>
    </xf>
    <xf numFmtId="0" fontId="6" fillId="0" borderId="221" xfId="2" applyNumberFormat="1" applyFont="1" applyFill="1" applyBorder="1" applyAlignment="1" applyProtection="1">
      <alignment horizontal="center"/>
    </xf>
    <xf numFmtId="207" fontId="6" fillId="0" borderId="222" xfId="2" applyNumberFormat="1" applyFont="1" applyFill="1" applyBorder="1" applyProtection="1"/>
    <xf numFmtId="205" fontId="6" fillId="0" borderId="223" xfId="2" applyNumberFormat="1" applyFont="1" applyFill="1" applyBorder="1" applyAlignment="1" applyProtection="1">
      <alignment horizontal="right" shrinkToFit="1"/>
    </xf>
    <xf numFmtId="194" fontId="6" fillId="0" borderId="224" xfId="12" applyNumberFormat="1" applyFont="1" applyFill="1" applyBorder="1" applyAlignment="1" applyProtection="1">
      <alignment horizontal="right" shrinkToFit="1"/>
    </xf>
    <xf numFmtId="205" fontId="6" fillId="0" borderId="225" xfId="2" applyNumberFormat="1" applyFont="1" applyFill="1" applyBorder="1" applyAlignment="1" applyProtection="1">
      <alignment horizontal="right" shrinkToFit="1"/>
    </xf>
    <xf numFmtId="194" fontId="6" fillId="0" borderId="221" xfId="12" applyNumberFormat="1" applyFont="1" applyFill="1" applyBorder="1" applyAlignment="1" applyProtection="1">
      <alignment horizontal="right" shrinkToFit="1"/>
    </xf>
    <xf numFmtId="205" fontId="6" fillId="0" borderId="226" xfId="2" applyNumberFormat="1" applyFont="1" applyFill="1" applyBorder="1" applyAlignment="1" applyProtection="1">
      <alignment horizontal="right" shrinkToFit="1"/>
    </xf>
    <xf numFmtId="194" fontId="6" fillId="0" borderId="227" xfId="12" applyNumberFormat="1" applyFont="1" applyFill="1" applyBorder="1" applyAlignment="1" applyProtection="1">
      <alignment horizontal="right" shrinkToFit="1"/>
    </xf>
    <xf numFmtId="183" fontId="6" fillId="0" borderId="223" xfId="2" applyNumberFormat="1" applyFont="1" applyFill="1" applyBorder="1" applyAlignment="1" applyProtection="1">
      <alignment horizontal="right" shrinkToFit="1"/>
    </xf>
    <xf numFmtId="183" fontId="6" fillId="0" borderId="225" xfId="2" applyNumberFormat="1" applyFont="1" applyFill="1" applyBorder="1" applyAlignment="1" applyProtection="1">
      <alignment horizontal="right" shrinkToFit="1"/>
    </xf>
    <xf numFmtId="194" fontId="6" fillId="0" borderId="228" xfId="12" applyNumberFormat="1" applyFont="1" applyFill="1" applyBorder="1" applyAlignment="1" applyProtection="1">
      <alignment horizontal="right" shrinkToFit="1"/>
    </xf>
    <xf numFmtId="0" fontId="6" fillId="0" borderId="11" xfId="2" applyNumberFormat="1" applyFont="1" applyFill="1" applyBorder="1" applyAlignment="1" applyProtection="1">
      <alignment horizontal="center" vertical="center"/>
    </xf>
    <xf numFmtId="0" fontId="6" fillId="0" borderId="12" xfId="2" applyNumberFormat="1" applyFont="1" applyFill="1" applyBorder="1" applyAlignment="1" applyProtection="1">
      <alignment horizontal="center" vertical="center"/>
    </xf>
    <xf numFmtId="0" fontId="6" fillId="0" borderId="229" xfId="2" applyNumberFormat="1" applyFont="1" applyFill="1" applyBorder="1" applyAlignment="1" applyProtection="1">
      <alignment horizontal="center" vertical="center" shrinkToFit="1"/>
      <protection locked="0"/>
    </xf>
    <xf numFmtId="209" fontId="6" fillId="0" borderId="12" xfId="2" applyNumberFormat="1" applyFont="1" applyFill="1" applyBorder="1" applyAlignment="1" applyProtection="1">
      <alignment vertical="center"/>
      <protection locked="0"/>
    </xf>
    <xf numFmtId="2" fontId="6" fillId="0" borderId="12" xfId="12" applyNumberFormat="1" applyFont="1" applyFill="1" applyBorder="1" applyAlignment="1" applyProtection="1">
      <alignment vertical="center"/>
    </xf>
    <xf numFmtId="209" fontId="6" fillId="0" borderId="12" xfId="2" applyNumberFormat="1" applyFont="1" applyFill="1" applyBorder="1" applyAlignment="1" applyProtection="1">
      <alignment vertical="center"/>
    </xf>
    <xf numFmtId="209" fontId="6" fillId="0" borderId="13" xfId="2" applyNumberFormat="1" applyFont="1" applyFill="1" applyBorder="1" applyAlignment="1" applyProtection="1">
      <alignment vertical="center"/>
    </xf>
    <xf numFmtId="0" fontId="6" fillId="0" borderId="230" xfId="2" applyNumberFormat="1" applyFont="1" applyFill="1" applyBorder="1" applyAlignment="1" applyProtection="1">
      <alignment horizontal="center" vertical="center" shrinkToFit="1"/>
      <protection locked="0"/>
    </xf>
    <xf numFmtId="209" fontId="6" fillId="0" borderId="230" xfId="2" applyNumberFormat="1" applyFont="1" applyFill="1" applyBorder="1" applyAlignment="1" applyProtection="1">
      <alignment vertical="center"/>
      <protection locked="0"/>
    </xf>
    <xf numFmtId="209" fontId="6" fillId="0" borderId="229" xfId="2" applyNumberFormat="1" applyFont="1" applyFill="1" applyBorder="1" applyAlignment="1" applyProtection="1">
      <alignment vertical="center"/>
      <protection locked="0"/>
    </xf>
    <xf numFmtId="209" fontId="6" fillId="0" borderId="12" xfId="12" applyNumberFormat="1" applyFont="1" applyFill="1" applyBorder="1" applyAlignment="1" applyProtection="1">
      <alignment vertical="center"/>
    </xf>
    <xf numFmtId="209" fontId="6" fillId="0" borderId="12" xfId="2" applyNumberFormat="1" applyFont="1" applyFill="1" applyBorder="1" applyAlignment="1" applyProtection="1">
      <alignment vertical="center"/>
    </xf>
    <xf numFmtId="209" fontId="6" fillId="0" borderId="13" xfId="2" applyNumberFormat="1" applyFont="1" applyFill="1" applyBorder="1" applyAlignment="1" applyProtection="1">
      <alignment vertical="center"/>
    </xf>
    <xf numFmtId="0" fontId="6" fillId="19" borderId="231" xfId="2" applyFont="1" applyFill="1" applyBorder="1" applyAlignment="1" applyProtection="1">
      <alignment horizontal="center" vertical="center" textRotation="255" shrinkToFit="1"/>
    </xf>
    <xf numFmtId="0" fontId="6" fillId="0" borderId="232" xfId="2" applyFont="1" applyFill="1" applyBorder="1" applyProtection="1"/>
    <xf numFmtId="210" fontId="6" fillId="0" borderId="232" xfId="2" applyNumberFormat="1" applyFont="1" applyFill="1" applyBorder="1" applyProtection="1"/>
    <xf numFmtId="177" fontId="6" fillId="0" borderId="203" xfId="2" applyNumberFormat="1" applyFont="1" applyFill="1" applyBorder="1" applyAlignment="1" applyProtection="1">
      <alignment horizontal="right" shrinkToFit="1"/>
    </xf>
    <xf numFmtId="3" fontId="6" fillId="0" borderId="233" xfId="12" applyNumberFormat="1" applyFont="1" applyFill="1" applyBorder="1" applyAlignment="1" applyProtection="1">
      <alignment horizontal="right" shrinkToFit="1"/>
    </xf>
    <xf numFmtId="177" fontId="6" fillId="0" borderId="205" xfId="2" applyNumberFormat="1" applyFont="1" applyFill="1" applyBorder="1" applyAlignment="1" applyProtection="1">
      <alignment horizontal="right" shrinkToFit="1"/>
    </xf>
    <xf numFmtId="3" fontId="6" fillId="0" borderId="234" xfId="12" applyNumberFormat="1" applyFont="1" applyFill="1" applyBorder="1" applyAlignment="1" applyProtection="1">
      <alignment horizontal="right" shrinkToFit="1"/>
    </xf>
    <xf numFmtId="3" fontId="6" fillId="0" borderId="141" xfId="12" applyNumberFormat="1" applyFont="1" applyFill="1" applyBorder="1" applyAlignment="1" applyProtection="1">
      <alignment horizontal="right" shrinkToFit="1"/>
    </xf>
    <xf numFmtId="3" fontId="6" fillId="0" borderId="140" xfId="12" applyNumberFormat="1" applyFont="1" applyFill="1" applyBorder="1" applyAlignment="1" applyProtection="1">
      <alignment horizontal="right" shrinkToFit="1"/>
    </xf>
    <xf numFmtId="183" fontId="6" fillId="0" borderId="235" xfId="2" applyNumberFormat="1" applyFont="1" applyFill="1" applyBorder="1" applyAlignment="1" applyProtection="1">
      <alignment horizontal="right" shrinkToFit="1"/>
    </xf>
    <xf numFmtId="177" fontId="6" fillId="0" borderId="232" xfId="2" applyNumberFormat="1" applyFont="1" applyFill="1" applyBorder="1" applyAlignment="1" applyProtection="1">
      <alignment horizontal="right" shrinkToFit="1"/>
    </xf>
    <xf numFmtId="183" fontId="6" fillId="0" borderId="236" xfId="2" applyNumberFormat="1" applyFont="1" applyFill="1" applyBorder="1" applyAlignment="1" applyProtection="1">
      <alignment horizontal="right" shrinkToFit="1"/>
    </xf>
    <xf numFmtId="3" fontId="6" fillId="0" borderId="237" xfId="12" applyNumberFormat="1" applyFont="1" applyFill="1" applyBorder="1" applyAlignment="1" applyProtection="1">
      <alignment horizontal="right" shrinkToFit="1"/>
    </xf>
    <xf numFmtId="177" fontId="6" fillId="0" borderId="0" xfId="2" applyNumberFormat="1" applyFont="1" applyFill="1" applyBorder="1" applyAlignment="1" applyProtection="1">
      <alignment horizontal="right" shrinkToFit="1"/>
    </xf>
    <xf numFmtId="3" fontId="6" fillId="0" borderId="0" xfId="12" applyNumberFormat="1" applyFont="1" applyFill="1" applyBorder="1" applyAlignment="1" applyProtection="1">
      <alignment vertical="center" shrinkToFit="1"/>
    </xf>
    <xf numFmtId="2" fontId="6" fillId="0" borderId="12" xfId="2" applyNumberFormat="1" applyFont="1" applyFill="1" applyBorder="1" applyAlignment="1" applyProtection="1">
      <alignment vertical="center"/>
    </xf>
    <xf numFmtId="177" fontId="6" fillId="0" borderId="0" xfId="2" applyNumberFormat="1" applyFont="1" applyFill="1" applyBorder="1" applyAlignment="1" applyProtection="1">
      <alignment vertical="center" wrapText="1" shrinkToFit="1"/>
    </xf>
    <xf numFmtId="0" fontId="6" fillId="3" borderId="238" xfId="2" applyFont="1" applyFill="1" applyBorder="1" applyAlignment="1" applyProtection="1">
      <alignment horizontal="center" vertical="center" shrinkToFit="1"/>
      <protection locked="0"/>
    </xf>
    <xf numFmtId="0" fontId="6" fillId="3" borderId="239" xfId="2" applyFont="1" applyFill="1" applyBorder="1" applyAlignment="1" applyProtection="1">
      <alignment horizontal="center" vertical="center" shrinkToFit="1"/>
    </xf>
    <xf numFmtId="0" fontId="6" fillId="3" borderId="240" xfId="2" applyFont="1" applyFill="1" applyBorder="1" applyAlignment="1" applyProtection="1">
      <alignment horizontal="center" vertical="center" shrinkToFit="1"/>
    </xf>
    <xf numFmtId="211" fontId="6" fillId="3" borderId="241" xfId="2" applyNumberFormat="1" applyFont="1" applyFill="1" applyBorder="1" applyAlignment="1" applyProtection="1">
      <alignment horizontal="center" vertical="center" shrinkToFit="1"/>
      <protection locked="0"/>
    </xf>
    <xf numFmtId="177" fontId="6" fillId="3" borderId="242" xfId="2" applyNumberFormat="1" applyFont="1" applyFill="1" applyBorder="1" applyAlignment="1" applyProtection="1">
      <alignment horizontal="center" vertical="center" wrapText="1" shrinkToFit="1"/>
    </xf>
    <xf numFmtId="0" fontId="6" fillId="3" borderId="3" xfId="2" applyFont="1" applyFill="1" applyBorder="1" applyAlignment="1" applyProtection="1">
      <alignment horizontal="center" vertical="center" shrinkToFit="1"/>
    </xf>
    <xf numFmtId="177" fontId="6" fillId="3" borderId="243" xfId="2" applyNumberFormat="1" applyFont="1" applyFill="1" applyBorder="1" applyAlignment="1" applyProtection="1">
      <alignment horizontal="center" vertical="center" wrapText="1" shrinkToFit="1"/>
    </xf>
    <xf numFmtId="0" fontId="6" fillId="3" borderId="4" xfId="2" applyFont="1" applyFill="1" applyBorder="1" applyAlignment="1" applyProtection="1">
      <alignment horizontal="center" vertical="center" shrinkToFit="1"/>
    </xf>
    <xf numFmtId="0" fontId="6" fillId="0" borderId="141" xfId="2" applyFont="1" applyFill="1" applyBorder="1" applyAlignment="1" applyProtection="1">
      <alignment horizontal="center" vertical="center" shrinkToFit="1"/>
    </xf>
    <xf numFmtId="0" fontId="6" fillId="20" borderId="238" xfId="2" applyFont="1" applyFill="1" applyBorder="1" applyAlignment="1" applyProtection="1">
      <alignment horizontal="center" vertical="center" shrinkToFit="1"/>
      <protection locked="0"/>
    </xf>
    <xf numFmtId="0" fontId="6" fillId="20" borderId="239" xfId="2" applyFont="1" applyFill="1" applyBorder="1" applyAlignment="1" applyProtection="1">
      <alignment horizontal="center" vertical="center" shrinkToFit="1"/>
    </xf>
    <xf numFmtId="0" fontId="6" fillId="20" borderId="240" xfId="2" applyFont="1" applyFill="1" applyBorder="1" applyAlignment="1" applyProtection="1">
      <alignment horizontal="center" vertical="center" shrinkToFit="1"/>
    </xf>
    <xf numFmtId="211" fontId="6" fillId="20" borderId="241" xfId="2" applyNumberFormat="1" applyFont="1" applyFill="1" applyBorder="1" applyAlignment="1" applyProtection="1">
      <alignment horizontal="center" vertical="center" shrinkToFit="1"/>
      <protection locked="0"/>
    </xf>
    <xf numFmtId="0" fontId="6" fillId="0" borderId="140" xfId="2" applyFont="1" applyFill="1" applyBorder="1" applyAlignment="1" applyProtection="1">
      <alignment horizontal="center" vertical="center" shrinkToFit="1"/>
    </xf>
    <xf numFmtId="183" fontId="6" fillId="3" borderId="242" xfId="2" applyNumberFormat="1" applyFont="1" applyFill="1" applyBorder="1" applyAlignment="1" applyProtection="1">
      <alignment horizontal="center" vertical="center" wrapText="1" shrinkToFit="1"/>
    </xf>
    <xf numFmtId="177" fontId="6" fillId="3" borderId="240" xfId="2" applyNumberFormat="1" applyFont="1" applyFill="1" applyBorder="1" applyAlignment="1" applyProtection="1">
      <alignment horizontal="center" vertical="center" shrinkToFit="1"/>
    </xf>
    <xf numFmtId="183" fontId="6" fillId="3" borderId="243" xfId="2" applyNumberFormat="1" applyFont="1" applyFill="1" applyBorder="1" applyAlignment="1" applyProtection="1">
      <alignment horizontal="center" vertical="center" wrapText="1" shrinkToFit="1"/>
    </xf>
    <xf numFmtId="0" fontId="6" fillId="3" borderId="244" xfId="2" applyFont="1" applyFill="1" applyBorder="1" applyAlignment="1" applyProtection="1">
      <alignment horizontal="center" vertical="center" shrinkToFit="1"/>
    </xf>
    <xf numFmtId="177" fontId="6" fillId="0" borderId="0" xfId="2" applyNumberFormat="1" applyFont="1" applyFill="1" applyBorder="1" applyAlignment="1" applyProtection="1">
      <alignment horizontal="center" vertical="center" wrapText="1" shrinkToFit="1"/>
    </xf>
    <xf numFmtId="0" fontId="6" fillId="0" borderId="0" xfId="2" applyFont="1" applyFill="1" applyBorder="1" applyAlignment="1" applyProtection="1">
      <alignment horizontal="center" vertical="center" wrapText="1"/>
    </xf>
    <xf numFmtId="194" fontId="6" fillId="0" borderId="0" xfId="12" applyNumberFormat="1" applyFont="1" applyFill="1" applyBorder="1" applyAlignment="1" applyProtection="1">
      <alignment horizontal="center" vertical="center"/>
    </xf>
    <xf numFmtId="0" fontId="6" fillId="0" borderId="245" xfId="2" applyNumberFormat="1" applyFont="1" applyFill="1" applyBorder="1" applyAlignment="1" applyProtection="1">
      <alignment horizontal="center"/>
    </xf>
    <xf numFmtId="207" fontId="6" fillId="0" borderId="197" xfId="2" applyNumberFormat="1" applyFont="1" applyFill="1" applyBorder="1" applyAlignment="1" applyProtection="1">
      <alignment horizontal="center"/>
      <protection locked="0"/>
    </xf>
    <xf numFmtId="0" fontId="6" fillId="0" borderId="245" xfId="2" applyNumberFormat="1" applyFont="1" applyFill="1" applyBorder="1" applyAlignment="1" applyProtection="1">
      <alignment horizontal="center"/>
      <protection locked="0"/>
    </xf>
    <xf numFmtId="208" fontId="6" fillId="0" borderId="199" xfId="2" applyNumberFormat="1" applyFont="1" applyFill="1" applyBorder="1" applyAlignment="1" applyProtection="1">
      <alignment horizontal="right" shrinkToFit="1"/>
      <protection locked="0"/>
    </xf>
    <xf numFmtId="208" fontId="6" fillId="0" borderId="246" xfId="2" applyNumberFormat="1" applyFont="1" applyFill="1" applyBorder="1" applyAlignment="1" applyProtection="1">
      <alignment horizontal="right" shrinkToFit="1"/>
      <protection locked="0"/>
    </xf>
    <xf numFmtId="194" fontId="6" fillId="0" borderId="136" xfId="12" applyNumberFormat="1" applyFont="1" applyFill="1" applyBorder="1" applyAlignment="1" applyProtection="1">
      <alignment horizontal="right" shrinkToFit="1"/>
    </xf>
    <xf numFmtId="183" fontId="6" fillId="0" borderId="199" xfId="2" applyNumberFormat="1" applyFont="1" applyFill="1" applyBorder="1" applyAlignment="1" applyProtection="1">
      <alignment horizontal="right" shrinkToFit="1"/>
      <protection locked="0"/>
    </xf>
    <xf numFmtId="208" fontId="6" fillId="0" borderId="135" xfId="2" applyNumberFormat="1" applyFont="1" applyFill="1" applyBorder="1" applyAlignment="1" applyProtection="1">
      <alignment horizontal="right" shrinkToFit="1"/>
      <protection locked="0"/>
    </xf>
    <xf numFmtId="183" fontId="6" fillId="0" borderId="246" xfId="2" applyNumberFormat="1" applyFont="1" applyFill="1" applyBorder="1" applyAlignment="1" applyProtection="1">
      <alignment horizontal="right" shrinkToFit="1"/>
      <protection locked="0"/>
    </xf>
    <xf numFmtId="208" fontId="6" fillId="0" borderId="0" xfId="2" applyNumberFormat="1" applyFont="1" applyFill="1" applyBorder="1" applyAlignment="1" applyProtection="1">
      <alignment horizontal="right" shrinkToFit="1"/>
      <protection locked="0"/>
    </xf>
    <xf numFmtId="0" fontId="6" fillId="0" borderId="0" xfId="2" applyNumberFormat="1" applyFont="1" applyFill="1" applyBorder="1" applyAlignment="1" applyProtection="1">
      <alignment vertical="center" shrinkToFit="1"/>
      <protection locked="0"/>
    </xf>
    <xf numFmtId="209" fontId="6" fillId="0" borderId="0" xfId="12" applyNumberFormat="1" applyFont="1" applyFill="1" applyBorder="1" applyAlignment="1" applyProtection="1">
      <alignment vertical="center"/>
    </xf>
    <xf numFmtId="0" fontId="6" fillId="0" borderId="247" xfId="2" applyNumberFormat="1" applyFont="1" applyFill="1" applyBorder="1" applyAlignment="1" applyProtection="1">
      <alignment horizontal="center"/>
    </xf>
    <xf numFmtId="207" fontId="6" fillId="0" borderId="84" xfId="2" applyNumberFormat="1" applyFont="1" applyFill="1" applyBorder="1" applyAlignment="1" applyProtection="1">
      <alignment horizontal="center"/>
      <protection locked="0"/>
    </xf>
    <xf numFmtId="0" fontId="6" fillId="0" borderId="247" xfId="2" applyNumberFormat="1" applyFont="1" applyFill="1" applyBorder="1" applyAlignment="1" applyProtection="1">
      <alignment horizontal="center"/>
      <protection locked="0"/>
    </xf>
    <xf numFmtId="208" fontId="6" fillId="0" borderId="209" xfId="2" applyNumberFormat="1" applyFont="1" applyFill="1" applyBorder="1" applyAlignment="1" applyProtection="1">
      <alignment horizontal="right" shrinkToFit="1"/>
      <protection locked="0"/>
    </xf>
    <xf numFmtId="208" fontId="6" fillId="0" borderId="248" xfId="2" applyNumberFormat="1" applyFont="1" applyFill="1" applyBorder="1" applyAlignment="1" applyProtection="1">
      <alignment horizontal="right" shrinkToFit="1"/>
      <protection locked="0"/>
    </xf>
    <xf numFmtId="183" fontId="6" fillId="0" borderId="209" xfId="2" applyNumberFormat="1" applyFont="1" applyFill="1" applyBorder="1" applyAlignment="1" applyProtection="1">
      <alignment horizontal="right" shrinkToFit="1"/>
      <protection locked="0"/>
    </xf>
    <xf numFmtId="208" fontId="6" fillId="0" borderId="72" xfId="2" applyNumberFormat="1" applyFont="1" applyFill="1" applyBorder="1" applyAlignment="1" applyProtection="1">
      <alignment horizontal="right" shrinkToFit="1"/>
      <protection locked="0"/>
    </xf>
    <xf numFmtId="183" fontId="6" fillId="0" borderId="248" xfId="2" applyNumberFormat="1" applyFont="1" applyFill="1" applyBorder="1" applyAlignment="1" applyProtection="1">
      <alignment horizontal="right" shrinkToFit="1"/>
      <protection locked="0"/>
    </xf>
    <xf numFmtId="177" fontId="6" fillId="0" borderId="0" xfId="2" applyNumberFormat="1" applyFont="1" applyFill="1" applyBorder="1" applyAlignment="1" applyProtection="1">
      <alignment horizontal="right" vertical="center"/>
    </xf>
    <xf numFmtId="0" fontId="6" fillId="0" borderId="84" xfId="2" applyNumberFormat="1" applyFont="1" applyFill="1" applyBorder="1" applyAlignment="1" applyProtection="1">
      <alignment horizontal="center"/>
      <protection locked="0"/>
    </xf>
    <xf numFmtId="0" fontId="6" fillId="0" borderId="62" xfId="12" applyNumberFormat="1" applyFont="1" applyFill="1" applyBorder="1" applyAlignment="1" applyProtection="1">
      <alignment horizontal="center" vertical="center" shrinkToFit="1"/>
    </xf>
    <xf numFmtId="0" fontId="6" fillId="0" borderId="65" xfId="12" applyNumberFormat="1" applyFont="1" applyFill="1" applyBorder="1" applyAlignment="1" applyProtection="1">
      <alignment horizontal="center" vertical="center" shrinkToFit="1"/>
    </xf>
    <xf numFmtId="0" fontId="6" fillId="0" borderId="229" xfId="12" applyNumberFormat="1" applyFont="1" applyFill="1" applyBorder="1" applyAlignment="1" applyProtection="1">
      <alignment horizontal="center" vertical="center" shrinkToFit="1"/>
    </xf>
    <xf numFmtId="209" fontId="6" fillId="0" borderId="56" xfId="12" applyNumberFormat="1" applyFont="1" applyFill="1" applyBorder="1" applyAlignment="1" applyProtection="1">
      <alignment vertical="center"/>
    </xf>
    <xf numFmtId="209" fontId="6" fillId="0" borderId="56" xfId="2" applyNumberFormat="1" applyFont="1" applyFill="1" applyBorder="1" applyAlignment="1" applyProtection="1">
      <alignment vertical="center"/>
    </xf>
    <xf numFmtId="209" fontId="6" fillId="0" borderId="230" xfId="12" applyNumberFormat="1" applyFont="1" applyFill="1" applyBorder="1" applyAlignment="1" applyProtection="1">
      <alignment vertical="center"/>
    </xf>
    <xf numFmtId="209" fontId="6" fillId="0" borderId="229" xfId="12" applyNumberFormat="1" applyFont="1" applyFill="1" applyBorder="1" applyAlignment="1" applyProtection="1">
      <alignment vertical="center"/>
    </xf>
    <xf numFmtId="209" fontId="6" fillId="0" borderId="230" xfId="2" applyNumberFormat="1" applyFont="1" applyFill="1" applyBorder="1" applyAlignment="1" applyProtection="1">
      <alignment vertical="center"/>
    </xf>
    <xf numFmtId="209" fontId="6" fillId="0" borderId="31" xfId="2" applyNumberFormat="1" applyFont="1" applyFill="1" applyBorder="1" applyAlignment="1" applyProtection="1">
      <alignment vertical="center"/>
    </xf>
    <xf numFmtId="199" fontId="6" fillId="0" borderId="0" xfId="2" applyNumberFormat="1" applyFont="1" applyFill="1" applyBorder="1" applyAlignment="1" applyProtection="1">
      <alignment vertical="center"/>
      <protection locked="0"/>
    </xf>
    <xf numFmtId="3" fontId="6" fillId="0" borderId="62" xfId="12" applyNumberFormat="1" applyFont="1" applyFill="1" applyBorder="1" applyAlignment="1" applyProtection="1">
      <alignment horizontal="center" vertical="center"/>
    </xf>
    <xf numFmtId="3" fontId="6" fillId="0" borderId="65" xfId="12" applyNumberFormat="1" applyFont="1" applyFill="1" applyBorder="1" applyAlignment="1" applyProtection="1">
      <alignment horizontal="center" vertical="center"/>
    </xf>
    <xf numFmtId="3" fontId="6" fillId="0" borderId="229" xfId="12" applyNumberFormat="1" applyFont="1" applyFill="1" applyBorder="1" applyAlignment="1" applyProtection="1">
      <alignment horizontal="center" vertical="center"/>
    </xf>
    <xf numFmtId="209" fontId="6" fillId="0" borderId="56" xfId="12" applyNumberFormat="1" applyFont="1" applyFill="1" applyBorder="1" applyAlignment="1" applyProtection="1">
      <alignment horizontal="center" vertical="center"/>
    </xf>
    <xf numFmtId="209" fontId="6" fillId="0" borderId="249" xfId="2" applyNumberFormat="1" applyFont="1" applyFill="1" applyBorder="1" applyAlignment="1" applyProtection="1">
      <alignment vertical="center"/>
    </xf>
    <xf numFmtId="209" fontId="6" fillId="0" borderId="56" xfId="2" applyNumberFormat="1" applyFont="1" applyFill="1" applyBorder="1" applyAlignment="1" applyProtection="1">
      <alignment horizontal="center" vertical="center"/>
    </xf>
    <xf numFmtId="209" fontId="6" fillId="0" borderId="249" xfId="2" applyNumberFormat="1" applyFont="1" applyFill="1" applyBorder="1" applyAlignment="1" applyProtection="1">
      <alignment horizontal="center" vertical="center"/>
    </xf>
    <xf numFmtId="209" fontId="6" fillId="0" borderId="0" xfId="12" applyNumberFormat="1" applyFont="1" applyFill="1" applyBorder="1" applyAlignment="1" applyProtection="1">
      <alignment horizontal="center" vertical="center"/>
    </xf>
    <xf numFmtId="209" fontId="6" fillId="0" borderId="0" xfId="2" applyNumberFormat="1" applyFont="1" applyFill="1" applyBorder="1" applyAlignment="1" applyProtection="1">
      <alignment vertical="center"/>
    </xf>
    <xf numFmtId="212" fontId="6" fillId="0" borderId="0" xfId="2" applyNumberFormat="1" applyFont="1" applyFill="1" applyBorder="1" applyAlignment="1" applyProtection="1">
      <alignment vertical="center"/>
    </xf>
    <xf numFmtId="3" fontId="6" fillId="0" borderId="0" xfId="12" applyNumberFormat="1" applyFont="1" applyFill="1" applyBorder="1" applyAlignment="1" applyProtection="1">
      <alignment horizontal="right" vertical="center"/>
    </xf>
    <xf numFmtId="213" fontId="6" fillId="0" borderId="0" xfId="2" applyNumberFormat="1" applyFont="1" applyFill="1" applyBorder="1" applyAlignment="1" applyProtection="1">
      <alignment vertical="center"/>
    </xf>
    <xf numFmtId="0" fontId="6" fillId="0" borderId="141" xfId="2" applyFont="1" applyFill="1" applyBorder="1" applyAlignment="1" applyProtection="1">
      <alignment horizontal="center" shrinkToFit="1"/>
    </xf>
    <xf numFmtId="0" fontId="6" fillId="0" borderId="221" xfId="2" applyNumberFormat="1" applyFont="1" applyFill="1" applyBorder="1" applyAlignment="1" applyProtection="1">
      <alignment horizontal="center"/>
      <protection locked="0"/>
    </xf>
    <xf numFmtId="0" fontId="6" fillId="0" borderId="250" xfId="2" applyNumberFormat="1" applyFont="1" applyFill="1" applyBorder="1" applyAlignment="1" applyProtection="1">
      <alignment horizontal="center"/>
    </xf>
    <xf numFmtId="207" fontId="6" fillId="0" borderId="221" xfId="2" applyNumberFormat="1" applyFont="1" applyFill="1" applyBorder="1" applyAlignment="1" applyProtection="1">
      <alignment horizontal="center"/>
      <protection locked="0"/>
    </xf>
    <xf numFmtId="0" fontId="6" fillId="0" borderId="250" xfId="2" applyNumberFormat="1" applyFont="1" applyFill="1" applyBorder="1" applyAlignment="1" applyProtection="1">
      <alignment horizontal="center"/>
      <protection locked="0"/>
    </xf>
    <xf numFmtId="208" fontId="6" fillId="0" borderId="223" xfId="2" applyNumberFormat="1" applyFont="1" applyFill="1" applyBorder="1" applyAlignment="1" applyProtection="1">
      <alignment horizontal="right" shrinkToFit="1"/>
      <protection locked="0"/>
    </xf>
    <xf numFmtId="208" fontId="6" fillId="0" borderId="251" xfId="2" applyNumberFormat="1" applyFont="1" applyFill="1" applyBorder="1" applyAlignment="1" applyProtection="1">
      <alignment horizontal="right" shrinkToFit="1"/>
      <protection locked="0"/>
    </xf>
    <xf numFmtId="183" fontId="6" fillId="0" borderId="223" xfId="2" applyNumberFormat="1" applyFont="1" applyFill="1" applyBorder="1" applyAlignment="1" applyProtection="1">
      <alignment horizontal="right" shrinkToFit="1"/>
      <protection locked="0"/>
    </xf>
    <xf numFmtId="208" fontId="6" fillId="0" borderId="225" xfId="2" applyNumberFormat="1" applyFont="1" applyFill="1" applyBorder="1" applyAlignment="1" applyProtection="1">
      <alignment horizontal="right" shrinkToFit="1"/>
      <protection locked="0"/>
    </xf>
    <xf numFmtId="183" fontId="6" fillId="0" borderId="251" xfId="2" applyNumberFormat="1" applyFont="1" applyFill="1" applyBorder="1" applyAlignment="1" applyProtection="1">
      <alignment horizontal="right" shrinkToFit="1"/>
      <protection locked="0"/>
    </xf>
    <xf numFmtId="2" fontId="6" fillId="0" borderId="0" xfId="2" applyNumberFormat="1" applyFont="1" applyFill="1" applyBorder="1" applyAlignment="1" applyProtection="1">
      <alignment vertical="center"/>
    </xf>
    <xf numFmtId="177" fontId="6" fillId="0" borderId="252" xfId="2" applyNumberFormat="1" applyFont="1" applyFill="1" applyBorder="1" applyAlignment="1" applyProtection="1">
      <alignment horizontal="right" shrinkToFit="1"/>
    </xf>
    <xf numFmtId="177" fontId="6" fillId="0" borderId="253" xfId="2" applyNumberFormat="1" applyFont="1" applyFill="1" applyBorder="1" applyAlignment="1" applyProtection="1">
      <alignment horizontal="right" shrinkToFit="1"/>
    </xf>
    <xf numFmtId="183" fontId="6" fillId="0" borderId="254" xfId="2" applyNumberFormat="1" applyFont="1" applyFill="1" applyBorder="1" applyAlignment="1" applyProtection="1">
      <alignment horizontal="right" shrinkToFit="1"/>
    </xf>
    <xf numFmtId="0" fontId="6" fillId="19" borderId="255" xfId="2" applyFont="1" applyFill="1" applyBorder="1" applyAlignment="1" applyProtection="1">
      <alignment horizontal="center" vertical="center" textRotation="255" shrinkToFit="1"/>
    </xf>
    <xf numFmtId="0" fontId="6" fillId="3" borderId="2" xfId="2" applyFont="1" applyFill="1" applyBorder="1" applyAlignment="1" applyProtection="1">
      <alignment vertical="center"/>
    </xf>
    <xf numFmtId="0" fontId="6" fillId="3" borderId="3" xfId="2" applyFont="1" applyFill="1" applyBorder="1" applyAlignment="1" applyProtection="1">
      <alignment vertical="center" shrinkToFit="1"/>
    </xf>
    <xf numFmtId="177" fontId="6" fillId="3" borderId="242" xfId="2" applyNumberFormat="1" applyFont="1" applyFill="1" applyBorder="1" applyAlignment="1" applyProtection="1">
      <alignment horizontal="center" vertical="center" shrinkToFit="1"/>
    </xf>
    <xf numFmtId="177" fontId="6" fillId="3" borderId="243" xfId="2" applyNumberFormat="1" applyFont="1" applyFill="1" applyBorder="1" applyAlignment="1" applyProtection="1">
      <alignment horizontal="center" vertical="center" shrinkToFit="1"/>
    </xf>
    <xf numFmtId="177" fontId="6" fillId="3" borderId="256" xfId="2" applyNumberFormat="1" applyFont="1" applyFill="1" applyBorder="1" applyAlignment="1" applyProtection="1">
      <alignment horizontal="center" vertical="center" shrinkToFit="1"/>
    </xf>
    <xf numFmtId="0" fontId="6" fillId="3" borderId="2" xfId="2" applyFont="1" applyFill="1" applyBorder="1" applyProtection="1"/>
    <xf numFmtId="0" fontId="6" fillId="3" borderId="3" xfId="2" applyFont="1" applyFill="1" applyBorder="1" applyAlignment="1" applyProtection="1">
      <alignment shrinkToFit="1"/>
    </xf>
    <xf numFmtId="0" fontId="6" fillId="3" borderId="3" xfId="2" applyFont="1" applyFill="1" applyBorder="1" applyAlignment="1" applyProtection="1">
      <alignment horizontal="center" shrinkToFit="1"/>
    </xf>
    <xf numFmtId="0" fontId="6" fillId="0" borderId="140" xfId="2" applyFont="1" applyFill="1" applyBorder="1" applyAlignment="1" applyProtection="1">
      <alignment horizontal="center" shrinkToFit="1"/>
    </xf>
    <xf numFmtId="183" fontId="6" fillId="3" borderId="242" xfId="2" applyNumberFormat="1" applyFont="1" applyFill="1" applyBorder="1" applyAlignment="1" applyProtection="1">
      <alignment horizontal="center" vertical="center" shrinkToFit="1"/>
    </xf>
    <xf numFmtId="183" fontId="6" fillId="3" borderId="243" xfId="2" applyNumberFormat="1" applyFont="1" applyFill="1" applyBorder="1" applyAlignment="1" applyProtection="1">
      <alignment horizontal="center" vertical="center" shrinkToFit="1"/>
    </xf>
    <xf numFmtId="177" fontId="6" fillId="0" borderId="0" xfId="2" applyNumberFormat="1" applyFont="1" applyFill="1" applyBorder="1" applyAlignment="1" applyProtection="1">
      <alignment horizontal="center" shrinkToFit="1"/>
    </xf>
    <xf numFmtId="0" fontId="6" fillId="0" borderId="0" xfId="2" applyFont="1" applyFill="1" applyBorder="1" applyAlignment="1" applyProtection="1">
      <alignment vertical="center" shrinkToFit="1"/>
    </xf>
    <xf numFmtId="177" fontId="6" fillId="0" borderId="0" xfId="2" applyNumberFormat="1" applyFont="1" applyFill="1" applyBorder="1" applyAlignment="1" applyProtection="1">
      <alignment vertical="center"/>
      <protection locked="0"/>
    </xf>
    <xf numFmtId="0" fontId="6" fillId="0" borderId="197" xfId="2" applyFont="1" applyFill="1" applyBorder="1" applyAlignment="1" applyProtection="1">
      <alignment horizontal="left" indent="1"/>
    </xf>
    <xf numFmtId="0" fontId="6" fillId="0" borderId="197" xfId="2" applyNumberFormat="1" applyFont="1" applyFill="1" applyBorder="1" applyAlignment="1" applyProtection="1">
      <alignment horizontal="left" shrinkToFit="1"/>
    </xf>
    <xf numFmtId="214" fontId="6" fillId="0" borderId="197" xfId="2" applyNumberFormat="1" applyFont="1" applyFill="1" applyBorder="1" applyAlignment="1" applyProtection="1">
      <alignment shrinkToFit="1"/>
      <protection locked="0"/>
    </xf>
    <xf numFmtId="215" fontId="6" fillId="0" borderId="197" xfId="12" applyNumberFormat="1" applyFont="1" applyFill="1" applyBorder="1" applyAlignment="1" applyProtection="1">
      <alignment horizontal="center" shrinkToFit="1"/>
      <protection locked="0"/>
    </xf>
    <xf numFmtId="0" fontId="6" fillId="0" borderId="197" xfId="2" applyNumberFormat="1" applyFont="1" applyFill="1" applyBorder="1" applyAlignment="1" applyProtection="1">
      <alignment shrinkToFit="1"/>
    </xf>
    <xf numFmtId="0" fontId="6" fillId="0" borderId="199" xfId="2" applyNumberFormat="1" applyFont="1" applyFill="1" applyBorder="1" applyAlignment="1" applyProtection="1">
      <alignment horizontal="right" shrinkToFit="1"/>
      <protection locked="0"/>
    </xf>
    <xf numFmtId="0" fontId="6" fillId="0" borderId="200" xfId="2" applyNumberFormat="1" applyFont="1" applyFill="1" applyBorder="1" applyAlignment="1" applyProtection="1">
      <alignment horizontal="right" shrinkToFit="1"/>
      <protection locked="0"/>
    </xf>
    <xf numFmtId="216" fontId="6" fillId="0" borderId="197" xfId="2" applyNumberFormat="1" applyFont="1" applyFill="1" applyBorder="1" applyAlignment="1" applyProtection="1">
      <alignment shrinkToFit="1"/>
      <protection locked="0"/>
    </xf>
    <xf numFmtId="0" fontId="6" fillId="0" borderId="135" xfId="2" applyNumberFormat="1" applyFont="1" applyFill="1" applyBorder="1" applyAlignment="1" applyProtection="1">
      <alignment horizontal="right" shrinkToFit="1"/>
      <protection locked="0"/>
    </xf>
    <xf numFmtId="183" fontId="6" fillId="0" borderId="200" xfId="2" applyNumberFormat="1" applyFont="1" applyFill="1" applyBorder="1" applyAlignment="1" applyProtection="1">
      <alignment horizontal="right" shrinkToFit="1"/>
      <protection locked="0"/>
    </xf>
    <xf numFmtId="0" fontId="6" fillId="0" borderId="0" xfId="2" applyNumberFormat="1" applyFont="1" applyFill="1" applyBorder="1" applyAlignment="1" applyProtection="1">
      <alignment horizontal="right" shrinkToFit="1"/>
      <protection locked="0"/>
    </xf>
    <xf numFmtId="208" fontId="6" fillId="0" borderId="0" xfId="2" applyNumberFormat="1" applyFont="1" applyFill="1" applyBorder="1" applyAlignment="1" applyProtection="1">
      <alignment vertical="center" shrinkToFit="1"/>
      <protection locked="0"/>
    </xf>
    <xf numFmtId="0" fontId="6" fillId="0" borderId="84" xfId="2" applyFont="1" applyFill="1" applyBorder="1" applyAlignment="1" applyProtection="1">
      <alignment horizontal="left" indent="1"/>
    </xf>
    <xf numFmtId="0" fontId="6" fillId="0" borderId="84" xfId="2" applyNumberFormat="1" applyFont="1" applyFill="1" applyBorder="1" applyAlignment="1" applyProtection="1">
      <alignment horizontal="left" shrinkToFit="1"/>
    </xf>
    <xf numFmtId="217" fontId="6" fillId="0" borderId="84" xfId="2" applyNumberFormat="1" applyFont="1" applyFill="1" applyBorder="1" applyAlignment="1" applyProtection="1">
      <alignment shrinkToFit="1"/>
      <protection locked="0"/>
    </xf>
    <xf numFmtId="218" fontId="6" fillId="0" borderId="84" xfId="12" applyNumberFormat="1" applyFont="1" applyFill="1" applyBorder="1" applyAlignment="1" applyProtection="1">
      <alignment horizontal="center" shrinkToFit="1"/>
    </xf>
    <xf numFmtId="0" fontId="6" fillId="0" borderId="84" xfId="12" applyNumberFormat="1" applyFont="1" applyFill="1" applyBorder="1" applyAlignment="1" applyProtection="1">
      <alignment horizontal="left" shrinkToFit="1"/>
    </xf>
    <xf numFmtId="0" fontId="6" fillId="0" borderId="209" xfId="2" applyNumberFormat="1" applyFont="1" applyFill="1" applyBorder="1" applyAlignment="1" applyProtection="1">
      <alignment horizontal="right" shrinkToFit="1"/>
      <protection locked="0"/>
    </xf>
    <xf numFmtId="0" fontId="6" fillId="0" borderId="211" xfId="2" applyNumberFormat="1" applyFont="1" applyFill="1" applyBorder="1" applyAlignment="1" applyProtection="1">
      <alignment horizontal="right" shrinkToFit="1"/>
      <protection locked="0"/>
    </xf>
    <xf numFmtId="219" fontId="6" fillId="0" borderId="84" xfId="2" applyNumberFormat="1" applyFont="1" applyFill="1" applyBorder="1" applyAlignment="1" applyProtection="1">
      <alignment shrinkToFit="1"/>
      <protection locked="0"/>
    </xf>
    <xf numFmtId="0" fontId="6" fillId="0" borderId="72" xfId="2" applyNumberFormat="1" applyFont="1" applyFill="1" applyBorder="1" applyAlignment="1" applyProtection="1">
      <alignment horizontal="right" shrinkToFit="1"/>
      <protection locked="0"/>
    </xf>
    <xf numFmtId="183" fontId="6" fillId="0" borderId="211" xfId="2" applyNumberFormat="1" applyFont="1" applyFill="1" applyBorder="1" applyAlignment="1" applyProtection="1">
      <alignment horizontal="right" shrinkToFit="1"/>
      <protection locked="0"/>
    </xf>
    <xf numFmtId="194" fontId="6" fillId="0" borderId="0" xfId="12" applyNumberFormat="1" applyFont="1" applyFill="1" applyBorder="1" applyAlignment="1" applyProtection="1">
      <alignment horizontal="left" vertical="center"/>
    </xf>
    <xf numFmtId="2" fontId="19" fillId="0" borderId="0" xfId="2" applyNumberFormat="1" applyFont="1" applyFill="1" applyBorder="1" applyAlignment="1" applyProtection="1">
      <alignment vertical="center"/>
    </xf>
    <xf numFmtId="220" fontId="6" fillId="0" borderId="84" xfId="12" applyNumberFormat="1" applyFont="1" applyFill="1" applyBorder="1" applyAlignment="1" applyProtection="1">
      <alignment horizontal="center" shrinkToFit="1"/>
    </xf>
    <xf numFmtId="221" fontId="6" fillId="0" borderId="84" xfId="12" applyNumberFormat="1" applyFont="1" applyFill="1" applyBorder="1" applyAlignment="1" applyProtection="1">
      <alignment horizontal="left" shrinkToFit="1"/>
    </xf>
    <xf numFmtId="2" fontId="6" fillId="0" borderId="0" xfId="2" applyNumberFormat="1" applyFont="1" applyFill="1" applyBorder="1" applyAlignment="1" applyProtection="1">
      <alignment vertical="center"/>
      <protection locked="0"/>
    </xf>
    <xf numFmtId="0" fontId="6" fillId="3" borderId="102" xfId="2" applyFont="1" applyFill="1" applyBorder="1" applyAlignment="1" applyProtection="1">
      <alignment horizontal="center" vertical="center" shrinkToFit="1"/>
    </xf>
    <xf numFmtId="0" fontId="6" fillId="3" borderId="257" xfId="2" applyFont="1" applyFill="1" applyBorder="1" applyAlignment="1" applyProtection="1">
      <alignment horizontal="center" vertical="center" shrinkToFit="1"/>
    </xf>
    <xf numFmtId="3" fontId="6" fillId="3" borderId="22" xfId="12" applyNumberFormat="1" applyFont="1" applyFill="1" applyBorder="1" applyAlignment="1" applyProtection="1">
      <alignment horizontal="center" vertical="center"/>
    </xf>
    <xf numFmtId="3" fontId="6" fillId="3" borderId="258" xfId="12" applyNumberFormat="1" applyFont="1" applyFill="1" applyBorder="1" applyAlignment="1" applyProtection="1">
      <alignment horizontal="center" vertical="center"/>
    </xf>
    <xf numFmtId="3" fontId="6" fillId="3" borderId="259" xfId="12" applyNumberFormat="1" applyFont="1" applyFill="1" applyBorder="1" applyAlignment="1" applyProtection="1">
      <alignment horizontal="center" vertical="center" wrapText="1"/>
    </xf>
    <xf numFmtId="0" fontId="6" fillId="0" borderId="84" xfId="2" applyFont="1" applyFill="1" applyBorder="1" applyAlignment="1" applyProtection="1">
      <alignment horizontal="left" indent="1" shrinkToFit="1"/>
    </xf>
    <xf numFmtId="222" fontId="6" fillId="0" borderId="84" xfId="2" applyNumberFormat="1" applyFont="1" applyFill="1" applyBorder="1" applyAlignment="1" applyProtection="1">
      <alignment shrinkToFit="1"/>
      <protection locked="0"/>
    </xf>
    <xf numFmtId="220" fontId="6" fillId="0" borderId="84" xfId="2" applyNumberFormat="1" applyFont="1" applyFill="1" applyBorder="1" applyAlignment="1" applyProtection="1">
      <alignment horizontal="center"/>
    </xf>
    <xf numFmtId="0" fontId="6" fillId="0" borderId="84" xfId="2" applyNumberFormat="1" applyFont="1" applyFill="1" applyBorder="1" applyAlignment="1" applyProtection="1">
      <alignment horizontal="left" shrinkToFit="1"/>
      <protection locked="0"/>
    </xf>
    <xf numFmtId="223" fontId="6" fillId="0" borderId="84" xfId="2" applyNumberFormat="1" applyFont="1" applyFill="1" applyBorder="1" applyAlignment="1" applyProtection="1">
      <alignment shrinkToFit="1"/>
      <protection locked="0"/>
    </xf>
    <xf numFmtId="194" fontId="6" fillId="3" borderId="229" xfId="12" applyNumberFormat="1" applyFont="1" applyFill="1" applyBorder="1" applyAlignment="1" applyProtection="1">
      <alignment horizontal="center" vertical="center" wrapText="1" shrinkToFit="1"/>
    </xf>
    <xf numFmtId="194" fontId="6" fillId="3" borderId="12" xfId="12" applyNumberFormat="1" applyFont="1" applyFill="1" applyBorder="1" applyAlignment="1" applyProtection="1">
      <alignment horizontal="center" vertical="center" wrapText="1" shrinkToFit="1"/>
    </xf>
    <xf numFmtId="0" fontId="15" fillId="3" borderId="12" xfId="2" applyNumberFormat="1" applyFont="1" applyFill="1" applyBorder="1" applyAlignment="1" applyProtection="1">
      <alignment horizontal="center" vertical="center" wrapText="1"/>
      <protection locked="0"/>
    </xf>
    <xf numFmtId="0" fontId="6" fillId="3" borderId="12" xfId="2" applyNumberFormat="1" applyFont="1" applyFill="1" applyBorder="1" applyAlignment="1" applyProtection="1">
      <alignment horizontal="center" vertical="center" wrapText="1"/>
    </xf>
    <xf numFmtId="3" fontId="6" fillId="3" borderId="13" xfId="12" applyNumberFormat="1" applyFont="1" applyFill="1" applyBorder="1" applyAlignment="1" applyProtection="1">
      <alignment horizontal="center" vertical="center" wrapText="1"/>
    </xf>
    <xf numFmtId="0" fontId="6" fillId="0" borderId="260" xfId="2" applyFont="1" applyFill="1" applyBorder="1" applyAlignment="1" applyProtection="1">
      <alignment horizontal="left" indent="1" shrinkToFit="1"/>
    </xf>
    <xf numFmtId="0" fontId="6" fillId="0" borderId="261" xfId="2" applyFont="1" applyFill="1" applyBorder="1" applyAlignment="1" applyProtection="1">
      <alignment horizontal="left" indent="1" shrinkToFit="1"/>
    </xf>
    <xf numFmtId="220" fontId="6" fillId="0" borderId="20" xfId="2" applyNumberFormat="1" applyFont="1" applyFill="1" applyBorder="1" applyAlignment="1" applyProtection="1">
      <alignment horizontal="center"/>
    </xf>
    <xf numFmtId="0" fontId="6" fillId="0" borderId="0" xfId="2" applyNumberFormat="1" applyFont="1" applyFill="1" applyBorder="1" applyAlignment="1" applyProtection="1">
      <alignment horizontal="left" shrinkToFit="1"/>
      <protection locked="0"/>
    </xf>
    <xf numFmtId="0" fontId="6" fillId="0" borderId="262" xfId="2" applyNumberFormat="1" applyFont="1" applyFill="1" applyBorder="1" applyAlignment="1" applyProtection="1">
      <alignment horizontal="right" shrinkToFit="1"/>
      <protection locked="0"/>
    </xf>
    <xf numFmtId="194" fontId="6" fillId="0" borderId="0" xfId="12" applyNumberFormat="1" applyFont="1" applyFill="1" applyBorder="1" applyAlignment="1" applyProtection="1">
      <alignment horizontal="right" shrinkToFit="1"/>
    </xf>
    <xf numFmtId="0" fontId="6" fillId="0" borderId="263" xfId="2" applyNumberFormat="1" applyFont="1" applyFill="1" applyBorder="1" applyAlignment="1" applyProtection="1">
      <alignment horizontal="right" shrinkToFit="1"/>
      <protection locked="0"/>
    </xf>
    <xf numFmtId="194" fontId="6" fillId="0" borderId="264" xfId="12" applyNumberFormat="1" applyFont="1" applyFill="1" applyBorder="1" applyAlignment="1" applyProtection="1">
      <alignment horizontal="right" shrinkToFit="1"/>
    </xf>
    <xf numFmtId="183" fontId="6" fillId="0" borderId="262" xfId="2" applyNumberFormat="1" applyFont="1" applyFill="1" applyBorder="1" applyAlignment="1" applyProtection="1">
      <alignment horizontal="right" shrinkToFit="1"/>
      <protection locked="0"/>
    </xf>
    <xf numFmtId="0" fontId="6" fillId="0" borderId="107" xfId="2" applyNumberFormat="1" applyFont="1" applyFill="1" applyBorder="1" applyAlignment="1" applyProtection="1">
      <alignment horizontal="right" shrinkToFit="1"/>
      <protection locked="0"/>
    </xf>
    <xf numFmtId="183" fontId="6" fillId="0" borderId="263" xfId="2" applyNumberFormat="1" applyFont="1" applyFill="1" applyBorder="1" applyAlignment="1" applyProtection="1">
      <alignment horizontal="right" shrinkToFit="1"/>
      <protection locked="0"/>
    </xf>
    <xf numFmtId="194" fontId="6" fillId="0" borderId="265" xfId="12" applyNumberFormat="1" applyFont="1" applyFill="1" applyBorder="1" applyAlignment="1" applyProtection="1">
      <alignment horizontal="right" shrinkToFit="1"/>
    </xf>
    <xf numFmtId="203" fontId="6" fillId="15" borderId="164" xfId="2" applyNumberFormat="1" applyFont="1" applyFill="1" applyBorder="1" applyAlignment="1" applyProtection="1">
      <alignment horizontal="center" vertical="center" wrapText="1"/>
      <protection locked="0"/>
    </xf>
    <xf numFmtId="203" fontId="6" fillId="16" borderId="164" xfId="2" applyNumberFormat="1" applyFont="1" applyFill="1" applyBorder="1" applyAlignment="1" applyProtection="1">
      <alignment horizontal="center" vertical="center" wrapText="1"/>
      <protection locked="0"/>
    </xf>
    <xf numFmtId="203" fontId="19" fillId="3" borderId="164" xfId="2" applyNumberFormat="1" applyFont="1" applyFill="1" applyBorder="1" applyAlignment="1" applyProtection="1">
      <alignment horizontal="center" vertical="center" wrapText="1"/>
      <protection locked="0"/>
    </xf>
    <xf numFmtId="0" fontId="6" fillId="3" borderId="103" xfId="2" applyFont="1" applyFill="1" applyBorder="1" applyAlignment="1" applyProtection="1">
      <alignment horizontal="center" vertical="center" shrinkToFit="1"/>
    </xf>
    <xf numFmtId="0" fontId="6" fillId="3" borderId="53" xfId="2" applyFont="1" applyFill="1" applyBorder="1" applyAlignment="1" applyProtection="1">
      <alignment horizontal="center" vertical="center" shrinkToFit="1"/>
    </xf>
    <xf numFmtId="0" fontId="6" fillId="0" borderId="14" xfId="2" applyFont="1" applyFill="1" applyBorder="1" applyAlignment="1" applyProtection="1">
      <alignment horizontal="center" vertical="center" shrinkToFit="1"/>
    </xf>
    <xf numFmtId="0" fontId="6" fillId="0" borderId="15" xfId="2" applyFont="1" applyFill="1" applyBorder="1" applyAlignment="1" applyProtection="1">
      <alignment horizontal="center" vertical="center" shrinkToFit="1"/>
    </xf>
    <xf numFmtId="209" fontId="6" fillId="0" borderId="53" xfId="2" applyNumberFormat="1" applyFont="1" applyFill="1" applyBorder="1" applyAlignment="1" applyProtection="1">
      <alignment vertical="center"/>
    </xf>
    <xf numFmtId="209" fontId="6" fillId="0" borderId="15" xfId="2" applyNumberFormat="1" applyFont="1" applyFill="1" applyBorder="1" applyAlignment="1" applyProtection="1">
      <alignment vertical="center"/>
    </xf>
    <xf numFmtId="209" fontId="6" fillId="0" borderId="16" xfId="2" applyNumberFormat="1" applyFont="1" applyFill="1" applyBorder="1" applyAlignment="1" applyProtection="1">
      <alignment vertical="center"/>
    </xf>
    <xf numFmtId="0" fontId="6" fillId="19" borderId="255" xfId="2" applyFont="1" applyFill="1" applyBorder="1" applyAlignment="1" applyProtection="1">
      <alignment horizontal="center" vertical="center" textRotation="255" wrapText="1" shrinkToFit="1"/>
    </xf>
    <xf numFmtId="0" fontId="6" fillId="3" borderId="3" xfId="2" applyFont="1" applyFill="1" applyBorder="1" applyAlignment="1" applyProtection="1">
      <alignment horizontal="left"/>
    </xf>
    <xf numFmtId="0" fontId="6" fillId="3" borderId="3" xfId="2" applyFont="1" applyFill="1" applyBorder="1" applyProtection="1"/>
    <xf numFmtId="0" fontId="6" fillId="3" borderId="3" xfId="2" applyFont="1" applyFill="1" applyBorder="1" applyAlignment="1" applyProtection="1">
      <alignment horizontal="right"/>
    </xf>
    <xf numFmtId="0" fontId="6" fillId="20" borderId="2" xfId="2" applyFont="1" applyFill="1" applyBorder="1" applyAlignment="1" applyProtection="1">
      <alignment vertical="center"/>
    </xf>
    <xf numFmtId="0" fontId="6" fillId="20" borderId="3" xfId="2" applyFont="1" applyFill="1" applyBorder="1" applyAlignment="1" applyProtection="1">
      <alignment horizontal="left" vertical="center"/>
    </xf>
    <xf numFmtId="0" fontId="6" fillId="20" borderId="3" xfId="2" applyFont="1" applyFill="1" applyBorder="1" applyAlignment="1" applyProtection="1">
      <alignment vertical="center"/>
    </xf>
    <xf numFmtId="0" fontId="6" fillId="20" borderId="3" xfId="2" applyFont="1" applyFill="1" applyBorder="1" applyAlignment="1" applyProtection="1">
      <alignment horizontal="right" vertical="center"/>
    </xf>
    <xf numFmtId="0" fontId="6" fillId="3" borderId="3" xfId="2" applyFont="1" applyFill="1" applyBorder="1" applyAlignment="1" applyProtection="1">
      <alignment horizontal="left" vertical="center"/>
    </xf>
    <xf numFmtId="0" fontId="6" fillId="3" borderId="3" xfId="2" applyFont="1" applyFill="1" applyBorder="1" applyAlignment="1" applyProtection="1">
      <alignment vertical="center"/>
    </xf>
    <xf numFmtId="0" fontId="6" fillId="3" borderId="3" xfId="2" applyFont="1" applyFill="1" applyBorder="1" applyAlignment="1" applyProtection="1">
      <alignment horizontal="right" vertical="center"/>
    </xf>
    <xf numFmtId="0" fontId="6" fillId="19" borderId="62" xfId="2" applyFont="1" applyFill="1" applyBorder="1" applyAlignment="1" applyProtection="1">
      <alignment horizontal="center" vertical="center" textRotation="255" wrapText="1" shrinkToFit="1"/>
    </xf>
    <xf numFmtId="3" fontId="6" fillId="0" borderId="0" xfId="12" applyNumberFormat="1" applyFont="1" applyFill="1" applyBorder="1" applyAlignment="1" applyProtection="1">
      <alignment vertical="center" shrinkToFit="1"/>
    </xf>
    <xf numFmtId="0" fontId="6" fillId="0" borderId="11" xfId="2" applyFont="1" applyFill="1" applyBorder="1" applyAlignment="1" applyProtection="1">
      <alignment horizontal="center" vertical="center" shrinkToFit="1"/>
    </xf>
    <xf numFmtId="0" fontId="6" fillId="0" borderId="12" xfId="2" applyFont="1" applyFill="1" applyBorder="1" applyAlignment="1" applyProtection="1">
      <alignment horizontal="center" vertical="center" shrinkToFit="1"/>
    </xf>
    <xf numFmtId="209" fontId="6" fillId="0" borderId="229" xfId="2" applyNumberFormat="1" applyFont="1" applyFill="1" applyBorder="1" applyAlignment="1" applyProtection="1">
      <alignment vertical="center"/>
    </xf>
    <xf numFmtId="0" fontId="6" fillId="19" borderId="36" xfId="2" applyFont="1" applyFill="1" applyBorder="1" applyAlignment="1" applyProtection="1">
      <alignment horizontal="center" vertical="center" textRotation="255" wrapText="1" shrinkToFit="1"/>
    </xf>
    <xf numFmtId="201" fontId="6" fillId="0" borderId="0" xfId="2" applyNumberFormat="1" applyFont="1" applyFill="1" applyBorder="1" applyProtection="1"/>
    <xf numFmtId="220" fontId="6" fillId="0" borderId="0" xfId="2" applyNumberFormat="1" applyFont="1" applyFill="1" applyBorder="1" applyAlignment="1" applyProtection="1">
      <alignment horizontal="center"/>
    </xf>
    <xf numFmtId="0" fontId="6" fillId="0" borderId="0" xfId="2" applyFont="1" applyFill="1" applyBorder="1" applyAlignment="1" applyProtection="1">
      <alignment horizontal="left"/>
    </xf>
    <xf numFmtId="208" fontId="6" fillId="0" borderId="262" xfId="2" applyNumberFormat="1" applyFont="1" applyFill="1" applyBorder="1" applyAlignment="1" applyProtection="1">
      <alignment horizontal="right" shrinkToFit="1"/>
    </xf>
    <xf numFmtId="194" fontId="6" fillId="0" borderId="214" xfId="12" applyNumberFormat="1" applyFont="1" applyFill="1" applyBorder="1" applyAlignment="1" applyProtection="1">
      <alignment horizontal="right" shrinkToFit="1"/>
    </xf>
    <xf numFmtId="208" fontId="6" fillId="0" borderId="107" xfId="2" applyNumberFormat="1" applyFont="1" applyFill="1" applyBorder="1" applyAlignment="1" applyProtection="1">
      <alignment horizontal="right" shrinkToFit="1"/>
    </xf>
    <xf numFmtId="208" fontId="6" fillId="0" borderId="263" xfId="2" applyNumberFormat="1" applyFont="1" applyFill="1" applyBorder="1" applyAlignment="1" applyProtection="1">
      <alignment horizontal="right" shrinkToFit="1"/>
    </xf>
    <xf numFmtId="194" fontId="6" fillId="0" borderId="50" xfId="12" applyNumberFormat="1" applyFont="1" applyFill="1" applyBorder="1" applyAlignment="1" applyProtection="1">
      <alignment horizontal="right" shrinkToFit="1"/>
    </xf>
    <xf numFmtId="0" fontId="6" fillId="19" borderId="28" xfId="2" applyFont="1" applyFill="1" applyBorder="1" applyAlignment="1" applyProtection="1">
      <alignment horizontal="center" vertical="center" textRotation="255" wrapText="1" shrinkToFit="1"/>
    </xf>
    <xf numFmtId="183" fontId="6" fillId="0" borderId="262" xfId="2" applyNumberFormat="1" applyFont="1" applyFill="1" applyBorder="1" applyAlignment="1" applyProtection="1">
      <alignment horizontal="right" shrinkToFit="1"/>
    </xf>
    <xf numFmtId="183" fontId="6" fillId="0" borderId="107" xfId="2" applyNumberFormat="1" applyFont="1" applyFill="1" applyBorder="1" applyAlignment="1" applyProtection="1">
      <alignment horizontal="right" shrinkToFit="1"/>
    </xf>
    <xf numFmtId="208" fontId="6" fillId="0" borderId="0" xfId="2" applyNumberFormat="1" applyFont="1" applyFill="1" applyBorder="1" applyAlignment="1" applyProtection="1">
      <alignment horizontal="right" shrinkToFit="1"/>
    </xf>
    <xf numFmtId="177" fontId="6" fillId="0" borderId="235" xfId="2" applyNumberFormat="1" applyFont="1" applyFill="1" applyBorder="1" applyAlignment="1" applyProtection="1">
      <alignment horizontal="right" shrinkToFit="1"/>
    </xf>
    <xf numFmtId="3" fontId="6" fillId="0" borderId="266" xfId="12" applyNumberFormat="1" applyFont="1" applyFill="1" applyBorder="1" applyAlignment="1" applyProtection="1">
      <alignment horizontal="right" shrinkToFit="1"/>
    </xf>
    <xf numFmtId="177" fontId="6" fillId="0" borderId="267" xfId="2" applyNumberFormat="1" applyFont="1" applyFill="1" applyBorder="1" applyAlignment="1" applyProtection="1">
      <alignment horizontal="right" shrinkToFit="1"/>
    </xf>
    <xf numFmtId="3" fontId="6" fillId="0" borderId="232" xfId="12" applyNumberFormat="1" applyFont="1" applyFill="1" applyBorder="1" applyAlignment="1" applyProtection="1">
      <alignment horizontal="right" shrinkToFit="1"/>
    </xf>
    <xf numFmtId="177" fontId="6" fillId="0" borderId="236" xfId="2" applyNumberFormat="1" applyFont="1" applyFill="1" applyBorder="1" applyAlignment="1" applyProtection="1">
      <alignment horizontal="right" shrinkToFit="1"/>
    </xf>
    <xf numFmtId="3" fontId="6" fillId="0" borderId="268" xfId="12" applyNumberFormat="1" applyFont="1" applyFill="1" applyBorder="1" applyAlignment="1" applyProtection="1">
      <alignment horizontal="right" shrinkToFit="1"/>
    </xf>
    <xf numFmtId="183" fontId="6" fillId="0" borderId="267" xfId="2" applyNumberFormat="1" applyFont="1" applyFill="1" applyBorder="1" applyAlignment="1" applyProtection="1">
      <alignment horizontal="right" shrinkToFit="1"/>
    </xf>
    <xf numFmtId="3" fontId="6" fillId="0" borderId="269" xfId="12" applyNumberFormat="1" applyFont="1" applyFill="1" applyBorder="1" applyAlignment="1" applyProtection="1">
      <alignment horizontal="right" shrinkToFit="1"/>
    </xf>
    <xf numFmtId="0" fontId="6" fillId="19" borderId="270" xfId="2" applyFont="1" applyFill="1" applyBorder="1" applyAlignment="1" applyProtection="1">
      <alignment horizontal="center" vertical="center" textRotation="255" wrapText="1" shrinkToFit="1"/>
    </xf>
    <xf numFmtId="0" fontId="6" fillId="3" borderId="238" xfId="2" applyFont="1" applyFill="1" applyBorder="1" applyAlignment="1" applyProtection="1">
      <alignment horizontal="center" vertical="center"/>
      <protection locked="0"/>
    </xf>
    <xf numFmtId="0" fontId="6" fillId="3" borderId="241" xfId="2" applyFont="1" applyFill="1" applyBorder="1" applyAlignment="1" applyProtection="1">
      <alignment horizontal="center" vertical="center"/>
    </xf>
    <xf numFmtId="0" fontId="6" fillId="3" borderId="240" xfId="2" applyFont="1" applyFill="1" applyBorder="1" applyAlignment="1" applyProtection="1">
      <alignment horizontal="center" vertical="center"/>
    </xf>
    <xf numFmtId="0" fontId="6" fillId="3" borderId="241" xfId="2" applyFont="1" applyFill="1" applyBorder="1" applyAlignment="1" applyProtection="1">
      <alignment horizontal="center" vertical="center" wrapText="1"/>
    </xf>
    <xf numFmtId="0" fontId="6" fillId="3" borderId="244" xfId="2" applyFont="1" applyFill="1" applyBorder="1" applyAlignment="1" applyProtection="1">
      <alignment horizontal="center" vertical="center" wrapText="1"/>
    </xf>
    <xf numFmtId="177" fontId="6" fillId="3" borderId="240" xfId="2" applyNumberFormat="1" applyFont="1" applyFill="1" applyBorder="1" applyAlignment="1" applyProtection="1">
      <alignment horizontal="center" vertical="center" wrapText="1" shrinkToFit="1"/>
    </xf>
    <xf numFmtId="177" fontId="6" fillId="0" borderId="0" xfId="2" applyNumberFormat="1" applyFont="1" applyFill="1" applyBorder="1" applyAlignment="1" applyProtection="1">
      <alignment horizontal="center" wrapText="1" shrinkToFit="1"/>
    </xf>
    <xf numFmtId="177" fontId="6" fillId="0" borderId="0" xfId="2" applyNumberFormat="1" applyFont="1" applyFill="1" applyBorder="1" applyAlignment="1" applyProtection="1">
      <alignment vertical="center" shrinkToFit="1"/>
    </xf>
    <xf numFmtId="0" fontId="6" fillId="19" borderId="102" xfId="2" applyFont="1" applyFill="1" applyBorder="1" applyAlignment="1" applyProtection="1">
      <alignment horizontal="center" vertical="center" textRotation="255" wrapText="1" shrinkToFit="1"/>
    </xf>
    <xf numFmtId="0" fontId="6" fillId="0" borderId="197" xfId="2" applyFont="1" applyFill="1" applyBorder="1" applyAlignment="1" applyProtection="1">
      <alignment horizontal="center"/>
    </xf>
    <xf numFmtId="224" fontId="6" fillId="0" borderId="271" xfId="2" applyNumberFormat="1" applyFont="1" applyFill="1" applyBorder="1" applyProtection="1"/>
    <xf numFmtId="224" fontId="6" fillId="0" borderId="68" xfId="2" applyNumberFormat="1" applyFont="1" applyFill="1" applyBorder="1" applyProtection="1"/>
    <xf numFmtId="225" fontId="6" fillId="0" borderId="272" xfId="2" applyNumberFormat="1" applyFont="1" applyFill="1" applyBorder="1" applyAlignment="1" applyProtection="1">
      <alignment horizontal="right"/>
      <protection locked="0"/>
    </xf>
    <xf numFmtId="225" fontId="6" fillId="0" borderId="273" xfId="2" applyNumberFormat="1" applyFont="1" applyFill="1" applyBorder="1" applyAlignment="1" applyProtection="1">
      <alignment horizontal="right"/>
      <protection locked="0"/>
    </xf>
    <xf numFmtId="226" fontId="6" fillId="0" borderId="197" xfId="12" applyNumberFormat="1" applyFont="1" applyFill="1" applyBorder="1" applyAlignment="1" applyProtection="1">
      <alignment horizontal="right" shrinkToFit="1"/>
    </xf>
    <xf numFmtId="227" fontId="6" fillId="0" borderId="136" xfId="12" applyNumberFormat="1" applyFont="1" applyFill="1" applyBorder="1" applyAlignment="1" applyProtection="1">
      <alignment horizontal="right" shrinkToFit="1"/>
    </xf>
    <xf numFmtId="192" fontId="6" fillId="0" borderId="271" xfId="2" applyNumberFormat="1" applyFont="1" applyFill="1" applyBorder="1" applyProtection="1"/>
    <xf numFmtId="192" fontId="6" fillId="0" borderId="68" xfId="2" applyNumberFormat="1" applyFont="1" applyFill="1" applyBorder="1" applyProtection="1"/>
    <xf numFmtId="194" fontId="6" fillId="0" borderId="62" xfId="12" applyNumberFormat="1" applyFont="1" applyFill="1" applyBorder="1" applyAlignment="1" applyProtection="1">
      <alignment horizontal="center" vertical="center" shrinkToFit="1"/>
    </xf>
    <xf numFmtId="194" fontId="6" fillId="0" borderId="65" xfId="12" applyNumberFormat="1" applyFont="1" applyFill="1" applyBorder="1" applyAlignment="1" applyProtection="1">
      <alignment horizontal="center" vertical="center" shrinkToFit="1"/>
    </xf>
    <xf numFmtId="194" fontId="6" fillId="0" borderId="229" xfId="12" applyNumberFormat="1" applyFont="1" applyFill="1" applyBorder="1" applyAlignment="1" applyProtection="1">
      <alignment horizontal="center" vertical="center" shrinkToFit="1"/>
    </xf>
    <xf numFmtId="209" fontId="6" fillId="0" borderId="13" xfId="2" applyNumberFormat="1" applyFont="1" applyFill="1" applyBorder="1" applyAlignment="1" applyProtection="1">
      <alignment vertical="center"/>
      <protection locked="0"/>
    </xf>
    <xf numFmtId="0" fontId="6" fillId="0" borderId="84" xfId="2" applyFont="1" applyFill="1" applyBorder="1" applyAlignment="1" applyProtection="1">
      <alignment horizontal="center"/>
      <protection locked="0"/>
    </xf>
    <xf numFmtId="224" fontId="6" fillId="0" borderId="247" xfId="2" applyNumberFormat="1" applyFont="1" applyFill="1" applyBorder="1" applyProtection="1"/>
    <xf numFmtId="224" fontId="6" fillId="0" borderId="72" xfId="2" applyNumberFormat="1" applyFont="1" applyFill="1" applyBorder="1" applyProtection="1"/>
    <xf numFmtId="225" fontId="6" fillId="0" borderId="274" xfId="2" applyNumberFormat="1" applyFont="1" applyFill="1" applyBorder="1" applyAlignment="1" applyProtection="1">
      <alignment horizontal="right"/>
      <protection locked="0"/>
    </xf>
    <xf numFmtId="225" fontId="6" fillId="0" borderId="213" xfId="2" applyNumberFormat="1" applyFont="1" applyFill="1" applyBorder="1" applyAlignment="1" applyProtection="1">
      <alignment horizontal="right"/>
      <protection locked="0"/>
    </xf>
    <xf numFmtId="226" fontId="6" fillId="0" borderId="84" xfId="12" applyNumberFormat="1" applyFont="1" applyFill="1" applyBorder="1" applyAlignment="1" applyProtection="1">
      <alignment horizontal="right" shrinkToFit="1"/>
    </xf>
    <xf numFmtId="227" fontId="6" fillId="0" borderId="212" xfId="12" applyNumberFormat="1" applyFont="1" applyFill="1" applyBorder="1" applyAlignment="1" applyProtection="1">
      <alignment horizontal="right" shrinkToFit="1"/>
    </xf>
    <xf numFmtId="192" fontId="6" fillId="0" borderId="247" xfId="2" applyNumberFormat="1" applyFont="1" applyFill="1" applyBorder="1" applyProtection="1"/>
    <xf numFmtId="192" fontId="6" fillId="0" borderId="72" xfId="2" applyNumberFormat="1" applyFont="1" applyFill="1" applyBorder="1" applyProtection="1"/>
    <xf numFmtId="208" fontId="6" fillId="3" borderId="8" xfId="2" applyNumberFormat="1" applyFont="1" applyFill="1" applyBorder="1" applyAlignment="1" applyProtection="1">
      <alignment horizontal="center" vertical="center"/>
    </xf>
    <xf numFmtId="208" fontId="6" fillId="3" borderId="9" xfId="2" applyNumberFormat="1" applyFont="1" applyFill="1" applyBorder="1" applyAlignment="1" applyProtection="1">
      <alignment horizontal="center" vertical="center"/>
    </xf>
    <xf numFmtId="208" fontId="6" fillId="3" borderId="9" xfId="2" applyNumberFormat="1" applyFont="1" applyFill="1" applyBorder="1" applyAlignment="1" applyProtection="1">
      <alignment horizontal="center" vertical="center" wrapText="1"/>
    </xf>
    <xf numFmtId="208" fontId="6" fillId="3" borderId="10" xfId="2" applyNumberFormat="1" applyFont="1" applyFill="1" applyBorder="1" applyAlignment="1" applyProtection="1">
      <alignment horizontal="center" vertical="center"/>
    </xf>
    <xf numFmtId="0" fontId="6" fillId="19" borderId="275" xfId="2" applyFont="1" applyFill="1" applyBorder="1" applyAlignment="1" applyProtection="1">
      <alignment horizontal="center" vertical="center" textRotation="255" wrapText="1" shrinkToFit="1"/>
    </xf>
    <xf numFmtId="208" fontId="6" fillId="3" borderId="11" xfId="2" applyNumberFormat="1" applyFont="1" applyFill="1" applyBorder="1" applyAlignment="1" applyProtection="1">
      <alignment horizontal="center" vertical="center"/>
    </xf>
    <xf numFmtId="208" fontId="6" fillId="3" borderId="12" xfId="2" applyNumberFormat="1" applyFont="1" applyFill="1" applyBorder="1" applyAlignment="1" applyProtection="1">
      <alignment horizontal="center" vertical="center"/>
    </xf>
    <xf numFmtId="208" fontId="6" fillId="3" borderId="13" xfId="2" applyNumberFormat="1" applyFont="1" applyFill="1" applyBorder="1" applyAlignment="1" applyProtection="1">
      <alignment horizontal="center" vertical="center"/>
    </xf>
    <xf numFmtId="208" fontId="6" fillId="0" borderId="0" xfId="2" applyNumberFormat="1" applyFont="1" applyFill="1" applyBorder="1" applyAlignment="1" applyProtection="1">
      <alignment vertical="center"/>
    </xf>
    <xf numFmtId="228" fontId="6" fillId="0" borderId="0" xfId="12" applyNumberFormat="1" applyFont="1" applyFill="1" applyBorder="1" applyAlignment="1" applyProtection="1">
      <alignment vertical="center"/>
    </xf>
    <xf numFmtId="0" fontId="6" fillId="3" borderId="3" xfId="2" applyFont="1" applyFill="1" applyBorder="1" applyAlignment="1" applyProtection="1">
      <alignment horizontal="center" vertical="center"/>
    </xf>
    <xf numFmtId="0" fontId="6" fillId="3" borderId="244" xfId="2" applyFont="1" applyFill="1" applyBorder="1" applyAlignment="1" applyProtection="1">
      <alignment horizontal="center" vertical="center"/>
    </xf>
    <xf numFmtId="0" fontId="6" fillId="3" borderId="3" xfId="2" applyFont="1" applyFill="1" applyBorder="1" applyAlignment="1" applyProtection="1">
      <alignment horizontal="center"/>
    </xf>
    <xf numFmtId="0" fontId="6" fillId="3" borderId="244" xfId="2" applyFont="1" applyFill="1" applyBorder="1" applyAlignment="1" applyProtection="1">
      <alignment horizontal="center"/>
    </xf>
    <xf numFmtId="208" fontId="6" fillId="0" borderId="102" xfId="2" applyNumberFormat="1" applyFont="1" applyFill="1" applyBorder="1" applyAlignment="1" applyProtection="1">
      <alignment horizontal="center" vertical="center"/>
    </xf>
    <xf numFmtId="208" fontId="6" fillId="0" borderId="257" xfId="2" applyNumberFormat="1" applyFont="1" applyFill="1" applyBorder="1" applyAlignment="1" applyProtection="1">
      <alignment horizontal="center" vertical="center"/>
    </xf>
    <xf numFmtId="208" fontId="6" fillId="0" borderId="52" xfId="2" applyNumberFormat="1" applyFont="1" applyFill="1" applyBorder="1" applyAlignment="1" applyProtection="1">
      <alignment vertical="center" shrinkToFit="1"/>
    </xf>
    <xf numFmtId="208" fontId="6" fillId="0" borderId="276" xfId="2" applyNumberFormat="1" applyFont="1" applyFill="1" applyBorder="1" applyAlignment="1" applyProtection="1">
      <alignment vertical="center" shrinkToFit="1"/>
    </xf>
    <xf numFmtId="0" fontId="6" fillId="0" borderId="277" xfId="2" applyFont="1" applyFill="1" applyBorder="1" applyAlignment="1" applyProtection="1">
      <alignment horizontal="left" indent="1"/>
    </xf>
    <xf numFmtId="224" fontId="6" fillId="0" borderId="82" xfId="2" applyNumberFormat="1" applyFont="1" applyFill="1" applyBorder="1" applyProtection="1"/>
    <xf numFmtId="229" fontId="6" fillId="0" borderId="82" xfId="2" applyNumberFormat="1" applyFont="1" applyFill="1" applyBorder="1" applyAlignment="1" applyProtection="1">
      <alignment horizontal="right"/>
      <protection locked="0"/>
    </xf>
    <xf numFmtId="229" fontId="6" fillId="0" borderId="273" xfId="2" applyNumberFormat="1" applyFont="1" applyFill="1" applyBorder="1" applyAlignment="1" applyProtection="1">
      <alignment horizontal="right"/>
      <protection locked="0"/>
    </xf>
    <xf numFmtId="0" fontId="6" fillId="0" borderId="277" xfId="2" applyFont="1" applyFill="1" applyBorder="1" applyAlignment="1" applyProtection="1"/>
    <xf numFmtId="208" fontId="6" fillId="0" borderId="103" xfId="2" applyNumberFormat="1" applyFont="1" applyFill="1" applyBorder="1" applyAlignment="1" applyProtection="1">
      <alignment horizontal="center" vertical="center"/>
    </xf>
    <xf numFmtId="208" fontId="6" fillId="0" borderId="53" xfId="2" applyNumberFormat="1" applyFont="1" applyFill="1" applyBorder="1" applyAlignment="1" applyProtection="1">
      <alignment horizontal="center" vertical="center"/>
    </xf>
    <xf numFmtId="208" fontId="6" fillId="0" borderId="15" xfId="2" applyNumberFormat="1" applyFont="1" applyFill="1" applyBorder="1" applyAlignment="1" applyProtection="1">
      <alignment vertical="center" shrinkToFit="1"/>
    </xf>
    <xf numFmtId="208" fontId="6" fillId="0" borderId="16" xfId="2" applyNumberFormat="1" applyFont="1" applyFill="1" applyBorder="1" applyAlignment="1" applyProtection="1">
      <alignment vertical="center" shrinkToFit="1"/>
    </xf>
    <xf numFmtId="0" fontId="6" fillId="0" borderId="260" xfId="2" applyFont="1" applyFill="1" applyBorder="1" applyAlignment="1" applyProtection="1">
      <alignment horizontal="left" indent="1"/>
      <protection locked="0"/>
    </xf>
    <xf numFmtId="0" fontId="6" fillId="0" borderId="261" xfId="2" applyFont="1" applyFill="1" applyBorder="1" applyAlignment="1" applyProtection="1">
      <alignment horizontal="center" shrinkToFit="1"/>
    </xf>
    <xf numFmtId="0" fontId="6" fillId="0" borderId="278" xfId="2" applyFont="1" applyFill="1" applyBorder="1" applyAlignment="1" applyProtection="1">
      <alignment horizontal="center" shrinkToFit="1"/>
    </xf>
    <xf numFmtId="227" fontId="6" fillId="0" borderId="84" xfId="12" applyNumberFormat="1" applyFont="1" applyFill="1" applyBorder="1" applyAlignment="1" applyProtection="1">
      <alignment horizontal="right" shrinkToFit="1"/>
    </xf>
    <xf numFmtId="227" fontId="6" fillId="0" borderId="248" xfId="2" applyNumberFormat="1" applyFont="1" applyFill="1" applyBorder="1" applyAlignment="1" applyProtection="1">
      <alignment horizontal="right" shrinkToFit="1"/>
      <protection locked="0"/>
    </xf>
    <xf numFmtId="0" fontId="6" fillId="0" borderId="260" xfId="2" applyFont="1" applyFill="1" applyBorder="1" applyAlignment="1" applyProtection="1">
      <protection locked="0"/>
    </xf>
    <xf numFmtId="203" fontId="6" fillId="13" borderId="279" xfId="2" applyNumberFormat="1" applyFont="1" applyFill="1" applyBorder="1" applyAlignment="1" applyProtection="1">
      <alignment horizontal="center" vertical="center" wrapText="1"/>
      <protection locked="0"/>
    </xf>
    <xf numFmtId="203" fontId="6" fillId="13" borderId="154" xfId="2" applyNumberFormat="1" applyFont="1" applyFill="1" applyBorder="1" applyAlignment="1" applyProtection="1">
      <alignment horizontal="center" vertical="center" wrapText="1"/>
      <protection locked="0"/>
    </xf>
    <xf numFmtId="203" fontId="6" fillId="15" borderId="280" xfId="2" applyNumberFormat="1" applyFont="1" applyFill="1" applyBorder="1" applyAlignment="1" applyProtection="1">
      <alignment horizontal="center" vertical="center" wrapText="1"/>
      <protection locked="0"/>
    </xf>
    <xf numFmtId="203" fontId="6" fillId="15" borderId="154" xfId="2" applyNumberFormat="1" applyFont="1" applyFill="1" applyBorder="1" applyAlignment="1" applyProtection="1">
      <alignment horizontal="center" vertical="center" wrapText="1"/>
      <protection locked="0"/>
    </xf>
    <xf numFmtId="203" fontId="6" fillId="16" borderId="280" xfId="2" applyNumberFormat="1" applyFont="1" applyFill="1" applyBorder="1" applyAlignment="1" applyProtection="1">
      <alignment horizontal="center" vertical="center" wrapText="1"/>
      <protection locked="0"/>
    </xf>
    <xf numFmtId="203" fontId="6" fillId="16" borderId="154" xfId="2" applyNumberFormat="1" applyFont="1" applyFill="1" applyBorder="1" applyAlignment="1" applyProtection="1">
      <alignment horizontal="center" vertical="center" wrapText="1"/>
      <protection locked="0"/>
    </xf>
    <xf numFmtId="203" fontId="19" fillId="3" borderId="280" xfId="2" applyNumberFormat="1" applyFont="1" applyFill="1" applyBorder="1" applyAlignment="1" applyProtection="1">
      <alignment horizontal="center" vertical="center" wrapText="1"/>
      <protection locked="0"/>
    </xf>
    <xf numFmtId="203" fontId="19" fillId="3" borderId="154" xfId="2" applyNumberFormat="1" applyFont="1" applyFill="1" applyBorder="1" applyAlignment="1" applyProtection="1">
      <alignment horizontal="center" vertical="center" wrapText="1"/>
      <protection locked="0"/>
    </xf>
    <xf numFmtId="203" fontId="19" fillId="3" borderId="49" xfId="2" applyNumberFormat="1" applyFont="1" applyFill="1" applyBorder="1" applyAlignment="1" applyProtection="1">
      <alignment horizontal="center" vertical="center" wrapText="1"/>
      <protection locked="0"/>
    </xf>
    <xf numFmtId="181" fontId="6" fillId="0" borderId="0" xfId="2" applyNumberFormat="1" applyFont="1" applyFill="1" applyBorder="1" applyAlignment="1" applyProtection="1">
      <alignment vertical="center"/>
      <protection locked="0"/>
    </xf>
    <xf numFmtId="208" fontId="6" fillId="0" borderId="281" xfId="2" applyNumberFormat="1" applyFont="1" applyFill="1" applyBorder="1" applyAlignment="1" applyProtection="1">
      <alignment horizontal="center" vertical="center"/>
    </xf>
    <xf numFmtId="208" fontId="6" fillId="0" borderId="282" xfId="2" applyNumberFormat="1" applyFont="1" applyFill="1" applyBorder="1" applyAlignment="1" applyProtection="1">
      <alignment horizontal="center" vertical="center"/>
    </xf>
    <xf numFmtId="208" fontId="6" fillId="0" borderId="54" xfId="2" applyNumberFormat="1" applyFont="1" applyFill="1" applyBorder="1" applyAlignment="1" applyProtection="1">
      <alignment vertical="center" shrinkToFit="1"/>
    </xf>
    <xf numFmtId="208" fontId="6" fillId="0" borderId="283" xfId="2" applyNumberFormat="1" applyFont="1" applyFill="1" applyBorder="1" applyAlignment="1" applyProtection="1">
      <alignment vertical="center" shrinkToFit="1"/>
    </xf>
    <xf numFmtId="3" fontId="6" fillId="0" borderId="141" xfId="12" applyNumberFormat="1" applyFont="1" applyFill="1" applyBorder="1" applyAlignment="1" applyProtection="1">
      <alignment shrinkToFit="1"/>
    </xf>
    <xf numFmtId="0" fontId="6" fillId="19" borderId="284" xfId="2" applyFont="1" applyFill="1" applyBorder="1" applyAlignment="1" applyProtection="1">
      <alignment horizontal="center" vertical="center" textRotation="255" wrapText="1" shrinkToFit="1"/>
    </xf>
    <xf numFmtId="0" fontId="6" fillId="19" borderId="285" xfId="2" applyFont="1" applyFill="1" applyBorder="1" applyAlignment="1" applyProtection="1">
      <alignment horizontal="center" vertical="center" textRotation="255" wrapText="1" shrinkToFit="1"/>
    </xf>
    <xf numFmtId="208" fontId="6" fillId="0" borderId="15" xfId="2" applyNumberFormat="1" applyFont="1" applyFill="1" applyBorder="1" applyAlignment="1" applyProtection="1">
      <alignment vertical="center" shrinkToFit="1"/>
      <protection locked="0"/>
    </xf>
    <xf numFmtId="230" fontId="6" fillId="0" borderId="0" xfId="12" applyNumberFormat="1" applyFont="1" applyFill="1" applyBorder="1" applyAlignment="1" applyProtection="1">
      <alignment vertical="center"/>
    </xf>
    <xf numFmtId="208" fontId="6" fillId="0" borderId="0" xfId="2" applyNumberFormat="1" applyFont="1" applyFill="1" applyBorder="1" applyAlignment="1" applyProtection="1">
      <alignment vertical="center" shrinkToFit="1"/>
    </xf>
    <xf numFmtId="194" fontId="6" fillId="0" borderId="141" xfId="12" applyNumberFormat="1" applyFont="1" applyFill="1" applyBorder="1" applyAlignment="1" applyProtection="1">
      <alignment shrinkToFit="1"/>
    </xf>
    <xf numFmtId="0" fontId="6" fillId="0" borderId="286" xfId="2" applyFont="1" applyFill="1" applyBorder="1" applyAlignment="1" applyProtection="1">
      <alignment horizontal="left" indent="1"/>
    </xf>
    <xf numFmtId="0" fontId="6" fillId="0" borderId="287" xfId="2" applyFont="1" applyFill="1" applyBorder="1" applyProtection="1"/>
    <xf numFmtId="0" fontId="6" fillId="0" borderId="287" xfId="2" applyFont="1" applyFill="1" applyBorder="1" applyAlignment="1" applyProtection="1">
      <alignment horizontal="right"/>
    </xf>
    <xf numFmtId="177" fontId="6" fillId="0" borderId="288" xfId="2" applyNumberFormat="1" applyFont="1" applyFill="1" applyBorder="1" applyAlignment="1" applyProtection="1">
      <alignment horizontal="right" shrinkToFit="1"/>
    </xf>
    <xf numFmtId="3" fontId="6" fillId="0" borderId="287" xfId="12" applyNumberFormat="1" applyFont="1" applyFill="1" applyBorder="1" applyAlignment="1" applyProtection="1">
      <alignment horizontal="right" shrinkToFit="1"/>
    </xf>
    <xf numFmtId="177" fontId="6" fillId="0" borderId="289" xfId="2" applyNumberFormat="1" applyFont="1" applyFill="1" applyBorder="1" applyAlignment="1" applyProtection="1">
      <alignment horizontal="right" shrinkToFit="1"/>
    </xf>
    <xf numFmtId="3" fontId="6" fillId="0" borderId="290" xfId="12" applyNumberFormat="1" applyFont="1" applyFill="1" applyBorder="1" applyAlignment="1" applyProtection="1">
      <alignment horizontal="right" shrinkToFit="1"/>
    </xf>
    <xf numFmtId="183" fontId="6" fillId="0" borderId="288" xfId="2" applyNumberFormat="1" applyFont="1" applyFill="1" applyBorder="1" applyAlignment="1" applyProtection="1">
      <alignment horizontal="right" shrinkToFit="1"/>
    </xf>
    <xf numFmtId="177" fontId="6" fillId="0" borderId="291" xfId="2" applyNumberFormat="1" applyFont="1" applyFill="1" applyBorder="1" applyAlignment="1" applyProtection="1">
      <alignment horizontal="right" shrinkToFit="1"/>
    </xf>
    <xf numFmtId="183" fontId="6" fillId="0" borderId="289" xfId="2" applyNumberFormat="1" applyFont="1" applyFill="1" applyBorder="1" applyAlignment="1" applyProtection="1">
      <alignment horizontal="right" shrinkToFit="1"/>
    </xf>
    <xf numFmtId="3" fontId="6" fillId="0" borderId="292" xfId="12" applyNumberFormat="1" applyFont="1" applyFill="1" applyBorder="1" applyAlignment="1" applyProtection="1">
      <alignment horizontal="right" shrinkToFit="1"/>
    </xf>
    <xf numFmtId="0" fontId="6" fillId="0" borderId="293" xfId="2" applyNumberFormat="1" applyFont="1" applyFill="1" applyBorder="1" applyAlignment="1" applyProtection="1">
      <alignment vertical="center"/>
    </xf>
    <xf numFmtId="0" fontId="6" fillId="0" borderId="293" xfId="2" applyNumberFormat="1" applyFont="1" applyFill="1" applyBorder="1" applyAlignment="1" applyProtection="1">
      <alignment vertical="center"/>
      <protection locked="0"/>
    </xf>
    <xf numFmtId="0" fontId="6" fillId="0" borderId="293" xfId="12" applyNumberFormat="1" applyFont="1" applyFill="1" applyBorder="1" applyAlignment="1" applyProtection="1">
      <alignment vertical="center"/>
    </xf>
    <xf numFmtId="3" fontId="19" fillId="0" borderId="0" xfId="12" applyNumberFormat="1" applyFont="1" applyFill="1" applyBorder="1" applyAlignment="1" applyProtection="1">
      <alignment vertical="center"/>
    </xf>
    <xf numFmtId="0" fontId="6" fillId="0" borderId="294" xfId="2" applyFont="1" applyFill="1" applyBorder="1" applyAlignment="1" applyProtection="1">
      <alignment horizontal="left" indent="1"/>
    </xf>
    <xf numFmtId="0" fontId="6" fillId="0" borderId="295" xfId="2" applyFont="1" applyFill="1" applyBorder="1" applyProtection="1"/>
    <xf numFmtId="0" fontId="6" fillId="0" borderId="295" xfId="2" applyFont="1" applyFill="1" applyBorder="1" applyAlignment="1" applyProtection="1">
      <alignment horizontal="right"/>
    </xf>
    <xf numFmtId="2" fontId="6" fillId="0" borderId="296" xfId="2" applyNumberFormat="1" applyFont="1" applyFill="1" applyBorder="1" applyAlignment="1" applyProtection="1">
      <alignment horizontal="centerContinuous" shrinkToFit="1"/>
    </xf>
    <xf numFmtId="230" fontId="6" fillId="0" borderId="295" xfId="12" applyNumberFormat="1" applyFont="1" applyFill="1" applyBorder="1" applyAlignment="1" applyProtection="1">
      <alignment horizontal="centerContinuous" shrinkToFit="1"/>
    </xf>
    <xf numFmtId="2" fontId="6" fillId="0" borderId="297" xfId="2" applyNumberFormat="1" applyFont="1" applyFill="1" applyBorder="1" applyAlignment="1" applyProtection="1">
      <alignment horizontal="centerContinuous" shrinkToFit="1"/>
    </xf>
    <xf numFmtId="230" fontId="6" fillId="0" borderId="298" xfId="12" applyNumberFormat="1" applyFont="1" applyFill="1" applyBorder="1" applyAlignment="1" applyProtection="1">
      <alignment horizontal="centerContinuous" shrinkToFit="1"/>
    </xf>
    <xf numFmtId="2" fontId="6" fillId="0" borderId="295" xfId="2" applyNumberFormat="1" applyFont="1" applyFill="1" applyBorder="1" applyAlignment="1" applyProtection="1">
      <alignment horizontal="center"/>
    </xf>
    <xf numFmtId="2" fontId="6" fillId="0" borderId="299" xfId="2" applyNumberFormat="1" applyFont="1" applyFill="1" applyBorder="1" applyAlignment="1" applyProtection="1">
      <alignment horizontal="center"/>
    </xf>
    <xf numFmtId="230" fontId="6" fillId="0" borderId="141" xfId="12" applyNumberFormat="1" applyFont="1" applyFill="1" applyBorder="1" applyAlignment="1" applyProtection="1">
      <alignment horizontal="centerContinuous" shrinkToFit="1"/>
    </xf>
    <xf numFmtId="183" fontId="6" fillId="0" borderId="300" xfId="2" applyNumberFormat="1" applyFont="1" applyFill="1" applyBorder="1" applyAlignment="1" applyProtection="1">
      <alignment horizontal="centerContinuous" shrinkToFit="1"/>
    </xf>
    <xf numFmtId="2" fontId="6" fillId="0" borderId="295" xfId="2" applyNumberFormat="1" applyFont="1" applyFill="1" applyBorder="1" applyAlignment="1" applyProtection="1">
      <alignment horizontal="centerContinuous" shrinkToFit="1"/>
    </xf>
    <xf numFmtId="183" fontId="6" fillId="0" borderId="301" xfId="2" applyNumberFormat="1" applyFont="1" applyFill="1" applyBorder="1" applyAlignment="1" applyProtection="1">
      <alignment shrinkToFit="1"/>
    </xf>
    <xf numFmtId="2" fontId="6" fillId="0" borderId="302" xfId="2" applyNumberFormat="1" applyFont="1" applyFill="1" applyBorder="1" applyAlignment="1" applyProtection="1">
      <alignment horizontal="center" shrinkToFit="1"/>
    </xf>
    <xf numFmtId="2" fontId="6" fillId="0" borderId="303" xfId="2" applyNumberFormat="1" applyFont="1" applyFill="1" applyBorder="1" applyAlignment="1" applyProtection="1">
      <alignment horizontal="center" shrinkToFit="1"/>
    </xf>
    <xf numFmtId="230" fontId="6" fillId="0" borderId="0" xfId="12" applyNumberFormat="1" applyFont="1" applyFill="1" applyBorder="1" applyAlignment="1" applyProtection="1">
      <alignment vertical="center" shrinkToFit="1"/>
    </xf>
    <xf numFmtId="0" fontId="19" fillId="0" borderId="304" xfId="2" applyFont="1" applyFill="1" applyBorder="1" applyAlignment="1" applyProtection="1">
      <alignment horizontal="left" indent="1"/>
    </xf>
    <xf numFmtId="0" fontId="19" fillId="0" borderId="232" xfId="2" applyFont="1" applyFill="1" applyBorder="1" applyProtection="1"/>
    <xf numFmtId="2" fontId="19" fillId="0" borderId="232" xfId="2" applyNumberFormat="1" applyFont="1" applyFill="1" applyBorder="1" applyAlignment="1" applyProtection="1">
      <alignment horizontal="center"/>
    </xf>
    <xf numFmtId="230" fontId="19" fillId="0" borderId="232" xfId="2" applyNumberFormat="1" applyFont="1" applyFill="1" applyBorder="1" applyAlignment="1" applyProtection="1">
      <alignment horizontal="left"/>
    </xf>
    <xf numFmtId="2" fontId="19" fillId="0" borderId="203" xfId="2" applyNumberFormat="1" applyFont="1" applyFill="1" applyBorder="1" applyAlignment="1" applyProtection="1">
      <alignment horizontal="right" shrinkToFit="1"/>
    </xf>
    <xf numFmtId="3" fontId="19" fillId="0" borderId="233" xfId="12" applyNumberFormat="1" applyFont="1" applyFill="1" applyBorder="1" applyAlignment="1" applyProtection="1">
      <alignment horizontal="right" shrinkToFit="1"/>
    </xf>
    <xf numFmtId="2" fontId="19" fillId="0" borderId="253" xfId="2" applyNumberFormat="1" applyFont="1" applyFill="1" applyBorder="1" applyAlignment="1" applyProtection="1">
      <alignment horizontal="right" shrinkToFit="1"/>
    </xf>
    <xf numFmtId="2" fontId="19" fillId="0" borderId="253" xfId="2" applyNumberFormat="1" applyFont="1" applyFill="1" applyBorder="1" applyAlignment="1" applyProtection="1">
      <alignment shrinkToFit="1"/>
    </xf>
    <xf numFmtId="3" fontId="19" fillId="0" borderId="305" xfId="12" applyNumberFormat="1" applyFont="1" applyFill="1" applyBorder="1" applyAlignment="1" applyProtection="1">
      <alignment shrinkToFit="1"/>
    </xf>
    <xf numFmtId="2" fontId="19" fillId="0" borderId="232" xfId="2" applyNumberFormat="1" applyFont="1" applyFill="1" applyBorder="1" applyAlignment="1" applyProtection="1">
      <alignment shrinkToFit="1"/>
    </xf>
    <xf numFmtId="3" fontId="19" fillId="0" borderId="306" xfId="12" applyNumberFormat="1" applyFont="1" applyFill="1" applyBorder="1" applyAlignment="1" applyProtection="1">
      <alignment shrinkToFit="1"/>
    </xf>
    <xf numFmtId="3" fontId="19" fillId="0" borderId="141" xfId="12" applyNumberFormat="1" applyFont="1" applyFill="1" applyBorder="1" applyAlignment="1" applyProtection="1">
      <alignment shrinkToFit="1"/>
    </xf>
    <xf numFmtId="183" fontId="19" fillId="0" borderId="307" xfId="2" applyNumberFormat="1" applyFont="1" applyFill="1" applyBorder="1" applyAlignment="1" applyProtection="1">
      <alignment horizontal="right" shrinkToFit="1"/>
    </xf>
    <xf numFmtId="2" fontId="19" fillId="0" borderId="232" xfId="2" applyNumberFormat="1" applyFont="1" applyFill="1" applyBorder="1" applyAlignment="1" applyProtection="1">
      <alignment horizontal="right" shrinkToFit="1"/>
    </xf>
    <xf numFmtId="183" fontId="19" fillId="0" borderId="236" xfId="2" applyNumberFormat="1" applyFont="1" applyFill="1" applyBorder="1" applyAlignment="1" applyProtection="1">
      <alignment horizontal="right" shrinkToFit="1"/>
    </xf>
    <xf numFmtId="3" fontId="19" fillId="0" borderId="237" xfId="12" applyNumberFormat="1" applyFont="1" applyFill="1" applyBorder="1" applyAlignment="1" applyProtection="1">
      <alignment horizontal="right" shrinkToFit="1"/>
    </xf>
    <xf numFmtId="183" fontId="19" fillId="0" borderId="232" xfId="2" applyNumberFormat="1" applyFont="1" applyFill="1" applyBorder="1" applyAlignment="1" applyProtection="1">
      <alignment horizontal="right" shrinkToFit="1"/>
    </xf>
    <xf numFmtId="183" fontId="19" fillId="0" borderId="253" xfId="2" applyNumberFormat="1" applyFont="1" applyFill="1" applyBorder="1" applyAlignment="1" applyProtection="1">
      <alignment horizontal="right" shrinkToFit="1"/>
    </xf>
    <xf numFmtId="183" fontId="19" fillId="0" borderId="253" xfId="2" applyNumberFormat="1" applyFont="1" applyFill="1" applyBorder="1" applyAlignment="1" applyProtection="1">
      <alignment horizontal="center" shrinkToFit="1"/>
    </xf>
    <xf numFmtId="3" fontId="19" fillId="0" borderId="234" xfId="12" applyNumberFormat="1" applyFont="1" applyFill="1" applyBorder="1" applyAlignment="1" applyProtection="1">
      <alignment horizontal="right" shrinkToFit="1"/>
    </xf>
    <xf numFmtId="3" fontId="19" fillId="0" borderId="0" xfId="12" applyNumberFormat="1" applyFont="1" applyFill="1" applyBorder="1" applyAlignment="1" applyProtection="1">
      <alignment vertical="center" shrinkToFit="1"/>
    </xf>
    <xf numFmtId="0" fontId="6" fillId="19" borderId="308" xfId="2" applyFont="1" applyFill="1" applyBorder="1" applyAlignment="1" applyProtection="1">
      <alignment horizontal="center" vertical="center" textRotation="255" wrapText="1"/>
    </xf>
    <xf numFmtId="0" fontId="6" fillId="3" borderId="2" xfId="2" applyFont="1" applyFill="1" applyBorder="1" applyAlignment="1" applyProtection="1">
      <alignment horizontal="left" vertical="center"/>
    </xf>
    <xf numFmtId="3" fontId="6" fillId="3" borderId="3" xfId="12" applyNumberFormat="1" applyFont="1" applyFill="1" applyBorder="1" applyAlignment="1" applyProtection="1">
      <alignment horizontal="center" vertical="center" shrinkToFit="1"/>
    </xf>
    <xf numFmtId="3" fontId="6" fillId="3" borderId="309" xfId="12" applyNumberFormat="1" applyFont="1" applyFill="1" applyBorder="1" applyAlignment="1" applyProtection="1">
      <alignment vertical="center" shrinkToFit="1"/>
    </xf>
    <xf numFmtId="177" fontId="6" fillId="3" borderId="3" xfId="2" applyNumberFormat="1" applyFont="1" applyFill="1" applyBorder="1" applyAlignment="1" applyProtection="1">
      <alignment horizontal="center" vertical="center" shrinkToFit="1"/>
    </xf>
    <xf numFmtId="3" fontId="6" fillId="3" borderId="310" xfId="12" applyNumberFormat="1" applyFont="1" applyFill="1" applyBorder="1" applyAlignment="1" applyProtection="1">
      <alignment vertical="center" shrinkToFit="1"/>
    </xf>
    <xf numFmtId="183" fontId="6" fillId="3" borderId="256" xfId="2" applyNumberFormat="1" applyFont="1" applyFill="1" applyBorder="1" applyAlignment="1" applyProtection="1">
      <alignment horizontal="center" vertical="center" shrinkToFit="1"/>
    </xf>
    <xf numFmtId="3" fontId="6" fillId="3" borderId="244" xfId="12" applyNumberFormat="1" applyFont="1" applyFill="1" applyBorder="1" applyAlignment="1" applyProtection="1">
      <alignment horizontal="center" vertical="center" shrinkToFit="1"/>
    </xf>
    <xf numFmtId="183" fontId="6" fillId="3" borderId="240" xfId="2" applyNumberFormat="1" applyFont="1" applyFill="1" applyBorder="1" applyAlignment="1" applyProtection="1">
      <alignment horizontal="center" vertical="center" shrinkToFit="1"/>
    </xf>
    <xf numFmtId="3" fontId="6" fillId="3" borderId="4" xfId="12" applyNumberFormat="1" applyFont="1" applyFill="1" applyBorder="1" applyAlignment="1" applyProtection="1">
      <alignment horizontal="center" vertical="center" shrinkToFit="1"/>
    </xf>
    <xf numFmtId="0" fontId="6" fillId="19" borderId="36" xfId="2" applyFont="1" applyFill="1" applyBorder="1" applyAlignment="1" applyProtection="1">
      <alignment horizontal="center" vertical="center" textRotation="255" wrapText="1"/>
    </xf>
    <xf numFmtId="0" fontId="6" fillId="0" borderId="197" xfId="2" applyNumberFormat="1" applyFont="1" applyFill="1" applyBorder="1" applyAlignment="1" applyProtection="1">
      <alignment horizontal="left" shrinkToFit="1"/>
      <protection locked="0"/>
    </xf>
    <xf numFmtId="0" fontId="6" fillId="0" borderId="197" xfId="2" applyFont="1" applyFill="1" applyBorder="1" applyAlignment="1" applyProtection="1">
      <alignment horizontal="left" shrinkToFit="1"/>
    </xf>
    <xf numFmtId="0" fontId="6" fillId="0" borderId="200" xfId="2" applyNumberFormat="1" applyFont="1" applyFill="1" applyBorder="1" applyAlignment="1" applyProtection="1">
      <alignment shrinkToFit="1"/>
      <protection locked="0"/>
    </xf>
    <xf numFmtId="194" fontId="6" fillId="0" borderId="311" xfId="12" applyNumberFormat="1" applyFont="1" applyFill="1" applyBorder="1" applyAlignment="1" applyProtection="1">
      <alignment shrinkToFit="1"/>
    </xf>
    <xf numFmtId="0" fontId="6" fillId="0" borderId="135" xfId="2" applyNumberFormat="1" applyFont="1" applyFill="1" applyBorder="1" applyAlignment="1" applyProtection="1">
      <alignment shrinkToFit="1"/>
      <protection locked="0"/>
    </xf>
    <xf numFmtId="194" fontId="6" fillId="0" borderId="136" xfId="12" applyNumberFormat="1" applyFont="1" applyFill="1" applyBorder="1" applyAlignment="1" applyProtection="1">
      <alignment shrinkToFit="1"/>
    </xf>
    <xf numFmtId="183" fontId="6" fillId="13" borderId="312" xfId="2" applyNumberFormat="1" applyFont="1" applyFill="1" applyBorder="1" applyAlignment="1" applyProtection="1">
      <alignment horizontal="center" wrapText="1" shrinkToFit="1"/>
      <protection locked="0"/>
    </xf>
    <xf numFmtId="183" fontId="6" fillId="13" borderId="313" xfId="2" applyNumberFormat="1" applyFont="1" applyFill="1" applyBorder="1" applyAlignment="1" applyProtection="1">
      <alignment horizontal="center" wrapText="1" shrinkToFit="1"/>
      <protection locked="0"/>
    </xf>
    <xf numFmtId="183" fontId="6" fillId="15" borderId="206" xfId="2" applyNumberFormat="1" applyFont="1" applyFill="1" applyBorder="1" applyAlignment="1" applyProtection="1">
      <alignment horizontal="center" wrapText="1" shrinkToFit="1"/>
      <protection locked="0"/>
    </xf>
    <xf numFmtId="183" fontId="6" fillId="15" borderId="313" xfId="2" applyNumberFormat="1" applyFont="1" applyFill="1" applyBorder="1" applyAlignment="1" applyProtection="1">
      <alignment horizontal="center" wrapText="1" shrinkToFit="1"/>
      <protection locked="0"/>
    </xf>
    <xf numFmtId="183" fontId="6" fillId="16" borderId="206" xfId="2" applyNumberFormat="1" applyFont="1" applyFill="1" applyBorder="1" applyAlignment="1" applyProtection="1">
      <alignment horizontal="center" wrapText="1" shrinkToFit="1"/>
      <protection locked="0"/>
    </xf>
    <xf numFmtId="183" fontId="6" fillId="16" borderId="313" xfId="2" applyNumberFormat="1" applyFont="1" applyFill="1" applyBorder="1" applyAlignment="1" applyProtection="1">
      <alignment horizontal="center" wrapText="1" shrinkToFit="1"/>
      <protection locked="0"/>
    </xf>
    <xf numFmtId="183" fontId="19" fillId="3" borderId="206" xfId="2" applyNumberFormat="1" applyFont="1" applyFill="1" applyBorder="1" applyAlignment="1" applyProtection="1">
      <alignment horizontal="center" wrapText="1" shrinkToFit="1"/>
      <protection locked="0"/>
    </xf>
    <xf numFmtId="183" fontId="19" fillId="3" borderId="313" xfId="2" applyNumberFormat="1" applyFont="1" applyFill="1" applyBorder="1" applyAlignment="1" applyProtection="1">
      <alignment horizontal="center" wrapText="1" shrinkToFit="1"/>
      <protection locked="0"/>
    </xf>
    <xf numFmtId="183" fontId="19" fillId="3" borderId="133" xfId="2" applyNumberFormat="1" applyFont="1" applyFill="1" applyBorder="1" applyAlignment="1" applyProtection="1">
      <alignment horizontal="center" wrapText="1" shrinkToFit="1"/>
      <protection locked="0"/>
    </xf>
    <xf numFmtId="208" fontId="6" fillId="0" borderId="141" xfId="2" applyNumberFormat="1" applyFont="1" applyFill="1" applyBorder="1" applyAlignment="1" applyProtection="1">
      <alignment horizontal="right" shrinkToFit="1"/>
    </xf>
    <xf numFmtId="0" fontId="6" fillId="0" borderId="84" xfId="2" applyFont="1" applyFill="1" applyBorder="1" applyAlignment="1" applyProtection="1">
      <alignment shrinkToFit="1"/>
    </xf>
    <xf numFmtId="201" fontId="6" fillId="0" borderId="84" xfId="2" applyNumberFormat="1" applyFont="1" applyFill="1" applyBorder="1" applyProtection="1"/>
    <xf numFmtId="231" fontId="6" fillId="0" borderId="84" xfId="2" applyNumberFormat="1" applyFont="1" applyFill="1" applyBorder="1" applyAlignment="1" applyProtection="1">
      <alignment horizontal="center" shrinkToFit="1"/>
    </xf>
    <xf numFmtId="0" fontId="6" fillId="0" borderId="84" xfId="2" applyFont="1" applyFill="1" applyBorder="1" applyAlignment="1" applyProtection="1">
      <alignment horizontal="left" shrinkToFit="1"/>
      <protection locked="0"/>
    </xf>
    <xf numFmtId="232" fontId="6" fillId="0" borderId="209" xfId="2" applyNumberFormat="1" applyFont="1" applyFill="1" applyBorder="1" applyAlignment="1" applyProtection="1">
      <alignment horizontal="right" shrinkToFit="1"/>
      <protection locked="0"/>
    </xf>
    <xf numFmtId="232" fontId="6" fillId="0" borderId="211" xfId="2" applyNumberFormat="1" applyFont="1" applyFill="1" applyBorder="1" applyAlignment="1" applyProtection="1">
      <alignment horizontal="right" shrinkToFit="1"/>
      <protection locked="0"/>
    </xf>
    <xf numFmtId="232" fontId="6" fillId="0" borderId="211" xfId="2" applyNumberFormat="1" applyFont="1" applyFill="1" applyBorder="1" applyAlignment="1" applyProtection="1">
      <alignment shrinkToFit="1"/>
      <protection locked="0"/>
    </xf>
    <xf numFmtId="194" fontId="6" fillId="0" borderId="314" xfId="12" applyNumberFormat="1" applyFont="1" applyFill="1" applyBorder="1" applyAlignment="1" applyProtection="1">
      <alignment shrinkToFit="1"/>
    </xf>
    <xf numFmtId="232" fontId="6" fillId="0" borderId="72" xfId="2" applyNumberFormat="1" applyFont="1" applyFill="1" applyBorder="1" applyAlignment="1" applyProtection="1">
      <alignment shrinkToFit="1"/>
      <protection locked="0"/>
    </xf>
    <xf numFmtId="194" fontId="6" fillId="0" borderId="212" xfId="12" applyNumberFormat="1" applyFont="1" applyFill="1" applyBorder="1" applyAlignment="1" applyProtection="1">
      <alignment shrinkToFit="1"/>
    </xf>
    <xf numFmtId="233" fontId="6" fillId="0" borderId="72" xfId="2" applyNumberFormat="1" applyFont="1" applyFill="1" applyBorder="1" applyAlignment="1" applyProtection="1">
      <alignment horizontal="right" shrinkToFit="1"/>
      <protection locked="0"/>
    </xf>
    <xf numFmtId="183" fontId="6" fillId="13" borderId="187" xfId="2" applyNumberFormat="1" applyFont="1" applyFill="1" applyBorder="1" applyAlignment="1" applyProtection="1">
      <alignment horizontal="center" wrapText="1" shrinkToFit="1"/>
      <protection locked="0"/>
    </xf>
    <xf numFmtId="183" fontId="6" fillId="13" borderId="214" xfId="2" applyNumberFormat="1" applyFont="1" applyFill="1" applyBorder="1" applyAlignment="1" applyProtection="1">
      <alignment horizontal="center" wrapText="1" shrinkToFit="1"/>
      <protection locked="0"/>
    </xf>
    <xf numFmtId="183" fontId="6" fillId="15" borderId="164" xfId="2" applyNumberFormat="1" applyFont="1" applyFill="1" applyBorder="1" applyAlignment="1" applyProtection="1">
      <alignment horizontal="center" wrapText="1" shrinkToFit="1"/>
      <protection locked="0"/>
    </xf>
    <xf numFmtId="183" fontId="6" fillId="15" borderId="214" xfId="2" applyNumberFormat="1" applyFont="1" applyFill="1" applyBorder="1" applyAlignment="1" applyProtection="1">
      <alignment horizontal="center" wrapText="1" shrinkToFit="1"/>
      <protection locked="0"/>
    </xf>
    <xf numFmtId="183" fontId="6" fillId="16" borderId="164" xfId="2" applyNumberFormat="1" applyFont="1" applyFill="1" applyBorder="1" applyAlignment="1" applyProtection="1">
      <alignment horizontal="center" wrapText="1" shrinkToFit="1"/>
      <protection locked="0"/>
    </xf>
    <xf numFmtId="183" fontId="6" fillId="16" borderId="214" xfId="2" applyNumberFormat="1" applyFont="1" applyFill="1" applyBorder="1" applyAlignment="1" applyProtection="1">
      <alignment horizontal="center" wrapText="1" shrinkToFit="1"/>
      <protection locked="0"/>
    </xf>
    <xf numFmtId="183" fontId="19" fillId="3" borderId="164" xfId="2" applyNumberFormat="1" applyFont="1" applyFill="1" applyBorder="1" applyAlignment="1" applyProtection="1">
      <alignment horizontal="center" wrapText="1" shrinkToFit="1"/>
      <protection locked="0"/>
    </xf>
    <xf numFmtId="183" fontId="19" fillId="3" borderId="214" xfId="2" applyNumberFormat="1" applyFont="1" applyFill="1" applyBorder="1" applyAlignment="1" applyProtection="1">
      <alignment horizontal="center" wrapText="1" shrinkToFit="1"/>
      <protection locked="0"/>
    </xf>
    <xf numFmtId="183" fontId="19" fillId="3" borderId="50" xfId="2" applyNumberFormat="1" applyFont="1" applyFill="1" applyBorder="1" applyAlignment="1" applyProtection="1">
      <alignment horizontal="center" wrapText="1" shrinkToFit="1"/>
      <protection locked="0"/>
    </xf>
    <xf numFmtId="203" fontId="6" fillId="0" borderId="141" xfId="2" applyNumberFormat="1" applyFont="1" applyFill="1" applyBorder="1" applyAlignment="1" applyProtection="1"/>
    <xf numFmtId="0" fontId="6" fillId="19" borderId="123" xfId="2" applyFont="1" applyFill="1" applyBorder="1" applyAlignment="1" applyProtection="1">
      <alignment horizontal="center" vertical="center" textRotation="255" wrapText="1"/>
    </xf>
    <xf numFmtId="0" fontId="6" fillId="0" borderId="0" xfId="2" applyFont="1" applyFill="1" applyBorder="1" applyAlignment="1" applyProtection="1">
      <alignment shrinkToFit="1"/>
      <protection locked="0"/>
    </xf>
    <xf numFmtId="0" fontId="6" fillId="0" borderId="0" xfId="2" applyFont="1" applyFill="1" applyBorder="1" applyAlignment="1" applyProtection="1">
      <alignment horizontal="left" shrinkToFit="1"/>
    </xf>
    <xf numFmtId="0" fontId="6" fillId="0" borderId="263" xfId="2" applyNumberFormat="1" applyFont="1" applyFill="1" applyBorder="1" applyAlignment="1" applyProtection="1">
      <alignment shrinkToFit="1"/>
      <protection locked="0"/>
    </xf>
    <xf numFmtId="194" fontId="6" fillId="0" borderId="315" xfId="12" applyNumberFormat="1" applyFont="1" applyFill="1" applyBorder="1" applyAlignment="1" applyProtection="1">
      <alignment shrinkToFit="1"/>
    </xf>
    <xf numFmtId="0" fontId="6" fillId="0" borderId="107" xfId="2" applyNumberFormat="1" applyFont="1" applyFill="1" applyBorder="1" applyAlignment="1" applyProtection="1">
      <alignment shrinkToFit="1"/>
      <protection locked="0"/>
    </xf>
    <xf numFmtId="194" fontId="6" fillId="0" borderId="50" xfId="12" applyNumberFormat="1" applyFont="1" applyFill="1" applyBorder="1" applyAlignment="1" applyProtection="1">
      <alignment shrinkToFit="1"/>
    </xf>
    <xf numFmtId="2" fontId="6" fillId="3" borderId="8" xfId="2" applyNumberFormat="1" applyFont="1" applyFill="1" applyBorder="1" applyAlignment="1" applyProtection="1">
      <alignment horizontal="center" vertical="center"/>
    </xf>
    <xf numFmtId="2" fontId="6" fillId="3" borderId="9" xfId="2" applyNumberFormat="1" applyFont="1" applyFill="1" applyBorder="1" applyAlignment="1" applyProtection="1">
      <alignment horizontal="center" vertical="center" wrapText="1"/>
    </xf>
    <xf numFmtId="2" fontId="6" fillId="3" borderId="9" xfId="2" applyNumberFormat="1" applyFont="1" applyFill="1" applyBorder="1" applyAlignment="1" applyProtection="1">
      <alignment horizontal="center" vertical="center"/>
    </xf>
    <xf numFmtId="2" fontId="6" fillId="3" borderId="6" xfId="2" applyNumberFormat="1" applyFont="1" applyFill="1" applyBorder="1" applyAlignment="1" applyProtection="1">
      <alignment horizontal="center" vertical="center" wrapText="1"/>
    </xf>
    <xf numFmtId="2" fontId="6" fillId="3" borderId="7" xfId="2" applyNumberFormat="1" applyFont="1" applyFill="1" applyBorder="1" applyAlignment="1" applyProtection="1">
      <alignment horizontal="center" vertical="center" wrapText="1"/>
    </xf>
    <xf numFmtId="0" fontId="19" fillId="0" borderId="0" xfId="2" applyFont="1" applyFill="1" applyBorder="1" applyAlignment="1" applyProtection="1">
      <alignment vertical="center"/>
    </xf>
    <xf numFmtId="3" fontId="6" fillId="0" borderId="141" xfId="12" applyNumberFormat="1" applyFont="1" applyFill="1" applyBorder="1" applyAlignment="1" applyProtection="1">
      <alignment horizontal="center" shrinkToFit="1"/>
    </xf>
    <xf numFmtId="0" fontId="19" fillId="0" borderId="316" xfId="2" applyFont="1" applyFill="1" applyBorder="1" applyAlignment="1" applyProtection="1">
      <alignment horizontal="left" indent="1"/>
    </xf>
    <xf numFmtId="0" fontId="19" fillId="0" borderId="317" xfId="2" applyFont="1" applyFill="1" applyBorder="1" applyProtection="1"/>
    <xf numFmtId="0" fontId="19" fillId="0" borderId="318" xfId="2" applyFont="1" applyFill="1" applyBorder="1" applyProtection="1"/>
    <xf numFmtId="0" fontId="19" fillId="0" borderId="318" xfId="2" applyFont="1" applyFill="1" applyBorder="1" applyAlignment="1" applyProtection="1"/>
    <xf numFmtId="0" fontId="19" fillId="0" borderId="319" xfId="2" applyFont="1" applyFill="1" applyBorder="1" applyAlignment="1" applyProtection="1">
      <alignment horizontal="right" shrinkToFit="1"/>
    </xf>
    <xf numFmtId="3" fontId="19" fillId="0" borderId="318" xfId="12" applyNumberFormat="1" applyFont="1" applyFill="1" applyBorder="1" applyAlignment="1" applyProtection="1">
      <alignment horizontal="right" shrinkToFit="1"/>
    </xf>
    <xf numFmtId="0" fontId="19" fillId="0" borderId="320" xfId="2" applyFont="1" applyFill="1" applyBorder="1" applyAlignment="1" applyProtection="1">
      <alignment horizontal="right" shrinkToFit="1"/>
    </xf>
    <xf numFmtId="0" fontId="19" fillId="0" borderId="320" xfId="2" applyFont="1" applyFill="1" applyBorder="1" applyAlignment="1" applyProtection="1">
      <alignment shrinkToFit="1"/>
    </xf>
    <xf numFmtId="3" fontId="19" fillId="0" borderId="321" xfId="12" applyNumberFormat="1" applyFont="1" applyFill="1" applyBorder="1" applyAlignment="1" applyProtection="1">
      <alignment shrinkToFit="1"/>
    </xf>
    <xf numFmtId="0" fontId="19" fillId="0" borderId="322" xfId="2" applyFont="1" applyFill="1" applyBorder="1" applyAlignment="1" applyProtection="1">
      <alignment shrinkToFit="1"/>
    </xf>
    <xf numFmtId="3" fontId="19" fillId="0" borderId="323" xfId="12" applyNumberFormat="1" applyFont="1" applyFill="1" applyBorder="1" applyAlignment="1" applyProtection="1">
      <alignment shrinkToFit="1"/>
    </xf>
    <xf numFmtId="183" fontId="19" fillId="0" borderId="319" xfId="2" applyNumberFormat="1" applyFont="1" applyFill="1" applyBorder="1" applyAlignment="1" applyProtection="1">
      <alignment horizontal="right" shrinkToFit="1"/>
    </xf>
    <xf numFmtId="0" fontId="19" fillId="0" borderId="322" xfId="2" applyFont="1" applyFill="1" applyBorder="1" applyAlignment="1" applyProtection="1">
      <alignment horizontal="right" shrinkToFit="1"/>
    </xf>
    <xf numFmtId="183" fontId="19" fillId="0" borderId="320" xfId="2" applyNumberFormat="1" applyFont="1" applyFill="1" applyBorder="1" applyAlignment="1" applyProtection="1">
      <alignment horizontal="right" shrinkToFit="1"/>
    </xf>
    <xf numFmtId="3" fontId="19" fillId="0" borderId="324" xfId="12" applyNumberFormat="1" applyFont="1" applyFill="1" applyBorder="1" applyAlignment="1" applyProtection="1">
      <alignment horizontal="right" shrinkToFit="1"/>
    </xf>
    <xf numFmtId="183" fontId="6" fillId="0" borderId="319" xfId="2" applyNumberFormat="1" applyFont="1" applyFill="1" applyBorder="1" applyAlignment="1" applyProtection="1">
      <alignment horizontal="center" wrapText="1" shrinkToFit="1"/>
      <protection locked="0"/>
    </xf>
    <xf numFmtId="3" fontId="6" fillId="0" borderId="325" xfId="2" applyNumberFormat="1" applyFont="1" applyFill="1" applyBorder="1" applyAlignment="1" applyProtection="1">
      <alignment wrapText="1" shrinkToFit="1"/>
      <protection locked="0"/>
    </xf>
    <xf numFmtId="183" fontId="6" fillId="0" borderId="320" xfId="2" applyNumberFormat="1" applyFont="1" applyFill="1" applyBorder="1" applyAlignment="1" applyProtection="1">
      <alignment horizontal="center" wrapText="1" shrinkToFit="1"/>
      <protection locked="0"/>
    </xf>
    <xf numFmtId="183" fontId="19" fillId="0" borderId="320" xfId="2" applyNumberFormat="1" applyFont="1" applyFill="1" applyBorder="1" applyAlignment="1" applyProtection="1">
      <alignment horizontal="center" shrinkToFit="1"/>
      <protection locked="0"/>
    </xf>
    <xf numFmtId="3" fontId="19" fillId="0" borderId="325" xfId="2" applyNumberFormat="1" applyFont="1" applyFill="1" applyBorder="1" applyAlignment="1" applyProtection="1">
      <alignment wrapText="1" shrinkToFit="1"/>
      <protection locked="0"/>
    </xf>
    <xf numFmtId="3" fontId="19" fillId="0" borderId="323" xfId="2" applyNumberFormat="1" applyFont="1" applyFill="1" applyBorder="1" applyAlignment="1" applyProtection="1">
      <alignment wrapText="1" shrinkToFit="1"/>
      <protection locked="0"/>
    </xf>
    <xf numFmtId="2" fontId="6" fillId="3" borderId="326" xfId="2" applyNumberFormat="1" applyFont="1" applyFill="1" applyBorder="1" applyAlignment="1" applyProtection="1">
      <alignment horizontal="center" vertical="center"/>
    </xf>
    <xf numFmtId="2" fontId="6" fillId="3" borderId="54" xfId="2" applyNumberFormat="1" applyFont="1" applyFill="1" applyBorder="1" applyAlignment="1" applyProtection="1">
      <alignment horizontal="center" vertical="center"/>
    </xf>
    <xf numFmtId="2" fontId="6" fillId="3" borderId="15" xfId="2" applyNumberFormat="1" applyFont="1" applyFill="1" applyBorder="1" applyAlignment="1" applyProtection="1">
      <alignment horizontal="center" vertical="center" wrapText="1"/>
    </xf>
    <xf numFmtId="2" fontId="6" fillId="3" borderId="16" xfId="2" applyNumberFormat="1" applyFont="1" applyFill="1" applyBorder="1" applyAlignment="1" applyProtection="1">
      <alignment horizontal="center" vertical="center" wrapText="1"/>
    </xf>
    <xf numFmtId="1" fontId="19" fillId="0" borderId="0" xfId="2" applyNumberFormat="1" applyFont="1" applyFill="1" applyBorder="1" applyAlignment="1" applyProtection="1">
      <alignment vertical="center"/>
    </xf>
    <xf numFmtId="0" fontId="19" fillId="2" borderId="327" xfId="2" applyFont="1" applyFill="1" applyBorder="1" applyAlignment="1" applyProtection="1">
      <alignment horizontal="left" indent="1"/>
    </xf>
    <xf numFmtId="0" fontId="19" fillId="2" borderId="328" xfId="2" applyFont="1" applyFill="1" applyBorder="1" applyProtection="1"/>
    <xf numFmtId="0" fontId="19" fillId="2" borderId="329" xfId="2" applyFont="1" applyFill="1" applyBorder="1" applyProtection="1"/>
    <xf numFmtId="0" fontId="19" fillId="2" borderId="329" xfId="2" applyFont="1" applyFill="1" applyBorder="1" applyAlignment="1" applyProtection="1"/>
    <xf numFmtId="0" fontId="19" fillId="2" borderId="329" xfId="2" applyFont="1" applyFill="1" applyBorder="1" applyAlignment="1" applyProtection="1">
      <alignment horizontal="right"/>
    </xf>
    <xf numFmtId="1" fontId="19" fillId="2" borderId="330" xfId="2" applyNumberFormat="1" applyFont="1" applyFill="1" applyBorder="1" applyAlignment="1" applyProtection="1">
      <alignment horizontal="right" shrinkToFit="1"/>
    </xf>
    <xf numFmtId="3" fontId="19" fillId="2" borderId="329" xfId="12" applyNumberFormat="1" applyFont="1" applyFill="1" applyBorder="1" applyAlignment="1" applyProtection="1">
      <alignment horizontal="right" shrinkToFit="1"/>
    </xf>
    <xf numFmtId="1" fontId="19" fillId="2" borderId="331" xfId="2" applyNumberFormat="1" applyFont="1" applyFill="1" applyBorder="1" applyAlignment="1" applyProtection="1">
      <alignment horizontal="right" shrinkToFit="1"/>
    </xf>
    <xf numFmtId="1" fontId="19" fillId="2" borderId="331" xfId="2" applyNumberFormat="1" applyFont="1" applyFill="1" applyBorder="1" applyAlignment="1" applyProtection="1">
      <alignment shrinkToFit="1"/>
    </xf>
    <xf numFmtId="3" fontId="19" fillId="2" borderId="332" xfId="12" applyNumberFormat="1" applyFont="1" applyFill="1" applyBorder="1" applyAlignment="1" applyProtection="1">
      <alignment shrinkToFit="1"/>
    </xf>
    <xf numFmtId="1" fontId="19" fillId="2" borderId="333" xfId="2" applyNumberFormat="1" applyFont="1" applyFill="1" applyBorder="1" applyAlignment="1" applyProtection="1">
      <alignment shrinkToFit="1"/>
    </xf>
    <xf numFmtId="3" fontId="19" fillId="2" borderId="334" xfId="12" applyNumberFormat="1" applyFont="1" applyFill="1" applyBorder="1" applyAlignment="1" applyProtection="1">
      <alignment shrinkToFit="1"/>
    </xf>
    <xf numFmtId="183" fontId="19" fillId="2" borderId="330" xfId="2" applyNumberFormat="1" applyFont="1" applyFill="1" applyBorder="1" applyAlignment="1" applyProtection="1">
      <alignment horizontal="right" shrinkToFit="1"/>
    </xf>
    <xf numFmtId="1" fontId="19" fillId="2" borderId="333" xfId="2" applyNumberFormat="1" applyFont="1" applyFill="1" applyBorder="1" applyAlignment="1" applyProtection="1">
      <alignment horizontal="right" shrinkToFit="1"/>
    </xf>
    <xf numFmtId="183" fontId="19" fillId="2" borderId="289" xfId="2" applyNumberFormat="1" applyFont="1" applyFill="1" applyBorder="1" applyAlignment="1" applyProtection="1">
      <alignment horizontal="right" shrinkToFit="1"/>
    </xf>
    <xf numFmtId="3" fontId="19" fillId="2" borderId="335" xfId="12" applyNumberFormat="1" applyFont="1" applyFill="1" applyBorder="1" applyAlignment="1" applyProtection="1">
      <alignment horizontal="right" shrinkToFit="1"/>
    </xf>
    <xf numFmtId="183" fontId="19" fillId="2" borderId="333" xfId="2" applyNumberFormat="1" applyFont="1" applyFill="1" applyBorder="1" applyAlignment="1" applyProtection="1">
      <alignment horizontal="right" shrinkToFit="1"/>
    </xf>
    <xf numFmtId="3" fontId="19" fillId="2" borderId="329" xfId="12" applyNumberFormat="1" applyFont="1" applyFill="1" applyBorder="1" applyAlignment="1" applyProtection="1">
      <alignment wrapText="1" shrinkToFit="1"/>
    </xf>
    <xf numFmtId="183" fontId="19" fillId="2" borderId="331" xfId="2" applyNumberFormat="1" applyFont="1" applyFill="1" applyBorder="1" applyAlignment="1" applyProtection="1">
      <alignment horizontal="right" shrinkToFit="1"/>
    </xf>
    <xf numFmtId="183" fontId="19" fillId="2" borderId="331" xfId="2" applyNumberFormat="1" applyFont="1" applyFill="1" applyBorder="1" applyAlignment="1" applyProtection="1">
      <alignment horizontal="center" shrinkToFit="1"/>
    </xf>
    <xf numFmtId="3" fontId="19" fillId="2" borderId="334" xfId="12" applyNumberFormat="1" applyFont="1" applyFill="1" applyBorder="1" applyAlignment="1" applyProtection="1">
      <alignment wrapText="1" shrinkToFit="1"/>
    </xf>
    <xf numFmtId="203" fontId="6" fillId="0" borderId="11" xfId="2" applyNumberFormat="1" applyFont="1" applyFill="1" applyBorder="1" applyAlignment="1" applyProtection="1">
      <alignment vertical="center"/>
    </xf>
    <xf numFmtId="0" fontId="6" fillId="0" borderId="12" xfId="2" applyNumberFormat="1" applyFont="1" applyFill="1" applyBorder="1" applyAlignment="1" applyProtection="1">
      <alignment vertical="center"/>
      <protection locked="0"/>
    </xf>
    <xf numFmtId="234" fontId="6" fillId="0" borderId="12" xfId="12" applyNumberFormat="1" applyFont="1" applyFill="1" applyBorder="1" applyAlignment="1" applyProtection="1">
      <alignment vertical="center"/>
    </xf>
    <xf numFmtId="226" fontId="6" fillId="0" borderId="12" xfId="12" applyNumberFormat="1" applyFont="1" applyFill="1" applyBorder="1" applyAlignment="1" applyProtection="1">
      <alignment vertical="center"/>
    </xf>
    <xf numFmtId="226" fontId="6" fillId="0" borderId="13" xfId="2" applyNumberFormat="1" applyFont="1" applyFill="1" applyBorder="1" applyAlignment="1" applyProtection="1">
      <alignment vertical="center"/>
    </xf>
    <xf numFmtId="0" fontId="6" fillId="2" borderId="336" xfId="2" applyFont="1" applyFill="1" applyBorder="1" applyAlignment="1" applyProtection="1">
      <alignment horizontal="left" indent="1"/>
    </xf>
    <xf numFmtId="0" fontId="6" fillId="2" borderId="337" xfId="2" applyFont="1" applyFill="1" applyBorder="1" applyProtection="1"/>
    <xf numFmtId="0" fontId="6" fillId="2" borderId="190" xfId="2" applyFont="1" applyFill="1" applyBorder="1" applyProtection="1"/>
    <xf numFmtId="0" fontId="6" fillId="2" borderId="190" xfId="2" applyFont="1" applyFill="1" applyBorder="1" applyAlignment="1" applyProtection="1">
      <alignment horizontal="right"/>
    </xf>
    <xf numFmtId="0" fontId="6" fillId="2" borderId="190" xfId="2" applyFont="1" applyFill="1" applyBorder="1" applyAlignment="1" applyProtection="1"/>
    <xf numFmtId="38" fontId="6" fillId="2" borderId="190" xfId="12" applyFont="1" applyFill="1" applyBorder="1" applyAlignment="1" applyProtection="1">
      <alignment horizontal="centerContinuous"/>
    </xf>
    <xf numFmtId="3" fontId="6" fillId="2" borderId="338" xfId="2" applyNumberFormat="1" applyFont="1" applyFill="1" applyBorder="1" applyAlignment="1" applyProtection="1">
      <alignment horizontal="right" shrinkToFit="1"/>
    </xf>
    <xf numFmtId="208" fontId="6" fillId="2" borderId="339" xfId="2" applyNumberFormat="1" applyFont="1" applyFill="1" applyBorder="1" applyAlignment="1" applyProtection="1">
      <alignment horizontal="right" shrinkToFit="1"/>
    </xf>
    <xf numFmtId="0" fontId="6" fillId="2" borderId="169" xfId="2" applyFont="1" applyFill="1" applyBorder="1" applyAlignment="1" applyProtection="1">
      <alignment horizontal="right" shrinkToFit="1"/>
    </xf>
    <xf numFmtId="208" fontId="6" fillId="2" borderId="340" xfId="2" applyNumberFormat="1" applyFont="1" applyFill="1" applyBorder="1" applyAlignment="1" applyProtection="1">
      <alignment horizontal="right" shrinkToFit="1"/>
    </xf>
    <xf numFmtId="183" fontId="6" fillId="2" borderId="338" xfId="2" applyNumberFormat="1" applyFont="1" applyFill="1" applyBorder="1" applyAlignment="1" applyProtection="1">
      <alignment horizontal="right" shrinkToFit="1"/>
    </xf>
    <xf numFmtId="183" fontId="6" fillId="2" borderId="169" xfId="2" applyNumberFormat="1" applyFont="1" applyFill="1" applyBorder="1" applyAlignment="1" applyProtection="1">
      <alignment horizontal="right" shrinkToFit="1"/>
    </xf>
    <xf numFmtId="208" fontId="6" fillId="2" borderId="341" xfId="2" applyNumberFormat="1" applyFont="1" applyFill="1" applyBorder="1" applyAlignment="1" applyProtection="1">
      <alignment horizontal="right" shrinkToFit="1"/>
    </xf>
    <xf numFmtId="3" fontId="19" fillId="0" borderId="0" xfId="12" applyNumberFormat="1" applyFont="1" applyFill="1" applyBorder="1" applyAlignment="1" applyProtection="1">
      <alignment vertical="center"/>
    </xf>
    <xf numFmtId="203" fontId="19" fillId="0" borderId="0" xfId="2" applyNumberFormat="1" applyFont="1" applyFill="1" applyBorder="1" applyAlignment="1" applyProtection="1">
      <alignment vertical="center"/>
      <protection locked="0"/>
    </xf>
    <xf numFmtId="208" fontId="19" fillId="0" borderId="0" xfId="2" applyNumberFormat="1" applyFont="1" applyFill="1" applyBorder="1" applyAlignment="1" applyProtection="1">
      <alignment vertical="center"/>
      <protection locked="0"/>
    </xf>
    <xf numFmtId="0" fontId="19" fillId="0" borderId="0" xfId="2" applyNumberFormat="1" applyFont="1" applyFill="1" applyBorder="1" applyAlignment="1" applyProtection="1">
      <alignment vertical="center"/>
      <protection locked="0"/>
    </xf>
    <xf numFmtId="0" fontId="6" fillId="0" borderId="0" xfId="2" applyFont="1" applyFill="1" applyAlignment="1" applyProtection="1">
      <alignment horizontal="right"/>
      <protection locked="0"/>
    </xf>
    <xf numFmtId="0" fontId="6" fillId="0" borderId="50" xfId="2" applyFont="1" applyFill="1" applyBorder="1" applyProtection="1">
      <protection locked="0"/>
    </xf>
    <xf numFmtId="203" fontId="6" fillId="0" borderId="11" xfId="2" applyNumberFormat="1" applyFont="1" applyFill="1" applyBorder="1" applyAlignment="1" applyProtection="1">
      <alignment vertical="center"/>
      <protection locked="0"/>
    </xf>
    <xf numFmtId="0" fontId="6" fillId="0" borderId="12" xfId="2" applyFont="1" applyFill="1" applyBorder="1" applyAlignment="1" applyProtection="1">
      <alignment vertical="center"/>
      <protection locked="0"/>
    </xf>
    <xf numFmtId="2" fontId="19" fillId="0" borderId="0" xfId="2" applyNumberFormat="1" applyFont="1" applyFill="1" applyBorder="1" applyAlignment="1" applyProtection="1">
      <alignment vertical="center" shrinkToFit="1"/>
    </xf>
    <xf numFmtId="194" fontId="19" fillId="0" borderId="0" xfId="12" applyNumberFormat="1" applyFont="1" applyFill="1" applyBorder="1" applyAlignment="1" applyProtection="1">
      <alignment vertical="center"/>
    </xf>
    <xf numFmtId="0" fontId="6" fillId="3" borderId="79" xfId="2" applyFont="1" applyFill="1" applyBorder="1" applyAlignment="1" applyProtection="1">
      <alignment horizontal="left" vertical="center" wrapText="1" indent="1"/>
      <protection locked="0"/>
    </xf>
    <xf numFmtId="0" fontId="6" fillId="3" borderId="80" xfId="2" applyFont="1" applyFill="1" applyBorder="1" applyAlignment="1" applyProtection="1">
      <alignment horizontal="left" vertical="center" indent="1"/>
      <protection locked="0"/>
    </xf>
    <xf numFmtId="0" fontId="6" fillId="3" borderId="80" xfId="2" applyFont="1" applyFill="1" applyBorder="1" applyAlignment="1" applyProtection="1">
      <alignment vertical="center"/>
      <protection locked="0"/>
    </xf>
    <xf numFmtId="0" fontId="6" fillId="3" borderId="342" xfId="2" applyFont="1" applyFill="1" applyBorder="1" applyAlignment="1" applyProtection="1">
      <alignment vertical="center"/>
      <protection locked="0"/>
    </xf>
    <xf numFmtId="183" fontId="6" fillId="3" borderId="343" xfId="2" applyNumberFormat="1" applyFont="1" applyFill="1" applyBorder="1" applyAlignment="1" applyProtection="1">
      <alignment horizontal="centerContinuous"/>
      <protection locked="0"/>
    </xf>
    <xf numFmtId="203" fontId="6" fillId="3" borderId="344" xfId="2" applyNumberFormat="1" applyFont="1" applyFill="1" applyBorder="1" applyAlignment="1" applyProtection="1">
      <alignment horizontal="centerContinuous"/>
    </xf>
    <xf numFmtId="183" fontId="6" fillId="3" borderId="345" xfId="2" applyNumberFormat="1" applyFont="1" applyFill="1" applyBorder="1" applyAlignment="1" applyProtection="1">
      <alignment horizontal="centerContinuous"/>
      <protection locked="0"/>
    </xf>
    <xf numFmtId="203" fontId="6" fillId="3" borderId="346" xfId="2" applyNumberFormat="1" applyFont="1" applyFill="1" applyBorder="1" applyAlignment="1" applyProtection="1">
      <alignment horizontal="centerContinuous"/>
    </xf>
    <xf numFmtId="203" fontId="6" fillId="17" borderId="347" xfId="2" applyNumberFormat="1" applyFont="1" applyFill="1" applyBorder="1" applyAlignment="1" applyProtection="1">
      <alignment horizontal="centerContinuous"/>
      <protection locked="0"/>
    </xf>
    <xf numFmtId="203" fontId="6" fillId="17" borderId="22" xfId="2" applyNumberFormat="1" applyFont="1" applyFill="1" applyBorder="1" applyAlignment="1" applyProtection="1">
      <alignment horizontal="centerContinuous"/>
      <protection locked="0"/>
    </xf>
    <xf numFmtId="203" fontId="6" fillId="17" borderId="348" xfId="2" applyNumberFormat="1" applyFont="1" applyFill="1" applyBorder="1" applyAlignment="1" applyProtection="1">
      <alignment horizontal="centerContinuous"/>
      <protection locked="0"/>
    </xf>
    <xf numFmtId="203" fontId="6" fillId="18" borderId="349" xfId="2" applyNumberFormat="1" applyFont="1" applyFill="1" applyBorder="1" applyAlignment="1" applyProtection="1">
      <alignment horizontal="centerContinuous"/>
      <protection locked="0"/>
    </xf>
    <xf numFmtId="203" fontId="6" fillId="18" borderId="22" xfId="2" applyNumberFormat="1" applyFont="1" applyFill="1" applyBorder="1" applyAlignment="1" applyProtection="1">
      <alignment horizontal="centerContinuous"/>
      <protection locked="0"/>
    </xf>
    <xf numFmtId="203" fontId="6" fillId="18" borderId="350" xfId="2" applyNumberFormat="1" applyFont="1" applyFill="1" applyBorder="1" applyAlignment="1" applyProtection="1">
      <alignment horizontal="centerContinuous"/>
      <protection locked="0"/>
    </xf>
    <xf numFmtId="203" fontId="6" fillId="13" borderId="344" xfId="2" applyNumberFormat="1" applyFont="1" applyFill="1" applyBorder="1" applyAlignment="1" applyProtection="1">
      <alignment horizontal="centerContinuous"/>
      <protection locked="0"/>
    </xf>
    <xf numFmtId="203" fontId="6" fillId="13" borderId="344" xfId="2" applyNumberFormat="1" applyFont="1" applyFill="1" applyBorder="1" applyAlignment="1" applyProtection="1">
      <alignment horizontal="centerContinuous"/>
    </xf>
    <xf numFmtId="203" fontId="6" fillId="15" borderId="345" xfId="2" applyNumberFormat="1" applyFont="1" applyFill="1" applyBorder="1" applyAlignment="1" applyProtection="1">
      <alignment horizontal="centerContinuous"/>
      <protection locked="0"/>
    </xf>
    <xf numFmtId="203" fontId="6" fillId="15" borderId="344" xfId="2" applyNumberFormat="1" applyFont="1" applyFill="1" applyBorder="1" applyAlignment="1" applyProtection="1">
      <alignment horizontal="centerContinuous"/>
    </xf>
    <xf numFmtId="203" fontId="6" fillId="16" borderId="345" xfId="2" applyNumberFormat="1" applyFont="1" applyFill="1" applyBorder="1" applyAlignment="1" applyProtection="1">
      <alignment horizontal="centerContinuous"/>
      <protection locked="0"/>
    </xf>
    <xf numFmtId="203" fontId="6" fillId="16" borderId="344" xfId="2" applyNumberFormat="1" applyFont="1" applyFill="1" applyBorder="1" applyAlignment="1" applyProtection="1">
      <alignment horizontal="centerContinuous"/>
    </xf>
    <xf numFmtId="203" fontId="6" fillId="3" borderId="345" xfId="2" applyNumberFormat="1" applyFont="1" applyFill="1" applyBorder="1" applyAlignment="1" applyProtection="1">
      <alignment horizontal="centerContinuous"/>
      <protection locked="0"/>
    </xf>
    <xf numFmtId="0" fontId="6" fillId="3" borderId="102" xfId="2" applyFont="1" applyFill="1" applyBorder="1" applyAlignment="1" applyProtection="1">
      <alignment horizontal="left" vertical="center" indent="1"/>
      <protection locked="0"/>
    </xf>
    <xf numFmtId="0" fontId="6" fillId="3" borderId="0" xfId="2" applyFont="1" applyFill="1" applyBorder="1" applyAlignment="1" applyProtection="1">
      <alignment horizontal="left" vertical="center" indent="1"/>
      <protection locked="0"/>
    </xf>
    <xf numFmtId="0" fontId="6" fillId="3" borderId="0" xfId="2" applyFont="1" applyFill="1" applyBorder="1" applyAlignment="1" applyProtection="1">
      <alignment vertical="center"/>
      <protection locked="0"/>
    </xf>
    <xf numFmtId="0" fontId="6" fillId="3" borderId="265" xfId="2" applyFont="1" applyFill="1" applyBorder="1" applyAlignment="1" applyProtection="1">
      <alignment vertical="center"/>
      <protection locked="0"/>
    </xf>
    <xf numFmtId="177" fontId="6" fillId="3" borderId="262" xfId="2" applyNumberFormat="1" applyFont="1" applyFill="1" applyBorder="1" applyAlignment="1" applyProtection="1">
      <alignment horizontal="center" vertical="center" shrinkToFit="1"/>
    </xf>
    <xf numFmtId="3" fontId="6" fillId="3" borderId="214" xfId="12" applyNumberFormat="1" applyFont="1" applyFill="1" applyBorder="1" applyAlignment="1" applyProtection="1">
      <alignment horizontal="center" vertical="center" shrinkToFit="1"/>
    </xf>
    <xf numFmtId="177" fontId="6" fillId="3" borderId="351" xfId="2" applyNumberFormat="1" applyFont="1" applyFill="1" applyBorder="1" applyAlignment="1" applyProtection="1">
      <alignment horizontal="center" vertical="center" shrinkToFit="1"/>
    </xf>
    <xf numFmtId="177" fontId="6" fillId="3" borderId="107" xfId="2" applyNumberFormat="1" applyFont="1" applyFill="1" applyBorder="1" applyAlignment="1" applyProtection="1">
      <alignment horizontal="center" vertical="center" shrinkToFit="1"/>
    </xf>
    <xf numFmtId="3" fontId="6" fillId="3" borderId="50" xfId="12" applyNumberFormat="1" applyFont="1" applyFill="1" applyBorder="1" applyAlignment="1" applyProtection="1">
      <alignment horizontal="center" vertical="center" shrinkToFit="1"/>
    </xf>
    <xf numFmtId="183" fontId="6" fillId="3" borderId="262" xfId="2" applyNumberFormat="1" applyFont="1" applyFill="1" applyBorder="1" applyAlignment="1" applyProtection="1">
      <alignment horizontal="center" vertical="center" shrinkToFit="1"/>
    </xf>
    <xf numFmtId="183" fontId="6" fillId="3" borderId="351" xfId="2" applyNumberFormat="1" applyFont="1" applyFill="1" applyBorder="1" applyAlignment="1" applyProtection="1">
      <alignment horizontal="center" vertical="center" shrinkToFit="1"/>
    </xf>
    <xf numFmtId="3" fontId="6" fillId="3" borderId="265" xfId="12" applyNumberFormat="1" applyFont="1" applyFill="1" applyBorder="1" applyAlignment="1" applyProtection="1">
      <alignment horizontal="center" vertical="center" shrinkToFit="1"/>
    </xf>
    <xf numFmtId="183" fontId="6" fillId="3" borderId="107" xfId="2" applyNumberFormat="1" applyFont="1" applyFill="1" applyBorder="1" applyAlignment="1" applyProtection="1">
      <alignment horizontal="center" vertical="center" shrinkToFit="1"/>
    </xf>
    <xf numFmtId="213" fontId="6" fillId="0" borderId="0" xfId="12" applyNumberFormat="1" applyFont="1" applyFill="1" applyBorder="1" applyAlignment="1" applyProtection="1">
      <alignment vertical="center"/>
    </xf>
    <xf numFmtId="0" fontId="6" fillId="0" borderId="81" xfId="2" applyFont="1" applyFill="1" applyBorder="1" applyAlignment="1" applyProtection="1">
      <alignment horizontal="left" indent="2"/>
    </xf>
    <xf numFmtId="0" fontId="6" fillId="0" borderId="82" xfId="2" applyFont="1" applyFill="1" applyBorder="1" applyAlignment="1" applyProtection="1"/>
    <xf numFmtId="235" fontId="6" fillId="0" borderId="82" xfId="2" applyNumberFormat="1" applyFont="1" applyFill="1" applyBorder="1" applyAlignment="1" applyProtection="1">
      <alignment horizontal="center" shrinkToFit="1"/>
    </xf>
    <xf numFmtId="0" fontId="6" fillId="0" borderId="273" xfId="2" applyFont="1" applyFill="1" applyBorder="1" applyAlignment="1" applyProtection="1">
      <alignment shrinkToFit="1"/>
    </xf>
    <xf numFmtId="208" fontId="6" fillId="0" borderId="352" xfId="2" applyNumberFormat="1" applyFont="1" applyFill="1" applyBorder="1" applyAlignment="1" applyProtection="1">
      <alignment horizontal="right" shrinkToFit="1"/>
    </xf>
    <xf numFmtId="194" fontId="6" fillId="0" borderId="353" xfId="12" applyNumberFormat="1" applyFont="1" applyFill="1" applyBorder="1" applyAlignment="1" applyProtection="1">
      <alignment horizontal="right" shrinkToFit="1"/>
    </xf>
    <xf numFmtId="208" fontId="6" fillId="0" borderId="354" xfId="2" applyNumberFormat="1" applyFont="1" applyFill="1" applyBorder="1" applyAlignment="1" applyProtection="1">
      <alignment horizontal="right" shrinkToFit="1"/>
    </xf>
    <xf numFmtId="183" fontId="6" fillId="0" borderId="352" xfId="2" applyNumberFormat="1" applyFont="1" applyFill="1" applyBorder="1" applyAlignment="1" applyProtection="1">
      <alignment horizontal="right" shrinkToFit="1"/>
    </xf>
    <xf numFmtId="208" fontId="6" fillId="0" borderId="68" xfId="2" applyNumberFormat="1" applyFont="1" applyFill="1" applyBorder="1" applyAlignment="1" applyProtection="1">
      <alignment horizontal="right" shrinkToFit="1"/>
    </xf>
    <xf numFmtId="183" fontId="6" fillId="0" borderId="354" xfId="2" applyNumberFormat="1" applyFont="1" applyFill="1" applyBorder="1" applyAlignment="1" applyProtection="1">
      <alignment horizontal="right" shrinkToFit="1"/>
    </xf>
    <xf numFmtId="194" fontId="6" fillId="0" borderId="273" xfId="12" applyNumberFormat="1" applyFont="1" applyFill="1" applyBorder="1" applyAlignment="1" applyProtection="1">
      <alignment horizontal="right" shrinkToFit="1"/>
    </xf>
    <xf numFmtId="183" fontId="6" fillId="0" borderId="352" xfId="2" applyNumberFormat="1" applyFont="1" applyFill="1" applyBorder="1" applyAlignment="1" applyProtection="1">
      <alignment horizontal="center" shrinkToFit="1"/>
    </xf>
    <xf numFmtId="3" fontId="6" fillId="0" borderId="355" xfId="2" applyNumberFormat="1" applyFont="1" applyFill="1" applyBorder="1" applyAlignment="1" applyProtection="1">
      <alignment shrinkToFit="1"/>
    </xf>
    <xf numFmtId="183" fontId="6" fillId="0" borderId="354" xfId="2" applyNumberFormat="1" applyFont="1" applyFill="1" applyBorder="1" applyAlignment="1" applyProtection="1">
      <alignment horizontal="center" shrinkToFit="1"/>
    </xf>
    <xf numFmtId="3" fontId="6" fillId="0" borderId="70" xfId="2" applyNumberFormat="1" applyFont="1" applyFill="1" applyBorder="1" applyAlignment="1" applyProtection="1">
      <alignment shrinkToFit="1"/>
    </xf>
    <xf numFmtId="1" fontId="6" fillId="0" borderId="0" xfId="2" applyNumberFormat="1" applyFont="1" applyFill="1" applyBorder="1" applyAlignment="1" applyProtection="1">
      <alignment vertical="center"/>
    </xf>
    <xf numFmtId="205" fontId="6" fillId="0" borderId="80" xfId="2" applyNumberFormat="1" applyFont="1" applyFill="1" applyBorder="1" applyAlignment="1" applyProtection="1">
      <alignment horizontal="center" shrinkToFit="1"/>
    </xf>
    <xf numFmtId="0" fontId="6" fillId="0" borderId="356" xfId="2" applyFont="1" applyFill="1" applyBorder="1" applyAlignment="1" applyProtection="1">
      <alignment horizontal="left" indent="2"/>
    </xf>
    <xf numFmtId="0" fontId="6" fillId="0" borderId="84" xfId="2" applyFont="1" applyFill="1" applyBorder="1" applyAlignment="1" applyProtection="1"/>
    <xf numFmtId="0" fontId="6" fillId="0" borderId="84" xfId="2" applyNumberFormat="1" applyFont="1" applyFill="1" applyBorder="1" applyAlignment="1" applyProtection="1"/>
    <xf numFmtId="236" fontId="6" fillId="0" borderId="84" xfId="2" applyNumberFormat="1" applyFont="1" applyFill="1" applyBorder="1" applyAlignment="1" applyProtection="1">
      <alignment horizontal="center" shrinkToFit="1"/>
    </xf>
    <xf numFmtId="232" fontId="6" fillId="0" borderId="209" xfId="2" applyNumberFormat="1" applyFont="1" applyFill="1" applyBorder="1" applyAlignment="1" applyProtection="1">
      <alignment horizontal="right" shrinkToFit="1"/>
    </xf>
    <xf numFmtId="232" fontId="6" fillId="0" borderId="211" xfId="2" applyNumberFormat="1" applyFont="1" applyFill="1" applyBorder="1" applyAlignment="1" applyProtection="1">
      <alignment horizontal="right" shrinkToFit="1"/>
    </xf>
    <xf numFmtId="233" fontId="6" fillId="0" borderId="225" xfId="2" applyNumberFormat="1" applyFont="1" applyFill="1" applyBorder="1" applyAlignment="1" applyProtection="1">
      <alignment horizontal="right" shrinkToFit="1"/>
    </xf>
    <xf numFmtId="3" fontId="6" fillId="0" borderId="224" xfId="12" applyNumberFormat="1" applyFont="1" applyFill="1" applyBorder="1" applyAlignment="1" applyProtection="1">
      <alignment horizontal="right" shrinkToFit="1"/>
    </xf>
    <xf numFmtId="183" fontId="6" fillId="0" borderId="226" xfId="2" applyNumberFormat="1" applyFont="1" applyFill="1" applyBorder="1" applyAlignment="1" applyProtection="1">
      <alignment horizontal="right" shrinkToFit="1"/>
    </xf>
    <xf numFmtId="3" fontId="6" fillId="0" borderId="228" xfId="12" applyNumberFormat="1" applyFont="1" applyFill="1" applyBorder="1" applyAlignment="1" applyProtection="1">
      <alignment horizontal="right" shrinkToFit="1"/>
    </xf>
    <xf numFmtId="183" fontId="6" fillId="0" borderId="209" xfId="2" applyNumberFormat="1" applyFont="1" applyFill="1" applyBorder="1" applyAlignment="1" applyProtection="1">
      <alignment horizontal="center" shrinkToFit="1"/>
    </xf>
    <xf numFmtId="3" fontId="6" fillId="0" borderId="314" xfId="2" applyNumberFormat="1" applyFont="1" applyFill="1" applyBorder="1" applyAlignment="1" applyProtection="1">
      <alignment shrinkToFit="1"/>
    </xf>
    <xf numFmtId="183" fontId="6" fillId="0" borderId="211" xfId="2" applyNumberFormat="1" applyFont="1" applyFill="1" applyBorder="1" applyAlignment="1" applyProtection="1">
      <alignment horizontal="center" shrinkToFit="1"/>
    </xf>
    <xf numFmtId="3" fontId="6" fillId="0" borderId="74" xfId="2" applyNumberFormat="1" applyFont="1" applyFill="1" applyBorder="1" applyAlignment="1" applyProtection="1">
      <alignment shrinkToFit="1"/>
    </xf>
    <xf numFmtId="205" fontId="6" fillId="0" borderId="0" xfId="2" applyNumberFormat="1" applyFont="1" applyFill="1" applyBorder="1" applyAlignment="1" applyProtection="1">
      <alignment vertical="center" shrinkToFit="1"/>
    </xf>
    <xf numFmtId="0" fontId="6" fillId="0" borderId="165" xfId="2" applyFont="1" applyFill="1" applyBorder="1" applyProtection="1">
      <protection locked="0"/>
    </xf>
    <xf numFmtId="0" fontId="6" fillId="0" borderId="84" xfId="2" applyNumberFormat="1" applyFont="1" applyFill="1" applyBorder="1" applyAlignment="1" applyProtection="1">
      <alignment horizontal="left"/>
    </xf>
    <xf numFmtId="176" fontId="6" fillId="0" borderId="213" xfId="2" applyNumberFormat="1" applyFont="1" applyFill="1" applyBorder="1" applyAlignment="1" applyProtection="1">
      <alignment horizontal="left"/>
    </xf>
    <xf numFmtId="0" fontId="6" fillId="0" borderId="84" xfId="2" applyFont="1" applyFill="1" applyBorder="1" applyProtection="1"/>
    <xf numFmtId="235" fontId="6" fillId="0" borderId="84" xfId="2" applyNumberFormat="1" applyFont="1" applyFill="1" applyBorder="1" applyAlignment="1" applyProtection="1">
      <alignment horizontal="center" shrinkToFit="1"/>
    </xf>
    <xf numFmtId="1" fontId="6" fillId="0" borderId="0" xfId="2" applyNumberFormat="1" applyFont="1" applyFill="1" applyBorder="1" applyAlignment="1" applyProtection="1">
      <alignment vertical="center" shrinkToFit="1"/>
    </xf>
    <xf numFmtId="194" fontId="6" fillId="0" borderId="165" xfId="12" applyNumberFormat="1" applyFont="1" applyFill="1" applyBorder="1" applyAlignment="1" applyProtection="1">
      <alignment horizontal="right" shrinkToFit="1"/>
    </xf>
    <xf numFmtId="0" fontId="6" fillId="0" borderId="103" xfId="2" applyFont="1" applyFill="1" applyBorder="1" applyAlignment="1" applyProtection="1">
      <alignment horizontal="left" indent="2"/>
    </xf>
    <xf numFmtId="0" fontId="6" fillId="0" borderId="45" xfId="2" applyFont="1" applyFill="1" applyBorder="1" applyAlignment="1" applyProtection="1"/>
    <xf numFmtId="0" fontId="6" fillId="0" borderId="186" xfId="2" applyFont="1" applyFill="1" applyBorder="1" applyAlignment="1" applyProtection="1"/>
    <xf numFmtId="205" fontId="6" fillId="0" borderId="357" xfId="2" applyNumberFormat="1" applyFont="1" applyFill="1" applyBorder="1" applyAlignment="1" applyProtection="1">
      <alignment horizontal="right" shrinkToFit="1"/>
    </xf>
    <xf numFmtId="194" fontId="6" fillId="0" borderId="167" xfId="12" applyNumberFormat="1" applyFont="1" applyFill="1" applyBorder="1" applyAlignment="1" applyProtection="1">
      <alignment horizontal="right" shrinkToFit="1"/>
    </xf>
    <xf numFmtId="205" fontId="6" fillId="0" borderId="358" xfId="2" applyNumberFormat="1" applyFont="1" applyFill="1" applyBorder="1" applyAlignment="1" applyProtection="1">
      <alignment horizontal="right" shrinkToFit="1"/>
    </xf>
    <xf numFmtId="194" fontId="6" fillId="0" borderId="45" xfId="12" applyNumberFormat="1" applyFont="1" applyFill="1" applyBorder="1" applyAlignment="1" applyProtection="1">
      <alignment horizontal="right" shrinkToFit="1"/>
    </xf>
    <xf numFmtId="194" fontId="6" fillId="0" borderId="46" xfId="12" applyNumberFormat="1" applyFont="1" applyFill="1" applyBorder="1" applyAlignment="1" applyProtection="1">
      <alignment horizontal="right" shrinkToFit="1"/>
    </xf>
    <xf numFmtId="183" fontId="6" fillId="0" borderId="359" xfId="2" applyNumberFormat="1" applyFont="1" applyFill="1" applyBorder="1" applyAlignment="1" applyProtection="1">
      <alignment horizontal="right" shrinkToFit="1"/>
    </xf>
    <xf numFmtId="205" fontId="6" fillId="0" borderId="76" xfId="2" applyNumberFormat="1" applyFont="1" applyFill="1" applyBorder="1" applyAlignment="1" applyProtection="1">
      <alignment horizontal="right" shrinkToFit="1"/>
    </xf>
    <xf numFmtId="3" fontId="6" fillId="0" borderId="360" xfId="12" applyNumberFormat="1" applyFont="1" applyFill="1" applyBorder="1" applyAlignment="1" applyProtection="1">
      <alignment horizontal="right" shrinkToFit="1"/>
    </xf>
    <xf numFmtId="183" fontId="6" fillId="0" borderId="361" xfId="2" applyNumberFormat="1" applyFont="1" applyFill="1" applyBorder="1" applyAlignment="1" applyProtection="1">
      <alignment horizontal="right" shrinkToFit="1"/>
    </xf>
    <xf numFmtId="3" fontId="6" fillId="0" borderId="362" xfId="12" applyNumberFormat="1" applyFont="1" applyFill="1" applyBorder="1" applyAlignment="1" applyProtection="1">
      <alignment horizontal="right" shrinkToFit="1"/>
    </xf>
    <xf numFmtId="183" fontId="6" fillId="0" borderId="47" xfId="2" applyNumberFormat="1" applyFont="1" applyFill="1" applyBorder="1" applyAlignment="1" applyProtection="1">
      <alignment horizontal="right" shrinkToFit="1"/>
    </xf>
    <xf numFmtId="3" fontId="6" fillId="0" borderId="45" xfId="12" applyNumberFormat="1" applyFont="1" applyFill="1" applyBorder="1" applyAlignment="1" applyProtection="1">
      <alignment shrinkToFit="1"/>
    </xf>
    <xf numFmtId="183" fontId="6" fillId="0" borderId="358" xfId="2" applyNumberFormat="1" applyFont="1" applyFill="1" applyBorder="1" applyAlignment="1" applyProtection="1">
      <alignment horizontal="right" shrinkToFit="1"/>
    </xf>
    <xf numFmtId="183" fontId="6" fillId="0" borderId="358" xfId="2" applyNumberFormat="1" applyFont="1" applyFill="1" applyBorder="1" applyAlignment="1" applyProtection="1">
      <alignment horizontal="center" shrinkToFit="1"/>
    </xf>
    <xf numFmtId="3" fontId="6" fillId="0" borderId="46" xfId="12" applyNumberFormat="1" applyFont="1" applyFill="1" applyBorder="1" applyAlignment="1" applyProtection="1">
      <alignment shrinkToFit="1"/>
    </xf>
    <xf numFmtId="0" fontId="6" fillId="0" borderId="12" xfId="2" applyFont="1" applyFill="1" applyBorder="1" applyAlignment="1" applyProtection="1">
      <alignment vertical="center"/>
    </xf>
    <xf numFmtId="0" fontId="6" fillId="0" borderId="0" xfId="2" applyFont="1" applyFill="1" applyBorder="1" applyAlignment="1" applyProtection="1">
      <alignment vertical="center" shrinkToFit="1"/>
      <protection locked="0"/>
    </xf>
    <xf numFmtId="0" fontId="6" fillId="0" borderId="141" xfId="2" applyFont="1" applyFill="1" applyBorder="1" applyProtection="1">
      <protection locked="0"/>
    </xf>
    <xf numFmtId="0" fontId="6" fillId="0" borderId="0" xfId="2" applyFont="1" applyBorder="1" applyProtection="1">
      <protection locked="0"/>
    </xf>
    <xf numFmtId="0" fontId="6" fillId="0" borderId="50" xfId="2" applyFont="1" applyBorder="1" applyProtection="1">
      <protection locked="0"/>
    </xf>
    <xf numFmtId="0" fontId="6" fillId="3" borderId="79" xfId="2" applyFont="1" applyFill="1" applyBorder="1" applyAlignment="1" applyProtection="1">
      <alignment vertical="center"/>
      <protection locked="0"/>
    </xf>
    <xf numFmtId="0" fontId="6" fillId="3" borderId="79" xfId="2" applyFont="1" applyFill="1" applyBorder="1" applyAlignment="1" applyProtection="1">
      <alignment horizontal="left" vertical="center" indent="2"/>
      <protection locked="0"/>
    </xf>
    <xf numFmtId="0" fontId="6" fillId="3" borderId="80" xfId="2" applyFont="1" applyFill="1" applyBorder="1" applyAlignment="1" applyProtection="1">
      <alignment horizontal="left" vertical="center" indent="2"/>
      <protection locked="0"/>
    </xf>
    <xf numFmtId="0" fontId="6" fillId="3" borderId="102" xfId="2" applyFont="1" applyFill="1" applyBorder="1" applyAlignment="1" applyProtection="1">
      <alignment vertical="center"/>
      <protection locked="0"/>
    </xf>
    <xf numFmtId="0" fontId="6" fillId="3" borderId="102" xfId="2" applyFont="1" applyFill="1" applyBorder="1" applyAlignment="1" applyProtection="1">
      <alignment horizontal="left" vertical="center" indent="2"/>
      <protection locked="0"/>
    </xf>
    <xf numFmtId="0" fontId="6" fillId="3" borderId="0" xfId="2" applyFont="1" applyFill="1" applyBorder="1" applyAlignment="1" applyProtection="1">
      <alignment horizontal="left" vertical="center" indent="2"/>
      <protection locked="0"/>
    </xf>
    <xf numFmtId="209" fontId="6" fillId="0" borderId="0" xfId="2" applyNumberFormat="1" applyFont="1" applyFill="1" applyBorder="1" applyAlignment="1" applyProtection="1">
      <alignment vertical="center"/>
      <protection locked="0"/>
    </xf>
    <xf numFmtId="0" fontId="6" fillId="0" borderId="82" xfId="2" applyFont="1" applyFill="1" applyBorder="1" applyAlignment="1" applyProtection="1">
      <alignment horizontal="right"/>
    </xf>
    <xf numFmtId="237" fontId="6" fillId="0" borderId="82" xfId="2" applyNumberFormat="1" applyFont="1" applyFill="1" applyBorder="1" applyAlignment="1" applyProtection="1">
      <alignment horizontal="center" shrinkToFit="1"/>
    </xf>
    <xf numFmtId="0" fontId="6" fillId="0" borderId="273" xfId="2" applyFont="1" applyFill="1" applyBorder="1" applyAlignment="1" applyProtection="1"/>
    <xf numFmtId="205" fontId="6" fillId="0" borderId="352" xfId="2" applyNumberFormat="1" applyFont="1" applyFill="1" applyBorder="1" applyAlignment="1" applyProtection="1">
      <alignment horizontal="right" shrinkToFit="1"/>
    </xf>
    <xf numFmtId="205" fontId="6" fillId="0" borderId="68" xfId="2" applyNumberFormat="1" applyFont="1" applyFill="1" applyBorder="1" applyAlignment="1" applyProtection="1">
      <alignment horizontal="right" shrinkToFit="1"/>
    </xf>
    <xf numFmtId="194" fontId="6" fillId="0" borderId="82" xfId="12" applyNumberFormat="1" applyFont="1" applyFill="1" applyBorder="1" applyAlignment="1" applyProtection="1">
      <alignment horizontal="right" shrinkToFit="1"/>
    </xf>
    <xf numFmtId="205" fontId="6" fillId="0" borderId="354" xfId="2" applyNumberFormat="1" applyFont="1" applyFill="1" applyBorder="1" applyAlignment="1" applyProtection="1">
      <alignment horizontal="right" shrinkToFit="1"/>
    </xf>
    <xf numFmtId="0" fontId="6" fillId="0" borderId="293" xfId="2" applyFont="1" applyFill="1" applyBorder="1" applyAlignment="1" applyProtection="1"/>
    <xf numFmtId="183" fontId="6" fillId="0" borderId="68" xfId="2" applyNumberFormat="1" applyFont="1" applyFill="1" applyBorder="1" applyAlignment="1" applyProtection="1">
      <alignment horizontal="right" shrinkToFit="1"/>
    </xf>
    <xf numFmtId="194" fontId="6" fillId="0" borderId="82" xfId="12" applyNumberFormat="1" applyFont="1" applyFill="1" applyBorder="1" applyAlignment="1" applyProtection="1">
      <alignment shrinkToFit="1"/>
    </xf>
    <xf numFmtId="183" fontId="6" fillId="0" borderId="363" xfId="2" applyNumberFormat="1" applyFont="1" applyFill="1" applyBorder="1" applyAlignment="1" applyProtection="1">
      <alignment horizontal="center" shrinkToFit="1"/>
    </xf>
    <xf numFmtId="183" fontId="6" fillId="0" borderId="364" xfId="2" applyNumberFormat="1" applyFont="1" applyFill="1" applyBorder="1" applyAlignment="1" applyProtection="1">
      <alignment horizontal="center" shrinkToFit="1"/>
    </xf>
    <xf numFmtId="205" fontId="6" fillId="0" borderId="359" xfId="2" applyNumberFormat="1" applyFont="1" applyFill="1" applyBorder="1" applyAlignment="1" applyProtection="1">
      <alignment horizontal="right" shrinkToFit="1"/>
    </xf>
    <xf numFmtId="227" fontId="6" fillId="0" borderId="360" xfId="12" applyNumberFormat="1" applyFont="1" applyFill="1" applyBorder="1" applyAlignment="1" applyProtection="1">
      <alignment horizontal="right" shrinkToFit="1"/>
    </xf>
    <xf numFmtId="227" fontId="6" fillId="0" borderId="86" xfId="12" applyNumberFormat="1" applyFont="1" applyFill="1" applyBorder="1" applyAlignment="1" applyProtection="1">
      <alignment horizontal="right" shrinkToFit="1"/>
    </xf>
    <xf numFmtId="205" fontId="6" fillId="0" borderId="361" xfId="2" applyNumberFormat="1" applyFont="1" applyFill="1" applyBorder="1" applyAlignment="1" applyProtection="1">
      <alignment horizontal="right" shrinkToFit="1"/>
    </xf>
    <xf numFmtId="227" fontId="6" fillId="0" borderId="137" xfId="12" applyNumberFormat="1" applyFont="1" applyFill="1" applyBorder="1" applyAlignment="1" applyProtection="1">
      <alignment horizontal="right" shrinkToFit="1"/>
    </xf>
    <xf numFmtId="0" fontId="6" fillId="0" borderId="86" xfId="2" applyFont="1" applyFill="1" applyBorder="1" applyAlignment="1" applyProtection="1"/>
    <xf numFmtId="201" fontId="6" fillId="0" borderId="86" xfId="2" applyNumberFormat="1" applyFont="1" applyFill="1" applyBorder="1" applyProtection="1"/>
    <xf numFmtId="238" fontId="6" fillId="0" borderId="86" xfId="2" applyNumberFormat="1" applyFont="1" applyFill="1" applyBorder="1" applyAlignment="1" applyProtection="1"/>
    <xf numFmtId="208" fontId="6" fillId="0" borderId="76" xfId="2" applyNumberFormat="1" applyFont="1" applyFill="1" applyBorder="1" applyAlignment="1" applyProtection="1">
      <alignment horizontal="right" shrinkToFit="1"/>
    </xf>
    <xf numFmtId="239" fontId="6" fillId="0" borderId="86" xfId="12" applyNumberFormat="1" applyFont="1" applyFill="1" applyBorder="1" applyAlignment="1" applyProtection="1">
      <alignment horizontal="right" shrinkToFit="1"/>
    </xf>
    <xf numFmtId="239" fontId="6" fillId="0" borderId="362" xfId="12" applyNumberFormat="1" applyFont="1" applyFill="1" applyBorder="1" applyAlignment="1" applyProtection="1">
      <alignment horizontal="right" shrinkToFit="1"/>
    </xf>
    <xf numFmtId="183" fontId="6" fillId="0" borderId="365" xfId="2" applyNumberFormat="1" applyFont="1" applyFill="1" applyBorder="1" applyAlignment="1" applyProtection="1">
      <alignment horizontal="center" shrinkToFit="1"/>
    </xf>
    <xf numFmtId="183" fontId="6" fillId="0" borderId="366" xfId="2" applyNumberFormat="1" applyFont="1" applyFill="1" applyBorder="1" applyAlignment="1" applyProtection="1">
      <alignment horizontal="center" shrinkToFit="1"/>
    </xf>
    <xf numFmtId="183" fontId="6" fillId="0" borderId="367" xfId="2" applyNumberFormat="1" applyFont="1" applyFill="1" applyBorder="1" applyAlignment="1" applyProtection="1">
      <alignment horizontal="center" shrinkToFit="1"/>
    </xf>
    <xf numFmtId="239" fontId="6" fillId="0" borderId="137" xfId="12" applyNumberFormat="1" applyFont="1" applyFill="1" applyBorder="1" applyAlignment="1" applyProtection="1">
      <alignment horizontal="right" shrinkToFit="1"/>
    </xf>
    <xf numFmtId="0" fontId="6" fillId="0" borderId="0" xfId="2" applyFont="1" applyAlignment="1" applyProtection="1">
      <alignment vertical="center"/>
      <protection locked="0"/>
    </xf>
    <xf numFmtId="0" fontId="6" fillId="3" borderId="2" xfId="2" applyFont="1" applyFill="1" applyBorder="1" applyAlignment="1" applyProtection="1">
      <alignment vertical="center"/>
    </xf>
    <xf numFmtId="0" fontId="6" fillId="3" borderId="3" xfId="2" applyFont="1" applyFill="1" applyBorder="1" applyAlignment="1" applyProtection="1">
      <alignment vertical="center"/>
    </xf>
    <xf numFmtId="205" fontId="6" fillId="0" borderId="21" xfId="2" applyNumberFormat="1" applyFont="1" applyFill="1" applyBorder="1" applyAlignment="1" applyProtection="1">
      <alignment horizontal="center" vertical="center" shrinkToFit="1"/>
    </xf>
    <xf numFmtId="205" fontId="6" fillId="0" borderId="22" xfId="2" applyNumberFormat="1" applyFont="1" applyFill="1" applyBorder="1" applyAlignment="1" applyProtection="1">
      <alignment horizontal="center" vertical="center" shrinkToFit="1"/>
    </xf>
    <xf numFmtId="205" fontId="6" fillId="0" borderId="23" xfId="2" applyNumberFormat="1" applyFont="1" applyFill="1" applyBorder="1" applyAlignment="1" applyProtection="1">
      <alignment horizontal="center" vertical="center" shrinkToFit="1"/>
    </xf>
    <xf numFmtId="205" fontId="6" fillId="0" borderId="80" xfId="2" applyNumberFormat="1" applyFont="1" applyFill="1" applyBorder="1" applyAlignment="1" applyProtection="1">
      <alignment horizontal="center" vertical="center" shrinkToFit="1"/>
    </xf>
    <xf numFmtId="190" fontId="6" fillId="0" borderId="21" xfId="2" applyNumberFormat="1" applyFont="1" applyFill="1" applyBorder="1" applyAlignment="1" applyProtection="1">
      <alignment horizontal="center" vertical="center" shrinkToFit="1"/>
    </xf>
    <xf numFmtId="190" fontId="6" fillId="0" borderId="22" xfId="2" applyNumberFormat="1" applyFont="1" applyFill="1" applyBorder="1" applyAlignment="1" applyProtection="1">
      <alignment horizontal="center" vertical="center" shrinkToFit="1"/>
    </xf>
    <xf numFmtId="190" fontId="6" fillId="0" borderId="23" xfId="2" applyNumberFormat="1" applyFont="1" applyFill="1" applyBorder="1" applyAlignment="1" applyProtection="1">
      <alignment horizontal="center" vertical="center" shrinkToFit="1"/>
    </xf>
    <xf numFmtId="205" fontId="6" fillId="0" borderId="350" xfId="2" applyNumberFormat="1" applyFont="1" applyFill="1" applyBorder="1" applyAlignment="1" applyProtection="1">
      <alignment horizontal="center" vertical="center" shrinkToFit="1"/>
    </xf>
    <xf numFmtId="205" fontId="6" fillId="0" borderId="368" xfId="2" applyNumberFormat="1" applyFont="1" applyFill="1" applyBorder="1" applyAlignment="1" applyProtection="1">
      <alignment horizontal="center" vertical="center" shrinkToFit="1"/>
    </xf>
    <xf numFmtId="205" fontId="6" fillId="0" borderId="369" xfId="2" applyNumberFormat="1" applyFont="1" applyFill="1" applyBorder="1" applyAlignment="1" applyProtection="1">
      <alignment horizontal="center" vertical="center" shrinkToFit="1"/>
    </xf>
    <xf numFmtId="205" fontId="19" fillId="0" borderId="0" xfId="2" applyNumberFormat="1" applyFont="1" applyFill="1" applyBorder="1" applyAlignment="1" applyProtection="1">
      <alignment vertical="center"/>
    </xf>
    <xf numFmtId="2" fontId="6" fillId="0" borderId="0" xfId="2" applyNumberFormat="1" applyFont="1" applyFill="1" applyBorder="1" applyAlignment="1" applyProtection="1">
      <alignment vertical="center" shrinkToFit="1"/>
    </xf>
    <xf numFmtId="0" fontId="19" fillId="0" borderId="0" xfId="2" applyFont="1" applyFill="1" applyBorder="1" applyAlignment="1" applyProtection="1">
      <alignment horizontal="left" vertical="center" indent="1"/>
      <protection locked="0"/>
    </xf>
    <xf numFmtId="0" fontId="6" fillId="0" borderId="0" xfId="2" applyFont="1" applyFill="1" applyBorder="1" applyAlignment="1" applyProtection="1">
      <alignment horizontal="center"/>
      <protection locked="0"/>
    </xf>
    <xf numFmtId="176" fontId="34" fillId="0" borderId="140" xfId="2" applyNumberFormat="1" applyFont="1" applyFill="1" applyBorder="1" applyAlignment="1" applyProtection="1">
      <alignment horizontal="left" vertical="center" indent="1"/>
      <protection locked="0"/>
    </xf>
    <xf numFmtId="0" fontId="6" fillId="0" borderId="370" xfId="2" applyFont="1" applyFill="1" applyBorder="1" applyAlignment="1" applyProtection="1">
      <alignment horizontal="right"/>
    </xf>
    <xf numFmtId="3" fontId="6" fillId="0" borderId="165" xfId="12" applyNumberFormat="1" applyFont="1" applyFill="1" applyBorder="1" applyAlignment="1" applyProtection="1">
      <alignment horizontal="right" shrinkToFit="1"/>
    </xf>
    <xf numFmtId="0" fontId="6" fillId="0" borderId="0" xfId="2" applyFont="1" applyFill="1" applyBorder="1" applyAlignment="1" applyProtection="1">
      <protection locked="0"/>
    </xf>
    <xf numFmtId="203" fontId="6" fillId="13" borderId="266" xfId="2" applyNumberFormat="1" applyFont="1" applyFill="1" applyBorder="1" applyAlignment="1" applyProtection="1">
      <alignment horizontal="center" vertical="center" wrapText="1"/>
      <protection locked="0"/>
    </xf>
    <xf numFmtId="203" fontId="6" fillId="15" borderId="253" xfId="2" applyNumberFormat="1" applyFont="1" applyFill="1" applyBorder="1" applyAlignment="1" applyProtection="1">
      <alignment horizontal="center" vertical="center" wrapText="1"/>
      <protection locked="0"/>
    </xf>
    <xf numFmtId="203" fontId="6" fillId="15" borderId="266" xfId="2" applyNumberFormat="1" applyFont="1" applyFill="1" applyBorder="1" applyAlignment="1" applyProtection="1">
      <alignment horizontal="center" vertical="center" wrapText="1"/>
      <protection locked="0"/>
    </xf>
    <xf numFmtId="203" fontId="6" fillId="16" borderId="253" xfId="2" applyNumberFormat="1" applyFont="1" applyFill="1" applyBorder="1" applyAlignment="1" applyProtection="1">
      <alignment horizontal="center" vertical="center" wrapText="1"/>
      <protection locked="0"/>
    </xf>
    <xf numFmtId="203" fontId="6" fillId="16" borderId="266" xfId="2" applyNumberFormat="1" applyFont="1" applyFill="1" applyBorder="1" applyAlignment="1" applyProtection="1">
      <alignment horizontal="center" vertical="center" wrapText="1"/>
      <protection locked="0"/>
    </xf>
    <xf numFmtId="203" fontId="19" fillId="3" borderId="253" xfId="2" applyNumberFormat="1" applyFont="1" applyFill="1" applyBorder="1" applyAlignment="1" applyProtection="1">
      <alignment horizontal="center" vertical="center" wrapText="1"/>
      <protection locked="0"/>
    </xf>
    <xf numFmtId="203" fontId="19" fillId="3" borderId="266" xfId="2" applyNumberFormat="1" applyFont="1" applyFill="1" applyBorder="1" applyAlignment="1" applyProtection="1">
      <alignment horizontal="center" vertical="center" wrapText="1"/>
      <protection locked="0"/>
    </xf>
    <xf numFmtId="2" fontId="6" fillId="0" borderId="371" xfId="2" applyNumberFormat="1" applyFont="1" applyFill="1" applyBorder="1" applyAlignment="1" applyProtection="1">
      <alignment horizontal="centerContinuous" shrinkToFit="1"/>
    </xf>
    <xf numFmtId="203" fontId="6" fillId="15" borderId="372" xfId="2" applyNumberFormat="1" applyFont="1" applyFill="1" applyBorder="1" applyAlignment="1" applyProtection="1">
      <alignment horizontal="center" vertical="center" wrapText="1"/>
      <protection locked="0"/>
    </xf>
    <xf numFmtId="203" fontId="6" fillId="16" borderId="372" xfId="2" applyNumberFormat="1" applyFont="1" applyFill="1" applyBorder="1" applyAlignment="1" applyProtection="1">
      <alignment horizontal="center" vertical="center" wrapText="1"/>
      <protection locked="0"/>
    </xf>
    <xf numFmtId="203" fontId="19" fillId="3" borderId="372" xfId="2" applyNumberFormat="1" applyFont="1" applyFill="1" applyBorder="1" applyAlignment="1" applyProtection="1">
      <alignment horizontal="center" vertical="center" wrapText="1"/>
      <protection locked="0"/>
    </xf>
    <xf numFmtId="177" fontId="6" fillId="0" borderId="372" xfId="2" applyNumberFormat="1" applyFont="1" applyFill="1" applyBorder="1" applyAlignment="1" applyProtection="1">
      <alignment horizontal="right" shrinkToFit="1"/>
    </xf>
    <xf numFmtId="0" fontId="6" fillId="19" borderId="373" xfId="2" applyFont="1" applyFill="1" applyBorder="1" applyAlignment="1" applyProtection="1">
      <alignment horizontal="center" vertical="center" textRotation="255" shrinkToFit="1"/>
    </xf>
    <xf numFmtId="0" fontId="6" fillId="19" borderId="373" xfId="2" applyFont="1" applyFill="1" applyBorder="1" applyAlignment="1" applyProtection="1">
      <alignment horizontal="center" vertical="center" textRotation="255" wrapText="1" shrinkToFit="1"/>
    </xf>
    <xf numFmtId="3" fontId="6" fillId="0" borderId="374" xfId="12" applyNumberFormat="1" applyFont="1" applyFill="1" applyBorder="1" applyAlignment="1" applyProtection="1">
      <alignment horizontal="right" shrinkToFit="1"/>
    </xf>
    <xf numFmtId="177" fontId="6" fillId="0" borderId="375" xfId="2" applyNumberFormat="1" applyFont="1" applyFill="1" applyBorder="1" applyAlignment="1" applyProtection="1">
      <alignment horizontal="right" shrinkToFit="1"/>
    </xf>
    <xf numFmtId="3" fontId="6" fillId="0" borderId="376" xfId="12" applyNumberFormat="1" applyFont="1" applyFill="1" applyBorder="1" applyAlignment="1" applyProtection="1">
      <alignment horizontal="right" shrinkToFit="1"/>
    </xf>
    <xf numFmtId="183" fontId="6" fillId="0" borderId="375" xfId="2" applyNumberFormat="1" applyFont="1" applyFill="1" applyBorder="1" applyAlignment="1" applyProtection="1">
      <alignment horizontal="right" shrinkToFit="1"/>
    </xf>
    <xf numFmtId="3" fontId="6" fillId="0" borderId="377" xfId="12" applyNumberFormat="1" applyFont="1" applyFill="1" applyBorder="1" applyAlignment="1" applyProtection="1">
      <alignment horizontal="right" shrinkToFit="1"/>
    </xf>
    <xf numFmtId="203" fontId="6" fillId="13" borderId="374" xfId="2" applyNumberFormat="1" applyFont="1" applyFill="1" applyBorder="1" applyAlignment="1" applyProtection="1">
      <alignment horizontal="center" vertical="center" wrapText="1"/>
      <protection locked="0"/>
    </xf>
    <xf numFmtId="203" fontId="6" fillId="15" borderId="374" xfId="2" applyNumberFormat="1" applyFont="1" applyFill="1" applyBorder="1" applyAlignment="1" applyProtection="1">
      <alignment horizontal="center" vertical="center" wrapText="1"/>
      <protection locked="0"/>
    </xf>
    <xf numFmtId="203" fontId="6" fillId="16" borderId="374" xfId="2" applyNumberFormat="1" applyFont="1" applyFill="1" applyBorder="1" applyAlignment="1" applyProtection="1">
      <alignment horizontal="center" vertical="center" wrapText="1"/>
      <protection locked="0"/>
    </xf>
    <xf numFmtId="203" fontId="19" fillId="3" borderId="374" xfId="2" applyNumberFormat="1" applyFont="1" applyFill="1" applyBorder="1" applyAlignment="1" applyProtection="1">
      <alignment horizontal="center" vertical="center" wrapText="1"/>
      <protection locked="0"/>
    </xf>
    <xf numFmtId="0" fontId="19" fillId="0" borderId="0" xfId="12" applyNumberFormat="1" applyFont="1" applyFill="1" applyBorder="1" applyAlignment="1" applyProtection="1">
      <alignment vertical="center"/>
    </xf>
    <xf numFmtId="0" fontId="19" fillId="0" borderId="0" xfId="2" applyNumberFormat="1" applyFont="1" applyFill="1" applyBorder="1" applyAlignment="1" applyProtection="1">
      <alignment vertical="center"/>
    </xf>
    <xf numFmtId="0" fontId="6" fillId="0" borderId="0" xfId="2" applyNumberFormat="1" applyFont="1" applyFill="1" applyBorder="1" applyAlignment="1" applyProtection="1">
      <alignment vertical="center" shrinkToFit="1"/>
    </xf>
    <xf numFmtId="0" fontId="6" fillId="0" borderId="0" xfId="2" applyNumberFormat="1" applyFont="1" applyFill="1" applyBorder="1" applyAlignment="1" applyProtection="1">
      <protection locked="0"/>
    </xf>
    <xf numFmtId="203" fontId="6" fillId="15" borderId="378" xfId="2" applyNumberFormat="1" applyFont="1" applyFill="1" applyBorder="1" applyAlignment="1" applyProtection="1">
      <alignment horizontal="center" vertical="center" wrapText="1"/>
      <protection locked="0"/>
    </xf>
    <xf numFmtId="203" fontId="6" fillId="16" borderId="378" xfId="2" applyNumberFormat="1" applyFont="1" applyFill="1" applyBorder="1" applyAlignment="1" applyProtection="1">
      <alignment horizontal="center" vertical="center" wrapText="1"/>
      <protection locked="0"/>
    </xf>
    <xf numFmtId="203" fontId="19" fillId="3" borderId="378" xfId="2" applyNumberFormat="1" applyFont="1" applyFill="1" applyBorder="1" applyAlignment="1" applyProtection="1">
      <alignment horizontal="center" vertical="center" wrapText="1"/>
      <protection locked="0"/>
    </xf>
    <xf numFmtId="177" fontId="6" fillId="0" borderId="378" xfId="2" applyNumberFormat="1" applyFont="1" applyFill="1" applyBorder="1" applyAlignment="1" applyProtection="1">
      <alignment horizontal="right" shrinkToFit="1"/>
    </xf>
    <xf numFmtId="0" fontId="6" fillId="19" borderId="379" xfId="2" applyFont="1" applyFill="1" applyBorder="1" applyAlignment="1" applyProtection="1">
      <alignment horizontal="center" vertical="center" textRotation="255" shrinkToFit="1"/>
    </xf>
    <xf numFmtId="0" fontId="6" fillId="19" borderId="379" xfId="2" applyFont="1" applyFill="1" applyBorder="1" applyAlignment="1" applyProtection="1">
      <alignment horizontal="center" vertical="center" textRotation="255" wrapText="1" shrinkToFit="1"/>
    </xf>
    <xf numFmtId="3" fontId="6" fillId="0" borderId="380" xfId="12" applyNumberFormat="1" applyFont="1" applyFill="1" applyBorder="1" applyAlignment="1" applyProtection="1">
      <alignment horizontal="right" shrinkToFit="1"/>
    </xf>
    <xf numFmtId="177" fontId="6" fillId="0" borderId="381" xfId="2" applyNumberFormat="1" applyFont="1" applyFill="1" applyBorder="1" applyAlignment="1" applyProtection="1">
      <alignment horizontal="right" shrinkToFit="1"/>
    </xf>
    <xf numFmtId="3" fontId="6" fillId="0" borderId="382" xfId="12" applyNumberFormat="1" applyFont="1" applyFill="1" applyBorder="1" applyAlignment="1" applyProtection="1">
      <alignment horizontal="right" shrinkToFit="1"/>
    </xf>
    <xf numFmtId="183" fontId="6" fillId="0" borderId="381" xfId="2" applyNumberFormat="1" applyFont="1" applyFill="1" applyBorder="1" applyAlignment="1" applyProtection="1">
      <alignment horizontal="right" shrinkToFit="1"/>
    </xf>
    <xf numFmtId="3" fontId="6" fillId="0" borderId="383" xfId="12" applyNumberFormat="1" applyFont="1" applyFill="1" applyBorder="1" applyAlignment="1" applyProtection="1">
      <alignment horizontal="right" shrinkToFit="1"/>
    </xf>
    <xf numFmtId="183" fontId="6" fillId="0" borderId="384" xfId="2" applyNumberFormat="1" applyFont="1" applyFill="1" applyBorder="1" applyAlignment="1" applyProtection="1">
      <alignment horizontal="center" shrinkToFit="1"/>
    </xf>
    <xf numFmtId="0" fontId="0" fillId="0" borderId="210" xfId="0" applyBorder="1" applyAlignment="1">
      <alignment horizontal="center" shrinkToFit="1"/>
    </xf>
    <xf numFmtId="183" fontId="6" fillId="0" borderId="385" xfId="2" applyNumberFormat="1" applyFont="1" applyFill="1" applyBorder="1" applyAlignment="1" applyProtection="1">
      <alignment horizontal="center" shrinkToFit="1"/>
    </xf>
    <xf numFmtId="183" fontId="6" fillId="0" borderId="386" xfId="2" applyNumberFormat="1" applyFont="1" applyFill="1" applyBorder="1" applyAlignment="1" applyProtection="1">
      <alignment horizontal="center" shrinkToFit="1"/>
    </xf>
    <xf numFmtId="0" fontId="0" fillId="0" borderId="360" xfId="0" applyBorder="1" applyAlignment="1">
      <alignment horizontal="center" shrinkToFit="1"/>
    </xf>
    <xf numFmtId="183" fontId="6" fillId="0" borderId="387" xfId="2" applyNumberFormat="1" applyFont="1" applyFill="1" applyBorder="1" applyAlignment="1" applyProtection="1">
      <alignment horizontal="center" shrinkToFit="1"/>
    </xf>
    <xf numFmtId="0" fontId="0" fillId="0" borderId="212" xfId="0" applyBorder="1" applyAlignment="1">
      <alignment horizontal="center" shrinkToFit="1"/>
    </xf>
    <xf numFmtId="0" fontId="0" fillId="0" borderId="137" xfId="0" applyBorder="1" applyAlignment="1">
      <alignment horizontal="center" shrinkToFit="1"/>
    </xf>
    <xf numFmtId="203" fontId="6" fillId="13" borderId="380" xfId="2" applyNumberFormat="1" applyFont="1" applyFill="1" applyBorder="1" applyAlignment="1" applyProtection="1">
      <alignment horizontal="center" vertical="center" wrapText="1"/>
      <protection locked="0"/>
    </xf>
    <xf numFmtId="203" fontId="6" fillId="15" borderId="380" xfId="2" applyNumberFormat="1" applyFont="1" applyFill="1" applyBorder="1" applyAlignment="1" applyProtection="1">
      <alignment horizontal="center" vertical="center" wrapText="1"/>
      <protection locked="0"/>
    </xf>
    <xf numFmtId="203" fontId="6" fillId="16" borderId="380" xfId="2" applyNumberFormat="1" applyFont="1" applyFill="1" applyBorder="1" applyAlignment="1" applyProtection="1">
      <alignment horizontal="center" vertical="center" wrapText="1"/>
      <protection locked="0"/>
    </xf>
    <xf numFmtId="203" fontId="19" fillId="3" borderId="380" xfId="2" applyNumberFormat="1" applyFont="1" applyFill="1" applyBorder="1" applyAlignment="1" applyProtection="1">
      <alignment horizontal="center" vertical="center" wrapText="1"/>
      <protection locked="0"/>
    </xf>
    <xf numFmtId="0" fontId="11" fillId="0" borderId="0" xfId="3" applyNumberFormat="1" applyFill="1" applyBorder="1" applyAlignment="1">
      <alignment vertical="center"/>
    </xf>
    <xf numFmtId="177" fontId="19" fillId="0" borderId="178" xfId="2" applyNumberFormat="1" applyFont="1" applyFill="1" applyBorder="1" applyAlignment="1" applyProtection="1">
      <alignment horizontal="center" vertical="center"/>
    </xf>
    <xf numFmtId="177" fontId="19" fillId="0" borderId="179" xfId="2" applyNumberFormat="1" applyFont="1" applyFill="1" applyBorder="1" applyAlignment="1" applyProtection="1">
      <alignment horizontal="center" vertical="center"/>
    </xf>
    <xf numFmtId="177" fontId="19" fillId="0" borderId="185" xfId="2" applyNumberFormat="1" applyFont="1" applyFill="1" applyBorder="1" applyAlignment="1" applyProtection="1">
      <alignment horizontal="center" vertical="center"/>
    </xf>
    <xf numFmtId="0" fontId="6" fillId="0" borderId="0" xfId="2" applyNumberFormat="1" applyFont="1" applyFill="1" applyBorder="1" applyAlignment="1" applyProtection="1">
      <alignment horizontal="center" vertical="center" shrinkToFit="1"/>
      <protection locked="0"/>
    </xf>
    <xf numFmtId="0" fontId="19" fillId="0" borderId="0" xfId="2" applyNumberFormat="1" applyFont="1" applyFill="1" applyBorder="1" applyAlignment="1" applyProtection="1">
      <alignment horizontal="center" vertical="center"/>
    </xf>
    <xf numFmtId="0" fontId="6" fillId="0" borderId="0" xfId="2" applyNumberFormat="1" applyFont="1" applyFill="1" applyBorder="1" applyAlignment="1" applyProtection="1">
      <alignment horizontal="left" vertical="center"/>
    </xf>
    <xf numFmtId="0" fontId="6" fillId="0" borderId="0" xfId="12" applyNumberFormat="1" applyFont="1" applyFill="1" applyBorder="1" applyAlignment="1" applyProtection="1">
      <alignment horizontal="center" vertical="center"/>
    </xf>
    <xf numFmtId="0" fontId="6" fillId="0" borderId="0" xfId="12" applyNumberFormat="1" applyFont="1" applyFill="1" applyBorder="1" applyAlignment="1" applyProtection="1">
      <alignment horizontal="left" vertical="center"/>
    </xf>
    <xf numFmtId="0" fontId="6" fillId="0" borderId="0" xfId="2" applyNumberFormat="1" applyFont="1" applyFill="1" applyBorder="1" applyAlignment="1" applyProtection="1">
      <alignment horizontal="center" vertical="center"/>
    </xf>
    <xf numFmtId="0" fontId="6" fillId="0" borderId="0" xfId="12" applyNumberFormat="1" applyFont="1" applyFill="1" applyBorder="1" applyAlignment="1" applyProtection="1">
      <alignment horizontal="center" vertical="center" shrinkToFit="1"/>
    </xf>
    <xf numFmtId="0" fontId="6" fillId="0" borderId="0" xfId="12" applyNumberFormat="1" applyFont="1" applyFill="1" applyBorder="1" applyAlignment="1" applyProtection="1">
      <alignment vertical="center" shrinkToFit="1"/>
    </xf>
    <xf numFmtId="0" fontId="6" fillId="0" borderId="0" xfId="2" applyNumberFormat="1" applyFont="1" applyFill="1" applyBorder="1" applyAlignment="1" applyProtection="1">
      <alignment horizontal="center" vertical="center" wrapText="1"/>
    </xf>
    <xf numFmtId="0" fontId="6" fillId="0" borderId="0" xfId="2" applyNumberFormat="1" applyFont="1" applyFill="1" applyBorder="1" applyAlignment="1" applyProtection="1">
      <alignment horizontal="center" vertical="center" shrinkToFit="1"/>
    </xf>
    <xf numFmtId="0" fontId="6" fillId="0" borderId="0" xfId="12" applyNumberFormat="1" applyFont="1" applyFill="1" applyBorder="1" applyAlignment="1" applyProtection="1">
      <alignment horizontal="center" vertical="center" wrapText="1"/>
    </xf>
    <xf numFmtId="0" fontId="6" fillId="0" borderId="0" xfId="2" applyNumberFormat="1" applyFont="1" applyFill="1" applyBorder="1" applyAlignment="1" applyProtection="1">
      <alignment vertical="center" wrapText="1" shrinkToFit="1"/>
    </xf>
    <xf numFmtId="0" fontId="6" fillId="0" borderId="0" xfId="12" applyNumberFormat="1" applyFont="1" applyFill="1" applyBorder="1" applyAlignment="1" applyProtection="1">
      <alignment horizontal="right" vertical="center"/>
    </xf>
    <xf numFmtId="0" fontId="19" fillId="0" borderId="0" xfId="2" applyNumberFormat="1" applyFont="1" applyFill="1" applyBorder="1" applyAlignment="1" applyProtection="1">
      <alignment vertical="center" shrinkToFit="1"/>
    </xf>
    <xf numFmtId="0" fontId="6" fillId="0" borderId="0" xfId="12" applyNumberFormat="1" applyFont="1" applyFill="1" applyBorder="1" applyAlignment="1" applyProtection="1">
      <alignment horizontal="center" vertical="center" wrapText="1" shrinkToFit="1"/>
    </xf>
    <xf numFmtId="0" fontId="15" fillId="0" borderId="0" xfId="2" applyNumberFormat="1" applyFont="1" applyFill="1" applyBorder="1" applyAlignment="1" applyProtection="1">
      <alignment horizontal="center" vertical="center" wrapText="1"/>
      <protection locked="0"/>
    </xf>
    <xf numFmtId="0" fontId="10" fillId="0" borderId="0" xfId="13">
      <alignment vertical="center"/>
    </xf>
    <xf numFmtId="0" fontId="6" fillId="0" borderId="0" xfId="14" applyFont="1"/>
    <xf numFmtId="0" fontId="6" fillId="0" borderId="0" xfId="14" applyFont="1" applyAlignment="1" applyProtection="1">
      <alignment shrinkToFit="1"/>
    </xf>
    <xf numFmtId="0" fontId="6" fillId="0" borderId="0" xfId="14" applyFont="1" applyProtection="1"/>
    <xf numFmtId="0" fontId="6" fillId="0" borderId="0" xfId="14" applyFont="1" applyFill="1" applyBorder="1" applyAlignment="1" applyProtection="1">
      <alignment horizontal="center"/>
    </xf>
    <xf numFmtId="0" fontId="11" fillId="0" borderId="0" xfId="15">
      <alignment vertical="center"/>
    </xf>
    <xf numFmtId="0" fontId="6" fillId="0" borderId="0" xfId="14" applyFont="1" applyFill="1" applyBorder="1" applyProtection="1"/>
    <xf numFmtId="0" fontId="39" fillId="0" borderId="0" xfId="13" applyFont="1" applyBorder="1">
      <alignment vertical="center"/>
    </xf>
    <xf numFmtId="3" fontId="19" fillId="0" borderId="136" xfId="14" applyNumberFormat="1" applyFont="1" applyBorder="1" applyAlignment="1" applyProtection="1">
      <alignment shrinkToFit="1"/>
      <protection locked="0"/>
    </xf>
    <xf numFmtId="3" fontId="6" fillId="0" borderId="390" xfId="14" applyNumberFormat="1" applyFont="1" applyBorder="1" applyAlignment="1" applyProtection="1">
      <alignment shrinkToFit="1"/>
      <protection locked="0"/>
    </xf>
    <xf numFmtId="3" fontId="19" fillId="0" borderId="197" xfId="14" applyNumberFormat="1" applyFont="1" applyBorder="1" applyAlignment="1" applyProtection="1">
      <alignment shrinkToFit="1"/>
      <protection locked="0"/>
    </xf>
    <xf numFmtId="3" fontId="6" fillId="0" borderId="135" xfId="14" applyNumberFormat="1" applyFont="1" applyBorder="1" applyAlignment="1" applyProtection="1">
      <alignment shrinkToFit="1"/>
      <protection locked="0"/>
    </xf>
    <xf numFmtId="3" fontId="19" fillId="0" borderId="156" xfId="14" applyNumberFormat="1" applyFont="1" applyBorder="1" applyAlignment="1" applyProtection="1">
      <alignment shrinkToFit="1"/>
      <protection locked="0"/>
    </xf>
    <xf numFmtId="3" fontId="19" fillId="0" borderId="390" xfId="14" applyNumberFormat="1" applyFont="1" applyBorder="1" applyAlignment="1" applyProtection="1">
      <alignment shrinkToFit="1"/>
      <protection locked="0"/>
    </xf>
    <xf numFmtId="3" fontId="6" fillId="0" borderId="200" xfId="14" applyNumberFormat="1" applyFont="1" applyBorder="1" applyAlignment="1" applyProtection="1">
      <alignment shrinkToFit="1"/>
      <protection locked="0"/>
    </xf>
    <xf numFmtId="240" fontId="6" fillId="0" borderId="135" xfId="14" applyNumberFormat="1" applyFont="1" applyBorder="1" applyAlignment="1" applyProtection="1">
      <alignment shrinkToFit="1"/>
      <protection locked="0"/>
    </xf>
    <xf numFmtId="241" fontId="6" fillId="0" borderId="135" xfId="14" applyNumberFormat="1" applyFont="1" applyBorder="1" applyAlignment="1" applyProtection="1">
      <alignment shrinkToFit="1"/>
      <protection locked="0"/>
    </xf>
    <xf numFmtId="0" fontId="6" fillId="0" borderId="73" xfId="14" applyNumberFormat="1" applyFont="1" applyBorder="1" applyAlignment="1" applyProtection="1">
      <alignment shrinkToFit="1"/>
      <protection locked="0"/>
    </xf>
    <xf numFmtId="0" fontId="6" fillId="0" borderId="390" xfId="14" applyNumberFormat="1" applyFont="1" applyBorder="1" applyAlignment="1" applyProtection="1">
      <alignment horizontal="center" shrinkToFit="1"/>
      <protection locked="0"/>
    </xf>
    <xf numFmtId="0" fontId="6" fillId="0" borderId="391" xfId="14" applyNumberFormat="1" applyFont="1" applyBorder="1" applyAlignment="1" applyProtection="1">
      <alignment horizontal="center" shrinkToFit="1"/>
      <protection locked="0"/>
    </xf>
    <xf numFmtId="3" fontId="19" fillId="0" borderId="201" xfId="14" applyNumberFormat="1" applyFont="1" applyBorder="1" applyAlignment="1" applyProtection="1">
      <alignment shrinkToFit="1"/>
      <protection locked="0"/>
    </xf>
    <xf numFmtId="3" fontId="6" fillId="0" borderId="69" xfId="14" applyNumberFormat="1" applyFont="1" applyBorder="1" applyAlignment="1" applyProtection="1">
      <alignment shrinkToFit="1"/>
      <protection locked="0"/>
    </xf>
    <xf numFmtId="3" fontId="19" fillId="0" borderId="82" xfId="14" applyNumberFormat="1" applyFont="1" applyBorder="1" applyAlignment="1" applyProtection="1">
      <alignment shrinkToFit="1"/>
      <protection locked="0"/>
    </xf>
    <xf numFmtId="3" fontId="6" fillId="0" borderId="68" xfId="14" applyNumberFormat="1" applyFont="1" applyBorder="1" applyAlignment="1" applyProtection="1">
      <alignment shrinkToFit="1"/>
      <protection locked="0"/>
    </xf>
    <xf numFmtId="3" fontId="19" fillId="0" borderId="353" xfId="14" applyNumberFormat="1" applyFont="1" applyBorder="1" applyAlignment="1" applyProtection="1">
      <alignment shrinkToFit="1"/>
      <protection locked="0"/>
    </xf>
    <xf numFmtId="3" fontId="19" fillId="0" borderId="69" xfId="14" applyNumberFormat="1" applyFont="1" applyBorder="1" applyAlignment="1" applyProtection="1">
      <alignment shrinkToFit="1"/>
      <protection locked="0"/>
    </xf>
    <xf numFmtId="3" fontId="6" fillId="0" borderId="354" xfId="14" applyNumberFormat="1" applyFont="1" applyBorder="1" applyAlignment="1" applyProtection="1">
      <alignment shrinkToFit="1"/>
      <protection locked="0"/>
    </xf>
    <xf numFmtId="240" fontId="6" fillId="0" borderId="68" xfId="14" applyNumberFormat="1" applyFont="1" applyBorder="1" applyAlignment="1" applyProtection="1">
      <alignment shrinkToFit="1"/>
      <protection locked="0"/>
    </xf>
    <xf numFmtId="241" fontId="6" fillId="0" borderId="68" xfId="14" applyNumberFormat="1" applyFont="1" applyBorder="1" applyAlignment="1" applyProtection="1">
      <alignment shrinkToFit="1"/>
      <protection locked="0"/>
    </xf>
    <xf numFmtId="0" fontId="6" fillId="0" borderId="69" xfId="14" applyNumberFormat="1" applyFont="1" applyBorder="1" applyAlignment="1" applyProtection="1">
      <alignment shrinkToFit="1"/>
      <protection locked="0"/>
    </xf>
    <xf numFmtId="0" fontId="6" fillId="0" borderId="69" xfId="14" applyNumberFormat="1" applyFont="1" applyBorder="1" applyAlignment="1" applyProtection="1">
      <alignment horizontal="center" shrinkToFit="1"/>
      <protection locked="0"/>
    </xf>
    <xf numFmtId="0" fontId="6" fillId="0" borderId="392" xfId="14" applyNumberFormat="1" applyFont="1" applyBorder="1" applyAlignment="1" applyProtection="1">
      <alignment horizontal="center" shrinkToFit="1"/>
      <protection locked="0"/>
    </xf>
    <xf numFmtId="0" fontId="39" fillId="7" borderId="16" xfId="13" applyFont="1" applyFill="1" applyBorder="1" applyAlignment="1">
      <alignment horizontal="center" vertical="center" shrinkToFit="1"/>
    </xf>
    <xf numFmtId="0" fontId="39" fillId="7" borderId="15" xfId="13" applyFont="1" applyFill="1" applyBorder="1" applyAlignment="1">
      <alignment horizontal="center" vertical="center" shrinkToFit="1"/>
    </xf>
    <xf numFmtId="0" fontId="39" fillId="7" borderId="14" xfId="13" applyFont="1" applyFill="1" applyBorder="1" applyAlignment="1">
      <alignment horizontal="center" vertical="center" shrinkToFit="1"/>
    </xf>
    <xf numFmtId="0" fontId="39" fillId="7" borderId="388" xfId="13" applyFont="1" applyFill="1" applyBorder="1" applyAlignment="1">
      <alignment horizontal="center" vertical="center" shrinkToFit="1"/>
    </xf>
    <xf numFmtId="0" fontId="39" fillId="7" borderId="53" xfId="13" applyFont="1" applyFill="1" applyBorder="1" applyAlignment="1">
      <alignment horizontal="center" vertical="center" shrinkToFit="1"/>
    </xf>
    <xf numFmtId="0" fontId="6" fillId="3" borderId="50" xfId="14" applyNumberFormat="1" applyFont="1" applyFill="1" applyBorder="1" applyAlignment="1" applyProtection="1">
      <alignment horizontal="center" vertical="center" shrinkToFit="1"/>
      <protection locked="0"/>
    </xf>
    <xf numFmtId="0" fontId="6" fillId="3" borderId="66" xfId="14" applyNumberFormat="1" applyFont="1" applyFill="1" applyBorder="1" applyAlignment="1" applyProtection="1">
      <alignment horizontal="center" vertical="center" shrinkToFit="1"/>
      <protection locked="0"/>
    </xf>
    <xf numFmtId="0" fontId="6" fillId="3" borderId="389" xfId="14" applyNumberFormat="1" applyFont="1" applyFill="1" applyBorder="1" applyAlignment="1" applyProtection="1">
      <alignment horizontal="center" vertical="center"/>
      <protection locked="0"/>
    </xf>
    <xf numFmtId="0" fontId="6" fillId="3" borderId="107" xfId="14" applyNumberFormat="1" applyFont="1" applyFill="1" applyBorder="1" applyAlignment="1" applyProtection="1">
      <alignment horizontal="center" vertical="center" shrinkToFit="1"/>
      <protection locked="0"/>
    </xf>
    <xf numFmtId="0" fontId="6" fillId="3" borderId="107" xfId="14" applyFont="1" applyFill="1" applyBorder="1" applyAlignment="1" applyProtection="1">
      <alignment horizontal="center" vertical="center" shrinkToFit="1"/>
      <protection locked="0"/>
    </xf>
    <xf numFmtId="0" fontId="6" fillId="3" borderId="214" xfId="14" applyNumberFormat="1" applyFont="1" applyFill="1" applyBorder="1" applyAlignment="1" applyProtection="1">
      <alignment horizontal="center" vertical="center" shrinkToFit="1"/>
      <protection locked="0"/>
    </xf>
    <xf numFmtId="0" fontId="6" fillId="3" borderId="315" xfId="14" applyNumberFormat="1" applyFont="1" applyFill="1" applyBorder="1" applyAlignment="1" applyProtection="1">
      <alignment horizontal="center" vertical="center" wrapText="1" shrinkToFit="1"/>
      <protection locked="0"/>
    </xf>
    <xf numFmtId="0" fontId="6" fillId="3" borderId="66" xfId="14" applyFont="1" applyFill="1" applyBorder="1" applyAlignment="1" applyProtection="1">
      <alignment horizontal="center" vertical="center" wrapText="1" shrinkToFit="1"/>
      <protection locked="0"/>
    </xf>
    <xf numFmtId="0" fontId="6" fillId="3" borderId="66" xfId="14" applyFont="1" applyFill="1" applyBorder="1" applyAlignment="1" applyProtection="1">
      <alignment horizontal="center" vertical="center" shrinkToFit="1"/>
      <protection locked="0"/>
    </xf>
    <xf numFmtId="0" fontId="6" fillId="3" borderId="106" xfId="14" applyFont="1" applyFill="1" applyBorder="1" applyAlignment="1" applyProtection="1">
      <alignment horizontal="center" vertical="center"/>
      <protection locked="0"/>
    </xf>
    <xf numFmtId="0" fontId="39" fillId="7" borderId="393" xfId="13" applyFont="1" applyFill="1" applyBorder="1" applyAlignment="1">
      <alignment horizontal="center" vertical="center" shrinkToFit="1"/>
    </xf>
    <xf numFmtId="0" fontId="39" fillId="7" borderId="394" xfId="13" applyFont="1" applyFill="1" applyBorder="1" applyAlignment="1">
      <alignment horizontal="center" vertical="center" shrinkToFit="1"/>
    </xf>
    <xf numFmtId="0" fontId="39" fillId="7" borderId="395" xfId="13" applyFont="1" applyFill="1" applyBorder="1" applyAlignment="1">
      <alignment horizontal="center" vertical="center" shrinkToFit="1"/>
    </xf>
    <xf numFmtId="0" fontId="39" fillId="7" borderId="396" xfId="13" applyFont="1" applyFill="1" applyBorder="1" applyAlignment="1">
      <alignment horizontal="center" vertical="center" shrinkToFit="1"/>
    </xf>
    <xf numFmtId="0" fontId="39" fillId="7" borderId="397" xfId="13" applyFont="1" applyFill="1" applyBorder="1" applyAlignment="1">
      <alignment horizontal="center" vertical="center" shrinkToFit="1"/>
    </xf>
    <xf numFmtId="0" fontId="6" fillId="3" borderId="227" xfId="14" applyNumberFormat="1" applyFont="1" applyFill="1" applyBorder="1" applyAlignment="1" applyProtection="1">
      <alignment horizontal="center" vertical="center" wrapText="1" shrinkToFit="1"/>
      <protection locked="0"/>
    </xf>
    <xf numFmtId="0" fontId="6" fillId="3" borderId="398" xfId="14" applyNumberFormat="1" applyFont="1" applyFill="1" applyBorder="1" applyAlignment="1" applyProtection="1">
      <alignment horizontal="center" vertical="center" wrapText="1" shrinkToFit="1"/>
      <protection locked="0"/>
    </xf>
    <xf numFmtId="0" fontId="6" fillId="3" borderId="398" xfId="14" applyNumberFormat="1" applyFont="1" applyFill="1" applyBorder="1" applyAlignment="1" applyProtection="1">
      <alignment horizontal="center" vertical="center" wrapText="1"/>
      <protection locked="0"/>
    </xf>
    <xf numFmtId="0" fontId="6" fillId="3" borderId="224" xfId="14" applyNumberFormat="1" applyFont="1" applyFill="1" applyBorder="1" applyAlignment="1" applyProtection="1">
      <alignment horizontal="center" vertical="center" wrapText="1" shrinkToFit="1"/>
      <protection locked="0"/>
    </xf>
    <xf numFmtId="0" fontId="39" fillId="10" borderId="176" xfId="13" applyFont="1" applyFill="1" applyBorder="1" applyAlignment="1">
      <alignment horizontal="center" vertical="center" shrinkToFit="1"/>
    </xf>
    <xf numFmtId="0" fontId="39" fillId="5" borderId="176" xfId="13" applyFont="1" applyFill="1" applyBorder="1" applyAlignment="1">
      <alignment horizontal="center" vertical="center" shrinkToFit="1"/>
    </xf>
    <xf numFmtId="0" fontId="6" fillId="3" borderId="91" xfId="14" applyNumberFormat="1" applyFont="1" applyFill="1" applyBorder="1" applyAlignment="1" applyProtection="1">
      <alignment horizontal="center"/>
      <protection locked="0"/>
    </xf>
    <xf numFmtId="0" fontId="6" fillId="3" borderId="90" xfId="14" applyNumberFormat="1" applyFont="1" applyFill="1" applyBorder="1" applyAlignment="1" applyProtection="1">
      <alignment horizontal="center"/>
      <protection locked="0"/>
    </xf>
    <xf numFmtId="0" fontId="6" fillId="3" borderId="150" xfId="14" applyNumberFormat="1" applyFont="1" applyFill="1" applyBorder="1" applyAlignment="1" applyProtection="1">
      <alignment horizontal="center"/>
      <protection locked="0"/>
    </xf>
    <xf numFmtId="0" fontId="6" fillId="3" borderId="399" xfId="14" applyNumberFormat="1" applyFont="1" applyFill="1" applyBorder="1" applyAlignment="1" applyProtection="1">
      <alignment horizontal="center"/>
      <protection locked="0"/>
    </xf>
    <xf numFmtId="0" fontId="6" fillId="3" borderId="143" xfId="14" applyNumberFormat="1" applyFont="1" applyFill="1" applyBorder="1" applyAlignment="1" applyProtection="1">
      <alignment horizontal="center" vertical="center" wrapText="1" shrinkToFit="1"/>
      <protection locked="0"/>
    </xf>
    <xf numFmtId="0" fontId="6" fillId="3" borderId="26" xfId="14" applyFont="1" applyFill="1" applyBorder="1" applyAlignment="1" applyProtection="1">
      <alignment horizontal="center" vertical="center" wrapText="1" shrinkToFit="1"/>
      <protection locked="0"/>
    </xf>
    <xf numFmtId="0" fontId="6" fillId="3" borderId="26" xfId="14" applyFont="1" applyFill="1" applyBorder="1" applyAlignment="1" applyProtection="1">
      <alignment horizontal="center" vertical="center" shrinkToFit="1"/>
      <protection locked="0"/>
    </xf>
    <xf numFmtId="0" fontId="6" fillId="3" borderId="142" xfId="14" applyFont="1" applyFill="1" applyBorder="1" applyAlignment="1" applyProtection="1">
      <alignment horizontal="center" vertical="center"/>
      <protection locked="0"/>
    </xf>
    <xf numFmtId="0" fontId="39" fillId="7" borderId="23" xfId="13" applyFont="1" applyFill="1" applyBorder="1" applyAlignment="1">
      <alignment horizontal="center" vertical="center" shrinkToFit="1"/>
    </xf>
    <xf numFmtId="0" fontId="39" fillId="7" borderId="22" xfId="13" applyFont="1" applyFill="1" applyBorder="1" applyAlignment="1">
      <alignment horizontal="center" vertical="center" shrinkToFit="1"/>
    </xf>
    <xf numFmtId="0" fontId="39" fillId="7" borderId="400" xfId="13" applyFont="1" applyFill="1" applyBorder="1" applyAlignment="1">
      <alignment horizontal="center" vertical="center" shrinkToFit="1"/>
    </xf>
    <xf numFmtId="0" fontId="39" fillId="7" borderId="21" xfId="13" applyFont="1" applyFill="1" applyBorder="1" applyAlignment="1">
      <alignment horizontal="center" vertical="center" shrinkToFit="1"/>
    </xf>
    <xf numFmtId="0" fontId="40" fillId="0" borderId="0" xfId="13" applyFont="1">
      <alignment vertical="center"/>
    </xf>
    <xf numFmtId="0" fontId="41" fillId="0" borderId="0" xfId="13" applyFont="1" applyBorder="1">
      <alignment vertical="center"/>
    </xf>
    <xf numFmtId="0" fontId="42" fillId="0" borderId="0" xfId="13" applyFont="1" applyBorder="1">
      <alignment vertical="center"/>
    </xf>
    <xf numFmtId="0" fontId="43" fillId="2" borderId="4" xfId="14" applyNumberFormat="1" applyFont="1" applyFill="1" applyBorder="1" applyProtection="1">
      <protection locked="0"/>
    </xf>
    <xf numFmtId="0" fontId="43" fillId="2" borderId="3" xfId="14" applyNumberFormat="1" applyFont="1" applyFill="1" applyBorder="1" applyProtection="1">
      <protection locked="0"/>
    </xf>
    <xf numFmtId="242" fontId="43" fillId="2" borderId="3" xfId="14" applyNumberFormat="1" applyFont="1" applyFill="1" applyBorder="1" applyAlignment="1" applyProtection="1">
      <alignment horizontal="left"/>
      <protection locked="0"/>
    </xf>
    <xf numFmtId="0" fontId="43" fillId="2" borderId="3" xfId="14" applyFont="1" applyFill="1" applyBorder="1" applyProtection="1">
      <protection locked="0"/>
    </xf>
    <xf numFmtId="194" fontId="44" fillId="2" borderId="3" xfId="14" applyNumberFormat="1" applyFont="1" applyFill="1" applyBorder="1" applyProtection="1">
      <protection locked="0"/>
    </xf>
    <xf numFmtId="194" fontId="43" fillId="2" borderId="3" xfId="14" applyNumberFormat="1" applyFont="1" applyFill="1" applyBorder="1" applyProtection="1">
      <protection locked="0"/>
    </xf>
    <xf numFmtId="0" fontId="44" fillId="2" borderId="2" xfId="14" applyNumberFormat="1" applyFont="1" applyFill="1" applyBorder="1" applyAlignment="1" applyProtection="1">
      <alignment horizontal="left" vertical="center" indent="1"/>
      <protection locked="0"/>
    </xf>
    <xf numFmtId="195" fontId="6" fillId="0" borderId="173" xfId="2" applyNumberFormat="1" applyFont="1" applyFill="1" applyBorder="1" applyAlignment="1" applyProtection="1">
      <alignment horizontal="center" vertical="center" wrapText="1" shrinkToFit="1"/>
      <protection locked="0"/>
    </xf>
    <xf numFmtId="196" fontId="6" fillId="0" borderId="172" xfId="2" applyNumberFormat="1" applyFont="1" applyFill="1" applyBorder="1" applyAlignment="1" applyProtection="1">
      <alignment horizontal="center" vertical="center" wrapText="1" shrinkToFit="1"/>
      <protection locked="0"/>
    </xf>
    <xf numFmtId="197" fontId="6" fillId="0" borderId="45" xfId="2" applyNumberFormat="1" applyFont="1" applyFill="1" applyBorder="1" applyAlignment="1" applyProtection="1">
      <alignment horizontal="center" vertical="center" wrapText="1" shrinkToFit="1"/>
      <protection locked="0"/>
    </xf>
    <xf numFmtId="198" fontId="6" fillId="0" borderId="175" xfId="2" applyNumberFormat="1" applyFont="1" applyFill="1" applyBorder="1" applyAlignment="1" applyProtection="1">
      <alignment horizontal="center" vertical="center" wrapText="1" shrinkToFit="1"/>
      <protection locked="0"/>
    </xf>
    <xf numFmtId="0" fontId="6" fillId="0" borderId="106" xfId="14" applyNumberFormat="1" applyFont="1" applyBorder="1" applyAlignment="1" applyProtection="1">
      <alignment horizontal="center" shrinkToFit="1"/>
      <protection locked="0"/>
    </xf>
    <xf numFmtId="0" fontId="6" fillId="0" borderId="66" xfId="14" applyNumberFormat="1" applyFont="1" applyBorder="1" applyAlignment="1" applyProtection="1">
      <alignment horizontal="center" shrinkToFit="1"/>
      <protection locked="0"/>
    </xf>
    <xf numFmtId="0" fontId="6" fillId="0" borderId="398" xfId="14" applyNumberFormat="1" applyFont="1" applyBorder="1" applyAlignment="1" applyProtection="1">
      <alignment shrinkToFit="1"/>
      <protection locked="0"/>
    </xf>
    <xf numFmtId="241" fontId="6" fillId="0" borderId="107" xfId="14" applyNumberFormat="1" applyFont="1" applyBorder="1" applyAlignment="1" applyProtection="1">
      <alignment shrinkToFit="1"/>
      <protection locked="0"/>
    </xf>
    <xf numFmtId="240" fontId="6" fillId="0" borderId="107" xfId="14" applyNumberFormat="1" applyFont="1" applyBorder="1" applyAlignment="1" applyProtection="1">
      <alignment shrinkToFit="1"/>
      <protection locked="0"/>
    </xf>
    <xf numFmtId="3" fontId="6" fillId="0" borderId="263" xfId="14" applyNumberFormat="1" applyFont="1" applyBorder="1" applyAlignment="1" applyProtection="1">
      <alignment shrinkToFit="1"/>
      <protection locked="0"/>
    </xf>
    <xf numFmtId="3" fontId="6" fillId="0" borderId="107" xfId="14" applyNumberFormat="1" applyFont="1" applyBorder="1" applyAlignment="1" applyProtection="1">
      <alignment shrinkToFit="1"/>
      <protection locked="0"/>
    </xf>
    <xf numFmtId="3" fontId="19" fillId="0" borderId="66" xfId="14" applyNumberFormat="1" applyFont="1" applyBorder="1" applyAlignment="1" applyProtection="1">
      <alignment shrinkToFit="1"/>
      <protection locked="0"/>
    </xf>
    <xf numFmtId="3" fontId="6" fillId="0" borderId="66" xfId="14" applyNumberFormat="1" applyFont="1" applyBorder="1" applyAlignment="1" applyProtection="1">
      <alignment shrinkToFit="1"/>
      <protection locked="0"/>
    </xf>
    <xf numFmtId="3" fontId="19" fillId="0" borderId="214" xfId="14" applyNumberFormat="1" applyFont="1" applyBorder="1" applyAlignment="1" applyProtection="1">
      <alignment shrinkToFit="1"/>
      <protection locked="0"/>
    </xf>
    <xf numFmtId="3" fontId="19" fillId="0" borderId="0" xfId="14" applyNumberFormat="1" applyFont="1" applyBorder="1" applyAlignment="1" applyProtection="1">
      <alignment shrinkToFit="1"/>
      <protection locked="0"/>
    </xf>
    <xf numFmtId="3" fontId="19" fillId="0" borderId="50" xfId="14" applyNumberFormat="1" applyFont="1" applyBorder="1" applyAlignment="1" applyProtection="1">
      <alignment shrinkToFit="1"/>
      <protection locked="0"/>
    </xf>
    <xf numFmtId="241" fontId="19" fillId="21" borderId="403" xfId="14" applyNumberFormat="1" applyFont="1" applyFill="1" applyBorder="1" applyAlignment="1">
      <alignment vertical="center" shrinkToFit="1"/>
    </xf>
    <xf numFmtId="240" fontId="19" fillId="21" borderId="403" xfId="14" applyNumberFormat="1" applyFont="1" applyFill="1" applyBorder="1" applyAlignment="1">
      <alignment vertical="center" shrinkToFit="1"/>
    </xf>
    <xf numFmtId="3" fontId="19" fillId="21" borderId="404" xfId="14" applyNumberFormat="1" applyFont="1" applyFill="1" applyBorder="1" applyAlignment="1">
      <alignment vertical="center" shrinkToFit="1"/>
    </xf>
    <xf numFmtId="3" fontId="19" fillId="21" borderId="403" xfId="14" applyNumberFormat="1" applyFont="1" applyFill="1" applyBorder="1" applyAlignment="1">
      <alignment vertical="center" shrinkToFit="1"/>
    </xf>
    <xf numFmtId="3" fontId="19" fillId="21" borderId="405" xfId="14" applyNumberFormat="1" applyFont="1" applyFill="1" applyBorder="1" applyAlignment="1">
      <alignment vertical="center" shrinkToFit="1"/>
    </xf>
    <xf numFmtId="0" fontId="19" fillId="21" borderId="402" xfId="14" applyNumberFormat="1" applyFont="1" applyFill="1" applyBorder="1" applyAlignment="1">
      <alignment horizontal="center" vertical="center" shrinkToFit="1"/>
    </xf>
    <xf numFmtId="0" fontId="0" fillId="0" borderId="401" xfId="0" applyBorder="1" applyAlignment="1">
      <alignment horizontal="center" vertical="center" shrinkToFit="1"/>
    </xf>
    <xf numFmtId="0" fontId="0" fillId="0" borderId="406" xfId="0" applyBorder="1" applyAlignment="1">
      <alignment horizontal="center" vertical="center" shrinkToFit="1"/>
    </xf>
    <xf numFmtId="0" fontId="6" fillId="3" borderId="84" xfId="14" applyNumberFormat="1" applyFont="1" applyFill="1" applyBorder="1" applyAlignment="1" applyProtection="1">
      <alignment horizontal="center" vertical="center"/>
      <protection locked="0"/>
    </xf>
    <xf numFmtId="0" fontId="6" fillId="3" borderId="72" xfId="14" applyNumberFormat="1" applyFont="1" applyFill="1" applyBorder="1" applyAlignment="1" applyProtection="1">
      <alignment horizontal="center" vertical="center"/>
      <protection locked="0"/>
    </xf>
    <xf numFmtId="0" fontId="0" fillId="0" borderId="173" xfId="0" applyBorder="1" applyAlignment="1">
      <alignment horizontal="center" vertical="center"/>
    </xf>
    <xf numFmtId="0" fontId="6" fillId="3" borderId="407" xfId="14" applyNumberFormat="1" applyFont="1" applyFill="1" applyBorder="1" applyAlignment="1" applyProtection="1">
      <alignment horizontal="center" vertical="center" wrapText="1"/>
      <protection locked="0"/>
    </xf>
    <xf numFmtId="0" fontId="45" fillId="0" borderId="0" xfId="13" applyFont="1">
      <alignment vertical="center"/>
    </xf>
    <xf numFmtId="2" fontId="39" fillId="0" borderId="0" xfId="13" applyNumberFormat="1" applyFont="1">
      <alignment vertical="center"/>
    </xf>
    <xf numFmtId="0" fontId="39" fillId="0" borderId="0" xfId="13" applyFont="1">
      <alignment vertical="center"/>
    </xf>
    <xf numFmtId="2" fontId="46" fillId="0" borderId="0" xfId="14" applyNumberFormat="1" applyFont="1"/>
    <xf numFmtId="0" fontId="46" fillId="0" borderId="0" xfId="14" applyFont="1"/>
    <xf numFmtId="0" fontId="46" fillId="0" borderId="0" xfId="14" applyFont="1" applyBorder="1"/>
    <xf numFmtId="0" fontId="6" fillId="0" borderId="0" xfId="15" applyFont="1">
      <alignment vertical="center"/>
    </xf>
    <xf numFmtId="228" fontId="6" fillId="0" borderId="136" xfId="14" applyNumberFormat="1" applyFont="1" applyBorder="1" applyAlignment="1" applyProtection="1">
      <alignment shrinkToFit="1"/>
      <protection locked="0"/>
    </xf>
    <xf numFmtId="3" fontId="19" fillId="0" borderId="135" xfId="14" applyNumberFormat="1" applyFont="1" applyBorder="1" applyAlignment="1" applyProtection="1">
      <alignment shrinkToFit="1"/>
      <protection locked="0"/>
    </xf>
    <xf numFmtId="3" fontId="6" fillId="0" borderId="135" xfId="14" applyNumberFormat="1" applyFont="1" applyFill="1" applyBorder="1" applyAlignment="1" applyProtection="1">
      <alignment shrinkToFit="1"/>
      <protection locked="0"/>
    </xf>
    <xf numFmtId="2" fontId="6" fillId="0" borderId="156" xfId="14" applyNumberFormat="1" applyFont="1" applyBorder="1" applyAlignment="1" applyProtection="1">
      <alignment shrinkToFit="1"/>
      <protection locked="0"/>
    </xf>
    <xf numFmtId="2" fontId="6" fillId="0" borderId="200" xfId="14" applyNumberFormat="1" applyFont="1" applyBorder="1" applyAlignment="1" applyProtection="1">
      <alignment shrinkToFit="1"/>
      <protection locked="0"/>
    </xf>
    <xf numFmtId="3" fontId="6" fillId="0" borderId="409" xfId="14" applyNumberFormat="1" applyFont="1" applyBorder="1" applyAlignment="1" applyProtection="1">
      <alignment shrinkToFit="1"/>
      <protection locked="0"/>
    </xf>
    <xf numFmtId="3" fontId="19" fillId="0" borderId="311" xfId="14" applyNumberFormat="1" applyFont="1" applyBorder="1" applyAlignment="1" applyProtection="1">
      <alignment shrinkToFit="1"/>
      <protection locked="0"/>
    </xf>
    <xf numFmtId="0" fontId="6" fillId="0" borderId="409" xfId="14" applyNumberFormat="1" applyFont="1" applyBorder="1" applyAlignment="1" applyProtection="1">
      <alignment horizontal="center" shrinkToFit="1"/>
      <protection locked="0"/>
    </xf>
    <xf numFmtId="240" fontId="6" fillId="0" borderId="197" xfId="14" applyNumberFormat="1" applyFont="1" applyBorder="1" applyAlignment="1" applyProtection="1">
      <alignment shrinkToFit="1"/>
      <protection locked="0"/>
    </xf>
    <xf numFmtId="228" fontId="6" fillId="0" borderId="201" xfId="14" applyNumberFormat="1" applyFont="1" applyBorder="1" applyAlignment="1" applyProtection="1">
      <alignment shrinkToFit="1"/>
      <protection locked="0"/>
    </xf>
    <xf numFmtId="3" fontId="19" fillId="0" borderId="68" xfId="14" applyNumberFormat="1" applyFont="1" applyBorder="1" applyAlignment="1" applyProtection="1">
      <alignment shrinkToFit="1"/>
      <protection locked="0"/>
    </xf>
    <xf numFmtId="3" fontId="6" fillId="0" borderId="68" xfId="14" applyNumberFormat="1" applyFont="1" applyFill="1" applyBorder="1" applyAlignment="1" applyProtection="1">
      <alignment shrinkToFit="1"/>
      <protection locked="0"/>
    </xf>
    <xf numFmtId="2" fontId="6" fillId="0" borderId="353" xfId="14" applyNumberFormat="1" applyFont="1" applyBorder="1" applyAlignment="1" applyProtection="1">
      <alignment shrinkToFit="1"/>
      <protection locked="0"/>
    </xf>
    <xf numFmtId="2" fontId="6" fillId="0" borderId="354" xfId="14" applyNumberFormat="1" applyFont="1" applyBorder="1" applyAlignment="1" applyProtection="1">
      <alignment shrinkToFit="1"/>
      <protection locked="0"/>
    </xf>
    <xf numFmtId="3" fontId="6" fillId="0" borderId="410" xfId="14" applyNumberFormat="1" applyFont="1" applyBorder="1" applyAlignment="1" applyProtection="1">
      <alignment shrinkToFit="1"/>
      <protection locked="0"/>
    </xf>
    <xf numFmtId="3" fontId="19" fillId="0" borderId="355" xfId="14" applyNumberFormat="1" applyFont="1" applyBorder="1" applyAlignment="1" applyProtection="1">
      <alignment shrinkToFit="1"/>
      <protection locked="0"/>
    </xf>
    <xf numFmtId="0" fontId="6" fillId="0" borderId="410" xfId="14" applyNumberFormat="1" applyFont="1" applyBorder="1" applyAlignment="1" applyProtection="1">
      <alignment horizontal="center" shrinkToFit="1"/>
      <protection locked="0"/>
    </xf>
    <xf numFmtId="240" fontId="6" fillId="0" borderId="82" xfId="14" applyNumberFormat="1" applyFont="1" applyBorder="1" applyAlignment="1" applyProtection="1">
      <alignment shrinkToFit="1"/>
      <protection locked="0"/>
    </xf>
    <xf numFmtId="2" fontId="6" fillId="7" borderId="16" xfId="14" applyNumberFormat="1" applyFont="1" applyFill="1" applyBorder="1" applyAlignment="1" applyProtection="1">
      <alignment horizontal="center" vertical="center" wrapText="1" shrinkToFit="1"/>
      <protection locked="0"/>
    </xf>
    <xf numFmtId="2" fontId="6" fillId="7" borderId="14" xfId="14" applyNumberFormat="1" applyFont="1" applyFill="1" applyBorder="1" applyAlignment="1" applyProtection="1">
      <alignment horizontal="center" vertical="center" wrapText="1" shrinkToFit="1"/>
      <protection locked="0"/>
    </xf>
    <xf numFmtId="0" fontId="6" fillId="3" borderId="131" xfId="14" applyNumberFormat="1" applyFont="1" applyFill="1" applyBorder="1" applyAlignment="1" applyProtection="1">
      <alignment horizontal="center" vertical="center" wrapText="1" shrinkToFit="1"/>
      <protection locked="0"/>
    </xf>
    <xf numFmtId="0" fontId="6" fillId="3" borderId="66" xfId="14" applyNumberFormat="1" applyFont="1" applyFill="1" applyBorder="1" applyAlignment="1" applyProtection="1">
      <alignment horizontal="center" vertical="center" wrapText="1" shrinkToFit="1"/>
      <protection locked="0"/>
    </xf>
    <xf numFmtId="0" fontId="6" fillId="3" borderId="263" xfId="14" applyNumberFormat="1" applyFont="1" applyFill="1" applyBorder="1" applyAlignment="1" applyProtection="1">
      <alignment horizontal="center" vertical="center" wrapText="1" shrinkToFit="1"/>
      <protection locked="0"/>
    </xf>
    <xf numFmtId="0" fontId="6" fillId="3" borderId="167" xfId="14" applyNumberFormat="1" applyFont="1" applyFill="1" applyBorder="1" applyAlignment="1" applyProtection="1">
      <alignment horizontal="center" vertical="center" wrapText="1"/>
      <protection locked="0"/>
    </xf>
    <xf numFmtId="0" fontId="6" fillId="3" borderId="358" xfId="14" applyNumberFormat="1" applyFont="1" applyFill="1" applyBorder="1" applyAlignment="1" applyProtection="1">
      <alignment horizontal="center" vertical="center" wrapText="1"/>
      <protection locked="0"/>
    </xf>
    <xf numFmtId="0" fontId="6" fillId="3" borderId="408" xfId="14" applyNumberFormat="1" applyFont="1" applyFill="1" applyBorder="1" applyAlignment="1" applyProtection="1">
      <alignment horizontal="center" vertical="center" wrapText="1"/>
      <protection locked="0"/>
    </xf>
    <xf numFmtId="0" fontId="6" fillId="3" borderId="315" xfId="14" applyNumberFormat="1" applyFont="1" applyFill="1" applyBorder="1" applyAlignment="1" applyProtection="1">
      <alignment horizontal="center" vertical="center" shrinkToFit="1"/>
      <protection locked="0"/>
    </xf>
    <xf numFmtId="0" fontId="6" fillId="3" borderId="408" xfId="14" applyNumberFormat="1" applyFont="1" applyFill="1" applyBorder="1" applyAlignment="1" applyProtection="1">
      <alignment horizontal="center" vertical="center" wrapText="1" shrinkToFit="1"/>
      <protection locked="0"/>
    </xf>
    <xf numFmtId="2" fontId="6" fillId="7" borderId="283" xfId="14" applyNumberFormat="1" applyFont="1" applyFill="1" applyBorder="1" applyAlignment="1" applyProtection="1">
      <alignment horizontal="center" vertical="center" wrapText="1" shrinkToFit="1"/>
      <protection locked="0"/>
    </xf>
    <xf numFmtId="2" fontId="6" fillId="7" borderId="326" xfId="14" applyNumberFormat="1" applyFont="1" applyFill="1" applyBorder="1" applyAlignment="1" applyProtection="1">
      <alignment horizontal="center" vertical="center" wrapText="1" shrinkToFit="1"/>
      <protection locked="0"/>
    </xf>
    <xf numFmtId="0" fontId="6" fillId="3" borderId="156" xfId="14" applyNumberFormat="1" applyFont="1" applyFill="1" applyBorder="1" applyAlignment="1" applyProtection="1">
      <alignment horizontal="center" vertical="center" wrapText="1"/>
      <protection locked="0"/>
    </xf>
    <xf numFmtId="0" fontId="6" fillId="3" borderId="155" xfId="14" applyNumberFormat="1" applyFont="1" applyFill="1" applyBorder="1" applyAlignment="1" applyProtection="1">
      <alignment horizontal="center" vertical="center" wrapText="1"/>
      <protection locked="0"/>
    </xf>
    <xf numFmtId="0" fontId="6" fillId="3" borderId="411" xfId="14" applyNumberFormat="1" applyFont="1" applyFill="1" applyBorder="1" applyAlignment="1" applyProtection="1">
      <alignment horizontal="center" vertical="center" wrapText="1"/>
      <protection locked="0"/>
    </xf>
    <xf numFmtId="0" fontId="6" fillId="3" borderId="412" xfId="14" applyNumberFormat="1" applyFont="1" applyFill="1" applyBorder="1" applyAlignment="1" applyProtection="1">
      <alignment horizontal="center" vertical="center" wrapText="1" shrinkToFit="1"/>
      <protection locked="0"/>
    </xf>
    <xf numFmtId="0" fontId="6" fillId="3" borderId="411" xfId="14" applyNumberFormat="1" applyFont="1" applyFill="1" applyBorder="1" applyAlignment="1" applyProtection="1">
      <alignment horizontal="center" vertical="center" wrapText="1" shrinkToFit="1"/>
      <protection locked="0"/>
    </xf>
    <xf numFmtId="2" fontId="39" fillId="7" borderId="46" xfId="13" applyNumberFormat="1" applyFont="1" applyFill="1" applyBorder="1" applyAlignment="1">
      <alignment horizontal="center" vertical="center" wrapText="1"/>
    </xf>
    <xf numFmtId="2" fontId="39" fillId="7" borderId="103" xfId="13" applyNumberFormat="1" applyFont="1" applyFill="1" applyBorder="1" applyAlignment="1">
      <alignment horizontal="center" vertical="center" wrapText="1"/>
    </xf>
    <xf numFmtId="0" fontId="39" fillId="10" borderId="0" xfId="13" applyFont="1" applyFill="1" applyBorder="1" applyAlignment="1">
      <alignment horizontal="center" vertical="center" shrinkToFit="1"/>
    </xf>
    <xf numFmtId="0" fontId="39" fillId="5" borderId="0" xfId="13" applyFont="1" applyFill="1" applyBorder="1" applyAlignment="1">
      <alignment horizontal="center" vertical="center" shrinkToFit="1"/>
    </xf>
    <xf numFmtId="0" fontId="6" fillId="3" borderId="27" xfId="14" applyNumberFormat="1" applyFont="1" applyFill="1" applyBorder="1" applyAlignment="1" applyProtection="1">
      <alignment horizontal="center" vertical="center" wrapText="1" shrinkToFit="1"/>
      <protection locked="0"/>
    </xf>
    <xf numFmtId="0" fontId="6" fillId="3" borderId="105" xfId="14" applyNumberFormat="1" applyFont="1" applyFill="1" applyBorder="1" applyAlignment="1" applyProtection="1">
      <alignment horizontal="center"/>
      <protection locked="0"/>
    </xf>
    <xf numFmtId="0" fontId="6" fillId="3" borderId="145" xfId="14" applyNumberFormat="1" applyFont="1" applyFill="1" applyBorder="1" applyAlignment="1" applyProtection="1">
      <alignment horizontal="center" vertical="center" wrapText="1"/>
      <protection locked="0"/>
    </xf>
    <xf numFmtId="0" fontId="6" fillId="3" borderId="146" xfId="14" applyNumberFormat="1" applyFont="1" applyFill="1" applyBorder="1" applyAlignment="1" applyProtection="1">
      <alignment horizontal="center" vertical="center" wrapText="1"/>
      <protection locked="0"/>
    </xf>
    <xf numFmtId="0" fontId="6" fillId="3" borderId="413" xfId="14" applyNumberFormat="1" applyFont="1" applyFill="1" applyBorder="1" applyAlignment="1" applyProtection="1">
      <alignment horizontal="center" vertical="center" wrapText="1"/>
      <protection locked="0"/>
    </xf>
    <xf numFmtId="0" fontId="6" fillId="3" borderId="413" xfId="14" applyNumberFormat="1" applyFont="1" applyFill="1" applyBorder="1" applyAlignment="1" applyProtection="1">
      <alignment horizontal="center" vertical="center" wrapText="1" shrinkToFit="1"/>
      <protection locked="0"/>
    </xf>
    <xf numFmtId="2" fontId="39" fillId="7" borderId="50" xfId="13" applyNumberFormat="1" applyFont="1" applyFill="1" applyBorder="1" applyAlignment="1">
      <alignment horizontal="center" vertical="center" wrapText="1"/>
    </xf>
    <xf numFmtId="2" fontId="39" fillId="7" borderId="102" xfId="13" applyNumberFormat="1" applyFont="1" applyFill="1" applyBorder="1" applyAlignment="1">
      <alignment horizontal="center" vertical="center" wrapText="1"/>
    </xf>
    <xf numFmtId="0" fontId="39" fillId="7" borderId="46" xfId="13" applyFont="1" applyFill="1" applyBorder="1" applyAlignment="1">
      <alignment horizontal="center" vertical="center" shrinkToFit="1"/>
    </xf>
    <xf numFmtId="0" fontId="39" fillId="7" borderId="45" xfId="13" applyFont="1" applyFill="1" applyBorder="1" applyAlignment="1">
      <alignment horizontal="center" vertical="center" shrinkToFit="1"/>
    </xf>
    <xf numFmtId="0" fontId="39" fillId="7" borderId="13" xfId="13" applyFont="1" applyFill="1" applyBorder="1" applyAlignment="1">
      <alignment horizontal="center" vertical="center" shrinkToFit="1"/>
    </xf>
    <xf numFmtId="0" fontId="39" fillId="7" borderId="12" xfId="13" applyFont="1" applyFill="1" applyBorder="1" applyAlignment="1">
      <alignment horizontal="center" vertical="center" shrinkToFit="1"/>
    </xf>
    <xf numFmtId="0" fontId="39" fillId="7" borderId="11" xfId="13" applyFont="1" applyFill="1" applyBorder="1" applyAlignment="1">
      <alignment horizontal="center" vertical="center" shrinkToFit="1"/>
    </xf>
    <xf numFmtId="0" fontId="6" fillId="0" borderId="0" xfId="14" applyFont="1" applyAlignment="1">
      <alignment horizontal="right" vertical="center"/>
    </xf>
    <xf numFmtId="2" fontId="39" fillId="7" borderId="185" xfId="13" applyNumberFormat="1" applyFont="1" applyFill="1" applyBorder="1" applyAlignment="1">
      <alignment horizontal="center" vertical="center" wrapText="1"/>
    </xf>
    <xf numFmtId="2" fontId="39" fillId="7" borderId="178" xfId="13" applyNumberFormat="1" applyFont="1" applyFill="1" applyBorder="1" applyAlignment="1">
      <alignment horizontal="center" vertical="center" wrapText="1"/>
    </xf>
    <xf numFmtId="0" fontId="39" fillId="7" borderId="185" xfId="13" applyFont="1" applyFill="1" applyBorder="1" applyAlignment="1">
      <alignment horizontal="center" vertical="center" shrinkToFit="1"/>
    </xf>
    <xf numFmtId="0" fontId="39" fillId="7" borderId="179" xfId="13" applyFont="1" applyFill="1" applyBorder="1" applyAlignment="1">
      <alignment horizontal="center" vertical="center" shrinkToFit="1"/>
    </xf>
    <xf numFmtId="0" fontId="39" fillId="7" borderId="259" xfId="13" applyFont="1" applyFill="1" applyBorder="1" applyAlignment="1">
      <alignment horizontal="center" vertical="center" shrinkToFit="1"/>
    </xf>
    <xf numFmtId="0" fontId="39" fillId="7" borderId="414" xfId="13" applyFont="1" applyFill="1" applyBorder="1" applyAlignment="1">
      <alignment horizontal="center" vertical="center" shrinkToFit="1"/>
    </xf>
    <xf numFmtId="0" fontId="39" fillId="7" borderId="415" xfId="13" applyFont="1" applyFill="1" applyBorder="1" applyAlignment="1">
      <alignment horizontal="center" vertical="center" shrinkToFit="1"/>
    </xf>
    <xf numFmtId="0" fontId="47" fillId="0" borderId="0" xfId="13" applyFont="1">
      <alignment vertical="center"/>
    </xf>
    <xf numFmtId="2" fontId="48" fillId="0" borderId="0" xfId="13" applyNumberFormat="1" applyFont="1">
      <alignment vertical="center"/>
    </xf>
    <xf numFmtId="0" fontId="48" fillId="0" borderId="0" xfId="13" applyFont="1">
      <alignment vertical="center"/>
    </xf>
    <xf numFmtId="0" fontId="48" fillId="0" borderId="0" xfId="13" applyFont="1" applyBorder="1">
      <alignment vertical="center"/>
    </xf>
    <xf numFmtId="0" fontId="12" fillId="2" borderId="4" xfId="14" applyFont="1" applyFill="1" applyBorder="1"/>
    <xf numFmtId="0" fontId="12" fillId="2" borderId="3" xfId="14" applyFont="1" applyFill="1" applyBorder="1"/>
    <xf numFmtId="0" fontId="12" fillId="2" borderId="3" xfId="14" applyNumberFormat="1" applyFont="1" applyFill="1" applyBorder="1" applyProtection="1">
      <protection locked="0"/>
    </xf>
    <xf numFmtId="242" fontId="12" fillId="2" borderId="3" xfId="14" applyNumberFormat="1" applyFont="1" applyFill="1" applyBorder="1" applyAlignment="1" applyProtection="1">
      <alignment horizontal="left"/>
      <protection locked="0"/>
    </xf>
    <xf numFmtId="0" fontId="12" fillId="2" borderId="3" xfId="14" applyFont="1" applyFill="1" applyBorder="1" applyProtection="1">
      <protection locked="0"/>
    </xf>
    <xf numFmtId="194" fontId="7" fillId="2" borderId="3" xfId="14" applyNumberFormat="1" applyFont="1" applyFill="1" applyBorder="1" applyProtection="1">
      <protection locked="0"/>
    </xf>
    <xf numFmtId="194" fontId="12" fillId="2" borderId="3" xfId="14" applyNumberFormat="1" applyFont="1" applyFill="1" applyBorder="1" applyProtection="1">
      <protection locked="0"/>
    </xf>
    <xf numFmtId="0" fontId="7" fillId="2" borderId="2" xfId="14" applyNumberFormat="1" applyFont="1" applyFill="1" applyBorder="1" applyAlignment="1" applyProtection="1">
      <alignment horizontal="left" vertical="center" indent="1"/>
      <protection locked="0"/>
    </xf>
    <xf numFmtId="240" fontId="6" fillId="0" borderId="0" xfId="14" applyNumberFormat="1" applyFont="1" applyBorder="1" applyAlignment="1" applyProtection="1">
      <alignment shrinkToFit="1"/>
      <protection locked="0"/>
    </xf>
    <xf numFmtId="0" fontId="6" fillId="0" borderId="411" xfId="14" applyNumberFormat="1" applyFont="1" applyBorder="1" applyAlignment="1" applyProtection="1">
      <alignment horizontal="center" shrinkToFit="1"/>
      <protection locked="0"/>
    </xf>
    <xf numFmtId="3" fontId="19" fillId="0" borderId="107" xfId="14" applyNumberFormat="1" applyFont="1" applyBorder="1" applyAlignment="1" applyProtection="1">
      <alignment shrinkToFit="1"/>
      <protection locked="0"/>
    </xf>
    <xf numFmtId="3" fontId="19" fillId="0" borderId="315" xfId="14" applyNumberFormat="1" applyFont="1" applyBorder="1" applyAlignment="1" applyProtection="1">
      <alignment shrinkToFit="1"/>
      <protection locked="0"/>
    </xf>
    <xf numFmtId="3" fontId="6" fillId="0" borderId="411" xfId="14" applyNumberFormat="1" applyFont="1" applyBorder="1" applyAlignment="1" applyProtection="1">
      <alignment shrinkToFit="1"/>
      <protection locked="0"/>
    </xf>
    <xf numFmtId="2" fontId="6" fillId="0" borderId="263" xfId="14" applyNumberFormat="1" applyFont="1" applyBorder="1" applyAlignment="1" applyProtection="1">
      <alignment shrinkToFit="1"/>
      <protection locked="0"/>
    </xf>
    <xf numFmtId="2" fontId="6" fillId="0" borderId="214" xfId="14" applyNumberFormat="1" applyFont="1" applyBorder="1" applyAlignment="1" applyProtection="1">
      <alignment shrinkToFit="1"/>
      <protection locked="0"/>
    </xf>
    <xf numFmtId="3" fontId="6" fillId="0" borderId="107" xfId="14" applyNumberFormat="1" applyFont="1" applyFill="1" applyBorder="1" applyAlignment="1" applyProtection="1">
      <alignment shrinkToFit="1"/>
      <protection locked="0"/>
    </xf>
    <xf numFmtId="228" fontId="6" fillId="0" borderId="50" xfId="14" applyNumberFormat="1" applyFont="1" applyBorder="1" applyAlignment="1" applyProtection="1">
      <alignment shrinkToFit="1"/>
      <protection locked="0"/>
    </xf>
    <xf numFmtId="0" fontId="19" fillId="21" borderId="404" xfId="14" applyNumberFormat="1" applyFont="1" applyFill="1" applyBorder="1" applyAlignment="1">
      <alignment vertical="center" shrinkToFit="1"/>
    </xf>
    <xf numFmtId="2" fontId="19" fillId="21" borderId="404" xfId="14" applyNumberFormat="1" applyFont="1" applyFill="1" applyBorder="1" applyAlignment="1">
      <alignment vertical="center" shrinkToFit="1"/>
    </xf>
    <xf numFmtId="2" fontId="19" fillId="21" borderId="403" xfId="14" applyNumberFormat="1" applyFont="1" applyFill="1" applyBorder="1" applyAlignment="1">
      <alignment vertical="center" shrinkToFit="1"/>
    </xf>
    <xf numFmtId="228" fontId="19" fillId="21" borderId="405" xfId="14" applyNumberFormat="1" applyFont="1" applyFill="1" applyBorder="1" applyAlignment="1">
      <alignment vertical="center" shrinkToFit="1"/>
    </xf>
    <xf numFmtId="0" fontId="6" fillId="0" borderId="0" xfId="14" applyFont="1" applyAlignment="1"/>
    <xf numFmtId="0" fontId="6" fillId="0" borderId="46" xfId="3" applyFont="1" applyFill="1" applyBorder="1" applyAlignment="1">
      <alignment horizontal="left" vertical="center" indent="1" shrinkToFit="1"/>
    </xf>
    <xf numFmtId="0" fontId="6" fillId="0" borderId="45" xfId="3" applyFont="1" applyFill="1" applyBorder="1" applyAlignment="1">
      <alignment horizontal="left" vertical="center" indent="1" shrinkToFit="1"/>
    </xf>
    <xf numFmtId="0" fontId="6" fillId="0" borderId="103" xfId="3" applyFont="1" applyFill="1" applyBorder="1" applyAlignment="1">
      <alignment horizontal="left" vertical="center" indent="1" shrinkToFit="1"/>
    </xf>
    <xf numFmtId="0" fontId="6" fillId="0" borderId="0" xfId="14" applyFont="1" applyAlignment="1">
      <alignment horizontal="left" indent="1" shrinkToFit="1"/>
    </xf>
    <xf numFmtId="0" fontId="6" fillId="0" borderId="50" xfId="3" applyFont="1" applyFill="1" applyBorder="1" applyAlignment="1">
      <alignment horizontal="left" vertical="center" indent="1" shrinkToFit="1"/>
    </xf>
    <xf numFmtId="0" fontId="6" fillId="0" borderId="0" xfId="3" applyFont="1" applyFill="1" applyBorder="1" applyAlignment="1">
      <alignment horizontal="left" vertical="center" indent="1" shrinkToFit="1"/>
    </xf>
    <xf numFmtId="0" fontId="6" fillId="0" borderId="102" xfId="3" applyFont="1" applyFill="1" applyBorder="1" applyAlignment="1">
      <alignment horizontal="left" vertical="center" indent="1" shrinkToFit="1"/>
    </xf>
    <xf numFmtId="0" fontId="6" fillId="0" borderId="0" xfId="14" applyFont="1" applyBorder="1" applyAlignment="1"/>
    <xf numFmtId="0" fontId="6" fillId="0" borderId="416" xfId="14" applyFont="1" applyBorder="1" applyAlignment="1">
      <alignment horizontal="left" indent="1" shrinkToFit="1"/>
    </xf>
    <xf numFmtId="0" fontId="6" fillId="0" borderId="417" xfId="14" applyFont="1" applyBorder="1" applyAlignment="1"/>
    <xf numFmtId="0" fontId="6" fillId="0" borderId="0" xfId="16" applyFont="1" applyAlignment="1"/>
    <xf numFmtId="0" fontId="6" fillId="0" borderId="0" xfId="14" applyNumberFormat="1" applyFont="1" applyBorder="1" applyAlignment="1" applyProtection="1">
      <protection locked="0"/>
    </xf>
    <xf numFmtId="0" fontId="6" fillId="0" borderId="0" xfId="14" applyNumberFormat="1" applyFont="1" applyBorder="1" applyAlignment="1" applyProtection="1">
      <alignment horizontal="left" indent="1"/>
      <protection locked="0"/>
    </xf>
    <xf numFmtId="0" fontId="6" fillId="0" borderId="0" xfId="16" applyFont="1" applyBorder="1" applyAlignment="1"/>
    <xf numFmtId="0" fontId="6" fillId="0" borderId="0" xfId="14" applyNumberFormat="1" applyFont="1" applyBorder="1" applyAlignment="1"/>
    <xf numFmtId="0" fontId="6" fillId="0" borderId="0" xfId="17" applyFont="1" applyFill="1" applyAlignment="1"/>
    <xf numFmtId="0" fontId="6" fillId="0" borderId="0" xfId="17" applyNumberFormat="1" applyFont="1" applyFill="1" applyBorder="1" applyAlignment="1"/>
    <xf numFmtId="194" fontId="6" fillId="0" borderId="0" xfId="17" applyNumberFormat="1" applyFont="1" applyFill="1" applyBorder="1" applyAlignment="1"/>
    <xf numFmtId="0" fontId="1" fillId="0" borderId="418" xfId="18" applyBorder="1" applyAlignment="1">
      <alignment horizontal="center" vertical="center" shrinkToFit="1"/>
    </xf>
    <xf numFmtId="0" fontId="1" fillId="0" borderId="419" xfId="18" applyBorder="1" applyAlignment="1">
      <alignment horizontal="center" vertical="center" shrinkToFit="1"/>
    </xf>
    <xf numFmtId="0" fontId="1" fillId="0" borderId="420" xfId="18" applyBorder="1" applyAlignment="1">
      <alignment horizontal="center" vertical="center" shrinkToFit="1"/>
    </xf>
    <xf numFmtId="0" fontId="6" fillId="0" borderId="421" xfId="14" applyFont="1" applyBorder="1" applyAlignment="1">
      <alignment horizontal="center" vertical="center" wrapText="1" shrinkToFit="1"/>
    </xf>
    <xf numFmtId="194" fontId="50" fillId="0" borderId="0" xfId="17" applyNumberFormat="1" applyFont="1" applyFill="1" applyBorder="1" applyAlignment="1"/>
    <xf numFmtId="0" fontId="6" fillId="0" borderId="185" xfId="3" applyFont="1" applyFill="1" applyBorder="1" applyAlignment="1">
      <alignment horizontal="left" vertical="center" indent="1" shrinkToFit="1"/>
    </xf>
    <xf numFmtId="0" fontId="6" fillId="0" borderId="179" xfId="3" applyFont="1" applyFill="1" applyBorder="1" applyAlignment="1">
      <alignment horizontal="left" vertical="center" indent="1" shrinkToFit="1"/>
    </xf>
    <xf numFmtId="0" fontId="6" fillId="0" borderId="178" xfId="3" applyFont="1" applyFill="1" applyBorder="1" applyAlignment="1">
      <alignment horizontal="left" vertical="center" indent="1" shrinkToFit="1"/>
    </xf>
    <xf numFmtId="0" fontId="51" fillId="0" borderId="0" xfId="17" applyFont="1" applyFill="1" applyAlignment="1">
      <alignment horizontal="right"/>
    </xf>
    <xf numFmtId="194" fontId="6" fillId="0" borderId="0" xfId="14" applyNumberFormat="1" applyFont="1" applyFill="1" applyBorder="1" applyAlignment="1"/>
    <xf numFmtId="194" fontId="6" fillId="0" borderId="0" xfId="14" applyNumberFormat="1" applyFont="1" applyBorder="1" applyAlignment="1"/>
    <xf numFmtId="0" fontId="11" fillId="0" borderId="0" xfId="14" applyFont="1" applyAlignment="1"/>
    <xf numFmtId="0" fontId="11" fillId="2" borderId="4" xfId="14" applyFont="1" applyFill="1" applyBorder="1" applyAlignment="1"/>
    <xf numFmtId="0" fontId="11" fillId="2" borderId="3" xfId="14" applyFont="1" applyFill="1" applyBorder="1" applyAlignment="1"/>
    <xf numFmtId="0" fontId="11" fillId="2" borderId="3" xfId="14" applyFont="1" applyFill="1" applyBorder="1" applyAlignment="1">
      <alignment vertical="center"/>
    </xf>
    <xf numFmtId="0" fontId="32" fillId="2" borderId="2" xfId="14" applyFont="1" applyFill="1" applyBorder="1" applyAlignment="1">
      <alignment horizontal="left" vertical="center"/>
    </xf>
    <xf numFmtId="0" fontId="32" fillId="2" borderId="2" xfId="14" applyFont="1" applyFill="1" applyBorder="1" applyAlignment="1">
      <alignment horizontal="left" vertical="center" indent="1"/>
    </xf>
    <xf numFmtId="0" fontId="6" fillId="0" borderId="0" xfId="14" applyFont="1" applyAlignment="1">
      <alignment shrinkToFit="1"/>
    </xf>
    <xf numFmtId="0" fontId="0" fillId="0" borderId="0" xfId="0" applyAlignment="1">
      <alignment shrinkToFit="1"/>
    </xf>
    <xf numFmtId="0" fontId="6" fillId="0" borderId="417" xfId="14" applyFont="1" applyBorder="1" applyAlignment="1">
      <alignment shrinkToFit="1"/>
    </xf>
    <xf numFmtId="0" fontId="0" fillId="0" borderId="417" xfId="0" applyBorder="1" applyAlignment="1">
      <alignment shrinkToFit="1"/>
    </xf>
    <xf numFmtId="0" fontId="6" fillId="0" borderId="416" xfId="14" applyFont="1" applyBorder="1" applyAlignment="1">
      <alignment shrinkToFit="1"/>
    </xf>
    <xf numFmtId="0" fontId="0" fillId="0" borderId="416" xfId="0" applyBorder="1" applyAlignment="1">
      <alignment shrinkToFit="1"/>
    </xf>
    <xf numFmtId="0" fontId="6" fillId="0" borderId="0" xfId="14" applyNumberFormat="1" applyFont="1" applyBorder="1" applyAlignment="1" applyProtection="1">
      <alignment shrinkToFit="1"/>
      <protection locked="0"/>
    </xf>
    <xf numFmtId="0" fontId="6" fillId="0" borderId="417" xfId="14" applyNumberFormat="1" applyFont="1" applyBorder="1" applyAlignment="1" applyProtection="1">
      <alignment shrinkToFit="1"/>
      <protection locked="0"/>
    </xf>
    <xf numFmtId="0" fontId="6" fillId="0" borderId="416" xfId="14" applyNumberFormat="1" applyFont="1" applyBorder="1" applyAlignment="1" applyProtection="1">
      <alignment shrinkToFit="1"/>
      <protection locked="0"/>
    </xf>
    <xf numFmtId="0" fontId="6" fillId="0" borderId="0" xfId="14" applyFont="1" applyBorder="1" applyAlignment="1">
      <alignment shrinkToFit="1"/>
    </xf>
    <xf numFmtId="0" fontId="6" fillId="0" borderId="0" xfId="14" applyNumberFormat="1" applyFont="1" applyBorder="1" applyAlignment="1">
      <alignment shrinkToFit="1"/>
    </xf>
    <xf numFmtId="0" fontId="6" fillId="0" borderId="0" xfId="16" applyFont="1" applyBorder="1" applyAlignment="1">
      <alignment shrinkToFit="1"/>
    </xf>
    <xf numFmtId="0" fontId="6" fillId="0" borderId="0" xfId="16" applyFont="1" applyAlignment="1">
      <alignment shrinkToFit="1"/>
    </xf>
    <xf numFmtId="0" fontId="6" fillId="0" borderId="417" xfId="16" applyFont="1" applyBorder="1" applyAlignment="1">
      <alignment shrinkToFit="1"/>
    </xf>
    <xf numFmtId="0" fontId="6" fillId="0" borderId="416" xfId="16" applyFont="1" applyBorder="1" applyAlignment="1">
      <alignment shrinkToFit="1"/>
    </xf>
    <xf numFmtId="0" fontId="6" fillId="0" borderId="417" xfId="14" applyNumberFormat="1" applyFont="1" applyBorder="1" applyAlignment="1">
      <alignment shrinkToFit="1"/>
    </xf>
    <xf numFmtId="0" fontId="6" fillId="0" borderId="416" xfId="14" applyNumberFormat="1" applyFont="1" applyBorder="1" applyAlignment="1">
      <alignment shrinkToFit="1"/>
    </xf>
    <xf numFmtId="3" fontId="6" fillId="0" borderId="136" xfId="14" applyNumberFormat="1" applyFont="1" applyBorder="1" applyAlignment="1" applyProtection="1">
      <alignment shrinkToFit="1"/>
      <protection locked="0"/>
    </xf>
    <xf numFmtId="3" fontId="6" fillId="0" borderId="156" xfId="14" applyNumberFormat="1" applyFont="1" applyBorder="1" applyAlignment="1" applyProtection="1">
      <alignment shrinkToFit="1"/>
      <protection locked="0"/>
    </xf>
    <xf numFmtId="0" fontId="6" fillId="0" borderId="314" xfId="14" applyNumberFormat="1" applyFont="1" applyBorder="1" applyAlignment="1" applyProtection="1">
      <alignment shrinkToFit="1"/>
      <protection locked="0"/>
    </xf>
    <xf numFmtId="183" fontId="6" fillId="3" borderId="315" xfId="14" applyNumberFormat="1" applyFont="1" applyFill="1" applyBorder="1" applyAlignment="1" applyProtection="1">
      <alignment horizontal="center" vertical="center" shrinkToFit="1"/>
      <protection locked="0"/>
    </xf>
    <xf numFmtId="183" fontId="6" fillId="3" borderId="107" xfId="14" applyNumberFormat="1" applyFont="1" applyFill="1" applyBorder="1" applyAlignment="1" applyProtection="1">
      <alignment horizontal="center" vertical="center" shrinkToFit="1"/>
      <protection locked="0"/>
    </xf>
    <xf numFmtId="183" fontId="6" fillId="3" borderId="263" xfId="14" applyNumberFormat="1" applyFont="1" applyFill="1" applyBorder="1" applyAlignment="1" applyProtection="1">
      <alignment horizontal="center" vertical="center" shrinkToFit="1"/>
      <protection locked="0"/>
    </xf>
    <xf numFmtId="0" fontId="6" fillId="3" borderId="422" xfId="14" applyNumberFormat="1" applyFont="1" applyFill="1" applyBorder="1" applyAlignment="1" applyProtection="1">
      <alignment horizontal="center" vertical="center" wrapText="1" shrinkToFit="1"/>
      <protection locked="0"/>
    </xf>
    <xf numFmtId="0" fontId="6" fillId="3" borderId="145" xfId="14" applyNumberFormat="1" applyFont="1" applyFill="1" applyBorder="1" applyAlignment="1" applyProtection="1">
      <alignment horizontal="center" vertical="center"/>
      <protection locked="0"/>
    </xf>
    <xf numFmtId="0" fontId="6" fillId="3" borderId="80" xfId="14" applyNumberFormat="1" applyFont="1" applyFill="1" applyBorder="1" applyAlignment="1" applyProtection="1">
      <alignment horizontal="center" vertical="center"/>
      <protection locked="0"/>
    </xf>
    <xf numFmtId="0" fontId="6" fillId="3" borderId="146" xfId="14" applyNumberFormat="1" applyFont="1" applyFill="1" applyBorder="1" applyAlignment="1" applyProtection="1">
      <alignment horizontal="center" vertical="center"/>
      <protection locked="0"/>
    </xf>
    <xf numFmtId="0" fontId="6" fillId="3" borderId="145" xfId="14" applyFont="1" applyFill="1" applyBorder="1" applyAlignment="1" applyProtection="1">
      <alignment horizontal="center" vertical="center" wrapText="1" shrinkToFit="1"/>
      <protection locked="0"/>
    </xf>
    <xf numFmtId="0" fontId="6" fillId="3" borderId="143" xfId="14" applyFont="1" applyFill="1" applyBorder="1" applyAlignment="1" applyProtection="1">
      <alignment horizontal="center" vertical="center" shrinkToFit="1"/>
      <protection locked="0"/>
    </xf>
    <xf numFmtId="0" fontId="53" fillId="0" borderId="0" xfId="13" applyFont="1">
      <alignment vertical="center"/>
    </xf>
    <xf numFmtId="0" fontId="54" fillId="2" borderId="4" xfId="14" applyFont="1" applyFill="1" applyBorder="1"/>
    <xf numFmtId="0" fontId="54" fillId="2" borderId="3" xfId="14" applyFont="1" applyFill="1" applyBorder="1"/>
    <xf numFmtId="0" fontId="54" fillId="2" borderId="3" xfId="14" applyNumberFormat="1" applyFont="1" applyFill="1" applyBorder="1" applyProtection="1">
      <protection locked="0"/>
    </xf>
    <xf numFmtId="242" fontId="54" fillId="2" borderId="3" xfId="14" applyNumberFormat="1" applyFont="1" applyFill="1" applyBorder="1" applyAlignment="1" applyProtection="1">
      <alignment horizontal="left"/>
      <protection locked="0"/>
    </xf>
    <xf numFmtId="0" fontId="54" fillId="2" borderId="3" xfId="14" applyFont="1" applyFill="1" applyBorder="1" applyProtection="1">
      <protection locked="0"/>
    </xf>
    <xf numFmtId="194" fontId="9" fillId="2" borderId="3" xfId="14" applyNumberFormat="1" applyFont="1" applyFill="1" applyBorder="1" applyProtection="1">
      <protection locked="0"/>
    </xf>
    <xf numFmtId="194" fontId="54" fillId="2" borderId="3" xfId="14" applyNumberFormat="1" applyFont="1" applyFill="1" applyBorder="1" applyProtection="1">
      <protection locked="0"/>
    </xf>
    <xf numFmtId="0" fontId="9" fillId="2" borderId="2" xfId="14" applyNumberFormat="1" applyFont="1" applyFill="1" applyBorder="1" applyAlignment="1" applyProtection="1">
      <alignment horizontal="left" vertical="center" indent="1"/>
      <protection locked="0"/>
    </xf>
    <xf numFmtId="0" fontId="6" fillId="3" borderId="315" xfId="14" applyFont="1" applyFill="1" applyBorder="1" applyAlignment="1" applyProtection="1">
      <alignment horizontal="center" vertical="center" shrinkToFit="1"/>
      <protection locked="0"/>
    </xf>
    <xf numFmtId="0" fontId="6" fillId="3" borderId="214" xfId="14" applyFont="1" applyFill="1" applyBorder="1" applyAlignment="1" applyProtection="1">
      <alignment horizontal="center" vertical="center" wrapText="1" shrinkToFit="1"/>
      <protection locked="0"/>
    </xf>
    <xf numFmtId="0" fontId="6" fillId="3" borderId="423" xfId="14" applyNumberFormat="1" applyFont="1" applyFill="1" applyBorder="1" applyAlignment="1" applyProtection="1">
      <alignment horizontal="center" vertical="center" wrapText="1" shrinkToFit="1"/>
      <protection locked="0"/>
    </xf>
    <xf numFmtId="0" fontId="6" fillId="0" borderId="311" xfId="14" applyNumberFormat="1" applyFont="1" applyBorder="1" applyAlignment="1" applyProtection="1">
      <alignment shrinkToFit="1"/>
      <protection locked="0"/>
    </xf>
    <xf numFmtId="0" fontId="0" fillId="0" borderId="430" xfId="0" applyBorder="1" applyAlignment="1">
      <alignment horizontal="center" vertical="center" shrinkToFit="1"/>
    </xf>
    <xf numFmtId="0" fontId="6" fillId="0" borderId="412" xfId="14" applyNumberFormat="1" applyFont="1" applyBorder="1" applyAlignment="1" applyProtection="1">
      <alignment shrinkToFit="1"/>
      <protection locked="0"/>
    </xf>
    <xf numFmtId="3" fontId="6" fillId="0" borderId="214" xfId="14" applyNumberFormat="1" applyFont="1" applyBorder="1" applyAlignment="1" applyProtection="1">
      <alignment shrinkToFit="1"/>
      <protection locked="0"/>
    </xf>
    <xf numFmtId="3" fontId="6" fillId="0" borderId="50" xfId="14" applyNumberFormat="1" applyFont="1" applyBorder="1" applyAlignment="1" applyProtection="1">
      <alignment shrinkToFit="1"/>
      <protection locked="0"/>
    </xf>
    <xf numFmtId="0" fontId="19" fillId="22" borderId="431" xfId="14" applyNumberFormat="1" applyFont="1" applyFill="1" applyBorder="1" applyAlignment="1" applyProtection="1">
      <alignment horizontal="center" vertical="center" shrinkToFit="1"/>
      <protection locked="0"/>
    </xf>
    <xf numFmtId="0" fontId="0" fillId="0" borderId="432" xfId="0" applyBorder="1" applyAlignment="1">
      <alignment horizontal="center" vertical="center" shrinkToFit="1"/>
    </xf>
    <xf numFmtId="0" fontId="0" fillId="0" borderId="433" xfId="0" applyBorder="1" applyAlignment="1">
      <alignment horizontal="center" vertical="center" shrinkToFit="1"/>
    </xf>
    <xf numFmtId="0" fontId="19" fillId="0" borderId="424" xfId="14" applyNumberFormat="1" applyFont="1" applyBorder="1" applyAlignment="1" applyProtection="1">
      <alignment vertical="center" shrinkToFit="1"/>
      <protection locked="0"/>
    </xf>
    <xf numFmtId="241" fontId="19" fillId="0" borderId="425" xfId="14" applyNumberFormat="1" applyFont="1" applyBorder="1" applyAlignment="1" applyProtection="1">
      <alignment vertical="center" shrinkToFit="1"/>
      <protection locked="0"/>
    </xf>
    <xf numFmtId="3" fontId="19" fillId="0" borderId="426" xfId="14" applyNumberFormat="1" applyFont="1" applyBorder="1" applyAlignment="1" applyProtection="1">
      <alignment vertical="center" shrinkToFit="1"/>
      <protection locked="0"/>
    </xf>
    <xf numFmtId="3" fontId="19" fillId="0" borderId="425" xfId="14" applyNumberFormat="1" applyFont="1" applyBorder="1" applyAlignment="1" applyProtection="1">
      <alignment vertical="center" shrinkToFit="1"/>
      <protection locked="0"/>
    </xf>
    <xf numFmtId="3" fontId="19" fillId="0" borderId="427" xfId="14" applyNumberFormat="1" applyFont="1" applyBorder="1" applyAlignment="1" applyProtection="1">
      <alignment vertical="center" shrinkToFit="1"/>
      <protection locked="0"/>
    </xf>
    <xf numFmtId="3" fontId="19" fillId="0" borderId="428" xfId="14" applyNumberFormat="1" applyFont="1" applyBorder="1" applyAlignment="1" applyProtection="1">
      <alignment vertical="center" shrinkToFit="1"/>
      <protection locked="0"/>
    </xf>
    <xf numFmtId="0" fontId="19" fillId="0" borderId="429" xfId="14" applyNumberFormat="1" applyFont="1" applyBorder="1" applyAlignment="1" applyProtection="1">
      <alignment horizontal="left" vertical="center" indent="1" shrinkToFit="1"/>
      <protection locked="0"/>
    </xf>
    <xf numFmtId="0" fontId="0" fillId="0" borderId="430" xfId="0" applyBorder="1" applyAlignment="1">
      <alignment horizontal="left" vertical="center" indent="1" shrinkToFit="1"/>
    </xf>
    <xf numFmtId="0" fontId="0" fillId="0" borderId="427" xfId="0" applyBorder="1" applyAlignment="1">
      <alignment horizontal="left" vertical="center" indent="1" shrinkToFit="1"/>
    </xf>
    <xf numFmtId="0" fontId="19" fillId="23" borderId="431" xfId="14" applyNumberFormat="1" applyFont="1" applyFill="1" applyBorder="1" applyAlignment="1" applyProtection="1">
      <alignment horizontal="center" vertical="center" shrinkToFit="1"/>
      <protection locked="0"/>
    </xf>
    <xf numFmtId="0" fontId="19" fillId="24" borderId="431" xfId="14" applyNumberFormat="1" applyFont="1" applyFill="1" applyBorder="1" applyAlignment="1" applyProtection="1">
      <alignment horizontal="center" vertical="center" shrinkToFit="1"/>
      <protection locked="0"/>
    </xf>
    <xf numFmtId="0" fontId="19" fillId="0" borderId="435" xfId="14" applyNumberFormat="1" applyFont="1" applyBorder="1" applyAlignment="1" applyProtection="1">
      <alignment vertical="center" shrinkToFit="1"/>
      <protection locked="0"/>
    </xf>
    <xf numFmtId="241" fontId="19" fillId="0" borderId="436" xfId="14" applyNumberFormat="1" applyFont="1" applyBorder="1" applyAlignment="1" applyProtection="1">
      <alignment vertical="center" shrinkToFit="1"/>
      <protection locked="0"/>
    </xf>
    <xf numFmtId="3" fontId="19" fillId="0" borderId="436" xfId="14" applyNumberFormat="1" applyFont="1" applyBorder="1" applyAlignment="1" applyProtection="1">
      <alignment vertical="center" shrinkToFit="1"/>
      <protection locked="0"/>
    </xf>
    <xf numFmtId="3" fontId="19" fillId="0" borderId="435" xfId="14" applyNumberFormat="1" applyFont="1" applyBorder="1" applyAlignment="1" applyProtection="1">
      <alignment vertical="center" shrinkToFit="1"/>
      <protection locked="0"/>
    </xf>
    <xf numFmtId="3" fontId="19" fillId="0" borderId="437" xfId="14" applyNumberFormat="1" applyFont="1" applyBorder="1" applyAlignment="1" applyProtection="1">
      <alignment vertical="center" shrinkToFit="1"/>
      <protection locked="0"/>
    </xf>
    <xf numFmtId="0" fontId="19" fillId="0" borderId="434" xfId="14" applyNumberFormat="1" applyFont="1" applyBorder="1" applyAlignment="1" applyProtection="1">
      <alignment horizontal="center" vertical="center" shrinkToFit="1"/>
      <protection locked="0"/>
    </xf>
    <xf numFmtId="0" fontId="0" fillId="0" borderId="438" xfId="0" applyBorder="1" applyAlignment="1">
      <alignment horizontal="center" vertical="center" shrinkToFit="1"/>
    </xf>
    <xf numFmtId="0" fontId="0" fillId="0" borderId="439" xfId="0" applyBorder="1" applyAlignment="1">
      <alignment horizontal="center" vertical="center" shrinkToFit="1"/>
    </xf>
    <xf numFmtId="0" fontId="6" fillId="0" borderId="315" xfId="14" applyNumberFormat="1" applyFont="1" applyBorder="1" applyAlignment="1" applyProtection="1">
      <alignment shrinkToFit="1"/>
      <protection locked="0"/>
    </xf>
    <xf numFmtId="241" fontId="19" fillId="22" borderId="442" xfId="14" applyNumberFormat="1" applyFont="1" applyFill="1" applyBorder="1" applyAlignment="1" applyProtection="1">
      <alignment vertical="center" shrinkToFit="1"/>
      <protection locked="0"/>
    </xf>
    <xf numFmtId="3" fontId="19" fillId="22" borderId="442" xfId="14" applyNumberFormat="1" applyFont="1" applyFill="1" applyBorder="1" applyAlignment="1" applyProtection="1">
      <alignment vertical="center" shrinkToFit="1"/>
      <protection locked="0"/>
    </xf>
    <xf numFmtId="3" fontId="19" fillId="22" borderId="441" xfId="14" applyNumberFormat="1" applyFont="1" applyFill="1" applyBorder="1" applyAlignment="1" applyProtection="1">
      <alignment vertical="center" shrinkToFit="1"/>
      <protection locked="0"/>
    </xf>
    <xf numFmtId="3" fontId="19" fillId="22" borderId="443" xfId="14" applyNumberFormat="1" applyFont="1" applyFill="1" applyBorder="1" applyAlignment="1" applyProtection="1">
      <alignment vertical="center" shrinkToFit="1"/>
      <protection locked="0"/>
    </xf>
    <xf numFmtId="0" fontId="19" fillId="22" borderId="440" xfId="14" applyNumberFormat="1" applyFont="1" applyFill="1" applyBorder="1" applyAlignment="1" applyProtection="1">
      <alignment horizontal="center" vertical="center" shrinkToFit="1"/>
      <protection locked="0"/>
    </xf>
    <xf numFmtId="0" fontId="2" fillId="22" borderId="441" xfId="0" applyNumberFormat="1" applyFont="1" applyFill="1" applyBorder="1" applyAlignment="1">
      <alignment horizontal="center" vertical="center" shrinkToFit="1"/>
    </xf>
    <xf numFmtId="241" fontId="19" fillId="23" borderId="442" xfId="14" applyNumberFormat="1" applyFont="1" applyFill="1" applyBorder="1" applyAlignment="1" applyProtection="1">
      <alignment vertical="center" shrinkToFit="1"/>
      <protection locked="0"/>
    </xf>
    <xf numFmtId="3" fontId="19" fillId="23" borderId="442" xfId="14" applyNumberFormat="1" applyFont="1" applyFill="1" applyBorder="1" applyAlignment="1" applyProtection="1">
      <alignment vertical="center" shrinkToFit="1"/>
      <protection locked="0"/>
    </xf>
    <xf numFmtId="3" fontId="19" fillId="23" borderId="441" xfId="14" applyNumberFormat="1" applyFont="1" applyFill="1" applyBorder="1" applyAlignment="1" applyProtection="1">
      <alignment vertical="center" shrinkToFit="1"/>
      <protection locked="0"/>
    </xf>
    <xf numFmtId="3" fontId="19" fillId="23" borderId="443" xfId="14" applyNumberFormat="1" applyFont="1" applyFill="1" applyBorder="1" applyAlignment="1" applyProtection="1">
      <alignment vertical="center" shrinkToFit="1"/>
      <protection locked="0"/>
    </xf>
    <xf numFmtId="0" fontId="19" fillId="23" borderId="440" xfId="14" applyNumberFormat="1" applyFont="1" applyFill="1" applyBorder="1" applyAlignment="1" applyProtection="1">
      <alignment horizontal="center" vertical="center" shrinkToFit="1"/>
      <protection locked="0"/>
    </xf>
    <xf numFmtId="0" fontId="2" fillId="23" borderId="441" xfId="0" applyNumberFormat="1" applyFont="1" applyFill="1" applyBorder="1" applyAlignment="1">
      <alignment horizontal="center" vertical="center" shrinkToFit="1"/>
    </xf>
    <xf numFmtId="241" fontId="19" fillId="24" borderId="442" xfId="14" applyNumberFormat="1" applyFont="1" applyFill="1" applyBorder="1" applyAlignment="1" applyProtection="1">
      <alignment vertical="center" shrinkToFit="1"/>
      <protection locked="0"/>
    </xf>
    <xf numFmtId="3" fontId="19" fillId="24" borderId="442" xfId="14" applyNumberFormat="1" applyFont="1" applyFill="1" applyBorder="1" applyAlignment="1" applyProtection="1">
      <alignment vertical="center" shrinkToFit="1"/>
      <protection locked="0"/>
    </xf>
    <xf numFmtId="3" fontId="19" fillId="24" borderId="441" xfId="14" applyNumberFormat="1" applyFont="1" applyFill="1" applyBorder="1" applyAlignment="1" applyProtection="1">
      <alignment vertical="center" shrinkToFit="1"/>
      <protection locked="0"/>
    </xf>
    <xf numFmtId="3" fontId="19" fillId="24" borderId="443" xfId="14" applyNumberFormat="1" applyFont="1" applyFill="1" applyBorder="1" applyAlignment="1" applyProtection="1">
      <alignment vertical="center" shrinkToFit="1"/>
      <protection locked="0"/>
    </xf>
    <xf numFmtId="0" fontId="19" fillId="24" borderId="440" xfId="14" applyNumberFormat="1" applyFont="1" applyFill="1" applyBorder="1" applyAlignment="1" applyProtection="1">
      <alignment horizontal="center" vertical="center" shrinkToFit="1"/>
      <protection locked="0"/>
    </xf>
    <xf numFmtId="0" fontId="2" fillId="24" borderId="441" xfId="0" applyNumberFormat="1" applyFont="1" applyFill="1" applyBorder="1" applyAlignment="1">
      <alignment horizontal="center" vertical="center" shrinkToFit="1"/>
    </xf>
    <xf numFmtId="0" fontId="19" fillId="22" borderId="444" xfId="14" applyNumberFormat="1" applyFont="1" applyFill="1" applyBorder="1" applyAlignment="1">
      <alignment horizontal="center" vertical="center" shrinkToFit="1"/>
    </xf>
    <xf numFmtId="0" fontId="0" fillId="0" borderId="445" xfId="0" applyBorder="1" applyAlignment="1">
      <alignment horizontal="center" vertical="center" shrinkToFit="1"/>
    </xf>
    <xf numFmtId="0" fontId="0" fillId="0" borderId="446" xfId="0" applyBorder="1" applyAlignment="1">
      <alignment horizontal="center" vertical="center" shrinkToFit="1"/>
    </xf>
    <xf numFmtId="241" fontId="19" fillId="22" borderId="447" xfId="14" applyNumberFormat="1" applyFont="1" applyFill="1" applyBorder="1" applyAlignment="1">
      <alignment vertical="center" shrinkToFit="1"/>
    </xf>
    <xf numFmtId="3" fontId="19" fillId="22" borderId="447" xfId="14" applyNumberFormat="1" applyFont="1" applyFill="1" applyBorder="1" applyAlignment="1">
      <alignment vertical="center" shrinkToFit="1"/>
    </xf>
    <xf numFmtId="3" fontId="19" fillId="22" borderId="448" xfId="14" applyNumberFormat="1" applyFont="1" applyFill="1" applyBorder="1" applyAlignment="1">
      <alignment vertical="center" shrinkToFit="1"/>
    </xf>
    <xf numFmtId="3" fontId="55" fillId="22" borderId="448" xfId="14" applyNumberFormat="1" applyFont="1" applyFill="1" applyBorder="1" applyAlignment="1">
      <alignment vertical="center" shrinkToFit="1"/>
    </xf>
    <xf numFmtId="3" fontId="19" fillId="22" borderId="449" xfId="14" applyNumberFormat="1" applyFont="1" applyFill="1" applyBorder="1" applyAlignment="1">
      <alignment vertical="center" shrinkToFit="1"/>
    </xf>
    <xf numFmtId="0" fontId="19" fillId="21" borderId="444" xfId="14" applyNumberFormat="1" applyFont="1" applyFill="1" applyBorder="1" applyAlignment="1">
      <alignment horizontal="center" vertical="center" shrinkToFit="1"/>
    </xf>
    <xf numFmtId="241" fontId="19" fillId="21" borderId="447" xfId="14" applyNumberFormat="1" applyFont="1" applyFill="1" applyBorder="1" applyAlignment="1">
      <alignment vertical="center" shrinkToFit="1"/>
    </xf>
    <xf numFmtId="3" fontId="19" fillId="21" borderId="447" xfId="14" applyNumberFormat="1" applyFont="1" applyFill="1" applyBorder="1" applyAlignment="1">
      <alignment vertical="center" shrinkToFit="1"/>
    </xf>
    <xf numFmtId="3" fontId="19" fillId="21" borderId="448" xfId="14" applyNumberFormat="1" applyFont="1" applyFill="1" applyBorder="1" applyAlignment="1">
      <alignment vertical="center" shrinkToFit="1"/>
    </xf>
    <xf numFmtId="3" fontId="55" fillId="21" borderId="448" xfId="14" applyNumberFormat="1" applyFont="1" applyFill="1" applyBorder="1" applyAlignment="1">
      <alignment vertical="center" shrinkToFit="1"/>
    </xf>
    <xf numFmtId="3" fontId="19" fillId="21" borderId="449" xfId="14" applyNumberFormat="1" applyFont="1" applyFill="1" applyBorder="1" applyAlignment="1">
      <alignment vertical="center" shrinkToFit="1"/>
    </xf>
    <xf numFmtId="0" fontId="19" fillId="21" borderId="429" xfId="14" applyNumberFormat="1" applyFont="1" applyFill="1" applyBorder="1" applyAlignment="1">
      <alignment horizontal="center" vertical="center" shrinkToFit="1"/>
    </xf>
    <xf numFmtId="0" fontId="0" fillId="0" borderId="453" xfId="0" applyBorder="1" applyAlignment="1">
      <alignment horizontal="center" vertical="center" shrinkToFit="1"/>
    </xf>
    <xf numFmtId="241" fontId="19" fillId="21" borderId="450" xfId="14" applyNumberFormat="1" applyFont="1" applyFill="1" applyBorder="1" applyAlignment="1">
      <alignment vertical="center" shrinkToFit="1"/>
    </xf>
    <xf numFmtId="3" fontId="19" fillId="21" borderId="450" xfId="14" applyNumberFormat="1" applyFont="1" applyFill="1" applyBorder="1" applyAlignment="1">
      <alignment vertical="center" shrinkToFit="1"/>
    </xf>
    <xf numFmtId="3" fontId="19" fillId="21" borderId="451" xfId="14" applyNumberFormat="1" applyFont="1" applyFill="1" applyBorder="1" applyAlignment="1">
      <alignment vertical="center" shrinkToFit="1"/>
    </xf>
    <xf numFmtId="3" fontId="19" fillId="21" borderId="452" xfId="14" applyNumberFormat="1" applyFont="1" applyFill="1" applyBorder="1" applyAlignment="1">
      <alignment vertical="center" shrinkToFit="1"/>
    </xf>
    <xf numFmtId="3" fontId="55" fillId="21" borderId="451" xfId="14" applyNumberFormat="1" applyFont="1" applyFill="1" applyBorder="1" applyAlignment="1">
      <alignment vertical="center" shrinkToFit="1"/>
    </xf>
    <xf numFmtId="0" fontId="6" fillId="0" borderId="454" xfId="14" applyNumberFormat="1" applyFont="1" applyBorder="1" applyAlignment="1" applyProtection="1">
      <alignment horizontal="center" vertical="center" shrinkToFit="1"/>
      <protection locked="0"/>
    </xf>
    <xf numFmtId="0" fontId="6" fillId="0" borderId="455" xfId="14" applyNumberFormat="1" applyFont="1" applyBorder="1" applyAlignment="1" applyProtection="1">
      <alignment horizontal="center" vertical="center" shrinkToFit="1"/>
      <protection locked="0"/>
    </xf>
    <xf numFmtId="0" fontId="6" fillId="0" borderId="455" xfId="14" applyNumberFormat="1" applyFont="1" applyBorder="1" applyAlignment="1" applyProtection="1">
      <alignment horizontal="left" vertical="center" shrinkToFit="1"/>
      <protection locked="0"/>
    </xf>
    <xf numFmtId="0" fontId="0" fillId="0" borderId="456" xfId="0" applyBorder="1" applyAlignment="1">
      <alignment horizontal="left" vertical="center" shrinkToFit="1"/>
    </xf>
    <xf numFmtId="3" fontId="6" fillId="0" borderId="457" xfId="14" applyNumberFormat="1" applyFont="1" applyBorder="1" applyAlignment="1" applyProtection="1">
      <alignment vertical="center" shrinkToFit="1"/>
      <protection locked="0"/>
    </xf>
    <xf numFmtId="3" fontId="6" fillId="0" borderId="455" xfId="14" applyNumberFormat="1" applyFont="1" applyBorder="1" applyAlignment="1" applyProtection="1">
      <alignment vertical="center" shrinkToFit="1"/>
      <protection locked="0"/>
    </xf>
    <xf numFmtId="3" fontId="6" fillId="0" borderId="458" xfId="14" applyNumberFormat="1" applyFont="1" applyBorder="1" applyAlignment="1" applyProtection="1">
      <alignment vertical="center" shrinkToFit="1"/>
      <protection locked="0"/>
    </xf>
    <xf numFmtId="0" fontId="19" fillId="23" borderId="444" xfId="14" applyNumberFormat="1" applyFont="1" applyFill="1" applyBorder="1" applyAlignment="1">
      <alignment horizontal="center" vertical="center" shrinkToFit="1"/>
    </xf>
    <xf numFmtId="241" fontId="19" fillId="23" borderId="447" xfId="14" applyNumberFormat="1" applyFont="1" applyFill="1" applyBorder="1" applyAlignment="1">
      <alignment vertical="center" shrinkToFit="1"/>
    </xf>
    <xf numFmtId="3" fontId="19" fillId="23" borderId="447" xfId="14" applyNumberFormat="1" applyFont="1" applyFill="1" applyBorder="1" applyAlignment="1">
      <alignment vertical="center" shrinkToFit="1"/>
    </xf>
    <xf numFmtId="3" fontId="19" fillId="23" borderId="448" xfId="14" applyNumberFormat="1" applyFont="1" applyFill="1" applyBorder="1" applyAlignment="1">
      <alignment vertical="center" shrinkToFit="1"/>
    </xf>
    <xf numFmtId="3" fontId="55" fillId="23" borderId="448" xfId="14" applyNumberFormat="1" applyFont="1" applyFill="1" applyBorder="1" applyAlignment="1">
      <alignment vertical="center" shrinkToFit="1"/>
    </xf>
    <xf numFmtId="3" fontId="19" fillId="23" borderId="449" xfId="14" applyNumberFormat="1" applyFont="1" applyFill="1" applyBorder="1" applyAlignment="1">
      <alignment vertical="center" shrinkToFit="1"/>
    </xf>
    <xf numFmtId="183" fontId="6" fillId="18" borderId="214" xfId="14" applyNumberFormat="1" applyFont="1" applyFill="1" applyBorder="1" applyAlignment="1" applyProtection="1">
      <alignment horizontal="center" vertical="center" shrinkToFit="1"/>
      <protection locked="0"/>
    </xf>
    <xf numFmtId="183" fontId="6" fillId="17" borderId="263" xfId="14" applyNumberFormat="1" applyFont="1" applyFill="1" applyBorder="1" applyAlignment="1" applyProtection="1">
      <alignment horizontal="center" vertical="center" shrinkToFit="1"/>
      <protection locked="0"/>
    </xf>
    <xf numFmtId="0" fontId="6" fillId="3" borderId="61" xfId="14" applyNumberFormat="1" applyFont="1" applyFill="1" applyBorder="1" applyAlignment="1" applyProtection="1">
      <alignment horizontal="center" vertical="center"/>
      <protection locked="0"/>
    </xf>
    <xf numFmtId="0" fontId="57" fillId="0" borderId="0" xfId="13" applyFont="1">
      <alignment vertical="center"/>
    </xf>
    <xf numFmtId="0" fontId="3" fillId="2" borderId="4" xfId="14" applyFont="1" applyFill="1" applyBorder="1"/>
    <xf numFmtId="242" fontId="3" fillId="2" borderId="3" xfId="14" applyNumberFormat="1" applyFont="1" applyFill="1" applyBorder="1" applyAlignment="1" applyProtection="1">
      <alignment horizontal="left"/>
      <protection locked="0"/>
    </xf>
    <xf numFmtId="0" fontId="3" fillId="2" borderId="3" xfId="14" applyFont="1" applyFill="1" applyBorder="1" applyProtection="1">
      <protection locked="0"/>
    </xf>
    <xf numFmtId="194" fontId="58" fillId="2" borderId="3" xfId="14" applyNumberFormat="1" applyFont="1" applyFill="1" applyBorder="1" applyProtection="1">
      <protection locked="0"/>
    </xf>
    <xf numFmtId="194" fontId="3" fillId="2" borderId="3" xfId="14" applyNumberFormat="1" applyFont="1" applyFill="1" applyBorder="1" applyProtection="1">
      <protection locked="0"/>
    </xf>
    <xf numFmtId="0" fontId="58" fillId="2" borderId="2" xfId="14" applyNumberFormat="1" applyFont="1" applyFill="1" applyBorder="1" applyAlignment="1" applyProtection="1">
      <alignment horizontal="left" vertical="center" indent="1"/>
      <protection locked="0"/>
    </xf>
    <xf numFmtId="0" fontId="6" fillId="3" borderId="50" xfId="14" applyNumberFormat="1" applyFont="1" applyFill="1" applyBorder="1" applyAlignment="1" applyProtection="1">
      <alignment horizontal="center" vertical="center"/>
      <protection locked="0"/>
    </xf>
    <xf numFmtId="3" fontId="55" fillId="21" borderId="447" xfId="14" applyNumberFormat="1" applyFont="1" applyFill="1" applyBorder="1" applyAlignment="1">
      <alignment vertical="center" shrinkToFit="1"/>
    </xf>
    <xf numFmtId="3" fontId="19" fillId="21" borderId="449" xfId="14" applyNumberFormat="1" applyFont="1" applyFill="1" applyBorder="1" applyAlignment="1">
      <alignment vertical="center"/>
    </xf>
    <xf numFmtId="3" fontId="55" fillId="21" borderId="450" xfId="14" applyNumberFormat="1" applyFont="1" applyFill="1" applyBorder="1" applyAlignment="1">
      <alignment vertical="center" shrinkToFit="1"/>
    </xf>
    <xf numFmtId="239" fontId="6" fillId="0" borderId="156" xfId="14" applyNumberFormat="1" applyFont="1" applyBorder="1" applyAlignment="1" applyProtection="1">
      <alignment shrinkToFit="1"/>
      <protection locked="0"/>
    </xf>
    <xf numFmtId="239" fontId="6" fillId="0" borderId="135" xfId="14" applyNumberFormat="1" applyFont="1" applyBorder="1" applyAlignment="1" applyProtection="1">
      <alignment shrinkToFit="1"/>
      <protection locked="0"/>
    </xf>
    <xf numFmtId="0" fontId="6" fillId="0" borderId="135" xfId="14" applyNumberFormat="1" applyFont="1" applyBorder="1" applyAlignment="1" applyProtection="1">
      <alignment shrinkToFit="1"/>
      <protection locked="0"/>
    </xf>
    <xf numFmtId="239" fontId="6" fillId="0" borderId="200" xfId="14" applyNumberFormat="1" applyFont="1" applyBorder="1" applyAlignment="1" applyProtection="1">
      <alignment horizontal="center" shrinkToFit="1"/>
      <protection locked="0"/>
    </xf>
    <xf numFmtId="0" fontId="6" fillId="3" borderId="50" xfId="14" applyNumberFormat="1" applyFont="1" applyFill="1" applyBorder="1" applyAlignment="1" applyProtection="1">
      <alignment horizontal="center" vertical="center" wrapText="1" shrinkToFit="1"/>
      <protection locked="0"/>
    </xf>
    <xf numFmtId="0" fontId="6" fillId="3" borderId="214" xfId="14" applyNumberFormat="1" applyFont="1" applyFill="1" applyBorder="1" applyAlignment="1" applyProtection="1">
      <alignment horizontal="center" vertical="center" wrapText="1"/>
      <protection locked="0"/>
    </xf>
    <xf numFmtId="0" fontId="6" fillId="3" borderId="107" xfId="14" applyFont="1" applyFill="1" applyBorder="1" applyAlignment="1" applyProtection="1">
      <alignment horizontal="center" vertical="center" wrapText="1" shrinkToFit="1"/>
      <protection locked="0"/>
    </xf>
    <xf numFmtId="0" fontId="6" fillId="3" borderId="107" xfId="14" applyFont="1" applyFill="1" applyBorder="1" applyAlignment="1" applyProtection="1">
      <alignment horizontal="center" vertical="center" wrapText="1" shrinkToFit="1"/>
      <protection locked="0"/>
    </xf>
    <xf numFmtId="0" fontId="6" fillId="18" borderId="210" xfId="14" applyNumberFormat="1" applyFont="1" applyFill="1" applyBorder="1" applyAlignment="1" applyProtection="1">
      <alignment horizontal="center" vertical="center"/>
      <protection locked="0"/>
    </xf>
    <xf numFmtId="0" fontId="6" fillId="18" borderId="84" xfId="14" applyNumberFormat="1" applyFont="1" applyFill="1" applyBorder="1" applyAlignment="1" applyProtection="1">
      <alignment horizontal="center" vertical="center"/>
      <protection locked="0"/>
    </xf>
    <xf numFmtId="0" fontId="6" fillId="18" borderId="385" xfId="14" applyNumberFormat="1" applyFont="1" applyFill="1" applyBorder="1" applyAlignment="1" applyProtection="1">
      <alignment horizontal="center" vertical="center"/>
      <protection locked="0"/>
    </xf>
    <xf numFmtId="0" fontId="6" fillId="17" borderId="210" xfId="14" applyNumberFormat="1" applyFont="1" applyFill="1" applyBorder="1" applyAlignment="1" applyProtection="1">
      <alignment horizontal="center" vertical="center"/>
      <protection locked="0"/>
    </xf>
    <xf numFmtId="0" fontId="6" fillId="17" borderId="84" xfId="14" applyNumberFormat="1" applyFont="1" applyFill="1" applyBorder="1" applyAlignment="1" applyProtection="1">
      <alignment horizontal="center" vertical="center"/>
      <protection locked="0"/>
    </xf>
    <xf numFmtId="0" fontId="6" fillId="17" borderId="385" xfId="14" applyNumberFormat="1" applyFont="1" applyFill="1" applyBorder="1" applyAlignment="1" applyProtection="1">
      <alignment horizontal="center" vertical="center"/>
      <protection locked="0"/>
    </xf>
    <xf numFmtId="0" fontId="6" fillId="3" borderId="224" xfId="14" applyFont="1" applyFill="1" applyBorder="1" applyAlignment="1" applyProtection="1">
      <alignment horizontal="center" vertical="center" wrapText="1" shrinkToFit="1"/>
      <protection locked="0"/>
    </xf>
    <xf numFmtId="0" fontId="6" fillId="3" borderId="398" xfId="14" applyFont="1" applyFill="1" applyBorder="1" applyAlignment="1" applyProtection="1">
      <alignment horizontal="center" vertical="center" wrapText="1" shrinkToFit="1"/>
      <protection locked="0"/>
    </xf>
    <xf numFmtId="0" fontId="6" fillId="3" borderId="226" xfId="14" applyFont="1" applyFill="1" applyBorder="1" applyAlignment="1" applyProtection="1">
      <alignment horizontal="center" vertical="center" wrapText="1" shrinkToFit="1"/>
      <protection locked="0"/>
    </xf>
    <xf numFmtId="0" fontId="6" fillId="3" borderId="61" xfId="14" applyNumberFormat="1" applyFont="1" applyFill="1" applyBorder="1" applyAlignment="1" applyProtection="1">
      <alignment horizontal="center" vertical="center" wrapText="1" shrinkToFit="1"/>
      <protection locked="0"/>
    </xf>
    <xf numFmtId="0" fontId="6" fillId="3" borderId="25" xfId="14" applyFont="1" applyFill="1" applyBorder="1" applyAlignment="1" applyProtection="1">
      <alignment horizontal="center" vertical="center" wrapText="1" shrinkToFit="1"/>
      <protection locked="0"/>
    </xf>
    <xf numFmtId="0" fontId="59" fillId="0" borderId="0" xfId="13" applyFont="1">
      <alignment vertical="center"/>
    </xf>
    <xf numFmtId="0" fontId="43" fillId="2" borderId="4" xfId="14" applyFont="1" applyFill="1" applyBorder="1"/>
    <xf numFmtId="0" fontId="6" fillId="3" borderId="263" xfId="14" applyFont="1" applyFill="1" applyBorder="1" applyAlignment="1" applyProtection="1">
      <alignment horizontal="center" vertical="center" wrapText="1" shrinkToFit="1"/>
      <protection locked="0"/>
    </xf>
    <xf numFmtId="239" fontId="19" fillId="0" borderId="426" xfId="14" applyNumberFormat="1" applyFont="1" applyBorder="1" applyAlignment="1" applyProtection="1">
      <alignment horizontal="center" vertical="center" shrinkToFit="1"/>
      <protection locked="0"/>
    </xf>
    <xf numFmtId="0" fontId="19" fillId="0" borderId="425" xfId="14" applyNumberFormat="1" applyFont="1" applyBorder="1" applyAlignment="1" applyProtection="1">
      <alignment vertical="center" shrinkToFit="1"/>
      <protection locked="0"/>
    </xf>
    <xf numFmtId="239" fontId="19" fillId="0" borderId="425" xfId="14" applyNumberFormat="1" applyFont="1" applyBorder="1" applyAlignment="1" applyProtection="1">
      <alignment vertical="center" shrinkToFit="1"/>
      <protection locked="0"/>
    </xf>
    <xf numFmtId="239" fontId="19" fillId="0" borderId="427" xfId="14" applyNumberFormat="1" applyFont="1" applyBorder="1" applyAlignment="1" applyProtection="1">
      <alignment vertical="center" shrinkToFit="1"/>
      <protection locked="0"/>
    </xf>
    <xf numFmtId="228" fontId="19" fillId="0" borderId="428" xfId="14" applyNumberFormat="1" applyFont="1" applyBorder="1" applyAlignment="1" applyProtection="1">
      <alignment vertical="center" shrinkToFit="1"/>
      <protection locked="0"/>
    </xf>
    <xf numFmtId="239" fontId="6" fillId="0" borderId="263" xfId="14" applyNumberFormat="1" applyFont="1" applyBorder="1" applyAlignment="1" applyProtection="1">
      <alignment horizontal="center" shrinkToFit="1"/>
      <protection locked="0"/>
    </xf>
    <xf numFmtId="0" fontId="6" fillId="0" borderId="107" xfId="14" applyNumberFormat="1" applyFont="1" applyBorder="1" applyAlignment="1" applyProtection="1">
      <alignment shrinkToFit="1"/>
      <protection locked="0"/>
    </xf>
    <xf numFmtId="239" fontId="6" fillId="0" borderId="107" xfId="14" applyNumberFormat="1" applyFont="1" applyBorder="1" applyAlignment="1" applyProtection="1">
      <alignment shrinkToFit="1"/>
      <protection locked="0"/>
    </xf>
    <xf numFmtId="239" fontId="6" fillId="0" borderId="214" xfId="14" applyNumberFormat="1" applyFont="1" applyBorder="1" applyAlignment="1" applyProtection="1">
      <alignment shrinkToFit="1"/>
      <protection locked="0"/>
    </xf>
    <xf numFmtId="239" fontId="19" fillId="0" borderId="436" xfId="14" applyNumberFormat="1" applyFont="1" applyBorder="1" applyAlignment="1" applyProtection="1">
      <alignment horizontal="center" vertical="center" shrinkToFit="1"/>
      <protection locked="0"/>
    </xf>
    <xf numFmtId="239" fontId="19" fillId="0" borderId="436" xfId="14" applyNumberFormat="1" applyFont="1" applyBorder="1" applyAlignment="1" applyProtection="1">
      <alignment vertical="center" shrinkToFit="1"/>
      <protection locked="0"/>
    </xf>
    <xf numFmtId="239" fontId="19" fillId="0" borderId="435" xfId="14" applyNumberFormat="1" applyFont="1" applyBorder="1" applyAlignment="1" applyProtection="1">
      <alignment vertical="center" shrinkToFit="1"/>
      <protection locked="0"/>
    </xf>
    <xf numFmtId="228" fontId="19" fillId="0" borderId="437" xfId="14" applyNumberFormat="1" applyFont="1" applyBorder="1" applyAlignment="1" applyProtection="1">
      <alignment vertical="center" shrinkToFit="1"/>
      <protection locked="0"/>
    </xf>
    <xf numFmtId="239" fontId="19" fillId="21" borderId="447" xfId="14" applyNumberFormat="1" applyFont="1" applyFill="1" applyBorder="1" applyAlignment="1">
      <alignment vertical="center" shrinkToFit="1"/>
    </xf>
    <xf numFmtId="0" fontId="19" fillId="21" borderId="448" xfId="14" applyNumberFormat="1" applyFont="1" applyFill="1" applyBorder="1" applyAlignment="1">
      <alignment vertical="center" shrinkToFit="1"/>
    </xf>
    <xf numFmtId="239" fontId="55" fillId="21" borderId="447" xfId="14" applyNumberFormat="1" applyFont="1" applyFill="1" applyBorder="1" applyAlignment="1">
      <alignment vertical="center" shrinkToFit="1"/>
    </xf>
    <xf numFmtId="239" fontId="55" fillId="21" borderId="448" xfId="14" applyNumberFormat="1" applyFont="1" applyFill="1" applyBorder="1" applyAlignment="1">
      <alignment vertical="center" shrinkToFit="1"/>
    </xf>
    <xf numFmtId="239" fontId="19" fillId="21" borderId="448" xfId="14" applyNumberFormat="1" applyFont="1" applyFill="1" applyBorder="1" applyAlignment="1">
      <alignment vertical="center" shrinkToFit="1"/>
    </xf>
    <xf numFmtId="228" fontId="19" fillId="21" borderId="449" xfId="14" applyNumberFormat="1" applyFont="1" applyFill="1" applyBorder="1" applyAlignment="1">
      <alignment vertical="center" shrinkToFit="1"/>
    </xf>
    <xf numFmtId="239" fontId="19" fillId="21" borderId="450" xfId="14" applyNumberFormat="1" applyFont="1" applyFill="1" applyBorder="1" applyAlignment="1">
      <alignment vertical="center" shrinkToFit="1"/>
    </xf>
    <xf numFmtId="0" fontId="19" fillId="21" borderId="451" xfId="14" applyNumberFormat="1" applyFont="1" applyFill="1" applyBorder="1" applyAlignment="1">
      <alignment vertical="center" shrinkToFit="1"/>
    </xf>
    <xf numFmtId="239" fontId="19" fillId="21" borderId="451" xfId="14" applyNumberFormat="1" applyFont="1" applyFill="1" applyBorder="1" applyAlignment="1">
      <alignment vertical="center" shrinkToFit="1"/>
    </xf>
    <xf numFmtId="228" fontId="19" fillId="21" borderId="452" xfId="14" applyNumberFormat="1" applyFont="1" applyFill="1" applyBorder="1" applyAlignment="1">
      <alignment vertical="center" shrinkToFit="1"/>
    </xf>
    <xf numFmtId="0" fontId="60" fillId="0" borderId="0" xfId="19" applyFont="1" applyProtection="1">
      <protection locked="0"/>
    </xf>
    <xf numFmtId="0" fontId="60" fillId="0" borderId="0" xfId="19" applyFont="1" applyAlignment="1" applyProtection="1">
      <alignment horizontal="center"/>
      <protection locked="0"/>
    </xf>
    <xf numFmtId="0" fontId="60" fillId="0" borderId="0" xfId="19" applyFont="1" applyBorder="1" applyProtection="1">
      <protection locked="0"/>
    </xf>
    <xf numFmtId="0" fontId="60" fillId="0" borderId="0" xfId="19" applyFont="1" applyBorder="1" applyAlignment="1" applyProtection="1">
      <alignment horizontal="center"/>
      <protection locked="0"/>
    </xf>
    <xf numFmtId="0" fontId="60" fillId="0" borderId="0" xfId="19" applyFont="1" applyAlignment="1" applyProtection="1">
      <alignment horizontal="center"/>
      <protection locked="0"/>
    </xf>
    <xf numFmtId="0" fontId="61" fillId="0" borderId="0" xfId="19" applyFont="1" applyAlignment="1" applyProtection="1">
      <alignment horizontal="center"/>
      <protection locked="0"/>
    </xf>
    <xf numFmtId="0" fontId="34" fillId="0" borderId="0" xfId="19" applyFont="1" applyAlignment="1" applyProtection="1">
      <alignment horizontal="center" shrinkToFit="1"/>
      <protection locked="0"/>
    </xf>
    <xf numFmtId="176" fontId="6" fillId="0" borderId="0" xfId="19" applyNumberFormat="1" applyFont="1" applyProtection="1"/>
    <xf numFmtId="0" fontId="6" fillId="0" borderId="0" xfId="19" applyFont="1" applyProtection="1">
      <protection locked="0"/>
    </xf>
    <xf numFmtId="55" fontId="61" fillId="0" borderId="0" xfId="19" applyNumberFormat="1" applyFont="1" applyAlignment="1" applyProtection="1">
      <alignment horizontal="center"/>
      <protection locked="0"/>
    </xf>
  </cellXfs>
  <cellStyles count="20">
    <cellStyle name="桁区切り 2" xfId="12"/>
    <cellStyle name="標準" xfId="0" builtinId="0"/>
    <cellStyle name="標準 15" xfId="18"/>
    <cellStyle name="標準 2 2" xfId="3"/>
    <cellStyle name="標準 9 2 2" xfId="13"/>
    <cellStyle name="標準_A4横表紙_1" xfId="19"/>
    <cellStyle name="標準_Book2" xfId="4"/>
    <cellStyle name="標準_K値テーブル" xfId="8"/>
    <cellStyle name="標準_ｴｱﾊﾝ" xfId="14"/>
    <cellStyle name="標準_外部遮蔽_1" xfId="9"/>
    <cellStyle name="標準_空気線図" xfId="16"/>
    <cellStyle name="標準_空気線図_1" xfId="17"/>
    <cellStyle name="標準_空気線図リンクサンプル" xfId="15"/>
    <cellStyle name="標準_熱通過率" xfId="10"/>
    <cellStyle name="標準_熱負荷_1" xfId="1"/>
    <cellStyle name="標準_熱負荷計算書" xfId="2"/>
    <cellStyle name="標準_負荷計算" xfId="11"/>
    <cellStyle name="標準_負荷計算2000_1" xfId="5"/>
    <cellStyle name="標準_負荷計算2000_K値テーブル" xfId="7"/>
    <cellStyle name="標準_負荷計算基礎データ"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18CD-48A9-AFA2-5F9C259C7509}"/>
            </c:ext>
          </c:extLst>
        </c:ser>
        <c:ser>
          <c:idx val="1"/>
          <c:order val="1"/>
          <c:tx>
            <c:v>比エンタルピ座標軸</c:v>
          </c:tx>
          <c:spPr>
            <a:ln w="3175">
              <a:solidFill>
                <a:srgbClr val="000000"/>
              </a:solidFill>
              <a:prstDash val="solid"/>
            </a:ln>
          </c:spPr>
          <c:marker>
            <c:symbol val="none"/>
          </c:marker>
          <c:xVal>
            <c:numLit>
              <c:formatCode>General</c:formatCode>
              <c:ptCount val="2"/>
              <c:pt idx="0">
                <c:v>-10.178169782224485</c:v>
              </c:pt>
              <c:pt idx="1">
                <c:v>26.408799999999999</c:v>
              </c:pt>
            </c:numLit>
          </c:xVal>
          <c:yVal>
            <c:numLit>
              <c:formatCode>General</c:formatCode>
              <c:ptCount val="2"/>
              <c:pt idx="0">
                <c:v>2.4560824455002899E-3</c:v>
              </c:pt>
              <c:pt idx="1">
                <c:v>3.4000000000000002E-2</c:v>
              </c:pt>
            </c:numLit>
          </c:yVal>
          <c:smooth val="0"/>
          <c:extLst>
            <c:ext xmlns:c16="http://schemas.microsoft.com/office/drawing/2014/chart" uri="{C3380CC4-5D6E-409C-BE32-E72D297353CC}">
              <c16:uniqueId val="{00000001-18CD-48A9-AFA2-5F9C259C7509}"/>
            </c:ext>
          </c:extLst>
        </c:ser>
        <c:ser>
          <c:idx val="2"/>
          <c:order val="2"/>
          <c:tx>
            <c:v>比エンタルピ座標軸ラベル</c:v>
          </c:tx>
          <c:spPr>
            <a:ln w="3175">
              <a:solidFill>
                <a:srgbClr val="000000"/>
              </a:solidFill>
              <a:prstDash val="solid"/>
            </a:ln>
          </c:spPr>
          <c:marker>
            <c:symbol val="none"/>
          </c:marker>
          <c:dLbls>
            <c:dLbl>
              <c:idx val="0"/>
              <c:layout>
                <c:manualLayout>
                  <c:x val="-7.7204861111111106E-2"/>
                  <c:y val="-3.9173336640061513E-17"/>
                </c:manualLayout>
              </c:layout>
              <c:tx>
                <c:rich>
                  <a:bodyPr rot="-29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比エンタルピ </a:t>
                    </a:r>
                    <a:r>
                      <a:rPr lang="en-US"/>
                      <a:t>h [kJ/kg(DA)]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11.774012087110206</c:v>
              </c:pt>
            </c:numLit>
          </c:xVal>
          <c:yVal>
            <c:numLit>
              <c:formatCode>General</c:formatCode>
              <c:ptCount val="1"/>
              <c:pt idx="0">
                <c:v>2.1382432978200118E-2</c:v>
              </c:pt>
            </c:numLit>
          </c:yVal>
          <c:smooth val="0"/>
          <c:extLst>
            <c:ext xmlns:c16="http://schemas.microsoft.com/office/drawing/2014/chart" uri="{C3380CC4-5D6E-409C-BE32-E72D297353CC}">
              <c16:uniqueId val="{00000003-18CD-48A9-AFA2-5F9C259C7509}"/>
            </c:ext>
          </c:extLst>
        </c:ser>
        <c:ser>
          <c:idx val="3"/>
          <c:order val="3"/>
          <c:tx>
            <c:v>h=-9</c:v>
          </c:tx>
          <c:spPr>
            <a:ln w="3175">
              <a:solidFill>
                <a:srgbClr val="808080"/>
              </a:solidFill>
              <a:prstDash val="solid"/>
            </a:ln>
          </c:spPr>
          <c:marker>
            <c:symbol val="none"/>
          </c:marker>
          <c:xVal>
            <c:numLit>
              <c:formatCode>General</c:formatCode>
              <c:ptCount val="2"/>
              <c:pt idx="0">
                <c:v>-11.760874015442164</c:v>
              </c:pt>
              <c:pt idx="1">
                <c:v>-11.460874015442165</c:v>
              </c:pt>
            </c:numLit>
          </c:xVal>
          <c:yVal>
            <c:numLit>
              <c:formatCode>General</c:formatCode>
              <c:ptCount val="2"/>
              <c:pt idx="0">
                <c:v>1.0915340244929911E-3</c:v>
              </c:pt>
              <c:pt idx="1">
                <c:v>9.7292658151792533E-4</c:v>
              </c:pt>
            </c:numLit>
          </c:yVal>
          <c:smooth val="0"/>
          <c:extLst>
            <c:ext xmlns:c16="http://schemas.microsoft.com/office/drawing/2014/chart" uri="{C3380CC4-5D6E-409C-BE32-E72D297353CC}">
              <c16:uniqueId val="{00000004-18CD-48A9-AFA2-5F9C259C7509}"/>
            </c:ext>
          </c:extLst>
        </c:ser>
        <c:ser>
          <c:idx val="4"/>
          <c:order val="4"/>
          <c:tx>
            <c:v>h=-8</c:v>
          </c:tx>
          <c:spPr>
            <a:ln w="3175">
              <a:solidFill>
                <a:srgbClr val="808080"/>
              </a:solidFill>
              <a:prstDash val="solid"/>
            </a:ln>
          </c:spPr>
          <c:marker>
            <c:symbol val="none"/>
          </c:marker>
          <c:xVal>
            <c:numLit>
              <c:formatCode>General</c:formatCode>
              <c:ptCount val="2"/>
              <c:pt idx="0">
                <c:v>-11.452465233740831</c:v>
              </c:pt>
              <c:pt idx="1">
                <c:v>-11.152465233740831</c:v>
              </c:pt>
            </c:numLit>
          </c:xVal>
          <c:yVal>
            <c:numLit>
              <c:formatCode>General</c:formatCode>
              <c:ptCount val="2"/>
              <c:pt idx="0">
                <c:v>1.3574325463158354E-3</c:v>
              </c:pt>
              <c:pt idx="1">
                <c:v>1.2394792183822454E-3</c:v>
              </c:pt>
            </c:numLit>
          </c:yVal>
          <c:smooth val="0"/>
          <c:extLst>
            <c:ext xmlns:c16="http://schemas.microsoft.com/office/drawing/2014/chart" uri="{C3380CC4-5D6E-409C-BE32-E72D297353CC}">
              <c16:uniqueId val="{00000005-18CD-48A9-AFA2-5F9C259C7509}"/>
            </c:ext>
          </c:extLst>
        </c:ser>
        <c:ser>
          <c:idx val="5"/>
          <c:order val="5"/>
          <c:tx>
            <c:v>h=-7</c:v>
          </c:tx>
          <c:spPr>
            <a:ln w="3175">
              <a:solidFill>
                <a:srgbClr val="808080"/>
              </a:solidFill>
              <a:prstDash val="solid"/>
            </a:ln>
          </c:spPr>
          <c:marker>
            <c:symbol val="none"/>
          </c:marker>
          <c:xVal>
            <c:numLit>
              <c:formatCode>General</c:formatCode>
              <c:ptCount val="2"/>
              <c:pt idx="0">
                <c:v>-11.144056452039498</c:v>
              </c:pt>
              <c:pt idx="1">
                <c:v>-10.844056452039498</c:v>
              </c:pt>
            </c:numLit>
          </c:xVal>
          <c:yVal>
            <c:numLit>
              <c:formatCode>General</c:formatCode>
              <c:ptCount val="2"/>
              <c:pt idx="0">
                <c:v>1.6233310681386798E-3</c:v>
              </c:pt>
              <c:pt idx="1">
                <c:v>1.5058135279994939E-3</c:v>
              </c:pt>
            </c:numLit>
          </c:yVal>
          <c:smooth val="0"/>
          <c:extLst>
            <c:ext xmlns:c16="http://schemas.microsoft.com/office/drawing/2014/chart" uri="{C3380CC4-5D6E-409C-BE32-E72D297353CC}">
              <c16:uniqueId val="{00000006-18CD-48A9-AFA2-5F9C259C7509}"/>
            </c:ext>
          </c:extLst>
        </c:ser>
        <c:ser>
          <c:idx val="6"/>
          <c:order val="6"/>
          <c:tx>
            <c:v>h=-6</c:v>
          </c:tx>
          <c:spPr>
            <a:ln w="3175">
              <a:solidFill>
                <a:srgbClr val="808080"/>
              </a:solidFill>
              <a:prstDash val="solid"/>
            </a:ln>
          </c:spPr>
          <c:marker>
            <c:symbol val="none"/>
          </c:marker>
          <c:xVal>
            <c:numLit>
              <c:formatCode>General</c:formatCode>
              <c:ptCount val="2"/>
              <c:pt idx="0">
                <c:v>-10.835647670338163</c:v>
              </c:pt>
              <c:pt idx="1">
                <c:v>-10.535647670338165</c:v>
              </c:pt>
            </c:numLit>
          </c:xVal>
          <c:yVal>
            <c:numLit>
              <c:formatCode>General</c:formatCode>
              <c:ptCount val="2"/>
              <c:pt idx="0">
                <c:v>1.8892295899615242E-3</c:v>
              </c:pt>
              <c:pt idx="1">
                <c:v>1.7720231854368492E-3</c:v>
              </c:pt>
            </c:numLit>
          </c:yVal>
          <c:smooth val="0"/>
          <c:extLst>
            <c:ext xmlns:c16="http://schemas.microsoft.com/office/drawing/2014/chart" uri="{C3380CC4-5D6E-409C-BE32-E72D297353CC}">
              <c16:uniqueId val="{00000007-18CD-48A9-AFA2-5F9C259C7509}"/>
            </c:ext>
          </c:extLst>
        </c:ser>
        <c:ser>
          <c:idx val="7"/>
          <c:order val="7"/>
          <c:tx>
            <c:v>h=-5</c:v>
          </c:tx>
          <c:spPr>
            <a:ln w="3175">
              <a:solidFill>
                <a:srgbClr val="808080"/>
              </a:solidFill>
              <a:prstDash val="solid"/>
            </a:ln>
          </c:spPr>
          <c:marker>
            <c:symbol val="none"/>
          </c:marker>
          <c:dLbls>
            <c:dLbl>
              <c:idx val="0"/>
              <c:layout>
                <c:manualLayout>
                  <c:x val="-5.2083333333333296E-3"/>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-10.52723888863683</c:v>
              </c:pt>
              <c:pt idx="1">
                <c:v>-5</c:v>
              </c:pt>
            </c:numLit>
          </c:xVal>
          <c:yVal>
            <c:numLit>
              <c:formatCode>General</c:formatCode>
              <c:ptCount val="2"/>
              <c:pt idx="0">
                <c:v>2.1551281117843687E-3</c:v>
              </c:pt>
              <c:pt idx="1">
                <c:v>0</c:v>
              </c:pt>
            </c:numLit>
          </c:yVal>
          <c:smooth val="0"/>
          <c:extLst>
            <c:ext xmlns:c16="http://schemas.microsoft.com/office/drawing/2014/chart" uri="{C3380CC4-5D6E-409C-BE32-E72D297353CC}">
              <c16:uniqueId val="{00000009-18CD-48A9-AFA2-5F9C259C7509}"/>
            </c:ext>
          </c:extLst>
        </c:ser>
        <c:ser>
          <c:idx val="8"/>
          <c:order val="8"/>
          <c:tx>
            <c:v>h=-4</c:v>
          </c:tx>
          <c:spPr>
            <a:ln w="3175">
              <a:solidFill>
                <a:srgbClr val="808080"/>
              </a:solidFill>
              <a:prstDash val="solid"/>
            </a:ln>
          </c:spPr>
          <c:marker>
            <c:symbol val="none"/>
          </c:marker>
          <c:xVal>
            <c:numLit>
              <c:formatCode>General</c:formatCode>
              <c:ptCount val="2"/>
              <c:pt idx="0">
                <c:v>-10.218830106935497</c:v>
              </c:pt>
              <c:pt idx="1">
                <c:v>-9.9188301069354967</c:v>
              </c:pt>
            </c:numLit>
          </c:xVal>
          <c:yVal>
            <c:numLit>
              <c:formatCode>General</c:formatCode>
              <c:ptCount val="2"/>
              <c:pt idx="0">
                <c:v>2.4210266336072133E-3</c:v>
              </c:pt>
              <c:pt idx="1">
                <c:v>2.3042348934257033E-3</c:v>
              </c:pt>
            </c:numLit>
          </c:yVal>
          <c:smooth val="0"/>
          <c:extLst>
            <c:ext xmlns:c16="http://schemas.microsoft.com/office/drawing/2014/chart" uri="{C3380CC4-5D6E-409C-BE32-E72D297353CC}">
              <c16:uniqueId val="{0000000A-18CD-48A9-AFA2-5F9C259C7509}"/>
            </c:ext>
          </c:extLst>
        </c:ser>
        <c:ser>
          <c:idx val="9"/>
          <c:order val="9"/>
          <c:tx>
            <c:v>h=-3</c:v>
          </c:tx>
          <c:spPr>
            <a:ln w="3175">
              <a:solidFill>
                <a:srgbClr val="808080"/>
              </a:solidFill>
              <a:prstDash val="solid"/>
            </a:ln>
          </c:spPr>
          <c:marker>
            <c:symbol val="none"/>
          </c:marker>
          <c:xVal>
            <c:numLit>
              <c:formatCode>General</c:formatCode>
              <c:ptCount val="2"/>
              <c:pt idx="0">
                <c:v>-9.9104213252341626</c:v>
              </c:pt>
              <c:pt idx="1">
                <c:v>-9.6104213252341637</c:v>
              </c:pt>
            </c:numLit>
          </c:xVal>
          <c:yVal>
            <c:numLit>
              <c:formatCode>General</c:formatCode>
              <c:ptCount val="2"/>
              <c:pt idx="0">
                <c:v>2.6869251554300574E-3</c:v>
              </c:pt>
              <c:pt idx="1">
                <c:v>2.5702784983462792E-3</c:v>
              </c:pt>
            </c:numLit>
          </c:yVal>
          <c:smooth val="0"/>
          <c:extLst>
            <c:ext xmlns:c16="http://schemas.microsoft.com/office/drawing/2014/chart" uri="{C3380CC4-5D6E-409C-BE32-E72D297353CC}">
              <c16:uniqueId val="{0000000B-18CD-48A9-AFA2-5F9C259C7509}"/>
            </c:ext>
          </c:extLst>
        </c:ser>
        <c:ser>
          <c:idx val="10"/>
          <c:order val="10"/>
          <c:tx>
            <c:v>h=-2</c:v>
          </c:tx>
          <c:spPr>
            <a:ln w="3175">
              <a:solidFill>
                <a:srgbClr val="808080"/>
              </a:solidFill>
              <a:prstDash val="solid"/>
            </a:ln>
          </c:spPr>
          <c:marker>
            <c:symbol val="none"/>
          </c:marker>
          <c:xVal>
            <c:numLit>
              <c:formatCode>General</c:formatCode>
              <c:ptCount val="2"/>
              <c:pt idx="0">
                <c:v>-9.6020125435328296</c:v>
              </c:pt>
              <c:pt idx="1">
                <c:v>-9.3020125435328289</c:v>
              </c:pt>
            </c:numLit>
          </c:xVal>
          <c:yVal>
            <c:numLit>
              <c:formatCode>General</c:formatCode>
              <c:ptCount val="2"/>
              <c:pt idx="0">
                <c:v>2.952823677252902E-3</c:v>
              </c:pt>
              <c:pt idx="1">
                <c:v>2.8362957054687095E-3</c:v>
              </c:pt>
            </c:numLit>
          </c:yVal>
          <c:smooth val="0"/>
          <c:extLst>
            <c:ext xmlns:c16="http://schemas.microsoft.com/office/drawing/2014/chart" uri="{C3380CC4-5D6E-409C-BE32-E72D297353CC}">
              <c16:uniqueId val="{0000000C-18CD-48A9-AFA2-5F9C259C7509}"/>
            </c:ext>
          </c:extLst>
        </c:ser>
        <c:ser>
          <c:idx val="11"/>
          <c:order val="11"/>
          <c:tx>
            <c:v>h=-1</c:v>
          </c:tx>
          <c:spPr>
            <a:ln w="3175">
              <a:solidFill>
                <a:srgbClr val="808080"/>
              </a:solidFill>
              <a:prstDash val="solid"/>
            </a:ln>
          </c:spPr>
          <c:marker>
            <c:symbol val="none"/>
          </c:marker>
          <c:xVal>
            <c:numLit>
              <c:formatCode>General</c:formatCode>
              <c:ptCount val="2"/>
              <c:pt idx="0">
                <c:v>-9.2936037618314966</c:v>
              </c:pt>
              <c:pt idx="1">
                <c:v>-8.9936037618314959</c:v>
              </c:pt>
            </c:numLit>
          </c:xVal>
          <c:yVal>
            <c:numLit>
              <c:formatCode>General</c:formatCode>
              <c:ptCount val="2"/>
              <c:pt idx="0">
                <c:v>3.2187221990757462E-3</c:v>
              </c:pt>
              <c:pt idx="1">
                <c:v>3.102293118611757E-3</c:v>
              </c:pt>
            </c:numLit>
          </c:yVal>
          <c:smooth val="0"/>
          <c:extLst>
            <c:ext xmlns:c16="http://schemas.microsoft.com/office/drawing/2014/chart" uri="{C3380CC4-5D6E-409C-BE32-E72D297353CC}">
              <c16:uniqueId val="{0000000D-18CD-48A9-AFA2-5F9C259C7509}"/>
            </c:ext>
          </c:extLst>
        </c:ser>
        <c:ser>
          <c:idx val="12"/>
          <c:order val="12"/>
          <c:tx>
            <c:v>h=0</c:v>
          </c:tx>
          <c:spPr>
            <a:ln w="3175">
              <a:solidFill>
                <a:srgbClr val="808080"/>
              </a:solidFill>
              <a:prstDash val="solid"/>
            </a:ln>
          </c:spPr>
          <c:marker>
            <c:symbol val="none"/>
          </c:marker>
          <c:dLbls>
            <c:dLbl>
              <c:idx val="0"/>
              <c:layout>
                <c:manualLayout>
                  <c:x val="-2.8094242125984253E-2"/>
                  <c:y val="-6.52567467528113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-8.9851949801301618</c:v>
              </c:pt>
              <c:pt idx="1">
                <c:v>0</c:v>
              </c:pt>
            </c:numLit>
          </c:xVal>
          <c:yVal>
            <c:numLit>
              <c:formatCode>General</c:formatCode>
              <c:ptCount val="2"/>
              <c:pt idx="0">
                <c:v>3.4846207208985907E-3</c:v>
              </c:pt>
              <c:pt idx="1">
                <c:v>0</c:v>
              </c:pt>
            </c:numLit>
          </c:yVal>
          <c:smooth val="0"/>
          <c:extLst>
            <c:ext xmlns:c16="http://schemas.microsoft.com/office/drawing/2014/chart" uri="{C3380CC4-5D6E-409C-BE32-E72D297353CC}">
              <c16:uniqueId val="{0000000F-18CD-48A9-AFA2-5F9C259C7509}"/>
            </c:ext>
          </c:extLst>
        </c:ser>
        <c:ser>
          <c:idx val="13"/>
          <c:order val="13"/>
          <c:tx>
            <c:v>h=1</c:v>
          </c:tx>
          <c:spPr>
            <a:ln w="3175">
              <a:solidFill>
                <a:srgbClr val="808080"/>
              </a:solidFill>
              <a:prstDash val="solid"/>
            </a:ln>
          </c:spPr>
          <c:marker>
            <c:symbol val="none"/>
          </c:marker>
          <c:xVal>
            <c:numLit>
              <c:formatCode>General</c:formatCode>
              <c:ptCount val="2"/>
              <c:pt idx="0">
                <c:v>-8.6767861984288288</c:v>
              </c:pt>
              <c:pt idx="1">
                <c:v>-8.3767861984288281</c:v>
              </c:pt>
            </c:numLit>
          </c:xVal>
          <c:yVal>
            <c:numLit>
              <c:formatCode>General</c:formatCode>
              <c:ptCount val="2"/>
              <c:pt idx="0">
                <c:v>3.7505192427214353E-3</c:v>
              </c:pt>
              <c:pt idx="1">
                <c:v>3.6342455388548439E-3</c:v>
              </c:pt>
            </c:numLit>
          </c:yVal>
          <c:smooth val="0"/>
          <c:extLst>
            <c:ext xmlns:c16="http://schemas.microsoft.com/office/drawing/2014/chart" uri="{C3380CC4-5D6E-409C-BE32-E72D297353CC}">
              <c16:uniqueId val="{00000010-18CD-48A9-AFA2-5F9C259C7509}"/>
            </c:ext>
          </c:extLst>
        </c:ser>
        <c:ser>
          <c:idx val="14"/>
          <c:order val="14"/>
          <c:tx>
            <c:v>h=2</c:v>
          </c:tx>
          <c:spPr>
            <a:ln w="3175">
              <a:solidFill>
                <a:srgbClr val="808080"/>
              </a:solidFill>
              <a:prstDash val="solid"/>
            </a:ln>
          </c:spPr>
          <c:marker>
            <c:symbol val="none"/>
          </c:marker>
          <c:xVal>
            <c:numLit>
              <c:formatCode>General</c:formatCode>
              <c:ptCount val="2"/>
              <c:pt idx="0">
                <c:v>-8.3683774167274958</c:v>
              </c:pt>
              <c:pt idx="1">
                <c:v>-8.0683774167274951</c:v>
              </c:pt>
            </c:numLit>
          </c:xVal>
          <c:yVal>
            <c:numLit>
              <c:formatCode>General</c:formatCode>
              <c:ptCount val="2"/>
              <c:pt idx="0">
                <c:v>4.0164177645442799E-3</c:v>
              </c:pt>
              <c:pt idx="1">
                <c:v>3.9002062030882552E-3</c:v>
              </c:pt>
            </c:numLit>
          </c:yVal>
          <c:smooth val="0"/>
          <c:extLst>
            <c:ext xmlns:c16="http://schemas.microsoft.com/office/drawing/2014/chart" uri="{C3380CC4-5D6E-409C-BE32-E72D297353CC}">
              <c16:uniqueId val="{00000011-18CD-48A9-AFA2-5F9C259C7509}"/>
            </c:ext>
          </c:extLst>
        </c:ser>
        <c:ser>
          <c:idx val="15"/>
          <c:order val="15"/>
          <c:tx>
            <c:v>h=3</c:v>
          </c:tx>
          <c:spPr>
            <a:ln w="3175">
              <a:solidFill>
                <a:srgbClr val="808080"/>
              </a:solidFill>
              <a:prstDash val="solid"/>
            </a:ln>
          </c:spPr>
          <c:marker>
            <c:symbol val="none"/>
          </c:marker>
          <c:xVal>
            <c:numLit>
              <c:formatCode>General</c:formatCode>
              <c:ptCount val="2"/>
              <c:pt idx="0">
                <c:v>-8.059968635026161</c:v>
              </c:pt>
              <c:pt idx="1">
                <c:v>-7.7599686350261612</c:v>
              </c:pt>
            </c:numLit>
          </c:xVal>
          <c:yVal>
            <c:numLit>
              <c:formatCode>General</c:formatCode>
              <c:ptCount val="2"/>
              <c:pt idx="0">
                <c:v>4.282316286367124E-3</c:v>
              </c:pt>
              <c:pt idx="1">
                <c:v>4.1661590956639247E-3</c:v>
              </c:pt>
            </c:numLit>
          </c:yVal>
          <c:smooth val="0"/>
          <c:extLst>
            <c:ext xmlns:c16="http://schemas.microsoft.com/office/drawing/2014/chart" uri="{C3380CC4-5D6E-409C-BE32-E72D297353CC}">
              <c16:uniqueId val="{00000012-18CD-48A9-AFA2-5F9C259C7509}"/>
            </c:ext>
          </c:extLst>
        </c:ser>
        <c:ser>
          <c:idx val="16"/>
          <c:order val="16"/>
          <c:tx>
            <c:v>h=4</c:v>
          </c:tx>
          <c:spPr>
            <a:ln w="3175">
              <a:solidFill>
                <a:srgbClr val="808080"/>
              </a:solidFill>
              <a:prstDash val="solid"/>
            </a:ln>
          </c:spPr>
          <c:marker>
            <c:symbol val="none"/>
          </c:marker>
          <c:xVal>
            <c:numLit>
              <c:formatCode>General</c:formatCode>
              <c:ptCount val="2"/>
              <c:pt idx="0">
                <c:v>-7.751559853324828</c:v>
              </c:pt>
              <c:pt idx="1">
                <c:v>-7.4515598533248282</c:v>
              </c:pt>
            </c:numLit>
          </c:xVal>
          <c:yVal>
            <c:numLit>
              <c:formatCode>General</c:formatCode>
              <c:ptCount val="2"/>
              <c:pt idx="0">
                <c:v>4.5482148081899682E-3</c:v>
              </c:pt>
              <c:pt idx="1">
                <c:v>4.4321055886916774E-3</c:v>
              </c:pt>
            </c:numLit>
          </c:yVal>
          <c:smooth val="0"/>
          <c:extLst>
            <c:ext xmlns:c16="http://schemas.microsoft.com/office/drawing/2014/chart" uri="{C3380CC4-5D6E-409C-BE32-E72D297353CC}">
              <c16:uniqueId val="{00000013-18CD-48A9-AFA2-5F9C259C7509}"/>
            </c:ext>
          </c:extLst>
        </c:ser>
        <c:ser>
          <c:idx val="17"/>
          <c:order val="17"/>
          <c:tx>
            <c:v>h=5</c:v>
          </c:tx>
          <c:spPr>
            <a:ln w="3175">
              <a:solidFill>
                <a:srgbClr val="808080"/>
              </a:solidFill>
              <a:prstDash val="solid"/>
            </a:ln>
          </c:spPr>
          <c:marker>
            <c:symbol val="none"/>
          </c:marker>
          <c:dLbls>
            <c:dLbl>
              <c:idx val="0"/>
              <c:layout>
                <c:manualLayout>
                  <c:x val="-2.809424212598426E-2"/>
                  <c:y val="-6.52567467528113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-7.4431510716234941</c:v>
              </c:pt>
              <c:pt idx="1">
                <c:v>5</c:v>
              </c:pt>
            </c:numLit>
          </c:xVal>
          <c:yVal>
            <c:numLit>
              <c:formatCode>General</c:formatCode>
              <c:ptCount val="2"/>
              <c:pt idx="0">
                <c:v>4.8141133300128132E-3</c:v>
              </c:pt>
              <c:pt idx="1">
                <c:v>0</c:v>
              </c:pt>
            </c:numLit>
          </c:yVal>
          <c:smooth val="0"/>
          <c:extLst>
            <c:ext xmlns:c16="http://schemas.microsoft.com/office/drawing/2014/chart" uri="{C3380CC4-5D6E-409C-BE32-E72D297353CC}">
              <c16:uniqueId val="{00000015-18CD-48A9-AFA2-5F9C259C7509}"/>
            </c:ext>
          </c:extLst>
        </c:ser>
        <c:ser>
          <c:idx val="18"/>
          <c:order val="18"/>
          <c:tx>
            <c:v>h=6</c:v>
          </c:tx>
          <c:spPr>
            <a:ln w="3175">
              <a:solidFill>
                <a:srgbClr val="808080"/>
              </a:solidFill>
              <a:prstDash val="solid"/>
            </a:ln>
          </c:spPr>
          <c:marker>
            <c:symbol val="none"/>
          </c:marker>
          <c:xVal>
            <c:numLit>
              <c:formatCode>General</c:formatCode>
              <c:ptCount val="2"/>
              <c:pt idx="0">
                <c:v>-7.1347422899221611</c:v>
              </c:pt>
              <c:pt idx="1">
                <c:v>-6.8347422899221613</c:v>
              </c:pt>
            </c:numLit>
          </c:xVal>
          <c:yVal>
            <c:numLit>
              <c:formatCode>General</c:formatCode>
              <c:ptCount val="2"/>
              <c:pt idx="0">
                <c:v>5.0800118518356573E-3</c:v>
              </c:pt>
              <c:pt idx="1">
                <c:v>4.9639834196128175E-3</c:v>
              </c:pt>
            </c:numLit>
          </c:yVal>
          <c:smooth val="0"/>
          <c:extLst>
            <c:ext xmlns:c16="http://schemas.microsoft.com/office/drawing/2014/chart" uri="{C3380CC4-5D6E-409C-BE32-E72D297353CC}">
              <c16:uniqueId val="{00000016-18CD-48A9-AFA2-5F9C259C7509}"/>
            </c:ext>
          </c:extLst>
        </c:ser>
        <c:ser>
          <c:idx val="19"/>
          <c:order val="19"/>
          <c:tx>
            <c:v>h=7</c:v>
          </c:tx>
          <c:spPr>
            <a:ln w="3175">
              <a:solidFill>
                <a:srgbClr val="808080"/>
              </a:solidFill>
              <a:prstDash val="solid"/>
            </a:ln>
          </c:spPr>
          <c:marker>
            <c:symbol val="none"/>
          </c:marker>
          <c:xVal>
            <c:numLit>
              <c:formatCode>General</c:formatCode>
              <c:ptCount val="2"/>
              <c:pt idx="0">
                <c:v>-6.8263335082208272</c:v>
              </c:pt>
              <c:pt idx="1">
                <c:v>-6.5263335082208274</c:v>
              </c:pt>
            </c:numLit>
          </c:xVal>
          <c:yVal>
            <c:numLit>
              <c:formatCode>General</c:formatCode>
              <c:ptCount val="2"/>
              <c:pt idx="0">
                <c:v>5.3459103736585014E-3</c:v>
              </c:pt>
              <c:pt idx="1">
                <c:v>5.2299162736214972E-3</c:v>
              </c:pt>
            </c:numLit>
          </c:yVal>
          <c:smooth val="0"/>
          <c:extLst>
            <c:ext xmlns:c16="http://schemas.microsoft.com/office/drawing/2014/chart" uri="{C3380CC4-5D6E-409C-BE32-E72D297353CC}">
              <c16:uniqueId val="{00000017-18CD-48A9-AFA2-5F9C259C7509}"/>
            </c:ext>
          </c:extLst>
        </c:ser>
        <c:ser>
          <c:idx val="20"/>
          <c:order val="20"/>
          <c:tx>
            <c:v>h=8</c:v>
          </c:tx>
          <c:spPr>
            <a:ln w="3175">
              <a:solidFill>
                <a:srgbClr val="808080"/>
              </a:solidFill>
              <a:prstDash val="solid"/>
            </a:ln>
          </c:spPr>
          <c:marker>
            <c:symbol val="none"/>
          </c:marker>
          <c:xVal>
            <c:numLit>
              <c:formatCode>General</c:formatCode>
              <c:ptCount val="2"/>
              <c:pt idx="0">
                <c:v>-6.5179247265194933</c:v>
              </c:pt>
              <c:pt idx="1">
                <c:v>-6.2179247265194935</c:v>
              </c:pt>
            </c:numLit>
          </c:xVal>
          <c:yVal>
            <c:numLit>
              <c:formatCode>General</c:formatCode>
              <c:ptCount val="2"/>
              <c:pt idx="0">
                <c:v>5.6118088954813464E-3</c:v>
              </c:pt>
              <c:pt idx="1">
                <c:v>5.4958458566615404E-3</c:v>
              </c:pt>
            </c:numLit>
          </c:yVal>
          <c:smooth val="0"/>
          <c:extLst>
            <c:ext xmlns:c16="http://schemas.microsoft.com/office/drawing/2014/chart" uri="{C3380CC4-5D6E-409C-BE32-E72D297353CC}">
              <c16:uniqueId val="{00000018-18CD-48A9-AFA2-5F9C259C7509}"/>
            </c:ext>
          </c:extLst>
        </c:ser>
        <c:ser>
          <c:idx val="21"/>
          <c:order val="21"/>
          <c:tx>
            <c:v>h=9</c:v>
          </c:tx>
          <c:spPr>
            <a:ln w="3175">
              <a:solidFill>
                <a:srgbClr val="808080"/>
              </a:solidFill>
              <a:prstDash val="solid"/>
            </a:ln>
          </c:spPr>
          <c:marker>
            <c:symbol val="none"/>
          </c:marker>
          <c:xVal>
            <c:numLit>
              <c:formatCode>General</c:formatCode>
              <c:ptCount val="2"/>
              <c:pt idx="0">
                <c:v>-6.2095159448181603</c:v>
              </c:pt>
              <c:pt idx="1">
                <c:v>-5.9095159448181604</c:v>
              </c:pt>
            </c:numLit>
          </c:xVal>
          <c:yVal>
            <c:numLit>
              <c:formatCode>General</c:formatCode>
              <c:ptCount val="2"/>
              <c:pt idx="0">
                <c:v>5.8777074173041906E-3</c:v>
              </c:pt>
              <c:pt idx="1">
                <c:v>5.7617726149351506E-3</c:v>
              </c:pt>
            </c:numLit>
          </c:yVal>
          <c:smooth val="0"/>
          <c:extLst>
            <c:ext xmlns:c16="http://schemas.microsoft.com/office/drawing/2014/chart" uri="{C3380CC4-5D6E-409C-BE32-E72D297353CC}">
              <c16:uniqueId val="{00000019-18CD-48A9-AFA2-5F9C259C7509}"/>
            </c:ext>
          </c:extLst>
        </c:ser>
        <c:ser>
          <c:idx val="22"/>
          <c:order val="22"/>
          <c:tx>
            <c:v>h=10</c:v>
          </c:tx>
          <c:spPr>
            <a:ln w="3175">
              <a:solidFill>
                <a:srgbClr val="808080"/>
              </a:solidFill>
              <a:prstDash val="solid"/>
            </a:ln>
          </c:spPr>
          <c:marker>
            <c:symbol val="none"/>
          </c:marker>
          <c:dLbls>
            <c:dLbl>
              <c:idx val="0"/>
              <c:layout>
                <c:manualLayout>
                  <c:x val="-3.0087489063867018E-2"/>
                  <c:y val="-9.34770172959165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-5.9011071631168264</c:v>
              </c:pt>
              <c:pt idx="1">
                <c:v>10</c:v>
              </c:pt>
            </c:numLit>
          </c:xVal>
          <c:yVal>
            <c:numLit>
              <c:formatCode>General</c:formatCode>
              <c:ptCount val="2"/>
              <c:pt idx="0">
                <c:v>6.1436059391270347E-3</c:v>
              </c:pt>
              <c:pt idx="1">
                <c:v>0</c:v>
              </c:pt>
            </c:numLit>
          </c:yVal>
          <c:smooth val="0"/>
          <c:extLst>
            <c:ext xmlns:c16="http://schemas.microsoft.com/office/drawing/2014/chart" uri="{C3380CC4-5D6E-409C-BE32-E72D297353CC}">
              <c16:uniqueId val="{0000001B-18CD-48A9-AFA2-5F9C259C7509}"/>
            </c:ext>
          </c:extLst>
        </c:ser>
        <c:ser>
          <c:idx val="23"/>
          <c:order val="23"/>
          <c:tx>
            <c:v>h=11</c:v>
          </c:tx>
          <c:spPr>
            <a:ln w="3175">
              <a:solidFill>
                <a:srgbClr val="808080"/>
              </a:solidFill>
              <a:prstDash val="solid"/>
            </a:ln>
          </c:spPr>
          <c:marker>
            <c:symbol val="none"/>
          </c:marker>
          <c:xVal>
            <c:numLit>
              <c:formatCode>General</c:formatCode>
              <c:ptCount val="2"/>
              <c:pt idx="0">
                <c:v>-5.5926983814154925</c:v>
              </c:pt>
              <c:pt idx="1">
                <c:v>-5.2926983814154926</c:v>
              </c:pt>
            </c:numLit>
          </c:xVal>
          <c:yVal>
            <c:numLit>
              <c:formatCode>General</c:formatCode>
              <c:ptCount val="2"/>
              <c:pt idx="0">
                <c:v>6.4095044609498797E-3</c:v>
              </c:pt>
              <c:pt idx="1">
                <c:v>6.2936190700336779E-3</c:v>
              </c:pt>
            </c:numLit>
          </c:yVal>
          <c:smooth val="0"/>
          <c:extLst>
            <c:ext xmlns:c16="http://schemas.microsoft.com/office/drawing/2014/chart" uri="{C3380CC4-5D6E-409C-BE32-E72D297353CC}">
              <c16:uniqueId val="{0000001C-18CD-48A9-AFA2-5F9C259C7509}"/>
            </c:ext>
          </c:extLst>
        </c:ser>
        <c:ser>
          <c:idx val="24"/>
          <c:order val="24"/>
          <c:tx>
            <c:v>h=12</c:v>
          </c:tx>
          <c:spPr>
            <a:ln w="3175">
              <a:solidFill>
                <a:srgbClr val="808080"/>
              </a:solidFill>
              <a:prstDash val="solid"/>
            </a:ln>
          </c:spPr>
          <c:marker>
            <c:symbol val="none"/>
          </c:marker>
          <c:xVal>
            <c:numLit>
              <c:formatCode>General</c:formatCode>
              <c:ptCount val="2"/>
              <c:pt idx="0">
                <c:v>-5.2842895997141595</c:v>
              </c:pt>
              <c:pt idx="1">
                <c:v>-4.9842895997141596</c:v>
              </c:pt>
            </c:numLit>
          </c:xVal>
          <c:yVal>
            <c:numLit>
              <c:formatCode>General</c:formatCode>
              <c:ptCount val="2"/>
              <c:pt idx="0">
                <c:v>6.6754029827727239E-3</c:v>
              </c:pt>
              <c:pt idx="1">
                <c:v>6.5595393319539518E-3</c:v>
              </c:pt>
            </c:numLit>
          </c:yVal>
          <c:smooth val="0"/>
          <c:extLst>
            <c:ext xmlns:c16="http://schemas.microsoft.com/office/drawing/2014/chart" uri="{C3380CC4-5D6E-409C-BE32-E72D297353CC}">
              <c16:uniqueId val="{0000001D-18CD-48A9-AFA2-5F9C259C7509}"/>
            </c:ext>
          </c:extLst>
        </c:ser>
        <c:ser>
          <c:idx val="25"/>
          <c:order val="25"/>
          <c:tx>
            <c:v>h=13</c:v>
          </c:tx>
          <c:spPr>
            <a:ln w="3175">
              <a:solidFill>
                <a:srgbClr val="808080"/>
              </a:solidFill>
              <a:prstDash val="solid"/>
            </a:ln>
          </c:spPr>
          <c:marker>
            <c:symbol val="none"/>
          </c:marker>
          <c:xVal>
            <c:numLit>
              <c:formatCode>General</c:formatCode>
              <c:ptCount val="2"/>
              <c:pt idx="0">
                <c:v>-4.9758808180128256</c:v>
              </c:pt>
              <c:pt idx="1">
                <c:v>-4.6758808180128257</c:v>
              </c:pt>
            </c:numLit>
          </c:xVal>
          <c:yVal>
            <c:numLit>
              <c:formatCode>General</c:formatCode>
              <c:ptCount val="2"/>
              <c:pt idx="0">
                <c:v>6.941301504595568E-3</c:v>
              </c:pt>
              <c:pt idx="1">
                <c:v>6.8254579210482186E-3</c:v>
              </c:pt>
            </c:numLit>
          </c:yVal>
          <c:smooth val="0"/>
          <c:extLst>
            <c:ext xmlns:c16="http://schemas.microsoft.com/office/drawing/2014/chart" uri="{C3380CC4-5D6E-409C-BE32-E72D297353CC}">
              <c16:uniqueId val="{0000001E-18CD-48A9-AFA2-5F9C259C7509}"/>
            </c:ext>
          </c:extLst>
        </c:ser>
        <c:ser>
          <c:idx val="26"/>
          <c:order val="26"/>
          <c:tx>
            <c:v>h=14</c:v>
          </c:tx>
          <c:spPr>
            <a:ln w="3175">
              <a:solidFill>
                <a:srgbClr val="808080"/>
              </a:solidFill>
              <a:prstDash val="solid"/>
            </a:ln>
          </c:spPr>
          <c:marker>
            <c:symbol val="none"/>
          </c:marker>
          <c:xVal>
            <c:numLit>
              <c:formatCode>General</c:formatCode>
              <c:ptCount val="2"/>
              <c:pt idx="0">
                <c:v>-4.6674720363114925</c:v>
              </c:pt>
              <c:pt idx="1">
                <c:v>-4.3674720363114918</c:v>
              </c:pt>
            </c:numLit>
          </c:xVal>
          <c:yVal>
            <c:numLit>
              <c:formatCode>General</c:formatCode>
              <c:ptCount val="2"/>
              <c:pt idx="0">
                <c:v>7.207200026418413E-3</c:v>
              </c:pt>
              <c:pt idx="1">
                <c:v>7.0913750232407067E-3</c:v>
              </c:pt>
            </c:numLit>
          </c:yVal>
          <c:smooth val="0"/>
          <c:extLst>
            <c:ext xmlns:c16="http://schemas.microsoft.com/office/drawing/2014/chart" uri="{C3380CC4-5D6E-409C-BE32-E72D297353CC}">
              <c16:uniqueId val="{0000001F-18CD-48A9-AFA2-5F9C259C7509}"/>
            </c:ext>
          </c:extLst>
        </c:ser>
        <c:ser>
          <c:idx val="27"/>
          <c:order val="27"/>
          <c:tx>
            <c:v>h=15</c:v>
          </c:tx>
          <c:spPr>
            <a:ln w="3175">
              <a:solidFill>
                <a:srgbClr val="808080"/>
              </a:solidFill>
              <a:prstDash val="solid"/>
            </a:ln>
          </c:spPr>
          <c:marker>
            <c:symbol val="none"/>
          </c:marker>
          <c:dLbls>
            <c:dLbl>
              <c:idx val="0"/>
              <c:layout>
                <c:manualLayout>
                  <c:x val="-3.0087489063867032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-4.3590632546101586</c:v>
              </c:pt>
              <c:pt idx="1">
                <c:v>15</c:v>
              </c:pt>
            </c:numLit>
          </c:xVal>
          <c:yVal>
            <c:numLit>
              <c:formatCode>General</c:formatCode>
              <c:ptCount val="2"/>
              <c:pt idx="0">
                <c:v>7.4730985482412571E-3</c:v>
              </c:pt>
              <c:pt idx="1">
                <c:v>0</c:v>
              </c:pt>
            </c:numLit>
          </c:yVal>
          <c:smooth val="0"/>
          <c:extLst>
            <c:ext xmlns:c16="http://schemas.microsoft.com/office/drawing/2014/chart" uri="{C3380CC4-5D6E-409C-BE32-E72D297353CC}">
              <c16:uniqueId val="{00000021-18CD-48A9-AFA2-5F9C259C7509}"/>
            </c:ext>
          </c:extLst>
        </c:ser>
        <c:ser>
          <c:idx val="28"/>
          <c:order val="28"/>
          <c:tx>
            <c:v>h=16</c:v>
          </c:tx>
          <c:spPr>
            <a:ln w="3175">
              <a:solidFill>
                <a:srgbClr val="808080"/>
              </a:solidFill>
              <a:prstDash val="solid"/>
            </a:ln>
          </c:spPr>
          <c:marker>
            <c:symbol val="none"/>
          </c:marker>
          <c:xVal>
            <c:numLit>
              <c:formatCode>General</c:formatCode>
              <c:ptCount val="2"/>
              <c:pt idx="0">
                <c:v>-4.0506544729088247</c:v>
              </c:pt>
              <c:pt idx="1">
                <c:v>-3.7506544729088249</c:v>
              </c:pt>
            </c:numLit>
          </c:xVal>
          <c:yVal>
            <c:numLit>
              <c:formatCode>General</c:formatCode>
              <c:ptCount val="2"/>
              <c:pt idx="0">
                <c:v>7.7389970700641013E-3</c:v>
              </c:pt>
              <c:pt idx="1">
                <c:v>7.6232053823585373E-3</c:v>
              </c:pt>
            </c:numLit>
          </c:yVal>
          <c:smooth val="0"/>
          <c:extLst>
            <c:ext xmlns:c16="http://schemas.microsoft.com/office/drawing/2014/chart" uri="{C3380CC4-5D6E-409C-BE32-E72D297353CC}">
              <c16:uniqueId val="{00000022-18CD-48A9-AFA2-5F9C259C7509}"/>
            </c:ext>
          </c:extLst>
        </c:ser>
        <c:ser>
          <c:idx val="29"/>
          <c:order val="29"/>
          <c:tx>
            <c:v>h=17</c:v>
          </c:tx>
          <c:spPr>
            <a:ln w="3175">
              <a:solidFill>
                <a:srgbClr val="808080"/>
              </a:solidFill>
              <a:prstDash val="solid"/>
            </a:ln>
          </c:spPr>
          <c:marker>
            <c:symbol val="none"/>
          </c:marker>
          <c:xVal>
            <c:numLit>
              <c:formatCode>General</c:formatCode>
              <c:ptCount val="2"/>
              <c:pt idx="0">
                <c:v>-3.7422456912074913</c:v>
              </c:pt>
              <c:pt idx="1">
                <c:v>-3.4422456912074915</c:v>
              </c:pt>
            </c:numLit>
          </c:xVal>
          <c:yVal>
            <c:numLit>
              <c:formatCode>General</c:formatCode>
              <c:ptCount val="2"/>
              <c:pt idx="0">
                <c:v>8.0048955918869454E-3</c:v>
              </c:pt>
              <c:pt idx="1">
                <c:v>7.8891188957028839E-3</c:v>
              </c:pt>
            </c:numLit>
          </c:yVal>
          <c:smooth val="0"/>
          <c:extLst>
            <c:ext xmlns:c16="http://schemas.microsoft.com/office/drawing/2014/chart" uri="{C3380CC4-5D6E-409C-BE32-E72D297353CC}">
              <c16:uniqueId val="{00000023-18CD-48A9-AFA2-5F9C259C7509}"/>
            </c:ext>
          </c:extLst>
        </c:ser>
        <c:ser>
          <c:idx val="30"/>
          <c:order val="30"/>
          <c:tx>
            <c:v>h=18</c:v>
          </c:tx>
          <c:spPr>
            <a:ln w="3175">
              <a:solidFill>
                <a:srgbClr val="808080"/>
              </a:solidFill>
              <a:prstDash val="solid"/>
            </a:ln>
          </c:spPr>
          <c:marker>
            <c:symbol val="none"/>
          </c:marker>
          <c:xVal>
            <c:numLit>
              <c:formatCode>General</c:formatCode>
              <c:ptCount val="2"/>
              <c:pt idx="0">
                <c:v>-3.4338369095061578</c:v>
              </c:pt>
              <c:pt idx="1">
                <c:v>-3.1338369095061576</c:v>
              </c:pt>
            </c:numLit>
          </c:xVal>
          <c:yVal>
            <c:numLit>
              <c:formatCode>General</c:formatCode>
              <c:ptCount val="2"/>
              <c:pt idx="0">
                <c:v>8.2707941137097896E-3</c:v>
              </c:pt>
              <c:pt idx="1">
                <c:v>8.1550314416045221E-3</c:v>
              </c:pt>
            </c:numLit>
          </c:yVal>
          <c:smooth val="0"/>
          <c:extLst>
            <c:ext xmlns:c16="http://schemas.microsoft.com/office/drawing/2014/chart" uri="{C3380CC4-5D6E-409C-BE32-E72D297353CC}">
              <c16:uniqueId val="{00000024-18CD-48A9-AFA2-5F9C259C7509}"/>
            </c:ext>
          </c:extLst>
        </c:ser>
        <c:ser>
          <c:idx val="31"/>
          <c:order val="31"/>
          <c:tx>
            <c:v>h=19</c:v>
          </c:tx>
          <c:spPr>
            <a:ln w="3175">
              <a:solidFill>
                <a:srgbClr val="808080"/>
              </a:solidFill>
              <a:prstDash val="solid"/>
            </a:ln>
          </c:spPr>
          <c:marker>
            <c:symbol val="none"/>
          </c:marker>
          <c:xVal>
            <c:numLit>
              <c:formatCode>General</c:formatCode>
              <c:ptCount val="2"/>
              <c:pt idx="0">
                <c:v>-3.1254281278048244</c:v>
              </c:pt>
              <c:pt idx="1">
                <c:v>-2.8254281278048241</c:v>
              </c:pt>
            </c:numLit>
          </c:xVal>
          <c:yVal>
            <c:numLit>
              <c:formatCode>General</c:formatCode>
              <c:ptCount val="2"/>
              <c:pt idx="0">
                <c:v>8.5366926355326354E-3</c:v>
              </c:pt>
              <c:pt idx="1">
                <c:v>8.4209431107837157E-3</c:v>
              </c:pt>
            </c:numLit>
          </c:yVal>
          <c:smooth val="0"/>
          <c:extLst>
            <c:ext xmlns:c16="http://schemas.microsoft.com/office/drawing/2014/chart" uri="{C3380CC4-5D6E-409C-BE32-E72D297353CC}">
              <c16:uniqueId val="{00000025-18CD-48A9-AFA2-5F9C259C7509}"/>
            </c:ext>
          </c:extLst>
        </c:ser>
        <c:ser>
          <c:idx val="32"/>
          <c:order val="32"/>
          <c:tx>
            <c:v>h=20</c:v>
          </c:tx>
          <c:spPr>
            <a:ln w="3175">
              <a:solidFill>
                <a:srgbClr val="808080"/>
              </a:solidFill>
              <a:prstDash val="solid"/>
            </a:ln>
          </c:spPr>
          <c:marker>
            <c:symbol val="none"/>
          </c:marker>
          <c:dLbls>
            <c:dLbl>
              <c:idx val="0"/>
              <c:layout>
                <c:manualLayout>
                  <c:x val="-3.0087489063867018E-2"/>
                  <c:y val="-9.34770172959165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-2.8170193461034905</c:v>
              </c:pt>
              <c:pt idx="1">
                <c:v>20</c:v>
              </c:pt>
            </c:numLit>
          </c:xVal>
          <c:yVal>
            <c:numLit>
              <c:formatCode>General</c:formatCode>
              <c:ptCount val="2"/>
              <c:pt idx="0">
                <c:v>8.8025911573554796E-3</c:v>
              </c:pt>
              <c:pt idx="1">
                <c:v>0</c:v>
              </c:pt>
            </c:numLit>
          </c:yVal>
          <c:smooth val="0"/>
          <c:extLst>
            <c:ext xmlns:c16="http://schemas.microsoft.com/office/drawing/2014/chart" uri="{C3380CC4-5D6E-409C-BE32-E72D297353CC}">
              <c16:uniqueId val="{00000027-18CD-48A9-AFA2-5F9C259C7509}"/>
            </c:ext>
          </c:extLst>
        </c:ser>
        <c:ser>
          <c:idx val="33"/>
          <c:order val="33"/>
          <c:tx>
            <c:v>h=21</c:v>
          </c:tx>
          <c:spPr>
            <a:ln w="3175">
              <a:solidFill>
                <a:srgbClr val="808080"/>
              </a:solidFill>
              <a:prstDash val="solid"/>
            </a:ln>
          </c:spPr>
          <c:marker>
            <c:symbol val="none"/>
          </c:marker>
          <c:xVal>
            <c:numLit>
              <c:formatCode>General</c:formatCode>
              <c:ptCount val="2"/>
              <c:pt idx="0">
                <c:v>-2.508610564402157</c:v>
              </c:pt>
              <c:pt idx="1">
                <c:v>-2.2086105644021572</c:v>
              </c:pt>
            </c:numLit>
          </c:xVal>
          <c:yVal>
            <c:numLit>
              <c:formatCode>General</c:formatCode>
              <c:ptCount val="2"/>
              <c:pt idx="0">
                <c:v>9.0684896791783237E-3</c:v>
              </c:pt>
              <c:pt idx="1">
                <c:v>8.952764128478485E-3</c:v>
              </c:pt>
            </c:numLit>
          </c:yVal>
          <c:smooth val="0"/>
          <c:extLst>
            <c:ext xmlns:c16="http://schemas.microsoft.com/office/drawing/2014/chart" uri="{C3380CC4-5D6E-409C-BE32-E72D297353CC}">
              <c16:uniqueId val="{00000028-18CD-48A9-AFA2-5F9C259C7509}"/>
            </c:ext>
          </c:extLst>
        </c:ser>
        <c:ser>
          <c:idx val="34"/>
          <c:order val="34"/>
          <c:tx>
            <c:v>h=22</c:v>
          </c:tx>
          <c:spPr>
            <a:ln w="3175">
              <a:solidFill>
                <a:srgbClr val="808080"/>
              </a:solidFill>
              <a:prstDash val="solid"/>
            </a:ln>
          </c:spPr>
          <c:marker>
            <c:symbol val="none"/>
          </c:marker>
          <c:xVal>
            <c:numLit>
              <c:formatCode>General</c:formatCode>
              <c:ptCount val="2"/>
              <c:pt idx="0">
                <c:v>-2.2002017827008236</c:v>
              </c:pt>
              <c:pt idx="1">
                <c:v>-1.9002017827008235</c:v>
              </c:pt>
            </c:numLit>
          </c:xVal>
          <c:yVal>
            <c:numLit>
              <c:formatCode>General</c:formatCode>
              <c:ptCount val="2"/>
              <c:pt idx="0">
                <c:v>9.3343882010011679E-3</c:v>
              </c:pt>
              <c:pt idx="1">
                <c:v>9.2186736096335001E-3</c:v>
              </c:pt>
            </c:numLit>
          </c:yVal>
          <c:smooth val="0"/>
          <c:extLst>
            <c:ext xmlns:c16="http://schemas.microsoft.com/office/drawing/2014/chart" uri="{C3380CC4-5D6E-409C-BE32-E72D297353CC}">
              <c16:uniqueId val="{00000029-18CD-48A9-AFA2-5F9C259C7509}"/>
            </c:ext>
          </c:extLst>
        </c:ser>
        <c:ser>
          <c:idx val="35"/>
          <c:order val="35"/>
          <c:tx>
            <c:v>h=23</c:v>
          </c:tx>
          <c:spPr>
            <a:ln w="3175">
              <a:solidFill>
                <a:srgbClr val="808080"/>
              </a:solidFill>
              <a:prstDash val="solid"/>
            </a:ln>
          </c:spPr>
          <c:marker>
            <c:symbol val="none"/>
          </c:marker>
          <c:xVal>
            <c:numLit>
              <c:formatCode>General</c:formatCode>
              <c:ptCount val="2"/>
              <c:pt idx="0">
                <c:v>-1.8917930009994899</c:v>
              </c:pt>
              <c:pt idx="1">
                <c:v>-1.5917930009994898</c:v>
              </c:pt>
            </c:numLit>
          </c:xVal>
          <c:yVal>
            <c:numLit>
              <c:formatCode>General</c:formatCode>
              <c:ptCount val="2"/>
              <c:pt idx="0">
                <c:v>9.600286722824012E-3</c:v>
              </c:pt>
              <c:pt idx="1">
                <c:v>9.484582481802421E-3</c:v>
              </c:pt>
            </c:numLit>
          </c:yVal>
          <c:smooth val="0"/>
          <c:extLst>
            <c:ext xmlns:c16="http://schemas.microsoft.com/office/drawing/2014/chart" uri="{C3380CC4-5D6E-409C-BE32-E72D297353CC}">
              <c16:uniqueId val="{0000002A-18CD-48A9-AFA2-5F9C259C7509}"/>
            </c:ext>
          </c:extLst>
        </c:ser>
        <c:ser>
          <c:idx val="36"/>
          <c:order val="36"/>
          <c:tx>
            <c:v>h=24</c:v>
          </c:tx>
          <c:spPr>
            <a:ln w="3175">
              <a:solidFill>
                <a:srgbClr val="808080"/>
              </a:solidFill>
              <a:prstDash val="solid"/>
            </a:ln>
          </c:spPr>
          <c:marker>
            <c:symbol val="none"/>
          </c:marker>
          <c:xVal>
            <c:numLit>
              <c:formatCode>General</c:formatCode>
              <c:ptCount val="2"/>
              <c:pt idx="0">
                <c:v>-1.5833842192981562</c:v>
              </c:pt>
              <c:pt idx="1">
                <c:v>-1.2833842192981562</c:v>
              </c:pt>
            </c:numLit>
          </c:xVal>
          <c:yVal>
            <c:numLit>
              <c:formatCode>General</c:formatCode>
              <c:ptCount val="2"/>
              <c:pt idx="0">
                <c:v>9.8661852446468561E-3</c:v>
              </c:pt>
              <c:pt idx="1">
                <c:v>9.7504907943730974E-3</c:v>
              </c:pt>
            </c:numLit>
          </c:yVal>
          <c:smooth val="0"/>
          <c:extLst>
            <c:ext xmlns:c16="http://schemas.microsoft.com/office/drawing/2014/chart" uri="{C3380CC4-5D6E-409C-BE32-E72D297353CC}">
              <c16:uniqueId val="{0000002B-18CD-48A9-AFA2-5F9C259C7509}"/>
            </c:ext>
          </c:extLst>
        </c:ser>
        <c:ser>
          <c:idx val="37"/>
          <c:order val="37"/>
          <c:tx>
            <c:v>h=25</c:v>
          </c:tx>
          <c:spPr>
            <a:ln w="3175">
              <a:solidFill>
                <a:srgbClr val="808080"/>
              </a:solidFill>
              <a:prstDash val="solid"/>
            </a:ln>
          </c:spPr>
          <c:marker>
            <c:symbol val="none"/>
          </c:marker>
          <c:dLbls>
            <c:dLbl>
              <c:idx val="0"/>
              <c:layout>
                <c:manualLayout>
                  <c:x val="-3.0087489063867018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25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-1.2749754375968227</c:v>
              </c:pt>
              <c:pt idx="1">
                <c:v>25</c:v>
              </c:pt>
            </c:numLit>
          </c:xVal>
          <c:yVal>
            <c:numLit>
              <c:formatCode>General</c:formatCode>
              <c:ptCount val="2"/>
              <c:pt idx="0">
                <c:v>1.0132083766469702E-2</c:v>
              </c:pt>
              <c:pt idx="1">
                <c:v>0</c:v>
              </c:pt>
            </c:numLit>
          </c:yVal>
          <c:smooth val="0"/>
          <c:extLst>
            <c:ext xmlns:c16="http://schemas.microsoft.com/office/drawing/2014/chart" uri="{C3380CC4-5D6E-409C-BE32-E72D297353CC}">
              <c16:uniqueId val="{0000002D-18CD-48A9-AFA2-5F9C259C7509}"/>
            </c:ext>
          </c:extLst>
        </c:ser>
        <c:ser>
          <c:idx val="38"/>
          <c:order val="38"/>
          <c:tx>
            <c:v>h=26</c:v>
          </c:tx>
          <c:spPr>
            <a:ln w="3175">
              <a:solidFill>
                <a:srgbClr val="808080"/>
              </a:solidFill>
              <a:prstDash val="solid"/>
            </a:ln>
          </c:spPr>
          <c:marker>
            <c:symbol val="none"/>
          </c:marker>
          <c:xVal>
            <c:numLit>
              <c:formatCode>General</c:formatCode>
              <c:ptCount val="2"/>
              <c:pt idx="0">
                <c:v>-0.96656665589548907</c:v>
              </c:pt>
              <c:pt idx="1">
                <c:v>-0.66656665589548902</c:v>
              </c:pt>
            </c:numLit>
          </c:xVal>
          <c:yVal>
            <c:numLit>
              <c:formatCode>General</c:formatCode>
              <c:ptCount val="2"/>
              <c:pt idx="0">
                <c:v>1.0397982288292546E-2</c:v>
              </c:pt>
              <c:pt idx="1">
                <c:v>1.0282305912938853E-2</c:v>
              </c:pt>
            </c:numLit>
          </c:yVal>
          <c:smooth val="0"/>
          <c:extLst>
            <c:ext xmlns:c16="http://schemas.microsoft.com/office/drawing/2014/chart" uri="{C3380CC4-5D6E-409C-BE32-E72D297353CC}">
              <c16:uniqueId val="{0000002E-18CD-48A9-AFA2-5F9C259C7509}"/>
            </c:ext>
          </c:extLst>
        </c:ser>
        <c:ser>
          <c:idx val="39"/>
          <c:order val="39"/>
          <c:tx>
            <c:v>h=27</c:v>
          </c:tx>
          <c:spPr>
            <a:ln w="3175">
              <a:solidFill>
                <a:srgbClr val="808080"/>
              </a:solidFill>
              <a:prstDash val="solid"/>
            </a:ln>
          </c:spPr>
          <c:marker>
            <c:symbol val="none"/>
          </c:marker>
          <c:xVal>
            <c:numLit>
              <c:formatCode>General</c:formatCode>
              <c:ptCount val="2"/>
              <c:pt idx="0">
                <c:v>-0.6581578741941555</c:v>
              </c:pt>
              <c:pt idx="1">
                <c:v>-0.35815787419415551</c:v>
              </c:pt>
            </c:numLit>
          </c:xVal>
          <c:yVal>
            <c:numLit>
              <c:formatCode>General</c:formatCode>
              <c:ptCount val="2"/>
              <c:pt idx="0">
                <c:v>1.066388081011539E-2</c:v>
              </c:pt>
              <c:pt idx="1">
                <c:v>1.0548212794277664E-2</c:v>
              </c:pt>
            </c:numLit>
          </c:yVal>
          <c:smooth val="0"/>
          <c:extLst>
            <c:ext xmlns:c16="http://schemas.microsoft.com/office/drawing/2014/chart" uri="{C3380CC4-5D6E-409C-BE32-E72D297353CC}">
              <c16:uniqueId val="{0000002F-18CD-48A9-AFA2-5F9C259C7509}"/>
            </c:ext>
          </c:extLst>
        </c:ser>
        <c:ser>
          <c:idx val="40"/>
          <c:order val="40"/>
          <c:tx>
            <c:v>h=28</c:v>
          </c:tx>
          <c:spPr>
            <a:ln w="3175">
              <a:solidFill>
                <a:srgbClr val="808080"/>
              </a:solidFill>
              <a:prstDash val="solid"/>
            </a:ln>
          </c:spPr>
          <c:marker>
            <c:symbol val="none"/>
          </c:marker>
          <c:xVal>
            <c:numLit>
              <c:formatCode>General</c:formatCode>
              <c:ptCount val="2"/>
              <c:pt idx="0">
                <c:v>-0.34974909249282188</c:v>
              </c:pt>
              <c:pt idx="1">
                <c:v>-4.9749092492821903E-2</c:v>
              </c:pt>
            </c:numLit>
          </c:xVal>
          <c:yVal>
            <c:numLit>
              <c:formatCode>General</c:formatCode>
              <c:ptCount val="2"/>
              <c:pt idx="0">
                <c:v>1.0929779331938234E-2</c:v>
              </c:pt>
              <c:pt idx="1">
                <c:v>1.0814119267756229E-2</c:v>
              </c:pt>
            </c:numLit>
          </c:yVal>
          <c:smooth val="0"/>
          <c:extLst>
            <c:ext xmlns:c16="http://schemas.microsoft.com/office/drawing/2014/chart" uri="{C3380CC4-5D6E-409C-BE32-E72D297353CC}">
              <c16:uniqueId val="{00000030-18CD-48A9-AFA2-5F9C259C7509}"/>
            </c:ext>
          </c:extLst>
        </c:ser>
        <c:ser>
          <c:idx val="41"/>
          <c:order val="41"/>
          <c:tx>
            <c:v>h=29</c:v>
          </c:tx>
          <c:spPr>
            <a:ln w="3175">
              <a:solidFill>
                <a:srgbClr val="808080"/>
              </a:solidFill>
              <a:prstDash val="solid"/>
            </a:ln>
          </c:spPr>
          <c:marker>
            <c:symbol val="none"/>
          </c:marker>
          <c:xVal>
            <c:numLit>
              <c:formatCode>General</c:formatCode>
              <c:ptCount val="2"/>
              <c:pt idx="0">
                <c:v>-4.1340310791488304E-2</c:v>
              </c:pt>
              <c:pt idx="1">
                <c:v>0.25865968920851168</c:v>
              </c:pt>
            </c:numLit>
          </c:xVal>
          <c:yVal>
            <c:numLit>
              <c:formatCode>General</c:formatCode>
              <c:ptCount val="2"/>
              <c:pt idx="0">
                <c:v>1.1195677853761079E-2</c:v>
              </c:pt>
              <c:pt idx="1">
                <c:v>1.108002536251293E-2</c:v>
              </c:pt>
            </c:numLit>
          </c:yVal>
          <c:smooth val="0"/>
          <c:extLst>
            <c:ext xmlns:c16="http://schemas.microsoft.com/office/drawing/2014/chart" uri="{C3380CC4-5D6E-409C-BE32-E72D297353CC}">
              <c16:uniqueId val="{00000031-18CD-48A9-AFA2-5F9C259C7509}"/>
            </c:ext>
          </c:extLst>
        </c:ser>
        <c:ser>
          <c:idx val="42"/>
          <c:order val="42"/>
          <c:tx>
            <c:v>h=30</c:v>
          </c:tx>
          <c:spPr>
            <a:ln w="3175">
              <a:solidFill>
                <a:srgbClr val="808080"/>
              </a:solidFill>
              <a:prstDash val="solid"/>
            </a:ln>
          </c:spPr>
          <c:marker>
            <c:symbol val="none"/>
          </c:marker>
          <c:dLbls>
            <c:dLbl>
              <c:idx val="0"/>
              <c:layout>
                <c:manualLayout>
                  <c:x val="-3.0087489063867018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0.26706847090984531</c:v>
              </c:pt>
              <c:pt idx="1">
                <c:v>30</c:v>
              </c:pt>
            </c:numLit>
          </c:xVal>
          <c:yVal>
            <c:numLit>
              <c:formatCode>General</c:formatCode>
              <c:ptCount val="2"/>
              <c:pt idx="0">
                <c:v>1.1461576375583923E-2</c:v>
              </c:pt>
              <c:pt idx="1">
                <c:v>0</c:v>
              </c:pt>
            </c:numLit>
          </c:yVal>
          <c:smooth val="0"/>
          <c:extLst>
            <c:ext xmlns:c16="http://schemas.microsoft.com/office/drawing/2014/chart" uri="{C3380CC4-5D6E-409C-BE32-E72D297353CC}">
              <c16:uniqueId val="{00000033-18CD-48A9-AFA2-5F9C259C7509}"/>
            </c:ext>
          </c:extLst>
        </c:ser>
        <c:ser>
          <c:idx val="43"/>
          <c:order val="43"/>
          <c:tx>
            <c:v>h=31</c:v>
          </c:tx>
          <c:spPr>
            <a:ln w="3175">
              <a:solidFill>
                <a:srgbClr val="808080"/>
              </a:solidFill>
              <a:prstDash val="solid"/>
            </a:ln>
          </c:spPr>
          <c:marker>
            <c:symbol val="none"/>
          </c:marker>
          <c:xVal>
            <c:numLit>
              <c:formatCode>General</c:formatCode>
              <c:ptCount val="2"/>
              <c:pt idx="0">
                <c:v>0.57547725261117888</c:v>
              </c:pt>
              <c:pt idx="1">
                <c:v>0.87547725261117881</c:v>
              </c:pt>
            </c:numLit>
          </c:xVal>
          <c:yVal>
            <c:numLit>
              <c:formatCode>General</c:formatCode>
              <c:ptCount val="2"/>
              <c:pt idx="0">
                <c:v>1.1727474897406769E-2</c:v>
              </c:pt>
              <c:pt idx="1">
                <c:v>1.1611836519167163E-2</c:v>
              </c:pt>
            </c:numLit>
          </c:yVal>
          <c:smooth val="0"/>
          <c:extLst>
            <c:ext xmlns:c16="http://schemas.microsoft.com/office/drawing/2014/chart" uri="{C3380CC4-5D6E-409C-BE32-E72D297353CC}">
              <c16:uniqueId val="{00000034-18CD-48A9-AFA2-5F9C259C7509}"/>
            </c:ext>
          </c:extLst>
        </c:ser>
        <c:ser>
          <c:idx val="44"/>
          <c:order val="44"/>
          <c:tx>
            <c:v>h=32</c:v>
          </c:tx>
          <c:spPr>
            <a:ln w="3175">
              <a:solidFill>
                <a:srgbClr val="808080"/>
              </a:solidFill>
              <a:prstDash val="solid"/>
            </a:ln>
          </c:spPr>
          <c:marker>
            <c:symbol val="none"/>
          </c:marker>
          <c:xVal>
            <c:numLit>
              <c:formatCode>General</c:formatCode>
              <c:ptCount val="2"/>
              <c:pt idx="0">
                <c:v>0.88388603431251245</c:v>
              </c:pt>
              <c:pt idx="1">
                <c:v>1.1838860343125124</c:v>
              </c:pt>
            </c:numLit>
          </c:xVal>
          <c:yVal>
            <c:numLit>
              <c:formatCode>General</c:formatCode>
              <c:ptCount val="2"/>
              <c:pt idx="0">
                <c:v>1.1993373419229613E-2</c:v>
              </c:pt>
              <c:pt idx="1">
                <c:v>1.1877741626977646E-2</c:v>
              </c:pt>
            </c:numLit>
          </c:yVal>
          <c:smooth val="0"/>
          <c:extLst>
            <c:ext xmlns:c16="http://schemas.microsoft.com/office/drawing/2014/chart" uri="{C3380CC4-5D6E-409C-BE32-E72D297353CC}">
              <c16:uniqueId val="{00000035-18CD-48A9-AFA2-5F9C259C7509}"/>
            </c:ext>
          </c:extLst>
        </c:ser>
        <c:ser>
          <c:idx val="45"/>
          <c:order val="45"/>
          <c:tx>
            <c:v>h=33</c:v>
          </c:tx>
          <c:spPr>
            <a:ln w="3175">
              <a:solidFill>
                <a:srgbClr val="808080"/>
              </a:solidFill>
              <a:prstDash val="solid"/>
            </a:ln>
          </c:spPr>
          <c:marker>
            <c:symbol val="none"/>
          </c:marker>
          <c:xVal>
            <c:numLit>
              <c:formatCode>General</c:formatCode>
              <c:ptCount val="2"/>
              <c:pt idx="0">
                <c:v>1.192294816013846</c:v>
              </c:pt>
              <c:pt idx="1">
                <c:v>1.4922948160138461</c:v>
              </c:pt>
            </c:numLit>
          </c:xVal>
          <c:yVal>
            <c:numLit>
              <c:formatCode>General</c:formatCode>
              <c:ptCount val="2"/>
              <c:pt idx="0">
                <c:v>1.2259271941052457E-2</c:v>
              </c:pt>
              <c:pt idx="1">
                <c:v>1.214364644839141E-2</c:v>
              </c:pt>
            </c:numLit>
          </c:yVal>
          <c:smooth val="0"/>
          <c:extLst>
            <c:ext xmlns:c16="http://schemas.microsoft.com/office/drawing/2014/chart" uri="{C3380CC4-5D6E-409C-BE32-E72D297353CC}">
              <c16:uniqueId val="{00000036-18CD-48A9-AFA2-5F9C259C7509}"/>
            </c:ext>
          </c:extLst>
        </c:ser>
        <c:ser>
          <c:idx val="46"/>
          <c:order val="46"/>
          <c:tx>
            <c:v>h=34</c:v>
          </c:tx>
          <c:spPr>
            <a:ln w="3175">
              <a:solidFill>
                <a:srgbClr val="808080"/>
              </a:solidFill>
              <a:prstDash val="solid"/>
            </a:ln>
          </c:spPr>
          <c:marker>
            <c:symbol val="none"/>
          </c:marker>
          <c:xVal>
            <c:numLit>
              <c:formatCode>General</c:formatCode>
              <c:ptCount val="2"/>
              <c:pt idx="0">
                <c:v>1.5007035977151797</c:v>
              </c:pt>
              <c:pt idx="1">
                <c:v>1.8007035977151795</c:v>
              </c:pt>
            </c:numLit>
          </c:xVal>
          <c:yVal>
            <c:numLit>
              <c:formatCode>General</c:formatCode>
              <c:ptCount val="2"/>
              <c:pt idx="0">
                <c:v>1.2525170462875301E-2</c:v>
              </c:pt>
              <c:pt idx="1">
                <c:v>1.2409551001692184E-2</c:v>
              </c:pt>
            </c:numLit>
          </c:yVal>
          <c:smooth val="0"/>
          <c:extLst>
            <c:ext xmlns:c16="http://schemas.microsoft.com/office/drawing/2014/chart" uri="{C3380CC4-5D6E-409C-BE32-E72D297353CC}">
              <c16:uniqueId val="{00000037-18CD-48A9-AFA2-5F9C259C7509}"/>
            </c:ext>
          </c:extLst>
        </c:ser>
        <c:ser>
          <c:idx val="47"/>
          <c:order val="47"/>
          <c:tx>
            <c:v>h=35</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35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8-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1.8091123794165131</c:v>
              </c:pt>
              <c:pt idx="1">
                <c:v>35</c:v>
              </c:pt>
            </c:numLit>
          </c:xVal>
          <c:yVal>
            <c:numLit>
              <c:formatCode>General</c:formatCode>
              <c:ptCount val="2"/>
              <c:pt idx="0">
                <c:v>1.2791068984698145E-2</c:v>
              </c:pt>
              <c:pt idx="1">
                <c:v>0</c:v>
              </c:pt>
            </c:numLit>
          </c:yVal>
          <c:smooth val="0"/>
          <c:extLst>
            <c:ext xmlns:c16="http://schemas.microsoft.com/office/drawing/2014/chart" uri="{C3380CC4-5D6E-409C-BE32-E72D297353CC}">
              <c16:uniqueId val="{00000039-18CD-48A9-AFA2-5F9C259C7509}"/>
            </c:ext>
          </c:extLst>
        </c:ser>
        <c:ser>
          <c:idx val="48"/>
          <c:order val="48"/>
          <c:tx>
            <c:v>h=36</c:v>
          </c:tx>
          <c:spPr>
            <a:ln w="3175">
              <a:solidFill>
                <a:srgbClr val="808080"/>
              </a:solidFill>
              <a:prstDash val="solid"/>
            </a:ln>
          </c:spPr>
          <c:marker>
            <c:symbol val="none"/>
          </c:marker>
          <c:xVal>
            <c:numLit>
              <c:formatCode>General</c:formatCode>
              <c:ptCount val="2"/>
              <c:pt idx="0">
                <c:v>2.1175211611178466</c:v>
              </c:pt>
              <c:pt idx="1">
                <c:v>2.4175211611178469</c:v>
              </c:pt>
            </c:numLit>
          </c:xVal>
          <c:yVal>
            <c:numLit>
              <c:formatCode>General</c:formatCode>
              <c:ptCount val="2"/>
              <c:pt idx="0">
                <c:v>1.3056967506520989E-2</c:v>
              </c:pt>
              <c:pt idx="1">
                <c:v>1.2941359369625727E-2</c:v>
              </c:pt>
            </c:numLit>
          </c:yVal>
          <c:smooth val="0"/>
          <c:extLst>
            <c:ext xmlns:c16="http://schemas.microsoft.com/office/drawing/2014/chart" uri="{C3380CC4-5D6E-409C-BE32-E72D297353CC}">
              <c16:uniqueId val="{0000003A-18CD-48A9-AFA2-5F9C259C7509}"/>
            </c:ext>
          </c:extLst>
        </c:ser>
        <c:ser>
          <c:idx val="49"/>
          <c:order val="49"/>
          <c:tx>
            <c:v>h=37</c:v>
          </c:tx>
          <c:spPr>
            <a:ln w="3175">
              <a:solidFill>
                <a:srgbClr val="808080"/>
              </a:solidFill>
              <a:prstDash val="solid"/>
            </a:ln>
          </c:spPr>
          <c:marker>
            <c:symbol val="none"/>
          </c:marker>
          <c:xVal>
            <c:numLit>
              <c:formatCode>General</c:formatCode>
              <c:ptCount val="2"/>
              <c:pt idx="0">
                <c:v>2.4259299428191805</c:v>
              </c:pt>
              <c:pt idx="1">
                <c:v>2.7259299428191803</c:v>
              </c:pt>
            </c:numLit>
          </c:xVal>
          <c:yVal>
            <c:numLit>
              <c:formatCode>General</c:formatCode>
              <c:ptCount val="2"/>
              <c:pt idx="0">
                <c:v>1.3322866028343833E-2</c:v>
              </c:pt>
              <c:pt idx="1">
                <c:v>1.3207263213809909E-2</c:v>
              </c:pt>
            </c:numLit>
          </c:yVal>
          <c:smooth val="0"/>
          <c:extLst>
            <c:ext xmlns:c16="http://schemas.microsoft.com/office/drawing/2014/chart" uri="{C3380CC4-5D6E-409C-BE32-E72D297353CC}">
              <c16:uniqueId val="{0000003B-18CD-48A9-AFA2-5F9C259C7509}"/>
            </c:ext>
          </c:extLst>
        </c:ser>
        <c:ser>
          <c:idx val="50"/>
          <c:order val="50"/>
          <c:tx>
            <c:v>h=38</c:v>
          </c:tx>
          <c:spPr>
            <a:ln w="3175">
              <a:solidFill>
                <a:srgbClr val="808080"/>
              </a:solidFill>
              <a:prstDash val="solid"/>
            </a:ln>
          </c:spPr>
          <c:marker>
            <c:symbol val="none"/>
          </c:marker>
          <c:xVal>
            <c:numLit>
              <c:formatCode>General</c:formatCode>
              <c:ptCount val="2"/>
              <c:pt idx="0">
                <c:v>2.734338724520514</c:v>
              </c:pt>
              <c:pt idx="1">
                <c:v>3.0343387245205138</c:v>
              </c:pt>
            </c:numLit>
          </c:xVal>
          <c:yVal>
            <c:numLit>
              <c:formatCode>General</c:formatCode>
              <c:ptCount val="2"/>
              <c:pt idx="0">
                <c:v>1.3588764550166679E-2</c:v>
              </c:pt>
              <c:pt idx="1">
                <c:v>1.3473166849241543E-2</c:v>
              </c:pt>
            </c:numLit>
          </c:yVal>
          <c:smooth val="0"/>
          <c:extLst>
            <c:ext xmlns:c16="http://schemas.microsoft.com/office/drawing/2014/chart" uri="{C3380CC4-5D6E-409C-BE32-E72D297353CC}">
              <c16:uniqueId val="{0000003C-18CD-48A9-AFA2-5F9C259C7509}"/>
            </c:ext>
          </c:extLst>
        </c:ser>
        <c:ser>
          <c:idx val="51"/>
          <c:order val="51"/>
          <c:tx>
            <c:v>h=39</c:v>
          </c:tx>
          <c:spPr>
            <a:ln w="3175">
              <a:solidFill>
                <a:srgbClr val="808080"/>
              </a:solidFill>
              <a:prstDash val="solid"/>
            </a:ln>
          </c:spPr>
          <c:marker>
            <c:symbol val="none"/>
          </c:marker>
          <c:xVal>
            <c:numLit>
              <c:formatCode>General</c:formatCode>
              <c:ptCount val="2"/>
              <c:pt idx="0">
                <c:v>3.0427475062218474</c:v>
              </c:pt>
              <c:pt idx="1">
                <c:v>3.3427475062218477</c:v>
              </c:pt>
            </c:numLit>
          </c:xVal>
          <c:yVal>
            <c:numLit>
              <c:formatCode>General</c:formatCode>
              <c:ptCount val="2"/>
              <c:pt idx="0">
                <c:v>1.3854663071989523E-2</c:v>
              </c:pt>
              <c:pt idx="1">
                <c:v>1.3739070287965881E-2</c:v>
              </c:pt>
            </c:numLit>
          </c:yVal>
          <c:smooth val="0"/>
          <c:extLst>
            <c:ext xmlns:c16="http://schemas.microsoft.com/office/drawing/2014/chart" uri="{C3380CC4-5D6E-409C-BE32-E72D297353CC}">
              <c16:uniqueId val="{0000003D-18CD-48A9-AFA2-5F9C259C7509}"/>
            </c:ext>
          </c:extLst>
        </c:ser>
        <c:ser>
          <c:idx val="52"/>
          <c:order val="52"/>
          <c:tx>
            <c:v>h=40</c:v>
          </c:tx>
          <c:spPr>
            <a:ln w="3175">
              <a:solidFill>
                <a:srgbClr val="808080"/>
              </a:solidFill>
              <a:prstDash val="solid"/>
            </a:ln>
          </c:spPr>
          <c:marker>
            <c:symbol val="none"/>
          </c:marker>
          <c:dLbls>
            <c:dLbl>
              <c:idx val="0"/>
              <c:layout>
                <c:manualLayout>
                  <c:x val="-3.0087489063867049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40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3.3511562879231813</c:v>
              </c:pt>
              <c:pt idx="1">
                <c:v>40</c:v>
              </c:pt>
            </c:numLit>
          </c:xVal>
          <c:yVal>
            <c:numLit>
              <c:formatCode>General</c:formatCode>
              <c:ptCount val="2"/>
              <c:pt idx="0">
                <c:v>1.4120561593812368E-2</c:v>
              </c:pt>
              <c:pt idx="1">
                <c:v>0</c:v>
              </c:pt>
            </c:numLit>
          </c:yVal>
          <c:smooth val="0"/>
          <c:extLst>
            <c:ext xmlns:c16="http://schemas.microsoft.com/office/drawing/2014/chart" uri="{C3380CC4-5D6E-409C-BE32-E72D297353CC}">
              <c16:uniqueId val="{0000003F-18CD-48A9-AFA2-5F9C259C7509}"/>
            </c:ext>
          </c:extLst>
        </c:ser>
        <c:ser>
          <c:idx val="53"/>
          <c:order val="53"/>
          <c:tx>
            <c:v>h=41</c:v>
          </c:tx>
          <c:spPr>
            <a:ln w="3175">
              <a:solidFill>
                <a:srgbClr val="808080"/>
              </a:solidFill>
              <a:prstDash val="solid"/>
            </a:ln>
          </c:spPr>
          <c:marker>
            <c:symbol val="none"/>
          </c:marker>
          <c:xVal>
            <c:numLit>
              <c:formatCode>General</c:formatCode>
              <c:ptCount val="2"/>
              <c:pt idx="0">
                <c:v>3.6595650696245148</c:v>
              </c:pt>
              <c:pt idx="1">
                <c:v>3.9595650696245146</c:v>
              </c:pt>
            </c:numLit>
          </c:xVal>
          <c:yVal>
            <c:numLit>
              <c:formatCode>General</c:formatCode>
              <c:ptCount val="2"/>
              <c:pt idx="0">
                <c:v>1.4386460115635212E-2</c:v>
              </c:pt>
              <c:pt idx="1">
                <c:v>1.4270876619011833E-2</c:v>
              </c:pt>
            </c:numLit>
          </c:yVal>
          <c:smooth val="0"/>
          <c:extLst>
            <c:ext xmlns:c16="http://schemas.microsoft.com/office/drawing/2014/chart" uri="{C3380CC4-5D6E-409C-BE32-E72D297353CC}">
              <c16:uniqueId val="{00000040-18CD-48A9-AFA2-5F9C259C7509}"/>
            </c:ext>
          </c:extLst>
        </c:ser>
        <c:ser>
          <c:idx val="54"/>
          <c:order val="54"/>
          <c:tx>
            <c:v>h=42</c:v>
          </c:tx>
          <c:spPr>
            <a:ln w="3175">
              <a:solidFill>
                <a:srgbClr val="808080"/>
              </a:solidFill>
              <a:prstDash val="solid"/>
            </a:ln>
          </c:spPr>
          <c:marker>
            <c:symbol val="none"/>
          </c:marker>
          <c:xVal>
            <c:numLit>
              <c:formatCode>General</c:formatCode>
              <c:ptCount val="2"/>
              <c:pt idx="0">
                <c:v>3.9679738513258482</c:v>
              </c:pt>
              <c:pt idx="1">
                <c:v>4.2679738513258485</c:v>
              </c:pt>
            </c:numLit>
          </c:xVal>
          <c:yVal>
            <c:numLit>
              <c:formatCode>General</c:formatCode>
              <c:ptCount val="2"/>
              <c:pt idx="0">
                <c:v>1.4652358637458056E-2</c:v>
              </c:pt>
              <c:pt idx="1">
                <c:v>1.4536779531205505E-2</c:v>
              </c:pt>
            </c:numLit>
          </c:yVal>
          <c:smooth val="0"/>
          <c:extLst>
            <c:ext xmlns:c16="http://schemas.microsoft.com/office/drawing/2014/chart" uri="{C3380CC4-5D6E-409C-BE32-E72D297353CC}">
              <c16:uniqueId val="{00000041-18CD-48A9-AFA2-5F9C259C7509}"/>
            </c:ext>
          </c:extLst>
        </c:ser>
        <c:ser>
          <c:idx val="55"/>
          <c:order val="55"/>
          <c:tx>
            <c:v>h=43</c:v>
          </c:tx>
          <c:spPr>
            <a:ln w="3175">
              <a:solidFill>
                <a:srgbClr val="808080"/>
              </a:solidFill>
              <a:prstDash val="solid"/>
            </a:ln>
          </c:spPr>
          <c:marker>
            <c:symbol val="none"/>
          </c:marker>
          <c:xVal>
            <c:numLit>
              <c:formatCode>General</c:formatCode>
              <c:ptCount val="2"/>
              <c:pt idx="0">
                <c:v>4.2763826330271817</c:v>
              </c:pt>
              <c:pt idx="1">
                <c:v>4.5763826330271815</c:v>
              </c:pt>
            </c:numLit>
          </c:xVal>
          <c:yVal>
            <c:numLit>
              <c:formatCode>General</c:formatCode>
              <c:ptCount val="2"/>
              <c:pt idx="0">
                <c:v>1.49182571592809E-2</c:v>
              </c:pt>
              <c:pt idx="1">
                <c:v>1.4802682286577985E-2</c:v>
              </c:pt>
            </c:numLit>
          </c:yVal>
          <c:smooth val="0"/>
          <c:extLst>
            <c:ext xmlns:c16="http://schemas.microsoft.com/office/drawing/2014/chart" uri="{C3380CC4-5D6E-409C-BE32-E72D297353CC}">
              <c16:uniqueId val="{00000042-18CD-48A9-AFA2-5F9C259C7509}"/>
            </c:ext>
          </c:extLst>
        </c:ser>
        <c:ser>
          <c:idx val="56"/>
          <c:order val="56"/>
          <c:tx>
            <c:v>h=44</c:v>
          </c:tx>
          <c:spPr>
            <a:ln w="3175">
              <a:solidFill>
                <a:srgbClr val="808080"/>
              </a:solidFill>
              <a:prstDash val="solid"/>
            </a:ln>
          </c:spPr>
          <c:marker>
            <c:symbol val="none"/>
          </c:marker>
          <c:xVal>
            <c:numLit>
              <c:formatCode>General</c:formatCode>
              <c:ptCount val="2"/>
              <c:pt idx="0">
                <c:v>4.5847914147285156</c:v>
              </c:pt>
              <c:pt idx="1">
                <c:v>4.8847914147285154</c:v>
              </c:pt>
            </c:numLit>
          </c:xVal>
          <c:yVal>
            <c:numLit>
              <c:formatCode>General</c:formatCode>
              <c:ptCount val="2"/>
              <c:pt idx="0">
                <c:v>1.5184155681103746E-2</c:v>
              </c:pt>
              <c:pt idx="1">
                <c:v>1.5068584893384172E-2</c:v>
              </c:pt>
            </c:numLit>
          </c:yVal>
          <c:smooth val="0"/>
          <c:extLst>
            <c:ext xmlns:c16="http://schemas.microsoft.com/office/drawing/2014/chart" uri="{C3380CC4-5D6E-409C-BE32-E72D297353CC}">
              <c16:uniqueId val="{00000043-18CD-48A9-AFA2-5F9C259C7509}"/>
            </c:ext>
          </c:extLst>
        </c:ser>
        <c:ser>
          <c:idx val="57"/>
          <c:order val="57"/>
          <c:tx>
            <c:v>h=45</c:v>
          </c:tx>
          <c:spPr>
            <a:ln w="3175">
              <a:solidFill>
                <a:srgbClr val="808080"/>
              </a:solidFill>
              <a:prstDash val="solid"/>
            </a:ln>
          </c:spPr>
          <c:marker>
            <c:symbol val="none"/>
          </c:marker>
          <c:dLbls>
            <c:dLbl>
              <c:idx val="0"/>
              <c:layout>
                <c:manualLayout>
                  <c:x val="-3.0087489063867049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45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4-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4.8932001964298495</c:v>
              </c:pt>
              <c:pt idx="1">
                <c:v>45</c:v>
              </c:pt>
            </c:numLit>
          </c:xVal>
          <c:yVal>
            <c:numLit>
              <c:formatCode>General</c:formatCode>
              <c:ptCount val="2"/>
              <c:pt idx="0">
                <c:v>1.545005420292659E-2</c:v>
              </c:pt>
              <c:pt idx="1">
                <c:v>0</c:v>
              </c:pt>
            </c:numLit>
          </c:yVal>
          <c:smooth val="0"/>
          <c:extLst>
            <c:ext xmlns:c16="http://schemas.microsoft.com/office/drawing/2014/chart" uri="{C3380CC4-5D6E-409C-BE32-E72D297353CC}">
              <c16:uniqueId val="{00000045-18CD-48A9-AFA2-5F9C259C7509}"/>
            </c:ext>
          </c:extLst>
        </c:ser>
        <c:ser>
          <c:idx val="58"/>
          <c:order val="58"/>
          <c:tx>
            <c:v>h=46</c:v>
          </c:tx>
          <c:spPr>
            <a:ln w="3175">
              <a:solidFill>
                <a:srgbClr val="808080"/>
              </a:solidFill>
              <a:prstDash val="solid"/>
            </a:ln>
          </c:spPr>
          <c:marker>
            <c:symbol val="none"/>
          </c:marker>
          <c:xVal>
            <c:numLit>
              <c:formatCode>General</c:formatCode>
              <c:ptCount val="2"/>
              <c:pt idx="0">
                <c:v>5.2016089781311825</c:v>
              </c:pt>
              <c:pt idx="1">
                <c:v>5.5016089781311823</c:v>
              </c:pt>
            </c:numLit>
          </c:xVal>
          <c:yVal>
            <c:numLit>
              <c:formatCode>General</c:formatCode>
              <c:ptCount val="2"/>
              <c:pt idx="0">
                <c:v>1.5715952724749432E-2</c:v>
              </c:pt>
              <c:pt idx="1">
                <c:v>1.5600389691518597E-2</c:v>
              </c:pt>
            </c:numLit>
          </c:yVal>
          <c:smooth val="0"/>
          <c:extLst>
            <c:ext xmlns:c16="http://schemas.microsoft.com/office/drawing/2014/chart" uri="{C3380CC4-5D6E-409C-BE32-E72D297353CC}">
              <c16:uniqueId val="{00000046-18CD-48A9-AFA2-5F9C259C7509}"/>
            </c:ext>
          </c:extLst>
        </c:ser>
        <c:ser>
          <c:idx val="59"/>
          <c:order val="59"/>
          <c:tx>
            <c:v>h=47</c:v>
          </c:tx>
          <c:spPr>
            <a:ln w="3175">
              <a:solidFill>
                <a:srgbClr val="808080"/>
              </a:solidFill>
              <a:prstDash val="solid"/>
            </a:ln>
          </c:spPr>
          <c:marker>
            <c:symbol val="none"/>
          </c:marker>
          <c:xVal>
            <c:numLit>
              <c:formatCode>General</c:formatCode>
              <c:ptCount val="2"/>
              <c:pt idx="0">
                <c:v>5.5100177598325164</c:v>
              </c:pt>
              <c:pt idx="1">
                <c:v>5.8100177598325162</c:v>
              </c:pt>
            </c:numLit>
          </c:xVal>
          <c:yVal>
            <c:numLit>
              <c:formatCode>General</c:formatCode>
              <c:ptCount val="2"/>
              <c:pt idx="0">
                <c:v>1.5981851246572278E-2</c:v>
              </c:pt>
              <c:pt idx="1">
                <c:v>1.5866291896697939E-2</c:v>
              </c:pt>
            </c:numLit>
          </c:yVal>
          <c:smooth val="0"/>
          <c:extLst>
            <c:ext xmlns:c16="http://schemas.microsoft.com/office/drawing/2014/chart" uri="{C3380CC4-5D6E-409C-BE32-E72D297353CC}">
              <c16:uniqueId val="{00000047-18CD-48A9-AFA2-5F9C259C7509}"/>
            </c:ext>
          </c:extLst>
        </c:ser>
        <c:ser>
          <c:idx val="60"/>
          <c:order val="60"/>
          <c:tx>
            <c:v>h=48</c:v>
          </c:tx>
          <c:spPr>
            <a:ln w="3175">
              <a:solidFill>
                <a:srgbClr val="808080"/>
              </a:solidFill>
              <a:prstDash val="solid"/>
            </a:ln>
          </c:spPr>
          <c:marker>
            <c:symbol val="none"/>
          </c:marker>
          <c:xVal>
            <c:numLit>
              <c:formatCode>General</c:formatCode>
              <c:ptCount val="2"/>
              <c:pt idx="0">
                <c:v>5.8184265415338503</c:v>
              </c:pt>
              <c:pt idx="1">
                <c:v>6.1184265415338501</c:v>
              </c:pt>
            </c:numLit>
          </c:xVal>
          <c:yVal>
            <c:numLit>
              <c:formatCode>General</c:formatCode>
              <c:ptCount val="2"/>
              <c:pt idx="0">
                <c:v>1.6247749768395124E-2</c:v>
              </c:pt>
              <c:pt idx="1">
                <c:v>1.613219398109577E-2</c:v>
              </c:pt>
            </c:numLit>
          </c:yVal>
          <c:smooth val="0"/>
          <c:extLst>
            <c:ext xmlns:c16="http://schemas.microsoft.com/office/drawing/2014/chart" uri="{C3380CC4-5D6E-409C-BE32-E72D297353CC}">
              <c16:uniqueId val="{00000048-18CD-48A9-AFA2-5F9C259C7509}"/>
            </c:ext>
          </c:extLst>
        </c:ser>
        <c:ser>
          <c:idx val="61"/>
          <c:order val="61"/>
          <c:tx>
            <c:v>h=49</c:v>
          </c:tx>
          <c:spPr>
            <a:ln w="3175">
              <a:solidFill>
                <a:srgbClr val="808080"/>
              </a:solidFill>
              <a:prstDash val="solid"/>
            </a:ln>
          </c:spPr>
          <c:marker>
            <c:symbol val="none"/>
          </c:marker>
          <c:xVal>
            <c:numLit>
              <c:formatCode>General</c:formatCode>
              <c:ptCount val="2"/>
              <c:pt idx="0">
                <c:v>6.1268353232351833</c:v>
              </c:pt>
              <c:pt idx="1">
                <c:v>6.4268353232351831</c:v>
              </c:pt>
            </c:numLit>
          </c:xVal>
          <c:yVal>
            <c:numLit>
              <c:formatCode>General</c:formatCode>
              <c:ptCount val="2"/>
              <c:pt idx="0">
                <c:v>1.6513648290217967E-2</c:v>
              </c:pt>
              <c:pt idx="1">
                <c:v>1.639809595055711E-2</c:v>
              </c:pt>
            </c:numLit>
          </c:yVal>
          <c:smooth val="0"/>
          <c:extLst>
            <c:ext xmlns:c16="http://schemas.microsoft.com/office/drawing/2014/chart" uri="{C3380CC4-5D6E-409C-BE32-E72D297353CC}">
              <c16:uniqueId val="{00000049-18CD-48A9-AFA2-5F9C259C7509}"/>
            </c:ext>
          </c:extLst>
        </c:ser>
        <c:ser>
          <c:idx val="62"/>
          <c:order val="62"/>
          <c:tx>
            <c:v>h=50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A-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6.4352441049365172</c:v>
              </c:pt>
              <c:pt idx="1">
                <c:v>50</c:v>
              </c:pt>
            </c:numLit>
          </c:xVal>
          <c:yVal>
            <c:numLit>
              <c:formatCode>General</c:formatCode>
              <c:ptCount val="2"/>
              <c:pt idx="0">
                <c:v>1.6779546812040812E-2</c:v>
              </c:pt>
              <c:pt idx="1">
                <c:v>0</c:v>
              </c:pt>
            </c:numLit>
          </c:yVal>
          <c:smooth val="0"/>
          <c:extLst>
            <c:ext xmlns:c16="http://schemas.microsoft.com/office/drawing/2014/chart" uri="{C3380CC4-5D6E-409C-BE32-E72D297353CC}">
              <c16:uniqueId val="{0000004B-18CD-48A9-AFA2-5F9C259C7509}"/>
            </c:ext>
          </c:extLst>
        </c:ser>
        <c:ser>
          <c:idx val="63"/>
          <c:order val="63"/>
          <c:tx>
            <c:v>h=51</c:v>
          </c:tx>
          <c:spPr>
            <a:ln w="3175">
              <a:solidFill>
                <a:srgbClr val="808080"/>
              </a:solidFill>
              <a:prstDash val="solid"/>
            </a:ln>
          </c:spPr>
          <c:marker>
            <c:symbol val="none"/>
          </c:marker>
          <c:xVal>
            <c:numLit>
              <c:formatCode>General</c:formatCode>
              <c:ptCount val="2"/>
              <c:pt idx="0">
                <c:v>6.7436528866378502</c:v>
              </c:pt>
              <c:pt idx="1">
                <c:v>7.0436528866378509</c:v>
              </c:pt>
            </c:numLit>
          </c:xVal>
          <c:yVal>
            <c:numLit>
              <c:formatCode>General</c:formatCode>
              <c:ptCount val="2"/>
              <c:pt idx="0">
                <c:v>1.7045445333863655E-2</c:v>
              </c:pt>
              <c:pt idx="1">
                <c:v>1.692989956622358E-2</c:v>
              </c:pt>
            </c:numLit>
          </c:yVal>
          <c:smooth val="0"/>
          <c:extLst>
            <c:ext xmlns:c16="http://schemas.microsoft.com/office/drawing/2014/chart" uri="{C3380CC4-5D6E-409C-BE32-E72D297353CC}">
              <c16:uniqueId val="{0000004C-18CD-48A9-AFA2-5F9C259C7509}"/>
            </c:ext>
          </c:extLst>
        </c:ser>
        <c:ser>
          <c:idx val="64"/>
          <c:order val="64"/>
          <c:tx>
            <c:v>h=52</c:v>
          </c:tx>
          <c:spPr>
            <a:ln w="3175">
              <a:solidFill>
                <a:srgbClr val="808080"/>
              </a:solidFill>
              <a:prstDash val="solid"/>
            </a:ln>
          </c:spPr>
          <c:marker>
            <c:symbol val="none"/>
          </c:marker>
          <c:xVal>
            <c:numLit>
              <c:formatCode>General</c:formatCode>
              <c:ptCount val="2"/>
              <c:pt idx="0">
                <c:v>7.0520616683391841</c:v>
              </c:pt>
              <c:pt idx="1">
                <c:v>7.352061668339184</c:v>
              </c:pt>
            </c:numLit>
          </c:xVal>
          <c:yVal>
            <c:numLit>
              <c:formatCode>General</c:formatCode>
              <c:ptCount val="2"/>
              <c:pt idx="0">
                <c:v>1.7311343855686501E-2</c:v>
              </c:pt>
              <c:pt idx="1">
                <c:v>1.719580122237627E-2</c:v>
              </c:pt>
            </c:numLit>
          </c:yVal>
          <c:smooth val="0"/>
          <c:extLst>
            <c:ext xmlns:c16="http://schemas.microsoft.com/office/drawing/2014/chart" uri="{C3380CC4-5D6E-409C-BE32-E72D297353CC}">
              <c16:uniqueId val="{0000004D-18CD-48A9-AFA2-5F9C259C7509}"/>
            </c:ext>
          </c:extLst>
        </c:ser>
        <c:ser>
          <c:idx val="65"/>
          <c:order val="65"/>
          <c:tx>
            <c:v>h=53</c:v>
          </c:tx>
          <c:spPr>
            <a:ln w="3175">
              <a:solidFill>
                <a:srgbClr val="808080"/>
              </a:solidFill>
              <a:prstDash val="solid"/>
            </a:ln>
          </c:spPr>
          <c:marker>
            <c:symbol val="none"/>
          </c:marker>
          <c:xVal>
            <c:numLit>
              <c:formatCode>General</c:formatCode>
              <c:ptCount val="2"/>
              <c:pt idx="0">
                <c:v>7.360470450040518</c:v>
              </c:pt>
              <c:pt idx="1">
                <c:v>7.6604704500405179</c:v>
              </c:pt>
            </c:numLit>
          </c:xVal>
          <c:yVal>
            <c:numLit>
              <c:formatCode>General</c:formatCode>
              <c:ptCount val="2"/>
              <c:pt idx="0">
                <c:v>1.7577242377509347E-2</c:v>
              </c:pt>
              <c:pt idx="1">
                <c:v>1.7461702783537841E-2</c:v>
              </c:pt>
            </c:numLit>
          </c:yVal>
          <c:smooth val="0"/>
          <c:extLst>
            <c:ext xmlns:c16="http://schemas.microsoft.com/office/drawing/2014/chart" uri="{C3380CC4-5D6E-409C-BE32-E72D297353CC}">
              <c16:uniqueId val="{0000004E-18CD-48A9-AFA2-5F9C259C7509}"/>
            </c:ext>
          </c:extLst>
        </c:ser>
        <c:ser>
          <c:idx val="66"/>
          <c:order val="66"/>
          <c:tx>
            <c:v>h=54</c:v>
          </c:tx>
          <c:spPr>
            <a:ln w="3175">
              <a:solidFill>
                <a:srgbClr val="808080"/>
              </a:solidFill>
              <a:prstDash val="solid"/>
            </a:ln>
          </c:spPr>
          <c:marker>
            <c:symbol val="none"/>
          </c:marker>
          <c:xVal>
            <c:numLit>
              <c:formatCode>General</c:formatCode>
              <c:ptCount val="2"/>
              <c:pt idx="0">
                <c:v>7.668879231741851</c:v>
              </c:pt>
              <c:pt idx="1">
                <c:v>7.9688792317418518</c:v>
              </c:pt>
            </c:numLit>
          </c:xVal>
          <c:yVal>
            <c:numLit>
              <c:formatCode>General</c:formatCode>
              <c:ptCount val="2"/>
              <c:pt idx="0">
                <c:v>1.7843140899332189E-2</c:v>
              </c:pt>
              <c:pt idx="1">
                <c:v>1.772760425396213E-2</c:v>
              </c:pt>
            </c:numLit>
          </c:yVal>
          <c:smooth val="0"/>
          <c:extLst>
            <c:ext xmlns:c16="http://schemas.microsoft.com/office/drawing/2014/chart" uri="{C3380CC4-5D6E-409C-BE32-E72D297353CC}">
              <c16:uniqueId val="{0000004F-18CD-48A9-AFA2-5F9C259C7509}"/>
            </c:ext>
          </c:extLst>
        </c:ser>
        <c:ser>
          <c:idx val="67"/>
          <c:order val="67"/>
          <c:tx>
            <c:v>h=55</c:v>
          </c:tx>
          <c:spPr>
            <a:ln w="3175">
              <a:solidFill>
                <a:srgbClr val="808080"/>
              </a:solidFill>
              <a:prstDash val="solid"/>
            </a:ln>
          </c:spPr>
          <c:marker>
            <c:symbol val="none"/>
          </c:marker>
          <c:dLbls>
            <c:dLbl>
              <c:idx val="0"/>
              <c:layout>
                <c:manualLayout>
                  <c:x val="-3.0087489063867049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0-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7.9772880134431849</c:v>
              </c:pt>
              <c:pt idx="1">
                <c:v>50</c:v>
              </c:pt>
            </c:numLit>
          </c:xVal>
          <c:yVal>
            <c:numLit>
              <c:formatCode>General</c:formatCode>
              <c:ptCount val="2"/>
              <c:pt idx="0">
                <c:v>1.8109039421155035E-2</c:v>
              </c:pt>
              <c:pt idx="1">
                <c:v>1.8118735543562064E-3</c:v>
              </c:pt>
            </c:numLit>
          </c:yVal>
          <c:smooth val="0"/>
          <c:extLst>
            <c:ext xmlns:c16="http://schemas.microsoft.com/office/drawing/2014/chart" uri="{C3380CC4-5D6E-409C-BE32-E72D297353CC}">
              <c16:uniqueId val="{00000051-18CD-48A9-AFA2-5F9C259C7509}"/>
            </c:ext>
          </c:extLst>
        </c:ser>
        <c:ser>
          <c:idx val="68"/>
          <c:order val="68"/>
          <c:tx>
            <c:v>h=56</c:v>
          </c:tx>
          <c:spPr>
            <a:ln w="3175">
              <a:solidFill>
                <a:srgbClr val="808080"/>
              </a:solidFill>
              <a:prstDash val="solid"/>
            </a:ln>
          </c:spPr>
          <c:marker>
            <c:symbol val="none"/>
          </c:marker>
          <c:xVal>
            <c:numLit>
              <c:formatCode>General</c:formatCode>
              <c:ptCount val="2"/>
              <c:pt idx="0">
                <c:v>8.2856967951445188</c:v>
              </c:pt>
              <c:pt idx="1">
                <c:v>8.5856967951445178</c:v>
              </c:pt>
            </c:numLit>
          </c:xVal>
          <c:yVal>
            <c:numLit>
              <c:formatCode>General</c:formatCode>
              <c:ptCount val="2"/>
              <c:pt idx="0">
                <c:v>1.8374937942977877E-2</c:v>
              </c:pt>
              <c:pt idx="1">
                <c:v>1.8259406938381077E-2</c:v>
              </c:pt>
            </c:numLit>
          </c:yVal>
          <c:smooth val="0"/>
          <c:extLst>
            <c:ext xmlns:c16="http://schemas.microsoft.com/office/drawing/2014/chart" uri="{C3380CC4-5D6E-409C-BE32-E72D297353CC}">
              <c16:uniqueId val="{00000052-18CD-48A9-AFA2-5F9C259C7509}"/>
            </c:ext>
          </c:extLst>
        </c:ser>
        <c:ser>
          <c:idx val="69"/>
          <c:order val="69"/>
          <c:tx>
            <c:v>h=57</c:v>
          </c:tx>
          <c:spPr>
            <a:ln w="3175">
              <a:solidFill>
                <a:srgbClr val="808080"/>
              </a:solidFill>
              <a:prstDash val="solid"/>
            </a:ln>
          </c:spPr>
          <c:marker>
            <c:symbol val="none"/>
          </c:marker>
          <c:xVal>
            <c:numLit>
              <c:formatCode>General</c:formatCode>
              <c:ptCount val="2"/>
              <c:pt idx="0">
                <c:v>8.5941055768458519</c:v>
              </c:pt>
              <c:pt idx="1">
                <c:v>8.8941055768458526</c:v>
              </c:pt>
            </c:numLit>
          </c:xVal>
          <c:yVal>
            <c:numLit>
              <c:formatCode>General</c:formatCode>
              <c:ptCount val="2"/>
              <c:pt idx="0">
                <c:v>1.8640836464800723E-2</c:v>
              </c:pt>
              <c:pt idx="1">
                <c:v>1.8525308159703126E-2</c:v>
              </c:pt>
            </c:numLit>
          </c:yVal>
          <c:smooth val="0"/>
          <c:extLst>
            <c:ext xmlns:c16="http://schemas.microsoft.com/office/drawing/2014/chart" uri="{C3380CC4-5D6E-409C-BE32-E72D297353CC}">
              <c16:uniqueId val="{00000053-18CD-48A9-AFA2-5F9C259C7509}"/>
            </c:ext>
          </c:extLst>
        </c:ser>
        <c:ser>
          <c:idx val="70"/>
          <c:order val="70"/>
          <c:tx>
            <c:v>h=58</c:v>
          </c:tx>
          <c:spPr>
            <a:ln w="3175">
              <a:solidFill>
                <a:srgbClr val="808080"/>
              </a:solidFill>
              <a:prstDash val="solid"/>
            </a:ln>
          </c:spPr>
          <c:marker>
            <c:symbol val="none"/>
          </c:marker>
          <c:xVal>
            <c:numLit>
              <c:formatCode>General</c:formatCode>
              <c:ptCount val="2"/>
              <c:pt idx="0">
                <c:v>8.9025143585471849</c:v>
              </c:pt>
              <c:pt idx="1">
                <c:v>9.2025143585471856</c:v>
              </c:pt>
            </c:numLit>
          </c:xVal>
          <c:yVal>
            <c:numLit>
              <c:formatCode>General</c:formatCode>
              <c:ptCount val="2"/>
              <c:pt idx="0">
                <c:v>1.8906734986623566E-2</c:v>
              </c:pt>
              <c:pt idx="1">
                <c:v>1.8791209304974438E-2</c:v>
              </c:pt>
            </c:numLit>
          </c:yVal>
          <c:smooth val="0"/>
          <c:extLst>
            <c:ext xmlns:c16="http://schemas.microsoft.com/office/drawing/2014/chart" uri="{C3380CC4-5D6E-409C-BE32-E72D297353CC}">
              <c16:uniqueId val="{00000054-18CD-48A9-AFA2-5F9C259C7509}"/>
            </c:ext>
          </c:extLst>
        </c:ser>
        <c:ser>
          <c:idx val="71"/>
          <c:order val="71"/>
          <c:tx>
            <c:v>h=59</c:v>
          </c:tx>
          <c:spPr>
            <a:ln w="3175">
              <a:solidFill>
                <a:srgbClr val="808080"/>
              </a:solidFill>
              <a:prstDash val="solid"/>
            </a:ln>
          </c:spPr>
          <c:marker>
            <c:symbol val="none"/>
          </c:marker>
          <c:xVal>
            <c:numLit>
              <c:formatCode>General</c:formatCode>
              <c:ptCount val="2"/>
              <c:pt idx="0">
                <c:v>9.2109231402485197</c:v>
              </c:pt>
              <c:pt idx="1">
                <c:v>9.5109231402485186</c:v>
              </c:pt>
            </c:numLit>
          </c:xVal>
          <c:yVal>
            <c:numLit>
              <c:formatCode>General</c:formatCode>
              <c:ptCount val="2"/>
              <c:pt idx="0">
                <c:v>1.9172633508446411E-2</c:v>
              </c:pt>
              <c:pt idx="1">
                <c:v>1.9057110377364149E-2</c:v>
              </c:pt>
            </c:numLit>
          </c:yVal>
          <c:smooth val="0"/>
          <c:extLst>
            <c:ext xmlns:c16="http://schemas.microsoft.com/office/drawing/2014/chart" uri="{C3380CC4-5D6E-409C-BE32-E72D297353CC}">
              <c16:uniqueId val="{00000055-18CD-48A9-AFA2-5F9C259C7509}"/>
            </c:ext>
          </c:extLst>
        </c:ser>
        <c:ser>
          <c:idx val="72"/>
          <c:order val="72"/>
          <c:tx>
            <c:v>h=60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60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6-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9.5193319219498527</c:v>
              </c:pt>
              <c:pt idx="1">
                <c:v>50</c:v>
              </c:pt>
            </c:numLit>
          </c:xVal>
          <c:yVal>
            <c:numLit>
              <c:formatCode>General</c:formatCode>
              <c:ptCount val="2"/>
              <c:pt idx="0">
                <c:v>1.9438532030269257E-2</c:v>
              </c:pt>
              <c:pt idx="1">
                <c:v>3.7393986121819585E-3</c:v>
              </c:pt>
            </c:numLit>
          </c:yVal>
          <c:smooth val="0"/>
          <c:extLst>
            <c:ext xmlns:c16="http://schemas.microsoft.com/office/drawing/2014/chart" uri="{C3380CC4-5D6E-409C-BE32-E72D297353CC}">
              <c16:uniqueId val="{00000057-18CD-48A9-AFA2-5F9C259C7509}"/>
            </c:ext>
          </c:extLst>
        </c:ser>
        <c:ser>
          <c:idx val="73"/>
          <c:order val="73"/>
          <c:tx>
            <c:v>h=61</c:v>
          </c:tx>
          <c:spPr>
            <a:ln w="3175">
              <a:solidFill>
                <a:srgbClr val="808080"/>
              </a:solidFill>
              <a:prstDash val="solid"/>
            </a:ln>
          </c:spPr>
          <c:marker>
            <c:symbol val="none"/>
          </c:marker>
          <c:xVal>
            <c:numLit>
              <c:formatCode>General</c:formatCode>
              <c:ptCount val="2"/>
              <c:pt idx="0">
                <c:v>9.8277407036511857</c:v>
              </c:pt>
              <c:pt idx="1">
                <c:v>10.127740703651186</c:v>
              </c:pt>
            </c:numLit>
          </c:xVal>
          <c:yVal>
            <c:numLit>
              <c:formatCode>General</c:formatCode>
              <c:ptCount val="2"/>
              <c:pt idx="0">
                <c:v>1.97044305520921E-2</c:v>
              </c:pt>
              <c:pt idx="1">
                <c:v>1.9588912315318657E-2</c:v>
              </c:pt>
            </c:numLit>
          </c:yVal>
          <c:smooth val="0"/>
          <c:extLst>
            <c:ext xmlns:c16="http://schemas.microsoft.com/office/drawing/2014/chart" uri="{C3380CC4-5D6E-409C-BE32-E72D297353CC}">
              <c16:uniqueId val="{00000058-18CD-48A9-AFA2-5F9C259C7509}"/>
            </c:ext>
          </c:extLst>
        </c:ser>
        <c:ser>
          <c:idx val="74"/>
          <c:order val="74"/>
          <c:tx>
            <c:v>h=62</c:v>
          </c:tx>
          <c:spPr>
            <a:ln w="3175">
              <a:solidFill>
                <a:srgbClr val="808080"/>
              </a:solidFill>
              <a:prstDash val="solid"/>
            </a:ln>
          </c:spPr>
          <c:marker>
            <c:symbol val="none"/>
          </c:marker>
          <c:xVal>
            <c:numLit>
              <c:formatCode>General</c:formatCode>
              <c:ptCount val="2"/>
              <c:pt idx="0">
                <c:v>10.13614948535252</c:v>
              </c:pt>
              <c:pt idx="1">
                <c:v>10.436149485352519</c:v>
              </c:pt>
            </c:numLit>
          </c:xVal>
          <c:yVal>
            <c:numLit>
              <c:formatCode>General</c:formatCode>
              <c:ptCount val="2"/>
              <c:pt idx="0">
                <c:v>1.9970329073914946E-2</c:v>
              </c:pt>
              <c:pt idx="1">
                <c:v>1.9854813186399374E-2</c:v>
              </c:pt>
            </c:numLit>
          </c:yVal>
          <c:smooth val="0"/>
          <c:extLst>
            <c:ext xmlns:c16="http://schemas.microsoft.com/office/drawing/2014/chart" uri="{C3380CC4-5D6E-409C-BE32-E72D297353CC}">
              <c16:uniqueId val="{00000059-18CD-48A9-AFA2-5F9C259C7509}"/>
            </c:ext>
          </c:extLst>
        </c:ser>
        <c:ser>
          <c:idx val="75"/>
          <c:order val="75"/>
          <c:tx>
            <c:v>h=63</c:v>
          </c:tx>
          <c:spPr>
            <a:ln w="3175">
              <a:solidFill>
                <a:srgbClr val="808080"/>
              </a:solidFill>
              <a:prstDash val="solid"/>
            </a:ln>
          </c:spPr>
          <c:marker>
            <c:symbol val="none"/>
          </c:marker>
          <c:xVal>
            <c:numLit>
              <c:formatCode>General</c:formatCode>
              <c:ptCount val="2"/>
              <c:pt idx="0">
                <c:v>10.444558267053853</c:v>
              </c:pt>
              <c:pt idx="1">
                <c:v>10.744558267053854</c:v>
              </c:pt>
            </c:numLit>
          </c:xVal>
          <c:yVal>
            <c:numLit>
              <c:formatCode>General</c:formatCode>
              <c:ptCount val="2"/>
              <c:pt idx="0">
                <c:v>2.0236227595737788E-2</c:v>
              </c:pt>
              <c:pt idx="1">
                <c:v>2.012071399565105E-2</c:v>
              </c:pt>
            </c:numLit>
          </c:yVal>
          <c:smooth val="0"/>
          <c:extLst>
            <c:ext xmlns:c16="http://schemas.microsoft.com/office/drawing/2014/chart" uri="{C3380CC4-5D6E-409C-BE32-E72D297353CC}">
              <c16:uniqueId val="{0000005A-18CD-48A9-AFA2-5F9C259C7509}"/>
            </c:ext>
          </c:extLst>
        </c:ser>
        <c:ser>
          <c:idx val="76"/>
          <c:order val="76"/>
          <c:tx>
            <c:v>h=64</c:v>
          </c:tx>
          <c:spPr>
            <a:ln w="3175">
              <a:solidFill>
                <a:srgbClr val="808080"/>
              </a:solidFill>
              <a:prstDash val="solid"/>
            </a:ln>
          </c:spPr>
          <c:marker>
            <c:symbol val="none"/>
          </c:marker>
          <c:xVal>
            <c:numLit>
              <c:formatCode>General</c:formatCode>
              <c:ptCount val="2"/>
              <c:pt idx="0">
                <c:v>10.752967048755186</c:v>
              </c:pt>
              <c:pt idx="1">
                <c:v>11.052967048755187</c:v>
              </c:pt>
            </c:numLit>
          </c:xVal>
          <c:yVal>
            <c:numLit>
              <c:formatCode>General</c:formatCode>
              <c:ptCount val="2"/>
              <c:pt idx="0">
                <c:v>2.0502126117560634E-2</c:v>
              </c:pt>
              <c:pt idx="1">
                <c:v>2.0386614745482871E-2</c:v>
              </c:pt>
            </c:numLit>
          </c:yVal>
          <c:smooth val="0"/>
          <c:extLst>
            <c:ext xmlns:c16="http://schemas.microsoft.com/office/drawing/2014/chart" uri="{C3380CC4-5D6E-409C-BE32-E72D297353CC}">
              <c16:uniqueId val="{0000005B-18CD-48A9-AFA2-5F9C259C7509}"/>
            </c:ext>
          </c:extLst>
        </c:ser>
        <c:ser>
          <c:idx val="77"/>
          <c:order val="77"/>
          <c:tx>
            <c:v>h=65</c:v>
          </c:tx>
          <c:spPr>
            <a:ln w="3175">
              <a:solidFill>
                <a:srgbClr val="808080"/>
              </a:solidFill>
              <a:prstDash val="solid"/>
            </a:ln>
          </c:spPr>
          <c:marker>
            <c:symbol val="none"/>
          </c:marker>
          <c:dLbls>
            <c:dLbl>
              <c:idx val="0"/>
              <c:layout>
                <c:manualLayout>
                  <c:x val="-3.008748906386708E-2"/>
                  <c:y val="-9.347701729591532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65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C-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11.061375830456521</c:v>
              </c:pt>
              <c:pt idx="1">
                <c:v>50</c:v>
              </c:pt>
            </c:numLit>
          </c:xVal>
          <c:yVal>
            <c:numLit>
              <c:formatCode>General</c:formatCode>
              <c:ptCount val="2"/>
              <c:pt idx="0">
                <c:v>2.0768024639383476E-2</c:v>
              </c:pt>
              <c:pt idx="1">
                <c:v>5.6669236700077098E-3</c:v>
              </c:pt>
            </c:numLit>
          </c:yVal>
          <c:smooth val="0"/>
          <c:extLst>
            <c:ext xmlns:c16="http://schemas.microsoft.com/office/drawing/2014/chart" uri="{C3380CC4-5D6E-409C-BE32-E72D297353CC}">
              <c16:uniqueId val="{0000005D-18CD-48A9-AFA2-5F9C259C7509}"/>
            </c:ext>
          </c:extLst>
        </c:ser>
        <c:ser>
          <c:idx val="78"/>
          <c:order val="78"/>
          <c:tx>
            <c:v>h=66</c:v>
          </c:tx>
          <c:spPr>
            <a:ln w="3175">
              <a:solidFill>
                <a:srgbClr val="808080"/>
              </a:solidFill>
              <a:prstDash val="solid"/>
            </a:ln>
          </c:spPr>
          <c:marker>
            <c:symbol val="none"/>
          </c:marker>
          <c:xVal>
            <c:numLit>
              <c:formatCode>General</c:formatCode>
              <c:ptCount val="2"/>
              <c:pt idx="0">
                <c:v>11.369784612157854</c:v>
              </c:pt>
              <c:pt idx="1">
                <c:v>11.669784612157855</c:v>
              </c:pt>
            </c:numLit>
          </c:xVal>
          <c:yVal>
            <c:numLit>
              <c:formatCode>General</c:formatCode>
              <c:ptCount val="2"/>
              <c:pt idx="0">
                <c:v>2.1033923161206322E-2</c:v>
              </c:pt>
              <c:pt idx="1">
                <c:v>2.0918416075913625E-2</c:v>
              </c:pt>
            </c:numLit>
          </c:yVal>
          <c:smooth val="0"/>
          <c:extLst>
            <c:ext xmlns:c16="http://schemas.microsoft.com/office/drawing/2014/chart" uri="{C3380CC4-5D6E-409C-BE32-E72D297353CC}">
              <c16:uniqueId val="{0000005E-18CD-48A9-AFA2-5F9C259C7509}"/>
            </c:ext>
          </c:extLst>
        </c:ser>
        <c:ser>
          <c:idx val="79"/>
          <c:order val="79"/>
          <c:tx>
            <c:v>h=67</c:v>
          </c:tx>
          <c:spPr>
            <a:ln w="3175">
              <a:solidFill>
                <a:srgbClr val="808080"/>
              </a:solidFill>
              <a:prstDash val="solid"/>
            </a:ln>
          </c:spPr>
          <c:marker>
            <c:symbol val="none"/>
          </c:marker>
          <c:xVal>
            <c:numLit>
              <c:formatCode>General</c:formatCode>
              <c:ptCount val="2"/>
              <c:pt idx="0">
                <c:v>11.678193393859187</c:v>
              </c:pt>
              <c:pt idx="1">
                <c:v>11.978193393859188</c:v>
              </c:pt>
            </c:numLit>
          </c:xVal>
          <c:yVal>
            <c:numLit>
              <c:formatCode>General</c:formatCode>
              <c:ptCount val="2"/>
              <c:pt idx="0">
                <c:v>2.1299821683029168E-2</c:v>
              </c:pt>
              <c:pt idx="1">
                <c:v>2.1184316660743805E-2</c:v>
              </c:pt>
            </c:numLit>
          </c:yVal>
          <c:smooth val="0"/>
          <c:extLst>
            <c:ext xmlns:c16="http://schemas.microsoft.com/office/drawing/2014/chart" uri="{C3380CC4-5D6E-409C-BE32-E72D297353CC}">
              <c16:uniqueId val="{0000005F-18CD-48A9-AFA2-5F9C259C7509}"/>
            </c:ext>
          </c:extLst>
        </c:ser>
        <c:ser>
          <c:idx val="80"/>
          <c:order val="80"/>
          <c:tx>
            <c:v>h=68</c:v>
          </c:tx>
          <c:spPr>
            <a:ln w="3175">
              <a:solidFill>
                <a:srgbClr val="808080"/>
              </a:solidFill>
              <a:prstDash val="solid"/>
            </a:ln>
          </c:spPr>
          <c:marker>
            <c:symbol val="none"/>
          </c:marker>
          <c:xVal>
            <c:numLit>
              <c:formatCode>General</c:formatCode>
              <c:ptCount val="2"/>
              <c:pt idx="0">
                <c:v>11.986602175560522</c:v>
              </c:pt>
              <c:pt idx="1">
                <c:v>12.286602175560521</c:v>
              </c:pt>
            </c:numLit>
          </c:xVal>
          <c:yVal>
            <c:numLit>
              <c:formatCode>General</c:formatCode>
              <c:ptCount val="2"/>
              <c:pt idx="0">
                <c:v>2.156572020485201E-2</c:v>
              </c:pt>
              <c:pt idx="1">
                <c:v>2.1450217194630538E-2</c:v>
              </c:pt>
            </c:numLit>
          </c:yVal>
          <c:smooth val="0"/>
          <c:extLst>
            <c:ext xmlns:c16="http://schemas.microsoft.com/office/drawing/2014/chart" uri="{C3380CC4-5D6E-409C-BE32-E72D297353CC}">
              <c16:uniqueId val="{00000060-18CD-48A9-AFA2-5F9C259C7509}"/>
            </c:ext>
          </c:extLst>
        </c:ser>
        <c:ser>
          <c:idx val="81"/>
          <c:order val="81"/>
          <c:tx>
            <c:v>h=69</c:v>
          </c:tx>
          <c:spPr>
            <a:ln w="3175">
              <a:solidFill>
                <a:srgbClr val="808080"/>
              </a:solidFill>
              <a:prstDash val="solid"/>
            </a:ln>
          </c:spPr>
          <c:marker>
            <c:symbol val="none"/>
          </c:marker>
          <c:xVal>
            <c:numLit>
              <c:formatCode>General</c:formatCode>
              <c:ptCount val="2"/>
              <c:pt idx="0">
                <c:v>12.295010957261855</c:v>
              </c:pt>
              <c:pt idx="1">
                <c:v>12.595010957261856</c:v>
              </c:pt>
            </c:numLit>
          </c:xVal>
          <c:yVal>
            <c:numLit>
              <c:formatCode>General</c:formatCode>
              <c:ptCount val="2"/>
              <c:pt idx="0">
                <c:v>2.1831618726674856E-2</c:v>
              </c:pt>
              <c:pt idx="1">
                <c:v>2.1716117679437794E-2</c:v>
              </c:pt>
            </c:numLit>
          </c:yVal>
          <c:smooth val="0"/>
          <c:extLst>
            <c:ext xmlns:c16="http://schemas.microsoft.com/office/drawing/2014/chart" uri="{C3380CC4-5D6E-409C-BE32-E72D297353CC}">
              <c16:uniqueId val="{00000061-18CD-48A9-AFA2-5F9C259C7509}"/>
            </c:ext>
          </c:extLst>
        </c:ser>
        <c:ser>
          <c:idx val="82"/>
          <c:order val="82"/>
          <c:tx>
            <c:v>h=70</c:v>
          </c:tx>
          <c:spPr>
            <a:ln w="3175">
              <a:solidFill>
                <a:srgbClr val="808080"/>
              </a:solidFill>
              <a:prstDash val="solid"/>
            </a:ln>
          </c:spPr>
          <c:marker>
            <c:symbol val="none"/>
          </c:marker>
          <c:dLbls>
            <c:dLbl>
              <c:idx val="0"/>
              <c:layout>
                <c:manualLayout>
                  <c:x val="-3.00874890638670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70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2-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12.603419738963188</c:v>
              </c:pt>
              <c:pt idx="1">
                <c:v>50</c:v>
              </c:pt>
            </c:numLit>
          </c:xVal>
          <c:yVal>
            <c:numLit>
              <c:formatCode>General</c:formatCode>
              <c:ptCount val="2"/>
              <c:pt idx="0">
                <c:v>2.2097517248497699E-2</c:v>
              </c:pt>
              <c:pt idx="1">
                <c:v>7.5944487278334621E-3</c:v>
              </c:pt>
            </c:numLit>
          </c:yVal>
          <c:smooth val="0"/>
          <c:extLst>
            <c:ext xmlns:c16="http://schemas.microsoft.com/office/drawing/2014/chart" uri="{C3380CC4-5D6E-409C-BE32-E72D297353CC}">
              <c16:uniqueId val="{00000063-18CD-48A9-AFA2-5F9C259C7509}"/>
            </c:ext>
          </c:extLst>
        </c:ser>
        <c:ser>
          <c:idx val="83"/>
          <c:order val="83"/>
          <c:tx>
            <c:v>h=71</c:v>
          </c:tx>
          <c:spPr>
            <a:ln w="3175">
              <a:solidFill>
                <a:srgbClr val="808080"/>
              </a:solidFill>
              <a:prstDash val="solid"/>
            </a:ln>
          </c:spPr>
          <c:marker>
            <c:symbol val="none"/>
          </c:marker>
          <c:xVal>
            <c:numLit>
              <c:formatCode>General</c:formatCode>
              <c:ptCount val="2"/>
              <c:pt idx="0">
                <c:v>12.911828520664523</c:v>
              </c:pt>
              <c:pt idx="1">
                <c:v>13.211828520664522</c:v>
              </c:pt>
            </c:numLit>
          </c:xVal>
          <c:yVal>
            <c:numLit>
              <c:formatCode>General</c:formatCode>
              <c:ptCount val="2"/>
              <c:pt idx="0">
                <c:v>2.2363415770320545E-2</c:v>
              </c:pt>
              <c:pt idx="1">
                <c:v>2.2247918508825872E-2</c:v>
              </c:pt>
            </c:numLit>
          </c:yVal>
          <c:smooth val="0"/>
          <c:extLst>
            <c:ext xmlns:c16="http://schemas.microsoft.com/office/drawing/2014/chart" uri="{C3380CC4-5D6E-409C-BE32-E72D297353CC}">
              <c16:uniqueId val="{00000064-18CD-48A9-AFA2-5F9C259C7509}"/>
            </c:ext>
          </c:extLst>
        </c:ser>
        <c:ser>
          <c:idx val="84"/>
          <c:order val="84"/>
          <c:tx>
            <c:v>h=72</c:v>
          </c:tx>
          <c:spPr>
            <a:ln w="3175">
              <a:solidFill>
                <a:srgbClr val="808080"/>
              </a:solidFill>
              <a:prstDash val="solid"/>
            </a:ln>
          </c:spPr>
          <c:marker>
            <c:symbol val="none"/>
          </c:marker>
          <c:xVal>
            <c:numLit>
              <c:formatCode>General</c:formatCode>
              <c:ptCount val="2"/>
              <c:pt idx="0">
                <c:v>13.220237302365856</c:v>
              </c:pt>
              <c:pt idx="1">
                <c:v>13.520237302365857</c:v>
              </c:pt>
            </c:numLit>
          </c:xVal>
          <c:yVal>
            <c:numLit>
              <c:formatCode>General</c:formatCode>
              <c:ptCount val="2"/>
              <c:pt idx="0">
                <c:v>2.262931429214339E-2</c:v>
              </c:pt>
              <c:pt idx="1">
                <c:v>2.2513818856706454E-2</c:v>
              </c:pt>
            </c:numLit>
          </c:yVal>
          <c:smooth val="0"/>
          <c:extLst>
            <c:ext xmlns:c16="http://schemas.microsoft.com/office/drawing/2014/chart" uri="{C3380CC4-5D6E-409C-BE32-E72D297353CC}">
              <c16:uniqueId val="{00000065-18CD-48A9-AFA2-5F9C259C7509}"/>
            </c:ext>
          </c:extLst>
        </c:ser>
        <c:ser>
          <c:idx val="85"/>
          <c:order val="85"/>
          <c:tx>
            <c:v>h=73</c:v>
          </c:tx>
          <c:spPr>
            <a:ln w="3175">
              <a:solidFill>
                <a:srgbClr val="808080"/>
              </a:solidFill>
              <a:prstDash val="solid"/>
            </a:ln>
          </c:spPr>
          <c:marker>
            <c:symbol val="none"/>
          </c:marker>
          <c:xVal>
            <c:numLit>
              <c:formatCode>General</c:formatCode>
              <c:ptCount val="2"/>
              <c:pt idx="0">
                <c:v>13.528646084067189</c:v>
              </c:pt>
              <c:pt idx="1">
                <c:v>13.82864608406719</c:v>
              </c:pt>
            </c:numLit>
          </c:xVal>
          <c:yVal>
            <c:numLit>
              <c:formatCode>General</c:formatCode>
              <c:ptCount val="2"/>
              <c:pt idx="0">
                <c:v>2.2895212813966233E-2</c:v>
              </c:pt>
              <c:pt idx="1">
                <c:v>2.2779719162116654E-2</c:v>
              </c:pt>
            </c:numLit>
          </c:yVal>
          <c:smooth val="0"/>
          <c:extLst>
            <c:ext xmlns:c16="http://schemas.microsoft.com/office/drawing/2014/chart" uri="{C3380CC4-5D6E-409C-BE32-E72D297353CC}">
              <c16:uniqueId val="{00000066-18CD-48A9-AFA2-5F9C259C7509}"/>
            </c:ext>
          </c:extLst>
        </c:ser>
        <c:ser>
          <c:idx val="86"/>
          <c:order val="86"/>
          <c:tx>
            <c:v>h=74</c:v>
          </c:tx>
          <c:spPr>
            <a:ln w="3175">
              <a:solidFill>
                <a:srgbClr val="808080"/>
              </a:solidFill>
              <a:prstDash val="solid"/>
            </a:ln>
          </c:spPr>
          <c:marker>
            <c:symbol val="none"/>
          </c:marker>
          <c:xVal>
            <c:numLit>
              <c:formatCode>General</c:formatCode>
              <c:ptCount val="2"/>
              <c:pt idx="0">
                <c:v>13.837054865768524</c:v>
              </c:pt>
              <c:pt idx="1">
                <c:v>14.137054865768523</c:v>
              </c:pt>
            </c:numLit>
          </c:xVal>
          <c:yVal>
            <c:numLit>
              <c:formatCode>General</c:formatCode>
              <c:ptCount val="2"/>
              <c:pt idx="0">
                <c:v>2.3161111335789079E-2</c:v>
              </c:pt>
              <c:pt idx="1">
                <c:v>2.3045619426521106E-2</c:v>
              </c:pt>
            </c:numLit>
          </c:yVal>
          <c:smooth val="0"/>
          <c:extLst>
            <c:ext xmlns:c16="http://schemas.microsoft.com/office/drawing/2014/chart" uri="{C3380CC4-5D6E-409C-BE32-E72D297353CC}">
              <c16:uniqueId val="{00000067-18CD-48A9-AFA2-5F9C259C7509}"/>
            </c:ext>
          </c:extLst>
        </c:ser>
        <c:ser>
          <c:idx val="87"/>
          <c:order val="87"/>
          <c:tx>
            <c:v>h=75</c:v>
          </c:tx>
          <c:spPr>
            <a:ln w="3175">
              <a:solidFill>
                <a:srgbClr val="808080"/>
              </a:solidFill>
              <a:prstDash val="solid"/>
            </a:ln>
          </c:spPr>
          <c:marker>
            <c:symbol val="none"/>
          </c:marker>
          <c:dLbls>
            <c:dLbl>
              <c:idx val="0"/>
              <c:layout>
                <c:manualLayout>
                  <c:x val="-3.0087489063867018E-2"/>
                  <c:y val="-9.347701729591532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75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8-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14.145463647469857</c:v>
              </c:pt>
              <c:pt idx="1">
                <c:v>50</c:v>
              </c:pt>
            </c:numLit>
          </c:xVal>
          <c:yVal>
            <c:numLit>
              <c:formatCode>General</c:formatCode>
              <c:ptCount val="2"/>
              <c:pt idx="0">
                <c:v>2.3427009857611921E-2</c:v>
              </c:pt>
              <c:pt idx="1">
                <c:v>9.5219737856592126E-3</c:v>
              </c:pt>
            </c:numLit>
          </c:yVal>
          <c:smooth val="0"/>
          <c:extLst>
            <c:ext xmlns:c16="http://schemas.microsoft.com/office/drawing/2014/chart" uri="{C3380CC4-5D6E-409C-BE32-E72D297353CC}">
              <c16:uniqueId val="{00000069-18CD-48A9-AFA2-5F9C259C7509}"/>
            </c:ext>
          </c:extLst>
        </c:ser>
        <c:ser>
          <c:idx val="88"/>
          <c:order val="88"/>
          <c:tx>
            <c:v>h=76</c:v>
          </c:tx>
          <c:spPr>
            <a:ln w="3175">
              <a:solidFill>
                <a:srgbClr val="808080"/>
              </a:solidFill>
              <a:prstDash val="solid"/>
            </a:ln>
          </c:spPr>
          <c:marker>
            <c:symbol val="none"/>
          </c:marker>
          <c:xVal>
            <c:numLit>
              <c:formatCode>General</c:formatCode>
              <c:ptCount val="2"/>
              <c:pt idx="0">
                <c:v>14.45387242917119</c:v>
              </c:pt>
              <c:pt idx="1">
                <c:v>14.75387242917119</c:v>
              </c:pt>
            </c:numLit>
          </c:xVal>
          <c:yVal>
            <c:numLit>
              <c:formatCode>General</c:formatCode>
              <c:ptCount val="2"/>
              <c:pt idx="0">
                <c:v>2.3692908379434767E-2</c:v>
              </c:pt>
              <c:pt idx="1">
                <c:v>2.3577419837842114E-2</c:v>
              </c:pt>
            </c:numLit>
          </c:yVal>
          <c:smooth val="0"/>
          <c:extLst>
            <c:ext xmlns:c16="http://schemas.microsoft.com/office/drawing/2014/chart" uri="{C3380CC4-5D6E-409C-BE32-E72D297353CC}">
              <c16:uniqueId val="{0000006A-18CD-48A9-AFA2-5F9C259C7509}"/>
            </c:ext>
          </c:extLst>
        </c:ser>
        <c:ser>
          <c:idx val="89"/>
          <c:order val="89"/>
          <c:tx>
            <c:v>h=77</c:v>
          </c:tx>
          <c:spPr>
            <a:ln w="3175">
              <a:solidFill>
                <a:srgbClr val="808080"/>
              </a:solidFill>
              <a:prstDash val="solid"/>
            </a:ln>
          </c:spPr>
          <c:marker>
            <c:symbol val="none"/>
          </c:marker>
          <c:xVal>
            <c:numLit>
              <c:formatCode>General</c:formatCode>
              <c:ptCount val="2"/>
              <c:pt idx="0">
                <c:v>14.762281210872525</c:v>
              </c:pt>
              <c:pt idx="1">
                <c:v>15.062281210872523</c:v>
              </c:pt>
            </c:numLit>
          </c:xVal>
          <c:yVal>
            <c:numLit>
              <c:formatCode>General</c:formatCode>
              <c:ptCount val="2"/>
              <c:pt idx="0">
                <c:v>2.3958806901257609E-2</c:v>
              </c:pt>
              <c:pt idx="1">
                <c:v>2.3843319987369743E-2</c:v>
              </c:pt>
            </c:numLit>
          </c:yVal>
          <c:smooth val="0"/>
          <c:extLst>
            <c:ext xmlns:c16="http://schemas.microsoft.com/office/drawing/2014/chart" uri="{C3380CC4-5D6E-409C-BE32-E72D297353CC}">
              <c16:uniqueId val="{0000006B-18CD-48A9-AFA2-5F9C259C7509}"/>
            </c:ext>
          </c:extLst>
        </c:ser>
        <c:ser>
          <c:idx val="90"/>
          <c:order val="90"/>
          <c:tx>
            <c:v>h=78</c:v>
          </c:tx>
          <c:spPr>
            <a:ln w="3175">
              <a:solidFill>
                <a:srgbClr val="808080"/>
              </a:solidFill>
              <a:prstDash val="solid"/>
            </a:ln>
          </c:spPr>
          <c:marker>
            <c:symbol val="none"/>
          </c:marker>
          <c:xVal>
            <c:numLit>
              <c:formatCode>General</c:formatCode>
              <c:ptCount val="2"/>
              <c:pt idx="0">
                <c:v>15.070689992573858</c:v>
              </c:pt>
              <c:pt idx="1">
                <c:v>15.370689992573858</c:v>
              </c:pt>
            </c:numLit>
          </c:xVal>
          <c:yVal>
            <c:numLit>
              <c:formatCode>General</c:formatCode>
              <c:ptCount val="2"/>
              <c:pt idx="0">
                <c:v>2.4224705423080455E-2</c:v>
              </c:pt>
              <c:pt idx="1">
                <c:v>2.4109220101120522E-2</c:v>
              </c:pt>
            </c:numLit>
          </c:yVal>
          <c:smooth val="0"/>
          <c:extLst>
            <c:ext xmlns:c16="http://schemas.microsoft.com/office/drawing/2014/chart" uri="{C3380CC4-5D6E-409C-BE32-E72D297353CC}">
              <c16:uniqueId val="{0000006C-18CD-48A9-AFA2-5F9C259C7509}"/>
            </c:ext>
          </c:extLst>
        </c:ser>
        <c:ser>
          <c:idx val="91"/>
          <c:order val="91"/>
          <c:tx>
            <c:v>h=79</c:v>
          </c:tx>
          <c:spPr>
            <a:ln w="3175">
              <a:solidFill>
                <a:srgbClr val="808080"/>
              </a:solidFill>
              <a:prstDash val="solid"/>
            </a:ln>
          </c:spPr>
          <c:marker>
            <c:symbol val="none"/>
          </c:marker>
          <c:xVal>
            <c:numLit>
              <c:formatCode>General</c:formatCode>
              <c:ptCount val="2"/>
              <c:pt idx="0">
                <c:v>15.379098774275191</c:v>
              </c:pt>
              <c:pt idx="1">
                <c:v>15.679098774275191</c:v>
              </c:pt>
            </c:numLit>
          </c:xVal>
          <c:yVal>
            <c:numLit>
              <c:formatCode>General</c:formatCode>
              <c:ptCount val="2"/>
              <c:pt idx="0">
                <c:v>2.4490603944903301E-2</c:v>
              </c:pt>
              <c:pt idx="1">
                <c:v>2.4375120180261185E-2</c:v>
              </c:pt>
            </c:numLit>
          </c:yVal>
          <c:smooth val="0"/>
          <c:extLst>
            <c:ext xmlns:c16="http://schemas.microsoft.com/office/drawing/2014/chart" uri="{C3380CC4-5D6E-409C-BE32-E72D297353CC}">
              <c16:uniqueId val="{0000006D-18CD-48A9-AFA2-5F9C259C7509}"/>
            </c:ext>
          </c:extLst>
        </c:ser>
        <c:ser>
          <c:idx val="92"/>
          <c:order val="92"/>
          <c:tx>
            <c:v>h=80</c:v>
          </c:tx>
          <c:spPr>
            <a:ln w="3175">
              <a:solidFill>
                <a:srgbClr val="808080"/>
              </a:solidFill>
              <a:prstDash val="solid"/>
            </a:ln>
          </c:spPr>
          <c:marker>
            <c:symbol val="none"/>
          </c:marker>
          <c:dLbls>
            <c:dLbl>
              <c:idx val="0"/>
              <c:layout>
                <c:manualLayout>
                  <c:x val="-3.00874890638670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80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E-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15.687507555976525</c:v>
              </c:pt>
              <c:pt idx="1">
                <c:v>50</c:v>
              </c:pt>
            </c:numLit>
          </c:xVal>
          <c:yVal>
            <c:numLit>
              <c:formatCode>General</c:formatCode>
              <c:ptCount val="2"/>
              <c:pt idx="0">
                <c:v>2.4756502466726144E-2</c:v>
              </c:pt>
              <c:pt idx="1">
                <c:v>1.1449498843484965E-2</c:v>
              </c:pt>
            </c:numLit>
          </c:yVal>
          <c:smooth val="0"/>
          <c:extLst>
            <c:ext xmlns:c16="http://schemas.microsoft.com/office/drawing/2014/chart" uri="{C3380CC4-5D6E-409C-BE32-E72D297353CC}">
              <c16:uniqueId val="{0000006F-18CD-48A9-AFA2-5F9C259C7509}"/>
            </c:ext>
          </c:extLst>
        </c:ser>
        <c:ser>
          <c:idx val="93"/>
          <c:order val="93"/>
          <c:tx>
            <c:v>h=81</c:v>
          </c:tx>
          <c:spPr>
            <a:ln w="3175">
              <a:solidFill>
                <a:srgbClr val="808080"/>
              </a:solidFill>
              <a:prstDash val="solid"/>
            </a:ln>
          </c:spPr>
          <c:marker>
            <c:symbol val="none"/>
          </c:marker>
          <c:xVal>
            <c:numLit>
              <c:formatCode>General</c:formatCode>
              <c:ptCount val="2"/>
              <c:pt idx="0">
                <c:v>15.995916337677858</c:v>
              </c:pt>
              <c:pt idx="1">
                <c:v>16.295916337677859</c:v>
              </c:pt>
            </c:numLit>
          </c:xVal>
          <c:yVal>
            <c:numLit>
              <c:formatCode>General</c:formatCode>
              <c:ptCount val="2"/>
              <c:pt idx="0">
                <c:v>2.5022400988548989E-2</c:v>
              </c:pt>
              <c:pt idx="1">
                <c:v>2.4906920239130846E-2</c:v>
              </c:pt>
            </c:numLit>
          </c:yVal>
          <c:smooth val="0"/>
          <c:extLst>
            <c:ext xmlns:c16="http://schemas.microsoft.com/office/drawing/2014/chart" uri="{C3380CC4-5D6E-409C-BE32-E72D297353CC}">
              <c16:uniqueId val="{00000070-18CD-48A9-AFA2-5F9C259C7509}"/>
            </c:ext>
          </c:extLst>
        </c:ser>
        <c:ser>
          <c:idx val="94"/>
          <c:order val="94"/>
          <c:tx>
            <c:v>h=82</c:v>
          </c:tx>
          <c:spPr>
            <a:ln w="3175">
              <a:solidFill>
                <a:srgbClr val="808080"/>
              </a:solidFill>
              <a:prstDash val="solid"/>
            </a:ln>
          </c:spPr>
          <c:marker>
            <c:symbol val="none"/>
          </c:marker>
          <c:xVal>
            <c:numLit>
              <c:formatCode>General</c:formatCode>
              <c:ptCount val="2"/>
              <c:pt idx="0">
                <c:v>16.304325119379193</c:v>
              </c:pt>
              <c:pt idx="1">
                <c:v>16.60432511937919</c:v>
              </c:pt>
            </c:numLit>
          </c:xVal>
          <c:yVal>
            <c:numLit>
              <c:formatCode>General</c:formatCode>
              <c:ptCount val="2"/>
              <c:pt idx="0">
                <c:v>2.5288299510371832E-2</c:v>
              </c:pt>
              <c:pt idx="1">
                <c:v>2.5172820220952897E-2</c:v>
              </c:pt>
            </c:numLit>
          </c:yVal>
          <c:smooth val="0"/>
          <c:extLst>
            <c:ext xmlns:c16="http://schemas.microsoft.com/office/drawing/2014/chart" uri="{C3380CC4-5D6E-409C-BE32-E72D297353CC}">
              <c16:uniqueId val="{00000071-18CD-48A9-AFA2-5F9C259C7509}"/>
            </c:ext>
          </c:extLst>
        </c:ser>
        <c:ser>
          <c:idx val="95"/>
          <c:order val="95"/>
          <c:tx>
            <c:v>h=83</c:v>
          </c:tx>
          <c:spPr>
            <a:ln w="3175">
              <a:solidFill>
                <a:srgbClr val="808080"/>
              </a:solidFill>
              <a:prstDash val="solid"/>
            </a:ln>
          </c:spPr>
          <c:marker>
            <c:symbol val="none"/>
          </c:marker>
          <c:xVal>
            <c:numLit>
              <c:formatCode>General</c:formatCode>
              <c:ptCount val="2"/>
              <c:pt idx="0">
                <c:v>16.612733901080524</c:v>
              </c:pt>
              <c:pt idx="1">
                <c:v>16.912733901080525</c:v>
              </c:pt>
            </c:numLit>
          </c:xVal>
          <c:yVal>
            <c:numLit>
              <c:formatCode>General</c:formatCode>
              <c:ptCount val="2"/>
              <c:pt idx="0">
                <c:v>2.5554198032194678E-2</c:v>
              </c:pt>
              <c:pt idx="1">
                <c:v>2.5438720172355784E-2</c:v>
              </c:pt>
            </c:numLit>
          </c:yVal>
          <c:smooth val="0"/>
          <c:extLst>
            <c:ext xmlns:c16="http://schemas.microsoft.com/office/drawing/2014/chart" uri="{C3380CC4-5D6E-409C-BE32-E72D297353CC}">
              <c16:uniqueId val="{00000072-18CD-48A9-AFA2-5F9C259C7509}"/>
            </c:ext>
          </c:extLst>
        </c:ser>
        <c:ser>
          <c:idx val="96"/>
          <c:order val="96"/>
          <c:tx>
            <c:v>h=84</c:v>
          </c:tx>
          <c:spPr>
            <a:ln w="3175">
              <a:solidFill>
                <a:srgbClr val="808080"/>
              </a:solidFill>
              <a:prstDash val="solid"/>
            </a:ln>
          </c:spPr>
          <c:marker>
            <c:symbol val="none"/>
          </c:marker>
          <c:xVal>
            <c:numLit>
              <c:formatCode>General</c:formatCode>
              <c:ptCount val="2"/>
              <c:pt idx="0">
                <c:v>16.921142682781859</c:v>
              </c:pt>
              <c:pt idx="1">
                <c:v>17.22114268278186</c:v>
              </c:pt>
            </c:numLit>
          </c:xVal>
          <c:yVal>
            <c:numLit>
              <c:formatCode>General</c:formatCode>
              <c:ptCount val="2"/>
              <c:pt idx="0">
                <c:v>2.5820096554017524E-2</c:v>
              </c:pt>
              <c:pt idx="1">
                <c:v>2.570462009428038E-2</c:v>
              </c:pt>
            </c:numLit>
          </c:yVal>
          <c:smooth val="0"/>
          <c:extLst>
            <c:ext xmlns:c16="http://schemas.microsoft.com/office/drawing/2014/chart" uri="{C3380CC4-5D6E-409C-BE32-E72D297353CC}">
              <c16:uniqueId val="{00000073-18CD-48A9-AFA2-5F9C259C7509}"/>
            </c:ext>
          </c:extLst>
        </c:ser>
        <c:ser>
          <c:idx val="97"/>
          <c:order val="97"/>
          <c:tx>
            <c:v>h=85</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85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4-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17.229551464483194</c:v>
              </c:pt>
              <c:pt idx="1">
                <c:v>50</c:v>
              </c:pt>
            </c:numLit>
          </c:xVal>
          <c:yVal>
            <c:numLit>
              <c:formatCode>General</c:formatCode>
              <c:ptCount val="2"/>
              <c:pt idx="0">
                <c:v>2.6085995075840366E-2</c:v>
              </c:pt>
              <c:pt idx="1">
                <c:v>1.3377023901310717E-2</c:v>
              </c:pt>
            </c:numLit>
          </c:yVal>
          <c:smooth val="0"/>
          <c:extLst>
            <c:ext xmlns:c16="http://schemas.microsoft.com/office/drawing/2014/chart" uri="{C3380CC4-5D6E-409C-BE32-E72D297353CC}">
              <c16:uniqueId val="{00000075-18CD-48A9-AFA2-5F9C259C7509}"/>
            </c:ext>
          </c:extLst>
        </c:ser>
        <c:ser>
          <c:idx val="98"/>
          <c:order val="98"/>
          <c:tx>
            <c:v>h=86</c:v>
          </c:tx>
          <c:spPr>
            <a:ln w="3175">
              <a:solidFill>
                <a:srgbClr val="808080"/>
              </a:solidFill>
              <a:prstDash val="solid"/>
            </a:ln>
          </c:spPr>
          <c:marker>
            <c:symbol val="none"/>
          </c:marker>
          <c:xVal>
            <c:numLit>
              <c:formatCode>General</c:formatCode>
              <c:ptCount val="2"/>
              <c:pt idx="0">
                <c:v>17.537960246184525</c:v>
              </c:pt>
              <c:pt idx="1">
                <c:v>17.837960246184526</c:v>
              </c:pt>
            </c:numLit>
          </c:xVal>
          <c:yVal>
            <c:numLit>
              <c:formatCode>General</c:formatCode>
              <c:ptCount val="2"/>
              <c:pt idx="0">
                <c:v>2.6351893597663212E-2</c:v>
              </c:pt>
              <c:pt idx="1">
                <c:v>2.6236419853268116E-2</c:v>
              </c:pt>
            </c:numLit>
          </c:yVal>
          <c:smooth val="0"/>
          <c:extLst>
            <c:ext xmlns:c16="http://schemas.microsoft.com/office/drawing/2014/chart" uri="{C3380CC4-5D6E-409C-BE32-E72D297353CC}">
              <c16:uniqueId val="{00000076-18CD-48A9-AFA2-5F9C259C7509}"/>
            </c:ext>
          </c:extLst>
        </c:ser>
        <c:ser>
          <c:idx val="99"/>
          <c:order val="99"/>
          <c:tx>
            <c:v>h=87</c:v>
          </c:tx>
          <c:spPr>
            <a:ln w="3175">
              <a:solidFill>
                <a:srgbClr val="808080"/>
              </a:solidFill>
              <a:prstDash val="solid"/>
            </a:ln>
          </c:spPr>
          <c:marker>
            <c:symbol val="none"/>
          </c:marker>
          <c:xVal>
            <c:numLit>
              <c:formatCode>General</c:formatCode>
              <c:ptCount val="2"/>
              <c:pt idx="0">
                <c:v>17.84636902788586</c:v>
              </c:pt>
              <c:pt idx="1">
                <c:v>18.146369027885861</c:v>
              </c:pt>
            </c:numLit>
          </c:xVal>
          <c:yVal>
            <c:numLit>
              <c:formatCode>General</c:formatCode>
              <c:ptCount val="2"/>
              <c:pt idx="0">
                <c:v>2.6617792119486054E-2</c:v>
              </c:pt>
              <c:pt idx="1">
                <c:v>2.6502319692028618E-2</c:v>
              </c:pt>
            </c:numLit>
          </c:yVal>
          <c:smooth val="0"/>
          <c:extLst>
            <c:ext xmlns:c16="http://schemas.microsoft.com/office/drawing/2014/chart" uri="{C3380CC4-5D6E-409C-BE32-E72D297353CC}">
              <c16:uniqueId val="{00000077-18CD-48A9-AFA2-5F9C259C7509}"/>
            </c:ext>
          </c:extLst>
        </c:ser>
        <c:ser>
          <c:idx val="100"/>
          <c:order val="100"/>
          <c:tx>
            <c:v>h=88</c:v>
          </c:tx>
          <c:spPr>
            <a:ln w="3175">
              <a:solidFill>
                <a:srgbClr val="808080"/>
              </a:solidFill>
              <a:prstDash val="solid"/>
            </a:ln>
          </c:spPr>
          <c:marker>
            <c:symbol val="none"/>
          </c:marker>
          <c:xVal>
            <c:numLit>
              <c:formatCode>General</c:formatCode>
              <c:ptCount val="2"/>
              <c:pt idx="0">
                <c:v>18.154777809587195</c:v>
              </c:pt>
              <c:pt idx="1">
                <c:v>18.454777809587192</c:v>
              </c:pt>
            </c:numLit>
          </c:xVal>
          <c:yVal>
            <c:numLit>
              <c:formatCode>General</c:formatCode>
              <c:ptCount val="2"/>
              <c:pt idx="0">
                <c:v>2.68836906413089E-2</c:v>
              </c:pt>
              <c:pt idx="1">
                <c:v>2.6768219504709097E-2</c:v>
              </c:pt>
            </c:numLit>
          </c:yVal>
          <c:smooth val="0"/>
          <c:extLst>
            <c:ext xmlns:c16="http://schemas.microsoft.com/office/drawing/2014/chart" uri="{C3380CC4-5D6E-409C-BE32-E72D297353CC}">
              <c16:uniqueId val="{00000078-18CD-48A9-AFA2-5F9C259C7509}"/>
            </c:ext>
          </c:extLst>
        </c:ser>
        <c:ser>
          <c:idx val="101"/>
          <c:order val="101"/>
          <c:tx>
            <c:v>h=89</c:v>
          </c:tx>
          <c:spPr>
            <a:ln w="3175">
              <a:solidFill>
                <a:srgbClr val="808080"/>
              </a:solidFill>
              <a:prstDash val="solid"/>
            </a:ln>
          </c:spPr>
          <c:marker>
            <c:symbol val="none"/>
          </c:marker>
          <c:xVal>
            <c:numLit>
              <c:formatCode>General</c:formatCode>
              <c:ptCount val="2"/>
              <c:pt idx="0">
                <c:v>18.463186591288526</c:v>
              </c:pt>
              <c:pt idx="1">
                <c:v>18.763186591288527</c:v>
              </c:pt>
            </c:numLit>
          </c:xVal>
          <c:yVal>
            <c:numLit>
              <c:formatCode>General</c:formatCode>
              <c:ptCount val="2"/>
              <c:pt idx="0">
                <c:v>2.7149589163131743E-2</c:v>
              </c:pt>
              <c:pt idx="1">
                <c:v>2.7034119292076671E-2</c:v>
              </c:pt>
            </c:numLit>
          </c:yVal>
          <c:smooth val="0"/>
          <c:extLst>
            <c:ext xmlns:c16="http://schemas.microsoft.com/office/drawing/2014/chart" uri="{C3380CC4-5D6E-409C-BE32-E72D297353CC}">
              <c16:uniqueId val="{00000079-18CD-48A9-AFA2-5F9C259C7509}"/>
            </c:ext>
          </c:extLst>
        </c:ser>
        <c:ser>
          <c:idx val="102"/>
          <c:order val="102"/>
          <c:tx>
            <c:v>h=90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90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A-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18.771595372989861</c:v>
              </c:pt>
              <c:pt idx="1">
                <c:v>50</c:v>
              </c:pt>
            </c:numLit>
          </c:xVal>
          <c:yVal>
            <c:numLit>
              <c:formatCode>General</c:formatCode>
              <c:ptCount val="2"/>
              <c:pt idx="0">
                <c:v>2.7415487684954588E-2</c:v>
              </c:pt>
              <c:pt idx="1">
                <c:v>1.5304548959136469E-2</c:v>
              </c:pt>
            </c:numLit>
          </c:yVal>
          <c:smooth val="0"/>
          <c:extLst>
            <c:ext xmlns:c16="http://schemas.microsoft.com/office/drawing/2014/chart" uri="{C3380CC4-5D6E-409C-BE32-E72D297353CC}">
              <c16:uniqueId val="{0000007B-18CD-48A9-AFA2-5F9C259C7509}"/>
            </c:ext>
          </c:extLst>
        </c:ser>
        <c:ser>
          <c:idx val="103"/>
          <c:order val="103"/>
          <c:tx>
            <c:v>h=91</c:v>
          </c:tx>
          <c:spPr>
            <a:ln w="3175">
              <a:solidFill>
                <a:srgbClr val="808080"/>
              </a:solidFill>
              <a:prstDash val="solid"/>
            </a:ln>
          </c:spPr>
          <c:marker>
            <c:symbol val="none"/>
          </c:marker>
          <c:xVal>
            <c:numLit>
              <c:formatCode>General</c:formatCode>
              <c:ptCount val="2"/>
              <c:pt idx="0">
                <c:v>19.080004154691196</c:v>
              </c:pt>
              <c:pt idx="1">
                <c:v>19.380004154691193</c:v>
              </c:pt>
            </c:numLit>
          </c:xVal>
          <c:yVal>
            <c:numLit>
              <c:formatCode>General</c:formatCode>
              <c:ptCount val="2"/>
              <c:pt idx="0">
                <c:v>2.7681386206777434E-2</c:v>
              </c:pt>
              <c:pt idx="1">
                <c:v>2.7565918793794053E-2</c:v>
              </c:pt>
            </c:numLit>
          </c:yVal>
          <c:smooth val="0"/>
          <c:extLst>
            <c:ext xmlns:c16="http://schemas.microsoft.com/office/drawing/2014/chart" uri="{C3380CC4-5D6E-409C-BE32-E72D297353CC}">
              <c16:uniqueId val="{0000007C-18CD-48A9-AFA2-5F9C259C7509}"/>
            </c:ext>
          </c:extLst>
        </c:ser>
        <c:ser>
          <c:idx val="104"/>
          <c:order val="104"/>
          <c:tx>
            <c:v>h=92</c:v>
          </c:tx>
          <c:spPr>
            <a:ln w="3175">
              <a:solidFill>
                <a:srgbClr val="808080"/>
              </a:solidFill>
              <a:prstDash val="solid"/>
            </a:ln>
          </c:spPr>
          <c:marker>
            <c:symbol val="none"/>
          </c:marker>
          <c:xVal>
            <c:numLit>
              <c:formatCode>General</c:formatCode>
              <c:ptCount val="2"/>
              <c:pt idx="0">
                <c:v>19.388412936392527</c:v>
              </c:pt>
              <c:pt idx="1">
                <c:v>19.688412936392528</c:v>
              </c:pt>
            </c:numLit>
          </c:xVal>
          <c:yVal>
            <c:numLit>
              <c:formatCode>General</c:formatCode>
              <c:ptCount val="2"/>
              <c:pt idx="0">
                <c:v>2.7947284728600277E-2</c:v>
              </c:pt>
              <c:pt idx="1">
                <c:v>2.7831818509534777E-2</c:v>
              </c:pt>
            </c:numLit>
          </c:yVal>
          <c:smooth val="0"/>
          <c:extLst>
            <c:ext xmlns:c16="http://schemas.microsoft.com/office/drawing/2014/chart" uri="{C3380CC4-5D6E-409C-BE32-E72D297353CC}">
              <c16:uniqueId val="{0000007D-18CD-48A9-AFA2-5F9C259C7509}"/>
            </c:ext>
          </c:extLst>
        </c:ser>
        <c:ser>
          <c:idx val="105"/>
          <c:order val="105"/>
          <c:tx>
            <c:v>h=93</c:v>
          </c:tx>
          <c:spPr>
            <a:ln w="3175">
              <a:solidFill>
                <a:srgbClr val="808080"/>
              </a:solidFill>
              <a:prstDash val="solid"/>
            </a:ln>
          </c:spPr>
          <c:marker>
            <c:symbol val="none"/>
          </c:marker>
          <c:xVal>
            <c:numLit>
              <c:formatCode>General</c:formatCode>
              <c:ptCount val="2"/>
              <c:pt idx="0">
                <c:v>19.696821718093862</c:v>
              </c:pt>
              <c:pt idx="1">
                <c:v>19.996821718093862</c:v>
              </c:pt>
            </c:numLit>
          </c:xVal>
          <c:yVal>
            <c:numLit>
              <c:formatCode>General</c:formatCode>
              <c:ptCount val="2"/>
              <c:pt idx="0">
                <c:v>2.8213183250423123E-2</c:v>
              </c:pt>
              <c:pt idx="1">
                <c:v>2.8097718202747063E-2</c:v>
              </c:pt>
            </c:numLit>
          </c:yVal>
          <c:smooth val="0"/>
          <c:extLst>
            <c:ext xmlns:c16="http://schemas.microsoft.com/office/drawing/2014/chart" uri="{C3380CC4-5D6E-409C-BE32-E72D297353CC}">
              <c16:uniqueId val="{0000007E-18CD-48A9-AFA2-5F9C259C7509}"/>
            </c:ext>
          </c:extLst>
        </c:ser>
        <c:ser>
          <c:idx val="106"/>
          <c:order val="106"/>
          <c:tx>
            <c:v>h=94</c:v>
          </c:tx>
          <c:spPr>
            <a:ln w="3175">
              <a:solidFill>
                <a:srgbClr val="808080"/>
              </a:solidFill>
              <a:prstDash val="solid"/>
            </a:ln>
          </c:spPr>
          <c:marker>
            <c:symbol val="none"/>
          </c:marker>
          <c:xVal>
            <c:numLit>
              <c:formatCode>General</c:formatCode>
              <c:ptCount val="2"/>
              <c:pt idx="0">
                <c:v>20.005230499795196</c:v>
              </c:pt>
              <c:pt idx="1">
                <c:v>20.305230499795194</c:v>
              </c:pt>
            </c:numLit>
          </c:xVal>
          <c:yVal>
            <c:numLit>
              <c:formatCode>General</c:formatCode>
              <c:ptCount val="2"/>
              <c:pt idx="0">
                <c:v>2.8479081772245965E-2</c:v>
              </c:pt>
              <c:pt idx="1">
                <c:v>2.8363617874062594E-2</c:v>
              </c:pt>
            </c:numLit>
          </c:yVal>
          <c:smooth val="0"/>
          <c:extLst>
            <c:ext xmlns:c16="http://schemas.microsoft.com/office/drawing/2014/chart" uri="{C3380CC4-5D6E-409C-BE32-E72D297353CC}">
              <c16:uniqueId val="{0000007F-18CD-48A9-AFA2-5F9C259C7509}"/>
            </c:ext>
          </c:extLst>
        </c:ser>
        <c:ser>
          <c:idx val="107"/>
          <c:order val="107"/>
          <c:tx>
            <c:v>h=95</c:v>
          </c:tx>
          <c:spPr>
            <a:ln w="3175">
              <a:solidFill>
                <a:srgbClr val="808080"/>
              </a:solidFill>
              <a:prstDash val="solid"/>
            </a:ln>
          </c:spPr>
          <c:marker>
            <c:symbol val="none"/>
          </c:marker>
          <c:dLbls>
            <c:dLbl>
              <c:idx val="0"/>
              <c:layout>
                <c:manualLayout>
                  <c:x val="-3.0087489063867018E-2"/>
                  <c:y val="-9.347701729591512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95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0-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20.313639281496528</c:v>
              </c:pt>
              <c:pt idx="1">
                <c:v>50</c:v>
              </c:pt>
            </c:numLit>
          </c:xVal>
          <c:yVal>
            <c:numLit>
              <c:formatCode>General</c:formatCode>
              <c:ptCount val="2"/>
              <c:pt idx="0">
                <c:v>2.8744980294068811E-2</c:v>
              </c:pt>
              <c:pt idx="1">
                <c:v>1.723207401696222E-2</c:v>
              </c:pt>
            </c:numLit>
          </c:yVal>
          <c:smooth val="0"/>
          <c:extLst>
            <c:ext xmlns:c16="http://schemas.microsoft.com/office/drawing/2014/chart" uri="{C3380CC4-5D6E-409C-BE32-E72D297353CC}">
              <c16:uniqueId val="{00000081-18CD-48A9-AFA2-5F9C259C7509}"/>
            </c:ext>
          </c:extLst>
        </c:ser>
        <c:ser>
          <c:idx val="108"/>
          <c:order val="108"/>
          <c:tx>
            <c:v>h=96</c:v>
          </c:tx>
          <c:spPr>
            <a:ln w="3175">
              <a:solidFill>
                <a:srgbClr val="808080"/>
              </a:solidFill>
              <a:prstDash val="solid"/>
            </a:ln>
          </c:spPr>
          <c:marker>
            <c:symbol val="none"/>
          </c:marker>
          <c:xVal>
            <c:numLit>
              <c:formatCode>General</c:formatCode>
              <c:ptCount val="2"/>
              <c:pt idx="0">
                <c:v>20.622048063197862</c:v>
              </c:pt>
              <c:pt idx="1">
                <c:v>20.922048063197863</c:v>
              </c:pt>
            </c:numLit>
          </c:xVal>
          <c:yVal>
            <c:numLit>
              <c:formatCode>General</c:formatCode>
              <c:ptCount val="2"/>
              <c:pt idx="0">
                <c:v>2.9010878815891653E-2</c:v>
              </c:pt>
              <c:pt idx="1">
                <c:v>2.8895417153414215E-2</c:v>
              </c:pt>
            </c:numLit>
          </c:yVal>
          <c:smooth val="0"/>
          <c:extLst>
            <c:ext xmlns:c16="http://schemas.microsoft.com/office/drawing/2014/chart" uri="{C3380CC4-5D6E-409C-BE32-E72D297353CC}">
              <c16:uniqueId val="{00000082-18CD-48A9-AFA2-5F9C259C7509}"/>
            </c:ext>
          </c:extLst>
        </c:ser>
        <c:ser>
          <c:idx val="109"/>
          <c:order val="109"/>
          <c:tx>
            <c:v>h=97</c:v>
          </c:tx>
          <c:spPr>
            <a:ln w="3175">
              <a:solidFill>
                <a:srgbClr val="808080"/>
              </a:solidFill>
              <a:prstDash val="solid"/>
            </a:ln>
          </c:spPr>
          <c:marker>
            <c:symbol val="none"/>
          </c:marker>
          <c:xVal>
            <c:numLit>
              <c:formatCode>General</c:formatCode>
              <c:ptCount val="2"/>
              <c:pt idx="0">
                <c:v>20.930456844899197</c:v>
              </c:pt>
              <c:pt idx="1">
                <c:v>21.230456844899194</c:v>
              </c:pt>
            </c:numLit>
          </c:xVal>
          <c:yVal>
            <c:numLit>
              <c:formatCode>General</c:formatCode>
              <c:ptCount val="2"/>
              <c:pt idx="0">
                <c:v>2.9276777337714499E-2</c:v>
              </c:pt>
              <c:pt idx="1">
                <c:v>2.916131676260093E-2</c:v>
              </c:pt>
            </c:numLit>
          </c:yVal>
          <c:smooth val="0"/>
          <c:extLst>
            <c:ext xmlns:c16="http://schemas.microsoft.com/office/drawing/2014/chart" uri="{C3380CC4-5D6E-409C-BE32-E72D297353CC}">
              <c16:uniqueId val="{00000083-18CD-48A9-AFA2-5F9C259C7509}"/>
            </c:ext>
          </c:extLst>
        </c:ser>
        <c:ser>
          <c:idx val="110"/>
          <c:order val="110"/>
          <c:tx>
            <c:v>h=98</c:v>
          </c:tx>
          <c:spPr>
            <a:ln w="3175">
              <a:solidFill>
                <a:srgbClr val="808080"/>
              </a:solidFill>
              <a:prstDash val="solid"/>
            </a:ln>
          </c:spPr>
          <c:marker>
            <c:symbol val="none"/>
          </c:marker>
          <c:xVal>
            <c:numLit>
              <c:formatCode>General</c:formatCode>
              <c:ptCount val="2"/>
              <c:pt idx="0">
                <c:v>21.238865626600528</c:v>
              </c:pt>
              <c:pt idx="1">
                <c:v>21.538865626600529</c:v>
              </c:pt>
            </c:numLit>
          </c:xVal>
          <c:yVal>
            <c:numLit>
              <c:formatCode>General</c:formatCode>
              <c:ptCount val="2"/>
              <c:pt idx="0">
                <c:v>2.9542675859537345E-2</c:v>
              </c:pt>
              <c:pt idx="1">
                <c:v>2.9427216352194103E-2</c:v>
              </c:pt>
            </c:numLit>
          </c:yVal>
          <c:smooth val="0"/>
          <c:extLst>
            <c:ext xmlns:c16="http://schemas.microsoft.com/office/drawing/2014/chart" uri="{C3380CC4-5D6E-409C-BE32-E72D297353CC}">
              <c16:uniqueId val="{00000084-18CD-48A9-AFA2-5F9C259C7509}"/>
            </c:ext>
          </c:extLst>
        </c:ser>
        <c:ser>
          <c:idx val="111"/>
          <c:order val="111"/>
          <c:tx>
            <c:v>h=99</c:v>
          </c:tx>
          <c:spPr>
            <a:ln w="3175">
              <a:solidFill>
                <a:srgbClr val="808080"/>
              </a:solidFill>
              <a:prstDash val="solid"/>
            </a:ln>
          </c:spPr>
          <c:marker>
            <c:symbol val="none"/>
          </c:marker>
          <c:xVal>
            <c:numLit>
              <c:formatCode>General</c:formatCode>
              <c:ptCount val="2"/>
              <c:pt idx="0">
                <c:v>21.547274408301863</c:v>
              </c:pt>
              <c:pt idx="1">
                <c:v>21.847274408301864</c:v>
              </c:pt>
            </c:numLit>
          </c:xVal>
          <c:yVal>
            <c:numLit>
              <c:formatCode>General</c:formatCode>
              <c:ptCount val="2"/>
              <c:pt idx="0">
                <c:v>2.9808574381360187E-2</c:v>
              </c:pt>
              <c:pt idx="1">
                <c:v>2.9693115922718592E-2</c:v>
              </c:pt>
            </c:numLit>
          </c:yVal>
          <c:smooth val="0"/>
          <c:extLst>
            <c:ext xmlns:c16="http://schemas.microsoft.com/office/drawing/2014/chart" uri="{C3380CC4-5D6E-409C-BE32-E72D297353CC}">
              <c16:uniqueId val="{00000085-18CD-48A9-AFA2-5F9C259C7509}"/>
            </c:ext>
          </c:extLst>
        </c:ser>
        <c:ser>
          <c:idx val="112"/>
          <c:order val="112"/>
          <c:tx>
            <c:v>h=100</c:v>
          </c:tx>
          <c:spPr>
            <a:ln w="3175">
              <a:solidFill>
                <a:srgbClr val="808080"/>
              </a:solidFill>
              <a:prstDash val="solid"/>
            </a:ln>
          </c:spPr>
          <c:marker>
            <c:symbol val="none"/>
          </c:marker>
          <c:dLbls>
            <c:dLbl>
              <c:idx val="0"/>
              <c:layout>
                <c:manualLayout>
                  <c:x val="-3.2080736001749779E-2"/>
                  <c:y val="-1.2169728783902031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6-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21.855683190003198</c:v>
              </c:pt>
              <c:pt idx="1">
                <c:v>49.999999999999993</c:v>
              </c:pt>
            </c:numLit>
          </c:xVal>
          <c:yVal>
            <c:numLit>
              <c:formatCode>General</c:formatCode>
              <c:ptCount val="2"/>
              <c:pt idx="0">
                <c:v>3.0074472903183033E-2</c:v>
              </c:pt>
              <c:pt idx="1">
                <c:v>1.9159599074787974E-2</c:v>
              </c:pt>
            </c:numLit>
          </c:yVal>
          <c:smooth val="0"/>
          <c:extLst>
            <c:ext xmlns:c16="http://schemas.microsoft.com/office/drawing/2014/chart" uri="{C3380CC4-5D6E-409C-BE32-E72D297353CC}">
              <c16:uniqueId val="{00000087-18CD-48A9-AFA2-5F9C259C7509}"/>
            </c:ext>
          </c:extLst>
        </c:ser>
        <c:ser>
          <c:idx val="113"/>
          <c:order val="113"/>
          <c:tx>
            <c:v>h=101</c:v>
          </c:tx>
          <c:spPr>
            <a:ln w="3175">
              <a:solidFill>
                <a:srgbClr val="808080"/>
              </a:solidFill>
              <a:prstDash val="solid"/>
            </a:ln>
          </c:spPr>
          <c:marker>
            <c:symbol val="none"/>
          </c:marker>
          <c:xVal>
            <c:numLit>
              <c:formatCode>General</c:formatCode>
              <c:ptCount val="2"/>
              <c:pt idx="0">
                <c:v>22.164091971704529</c:v>
              </c:pt>
              <c:pt idx="1">
                <c:v>22.46409197170453</c:v>
              </c:pt>
            </c:numLit>
          </c:xVal>
          <c:yVal>
            <c:numLit>
              <c:formatCode>General</c:formatCode>
              <c:ptCount val="2"/>
              <c:pt idx="0">
                <c:v>3.0340371425005876E-2</c:v>
              </c:pt>
              <c:pt idx="1">
                <c:v>3.0224915008568904E-2</c:v>
              </c:pt>
            </c:numLit>
          </c:yVal>
          <c:smooth val="0"/>
          <c:extLst>
            <c:ext xmlns:c16="http://schemas.microsoft.com/office/drawing/2014/chart" uri="{C3380CC4-5D6E-409C-BE32-E72D297353CC}">
              <c16:uniqueId val="{00000088-18CD-48A9-AFA2-5F9C259C7509}"/>
            </c:ext>
          </c:extLst>
        </c:ser>
        <c:ser>
          <c:idx val="114"/>
          <c:order val="114"/>
          <c:tx>
            <c:v>h=102</c:v>
          </c:tx>
          <c:spPr>
            <a:ln w="3175">
              <a:solidFill>
                <a:srgbClr val="808080"/>
              </a:solidFill>
              <a:prstDash val="solid"/>
            </a:ln>
          </c:spPr>
          <c:marker>
            <c:symbol val="none"/>
          </c:marker>
          <c:xVal>
            <c:numLit>
              <c:formatCode>General</c:formatCode>
              <c:ptCount val="2"/>
              <c:pt idx="0">
                <c:v>22.472500753405864</c:v>
              </c:pt>
              <c:pt idx="1">
                <c:v>22.772500753405865</c:v>
              </c:pt>
            </c:numLit>
          </c:xVal>
          <c:yVal>
            <c:numLit>
              <c:formatCode>General</c:formatCode>
              <c:ptCount val="2"/>
              <c:pt idx="0">
                <c:v>3.0606269946828722E-2</c:v>
              </c:pt>
              <c:pt idx="1">
                <c:v>3.0490814524854769E-2</c:v>
              </c:pt>
            </c:numLit>
          </c:yVal>
          <c:smooth val="0"/>
          <c:extLst>
            <c:ext xmlns:c16="http://schemas.microsoft.com/office/drawing/2014/chart" uri="{C3380CC4-5D6E-409C-BE32-E72D297353CC}">
              <c16:uniqueId val="{00000089-18CD-48A9-AFA2-5F9C259C7509}"/>
            </c:ext>
          </c:extLst>
        </c:ser>
        <c:ser>
          <c:idx val="115"/>
          <c:order val="115"/>
          <c:tx>
            <c:v>h=103</c:v>
          </c:tx>
          <c:spPr>
            <a:ln w="3175">
              <a:solidFill>
                <a:srgbClr val="808080"/>
              </a:solidFill>
              <a:prstDash val="solid"/>
            </a:ln>
          </c:spPr>
          <c:marker>
            <c:symbol val="none"/>
          </c:marker>
          <c:xVal>
            <c:numLit>
              <c:formatCode>General</c:formatCode>
              <c:ptCount val="2"/>
              <c:pt idx="0">
                <c:v>22.780909535107199</c:v>
              </c:pt>
              <c:pt idx="1">
                <c:v>23.080909535107196</c:v>
              </c:pt>
            </c:numLit>
          </c:xVal>
          <c:yVal>
            <c:numLit>
              <c:formatCode>General</c:formatCode>
              <c:ptCount val="2"/>
              <c:pt idx="0">
                <c:v>3.0872168468651567E-2</c:v>
              </c:pt>
              <c:pt idx="1">
                <c:v>3.0756714023993551E-2</c:v>
              </c:pt>
            </c:numLit>
          </c:yVal>
          <c:smooth val="0"/>
          <c:extLst>
            <c:ext xmlns:c16="http://schemas.microsoft.com/office/drawing/2014/chart" uri="{C3380CC4-5D6E-409C-BE32-E72D297353CC}">
              <c16:uniqueId val="{0000008A-18CD-48A9-AFA2-5F9C259C7509}"/>
            </c:ext>
          </c:extLst>
        </c:ser>
        <c:ser>
          <c:idx val="116"/>
          <c:order val="116"/>
          <c:tx>
            <c:v>h=104</c:v>
          </c:tx>
          <c:spPr>
            <a:ln w="3175">
              <a:solidFill>
                <a:srgbClr val="808080"/>
              </a:solidFill>
              <a:prstDash val="solid"/>
            </a:ln>
          </c:spPr>
          <c:marker>
            <c:symbol val="none"/>
          </c:marker>
          <c:xVal>
            <c:numLit>
              <c:formatCode>General</c:formatCode>
              <c:ptCount val="2"/>
              <c:pt idx="0">
                <c:v>23.08931831680853</c:v>
              </c:pt>
              <c:pt idx="1">
                <c:v>23.389318316808531</c:v>
              </c:pt>
            </c:numLit>
          </c:xVal>
          <c:yVal>
            <c:numLit>
              <c:formatCode>General</c:formatCode>
              <c:ptCount val="2"/>
              <c:pt idx="0">
                <c:v>3.113806699047441E-2</c:v>
              </c:pt>
              <c:pt idx="1">
                <c:v>3.1022613506424938E-2</c:v>
              </c:pt>
            </c:numLit>
          </c:yVal>
          <c:smooth val="0"/>
          <c:extLst>
            <c:ext xmlns:c16="http://schemas.microsoft.com/office/drawing/2014/chart" uri="{C3380CC4-5D6E-409C-BE32-E72D297353CC}">
              <c16:uniqueId val="{0000008B-18CD-48A9-AFA2-5F9C259C7509}"/>
            </c:ext>
          </c:extLst>
        </c:ser>
        <c:ser>
          <c:idx val="117"/>
          <c:order val="117"/>
          <c:tx>
            <c:v>h=105</c:v>
          </c:tx>
          <c:spPr>
            <a:ln w="3175">
              <a:solidFill>
                <a:srgbClr val="808080"/>
              </a:solidFill>
              <a:prstDash val="solid"/>
            </a:ln>
          </c:spPr>
          <c:marker>
            <c:symbol val="none"/>
          </c:marker>
          <c:dLbls>
            <c:dLbl>
              <c:idx val="0"/>
              <c:layout>
                <c:manualLayout>
                  <c:x val="-3.2080736001749842E-2"/>
                  <c:y val="-1.2169728783902012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C-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23.397727098509865</c:v>
              </c:pt>
              <c:pt idx="1">
                <c:v>50</c:v>
              </c:pt>
            </c:numLit>
          </c:xVal>
          <c:yVal>
            <c:numLit>
              <c:formatCode>General</c:formatCode>
              <c:ptCount val="2"/>
              <c:pt idx="0">
                <c:v>3.1403965512297252E-2</c:v>
              </c:pt>
              <c:pt idx="1">
                <c:v>2.1087124132613724E-2</c:v>
              </c:pt>
            </c:numLit>
          </c:yVal>
          <c:smooth val="0"/>
          <c:extLst>
            <c:ext xmlns:c16="http://schemas.microsoft.com/office/drawing/2014/chart" uri="{C3380CC4-5D6E-409C-BE32-E72D297353CC}">
              <c16:uniqueId val="{0000008D-18CD-48A9-AFA2-5F9C259C7509}"/>
            </c:ext>
          </c:extLst>
        </c:ser>
        <c:ser>
          <c:idx val="118"/>
          <c:order val="118"/>
          <c:tx>
            <c:v>h=106</c:v>
          </c:tx>
          <c:spPr>
            <a:ln w="3175">
              <a:solidFill>
                <a:srgbClr val="808080"/>
              </a:solidFill>
              <a:prstDash val="solid"/>
            </a:ln>
          </c:spPr>
          <c:marker>
            <c:symbol val="none"/>
          </c:marker>
          <c:xVal>
            <c:numLit>
              <c:formatCode>General</c:formatCode>
              <c:ptCount val="2"/>
              <c:pt idx="0">
                <c:v>23.7061358802112</c:v>
              </c:pt>
              <c:pt idx="1">
                <c:v>24.006135880211197</c:v>
              </c:pt>
            </c:numLit>
          </c:xVal>
          <c:yVal>
            <c:numLit>
              <c:formatCode>General</c:formatCode>
              <c:ptCount val="2"/>
              <c:pt idx="0">
                <c:v>3.1669864034120102E-2</c:v>
              </c:pt>
              <c:pt idx="1">
                <c:v>3.1554412422850439E-2</c:v>
              </c:pt>
            </c:numLit>
          </c:yVal>
          <c:smooth val="0"/>
          <c:extLst>
            <c:ext xmlns:c16="http://schemas.microsoft.com/office/drawing/2014/chart" uri="{C3380CC4-5D6E-409C-BE32-E72D297353CC}">
              <c16:uniqueId val="{0000008E-18CD-48A9-AFA2-5F9C259C7509}"/>
            </c:ext>
          </c:extLst>
        </c:ser>
        <c:ser>
          <c:idx val="119"/>
          <c:order val="119"/>
          <c:tx>
            <c:v>h=107</c:v>
          </c:tx>
          <c:spPr>
            <a:ln w="3175">
              <a:solidFill>
                <a:srgbClr val="808080"/>
              </a:solidFill>
              <a:prstDash val="solid"/>
            </a:ln>
          </c:spPr>
          <c:marker>
            <c:symbol val="none"/>
          </c:marker>
          <c:xVal>
            <c:numLit>
              <c:formatCode>General</c:formatCode>
              <c:ptCount val="2"/>
              <c:pt idx="0">
                <c:v>24.014544661912531</c:v>
              </c:pt>
              <c:pt idx="1">
                <c:v>24.314544661912532</c:v>
              </c:pt>
            </c:numLit>
          </c:xVal>
          <c:yVal>
            <c:numLit>
              <c:formatCode>General</c:formatCode>
              <c:ptCount val="2"/>
              <c:pt idx="0">
                <c:v>3.1935762555942944E-2</c:v>
              </c:pt>
              <c:pt idx="1">
                <c:v>3.1820311857651898E-2</c:v>
              </c:pt>
            </c:numLit>
          </c:yVal>
          <c:smooth val="0"/>
          <c:extLst>
            <c:ext xmlns:c16="http://schemas.microsoft.com/office/drawing/2014/chart" uri="{C3380CC4-5D6E-409C-BE32-E72D297353CC}">
              <c16:uniqueId val="{0000008F-18CD-48A9-AFA2-5F9C259C7509}"/>
            </c:ext>
          </c:extLst>
        </c:ser>
        <c:ser>
          <c:idx val="120"/>
          <c:order val="120"/>
          <c:tx>
            <c:v>h=108</c:v>
          </c:tx>
          <c:spPr>
            <a:ln w="3175">
              <a:solidFill>
                <a:srgbClr val="808080"/>
              </a:solidFill>
              <a:prstDash val="solid"/>
            </a:ln>
          </c:spPr>
          <c:marker>
            <c:symbol val="none"/>
          </c:marker>
          <c:xVal>
            <c:numLit>
              <c:formatCode>General</c:formatCode>
              <c:ptCount val="2"/>
              <c:pt idx="0">
                <c:v>24.322953443613866</c:v>
              </c:pt>
              <c:pt idx="1">
                <c:v>24.622953443613866</c:v>
              </c:pt>
            </c:numLit>
          </c:xVal>
          <c:yVal>
            <c:numLit>
              <c:formatCode>General</c:formatCode>
              <c:ptCount val="2"/>
              <c:pt idx="0">
                <c:v>3.2201661077765786E-2</c:v>
              </c:pt>
              <c:pt idx="1">
                <c:v>3.2086211277361804E-2</c:v>
              </c:pt>
            </c:numLit>
          </c:yVal>
          <c:smooth val="0"/>
          <c:extLst>
            <c:ext xmlns:c16="http://schemas.microsoft.com/office/drawing/2014/chart" uri="{C3380CC4-5D6E-409C-BE32-E72D297353CC}">
              <c16:uniqueId val="{00000090-18CD-48A9-AFA2-5F9C259C7509}"/>
            </c:ext>
          </c:extLst>
        </c:ser>
        <c:ser>
          <c:idx val="121"/>
          <c:order val="121"/>
          <c:tx>
            <c:v>h=109</c:v>
          </c:tx>
          <c:spPr>
            <a:ln w="3175">
              <a:solidFill>
                <a:srgbClr val="808080"/>
              </a:solidFill>
              <a:prstDash val="solid"/>
            </a:ln>
          </c:spPr>
          <c:marker>
            <c:symbol val="none"/>
          </c:marker>
          <c:xVal>
            <c:numLit>
              <c:formatCode>General</c:formatCode>
              <c:ptCount val="2"/>
              <c:pt idx="0">
                <c:v>24.6313622253152</c:v>
              </c:pt>
              <c:pt idx="1">
                <c:v>24.931362225315198</c:v>
              </c:pt>
            </c:numLit>
          </c:xVal>
          <c:yVal>
            <c:numLit>
              <c:formatCode>General</c:formatCode>
              <c:ptCount val="2"/>
              <c:pt idx="0">
                <c:v>3.2467559599588636E-2</c:v>
              </c:pt>
              <c:pt idx="1">
                <c:v>3.2352110682351297E-2</c:v>
              </c:pt>
            </c:numLit>
          </c:yVal>
          <c:smooth val="0"/>
          <c:extLst>
            <c:ext xmlns:c16="http://schemas.microsoft.com/office/drawing/2014/chart" uri="{C3380CC4-5D6E-409C-BE32-E72D297353CC}">
              <c16:uniqueId val="{00000091-18CD-48A9-AFA2-5F9C259C7509}"/>
            </c:ext>
          </c:extLst>
        </c:ser>
        <c:ser>
          <c:idx val="122"/>
          <c:order val="122"/>
          <c:tx>
            <c:v>h=110</c:v>
          </c:tx>
          <c:spPr>
            <a:ln w="3175">
              <a:solidFill>
                <a:srgbClr val="808080"/>
              </a:solidFill>
              <a:prstDash val="solid"/>
            </a:ln>
          </c:spPr>
          <c:marker>
            <c:symbol val="none"/>
          </c:marker>
          <c:dLbls>
            <c:dLbl>
              <c:idx val="0"/>
              <c:layout>
                <c:manualLayout>
                  <c:x val="-3.2080736001749842E-2"/>
                  <c:y val="-1.2169728783902012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110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2-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24.939771007016532</c:v>
              </c:pt>
              <c:pt idx="1">
                <c:v>50</c:v>
              </c:pt>
            </c:numLit>
          </c:xVal>
          <c:yVal>
            <c:numLit>
              <c:formatCode>General</c:formatCode>
              <c:ptCount val="2"/>
              <c:pt idx="0">
                <c:v>3.2733458121411478E-2</c:v>
              </c:pt>
              <c:pt idx="1">
                <c:v>2.3014649190439475E-2</c:v>
              </c:pt>
            </c:numLit>
          </c:yVal>
          <c:smooth val="0"/>
          <c:extLst>
            <c:ext xmlns:c16="http://schemas.microsoft.com/office/drawing/2014/chart" uri="{C3380CC4-5D6E-409C-BE32-E72D297353CC}">
              <c16:uniqueId val="{00000093-18CD-48A9-AFA2-5F9C259C7509}"/>
            </c:ext>
          </c:extLst>
        </c:ser>
        <c:ser>
          <c:idx val="123"/>
          <c:order val="123"/>
          <c:tx>
            <c:v>h=111</c:v>
          </c:tx>
          <c:spPr>
            <a:ln w="3175">
              <a:solidFill>
                <a:srgbClr val="808080"/>
              </a:solidFill>
              <a:prstDash val="solid"/>
            </a:ln>
          </c:spPr>
          <c:marker>
            <c:symbol val="none"/>
          </c:marker>
          <c:xVal>
            <c:numLit>
              <c:formatCode>General</c:formatCode>
              <c:ptCount val="2"/>
              <c:pt idx="0">
                <c:v>25.248179788717867</c:v>
              </c:pt>
              <c:pt idx="1">
                <c:v>25.548179788717867</c:v>
              </c:pt>
            </c:numLit>
          </c:xVal>
          <c:yVal>
            <c:numLit>
              <c:formatCode>General</c:formatCode>
              <c:ptCount val="2"/>
              <c:pt idx="0">
                <c:v>3.299935664323432E-2</c:v>
              </c:pt>
              <c:pt idx="1">
                <c:v>3.2883909449593671E-2</c:v>
              </c:pt>
            </c:numLit>
          </c:yVal>
          <c:smooth val="0"/>
          <c:extLst>
            <c:ext xmlns:c16="http://schemas.microsoft.com/office/drawing/2014/chart" uri="{C3380CC4-5D6E-409C-BE32-E72D297353CC}">
              <c16:uniqueId val="{00000094-18CD-48A9-AFA2-5F9C259C7509}"/>
            </c:ext>
          </c:extLst>
        </c:ser>
        <c:ser>
          <c:idx val="124"/>
          <c:order val="124"/>
          <c:tx>
            <c:v>h=112</c:v>
          </c:tx>
          <c:spPr>
            <a:ln w="3175">
              <a:solidFill>
                <a:srgbClr val="808080"/>
              </a:solidFill>
              <a:prstDash val="solid"/>
            </a:ln>
          </c:spPr>
          <c:marker>
            <c:symbol val="none"/>
          </c:marker>
          <c:xVal>
            <c:numLit>
              <c:formatCode>General</c:formatCode>
              <c:ptCount val="2"/>
              <c:pt idx="0">
                <c:v>25.556588570419198</c:v>
              </c:pt>
              <c:pt idx="1">
                <c:v>25.856588570419198</c:v>
              </c:pt>
            </c:numLit>
          </c:xVal>
          <c:yVal>
            <c:numLit>
              <c:formatCode>General</c:formatCode>
              <c:ptCount val="2"/>
              <c:pt idx="0">
                <c:v>3.3265255165057163E-2</c:v>
              </c:pt>
              <c:pt idx="1">
                <c:v>3.3149808812530379E-2</c:v>
              </c:pt>
            </c:numLit>
          </c:yVal>
          <c:smooth val="0"/>
          <c:extLst>
            <c:ext xmlns:c16="http://schemas.microsoft.com/office/drawing/2014/chart" uri="{C3380CC4-5D6E-409C-BE32-E72D297353CC}">
              <c16:uniqueId val="{00000095-18CD-48A9-AFA2-5F9C259C7509}"/>
            </c:ext>
          </c:extLst>
        </c:ser>
        <c:ser>
          <c:idx val="125"/>
          <c:order val="125"/>
          <c:tx>
            <c:v>h=113</c:v>
          </c:tx>
          <c:spPr>
            <a:ln w="3175">
              <a:solidFill>
                <a:srgbClr val="808080"/>
              </a:solidFill>
              <a:prstDash val="solid"/>
            </a:ln>
          </c:spPr>
          <c:marker>
            <c:symbol val="none"/>
          </c:marker>
          <c:xVal>
            <c:numLit>
              <c:formatCode>General</c:formatCode>
              <c:ptCount val="2"/>
              <c:pt idx="0">
                <c:v>25.864997352120533</c:v>
              </c:pt>
              <c:pt idx="1">
                <c:v>26.164997352120533</c:v>
              </c:pt>
            </c:numLit>
          </c:xVal>
          <c:yVal>
            <c:numLit>
              <c:formatCode>General</c:formatCode>
              <c:ptCount val="2"/>
              <c:pt idx="0">
                <c:v>3.3531153686880012E-2</c:v>
              </c:pt>
              <c:pt idx="1">
                <c:v>3.341570816211524E-2</c:v>
              </c:pt>
            </c:numLit>
          </c:yVal>
          <c:smooth val="0"/>
          <c:extLst>
            <c:ext xmlns:c16="http://schemas.microsoft.com/office/drawing/2014/chart" uri="{C3380CC4-5D6E-409C-BE32-E72D297353CC}">
              <c16:uniqueId val="{00000096-18CD-48A9-AFA2-5F9C259C7509}"/>
            </c:ext>
          </c:extLst>
        </c:ser>
        <c:ser>
          <c:idx val="126"/>
          <c:order val="126"/>
          <c:tx>
            <c:v>h=114</c:v>
          </c:tx>
          <c:spPr>
            <a:ln w="3175">
              <a:solidFill>
                <a:srgbClr val="808080"/>
              </a:solidFill>
              <a:prstDash val="solid"/>
            </a:ln>
          </c:spPr>
          <c:marker>
            <c:symbol val="none"/>
          </c:marker>
          <c:xVal>
            <c:numLit>
              <c:formatCode>General</c:formatCode>
              <c:ptCount val="2"/>
              <c:pt idx="0">
                <c:v>26.173406133821867</c:v>
              </c:pt>
              <c:pt idx="1">
                <c:v>26.473406133821868</c:v>
              </c:pt>
            </c:numLit>
          </c:xVal>
          <c:yVal>
            <c:numLit>
              <c:formatCode>General</c:formatCode>
              <c:ptCount val="2"/>
              <c:pt idx="0">
                <c:v>3.3797052208702855E-2</c:v>
              </c:pt>
              <c:pt idx="1">
                <c:v>3.3681607498663661E-2</c:v>
              </c:pt>
            </c:numLit>
          </c:yVal>
          <c:smooth val="0"/>
          <c:extLst>
            <c:ext xmlns:c16="http://schemas.microsoft.com/office/drawing/2014/chart" uri="{C3380CC4-5D6E-409C-BE32-E72D297353CC}">
              <c16:uniqueId val="{00000097-18CD-48A9-AFA2-5F9C259C7509}"/>
            </c:ext>
          </c:extLst>
        </c:ser>
        <c:ser>
          <c:idx val="127"/>
          <c:order val="127"/>
          <c:tx>
            <c:v>h=115</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115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8-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26.644135188866791</c:v>
              </c:pt>
              <c:pt idx="1">
                <c:v>49.999999999999993</c:v>
              </c:pt>
            </c:numLit>
          </c:xVal>
          <c:yVal>
            <c:numLit>
              <c:formatCode>General</c:formatCode>
              <c:ptCount val="2"/>
              <c:pt idx="0">
                <c:v>3.4000000000000002E-2</c:v>
              </c:pt>
              <c:pt idx="1">
                <c:v>2.4942174248265229E-2</c:v>
              </c:pt>
            </c:numLit>
          </c:yVal>
          <c:smooth val="0"/>
          <c:extLst>
            <c:ext xmlns:c16="http://schemas.microsoft.com/office/drawing/2014/chart" uri="{C3380CC4-5D6E-409C-BE32-E72D297353CC}">
              <c16:uniqueId val="{00000099-18CD-48A9-AFA2-5F9C259C7509}"/>
            </c:ext>
          </c:extLst>
        </c:ser>
        <c:ser>
          <c:idx val="128"/>
          <c:order val="128"/>
          <c:tx>
            <c:v>h=116</c:v>
          </c:tx>
          <c:spPr>
            <a:ln w="3175">
              <a:solidFill>
                <a:srgbClr val="808080"/>
              </a:solidFill>
              <a:prstDash val="solid"/>
            </a:ln>
          </c:spPr>
          <c:marker>
            <c:symbol val="none"/>
          </c:marker>
          <c:xVal>
            <c:numLit>
              <c:formatCode>General</c:formatCode>
              <c:ptCount val="2"/>
              <c:pt idx="0">
                <c:v>27.638170974155063</c:v>
              </c:pt>
              <c:pt idx="1">
                <c:v>28.210329737551017</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A-18CD-48A9-AFA2-5F9C259C7509}"/>
            </c:ext>
          </c:extLst>
        </c:ser>
        <c:ser>
          <c:idx val="129"/>
          <c:order val="129"/>
          <c:tx>
            <c:v>h=117</c:v>
          </c:tx>
          <c:spPr>
            <a:ln w="3175">
              <a:solidFill>
                <a:srgbClr val="808080"/>
              </a:solidFill>
              <a:prstDash val="solid"/>
            </a:ln>
          </c:spPr>
          <c:marker>
            <c:symbol val="none"/>
          </c:marker>
          <c:xVal>
            <c:numLit>
              <c:formatCode>General</c:formatCode>
              <c:ptCount val="2"/>
              <c:pt idx="0">
                <c:v>28.632206759443335</c:v>
              </c:pt>
              <c:pt idx="1">
                <c:v>29.204365522839289</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B-18CD-48A9-AFA2-5F9C259C7509}"/>
            </c:ext>
          </c:extLst>
        </c:ser>
        <c:ser>
          <c:idx val="130"/>
          <c:order val="130"/>
          <c:tx>
            <c:v>h=118</c:v>
          </c:tx>
          <c:spPr>
            <a:ln w="3175">
              <a:solidFill>
                <a:srgbClr val="808080"/>
              </a:solidFill>
              <a:prstDash val="solid"/>
            </a:ln>
          </c:spPr>
          <c:marker>
            <c:symbol val="none"/>
          </c:marker>
          <c:xVal>
            <c:numLit>
              <c:formatCode>General</c:formatCode>
              <c:ptCount val="2"/>
              <c:pt idx="0">
                <c:v>29.626242544731603</c:v>
              </c:pt>
              <c:pt idx="1">
                <c:v>30.198401308127558</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C-18CD-48A9-AFA2-5F9C259C7509}"/>
            </c:ext>
          </c:extLst>
        </c:ser>
        <c:ser>
          <c:idx val="131"/>
          <c:order val="131"/>
          <c:tx>
            <c:v>h=119</c:v>
          </c:tx>
          <c:spPr>
            <a:ln w="3175">
              <a:solidFill>
                <a:srgbClr val="808080"/>
              </a:solidFill>
              <a:prstDash val="solid"/>
            </a:ln>
          </c:spPr>
          <c:marker>
            <c:symbol val="none"/>
          </c:marker>
          <c:xVal>
            <c:numLit>
              <c:formatCode>General</c:formatCode>
              <c:ptCount val="2"/>
              <c:pt idx="0">
                <c:v>30.620278330019875</c:v>
              </c:pt>
              <c:pt idx="1">
                <c:v>31.19243709341583</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D-18CD-48A9-AFA2-5F9C259C7509}"/>
            </c:ext>
          </c:extLst>
        </c:ser>
        <c:ser>
          <c:idx val="132"/>
          <c:order val="132"/>
          <c:tx>
            <c:v>h=120</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120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E-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31.614314115308144</c:v>
              </c:pt>
              <c:pt idx="1">
                <c:v>50</c:v>
              </c:pt>
            </c:numLit>
          </c:xVal>
          <c:yVal>
            <c:numLit>
              <c:formatCode>General</c:formatCode>
              <c:ptCount val="2"/>
              <c:pt idx="0">
                <c:v>3.4000000000000002E-2</c:v>
              </c:pt>
              <c:pt idx="1">
                <c:v>2.6869699306090979E-2</c:v>
              </c:pt>
            </c:numLit>
          </c:yVal>
          <c:smooth val="0"/>
          <c:extLst>
            <c:ext xmlns:c16="http://schemas.microsoft.com/office/drawing/2014/chart" uri="{C3380CC4-5D6E-409C-BE32-E72D297353CC}">
              <c16:uniqueId val="{0000009F-18CD-48A9-AFA2-5F9C259C7509}"/>
            </c:ext>
          </c:extLst>
        </c:ser>
        <c:ser>
          <c:idx val="133"/>
          <c:order val="133"/>
          <c:tx>
            <c:v>h=121</c:v>
          </c:tx>
          <c:spPr>
            <a:ln w="3175">
              <a:solidFill>
                <a:srgbClr val="808080"/>
              </a:solidFill>
              <a:prstDash val="solid"/>
            </a:ln>
          </c:spPr>
          <c:marker>
            <c:symbol val="none"/>
          </c:marker>
          <c:xVal>
            <c:numLit>
              <c:formatCode>General</c:formatCode>
              <c:ptCount val="2"/>
              <c:pt idx="0">
                <c:v>32.608349900596416</c:v>
              </c:pt>
              <c:pt idx="1">
                <c:v>33.18050866399237</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0-18CD-48A9-AFA2-5F9C259C7509}"/>
            </c:ext>
          </c:extLst>
        </c:ser>
        <c:ser>
          <c:idx val="134"/>
          <c:order val="134"/>
          <c:tx>
            <c:v>h=122</c:v>
          </c:tx>
          <c:spPr>
            <a:ln w="3175">
              <a:solidFill>
                <a:srgbClr val="808080"/>
              </a:solidFill>
              <a:prstDash val="solid"/>
            </a:ln>
          </c:spPr>
          <c:marker>
            <c:symbol val="none"/>
          </c:marker>
          <c:xVal>
            <c:numLit>
              <c:formatCode>General</c:formatCode>
              <c:ptCount val="2"/>
              <c:pt idx="0">
                <c:v>33.602385685884684</c:v>
              </c:pt>
              <c:pt idx="1">
                <c:v>34.174544449280639</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1-18CD-48A9-AFA2-5F9C259C7509}"/>
            </c:ext>
          </c:extLst>
        </c:ser>
        <c:ser>
          <c:idx val="135"/>
          <c:order val="135"/>
          <c:tx>
            <c:v>h=123</c:v>
          </c:tx>
          <c:spPr>
            <a:ln w="3175">
              <a:solidFill>
                <a:srgbClr val="808080"/>
              </a:solidFill>
              <a:prstDash val="solid"/>
            </a:ln>
          </c:spPr>
          <c:marker>
            <c:symbol val="none"/>
          </c:marker>
          <c:xVal>
            <c:numLit>
              <c:formatCode>General</c:formatCode>
              <c:ptCount val="2"/>
              <c:pt idx="0">
                <c:v>34.596421471172953</c:v>
              </c:pt>
              <c:pt idx="1">
                <c:v>35.168580234568914</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2-18CD-48A9-AFA2-5F9C259C7509}"/>
            </c:ext>
          </c:extLst>
        </c:ser>
        <c:ser>
          <c:idx val="136"/>
          <c:order val="136"/>
          <c:tx>
            <c:v>h=124</c:v>
          </c:tx>
          <c:spPr>
            <a:ln w="3175">
              <a:solidFill>
                <a:srgbClr val="808080"/>
              </a:solidFill>
              <a:prstDash val="solid"/>
            </a:ln>
          </c:spPr>
          <c:marker>
            <c:symbol val="none"/>
          </c:marker>
          <c:xVal>
            <c:numLit>
              <c:formatCode>General</c:formatCode>
              <c:ptCount val="2"/>
              <c:pt idx="0">
                <c:v>35.590457256461228</c:v>
              </c:pt>
              <c:pt idx="1">
                <c:v>36.162616019857182</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3-18CD-48A9-AFA2-5F9C259C7509}"/>
            </c:ext>
          </c:extLst>
        </c:ser>
        <c:ser>
          <c:idx val="137"/>
          <c:order val="137"/>
          <c:tx>
            <c:v>h=125</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125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4-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36.584493041749496</c:v>
              </c:pt>
              <c:pt idx="1">
                <c:v>50</c:v>
              </c:pt>
            </c:numLit>
          </c:xVal>
          <c:yVal>
            <c:numLit>
              <c:formatCode>General</c:formatCode>
              <c:ptCount val="2"/>
              <c:pt idx="0">
                <c:v>3.4000000000000002E-2</c:v>
              </c:pt>
              <c:pt idx="1">
                <c:v>2.879722436391673E-2</c:v>
              </c:pt>
            </c:numLit>
          </c:yVal>
          <c:smooth val="0"/>
          <c:extLst>
            <c:ext xmlns:c16="http://schemas.microsoft.com/office/drawing/2014/chart" uri="{C3380CC4-5D6E-409C-BE32-E72D297353CC}">
              <c16:uniqueId val="{000000A5-18CD-48A9-AFA2-5F9C259C7509}"/>
            </c:ext>
          </c:extLst>
        </c:ser>
        <c:ser>
          <c:idx val="138"/>
          <c:order val="138"/>
          <c:tx>
            <c:v>h=126</c:v>
          </c:tx>
          <c:spPr>
            <a:ln w="3175">
              <a:solidFill>
                <a:srgbClr val="808080"/>
              </a:solidFill>
              <a:prstDash val="solid"/>
            </a:ln>
          </c:spPr>
          <c:marker>
            <c:symbol val="none"/>
          </c:marker>
          <c:xVal>
            <c:numLit>
              <c:formatCode>General</c:formatCode>
              <c:ptCount val="2"/>
              <c:pt idx="0">
                <c:v>37.578528827037765</c:v>
              </c:pt>
              <c:pt idx="1">
                <c:v>38.150687590433719</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6-18CD-48A9-AFA2-5F9C259C7509}"/>
            </c:ext>
          </c:extLst>
        </c:ser>
        <c:ser>
          <c:idx val="139"/>
          <c:order val="139"/>
          <c:tx>
            <c:v>h=127</c:v>
          </c:tx>
          <c:spPr>
            <a:ln w="3175">
              <a:solidFill>
                <a:srgbClr val="808080"/>
              </a:solidFill>
              <a:prstDash val="solid"/>
            </a:ln>
          </c:spPr>
          <c:marker>
            <c:symbol val="none"/>
          </c:marker>
          <c:xVal>
            <c:numLit>
              <c:formatCode>General</c:formatCode>
              <c:ptCount val="2"/>
              <c:pt idx="0">
                <c:v>38.57256461232604</c:v>
              </c:pt>
              <c:pt idx="1">
                <c:v>39.144723375721995</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7-18CD-48A9-AFA2-5F9C259C7509}"/>
            </c:ext>
          </c:extLst>
        </c:ser>
        <c:ser>
          <c:idx val="140"/>
          <c:order val="140"/>
          <c:tx>
            <c:v>h=128</c:v>
          </c:tx>
          <c:spPr>
            <a:ln w="3175">
              <a:solidFill>
                <a:srgbClr val="808080"/>
              </a:solidFill>
              <a:prstDash val="solid"/>
            </a:ln>
          </c:spPr>
          <c:marker>
            <c:symbol val="none"/>
          </c:marker>
          <c:xVal>
            <c:numLit>
              <c:formatCode>General</c:formatCode>
              <c:ptCount val="2"/>
              <c:pt idx="0">
                <c:v>39.566600397614309</c:v>
              </c:pt>
              <c:pt idx="1">
                <c:v>40.138759161010263</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8-18CD-48A9-AFA2-5F9C259C7509}"/>
            </c:ext>
          </c:extLst>
        </c:ser>
        <c:ser>
          <c:idx val="141"/>
          <c:order val="141"/>
          <c:tx>
            <c:v>h=129</c:v>
          </c:tx>
          <c:spPr>
            <a:ln w="3175">
              <a:solidFill>
                <a:srgbClr val="808080"/>
              </a:solidFill>
              <a:prstDash val="solid"/>
            </a:ln>
          </c:spPr>
          <c:marker>
            <c:symbol val="none"/>
          </c:marker>
          <c:xVal>
            <c:numLit>
              <c:formatCode>General</c:formatCode>
              <c:ptCount val="2"/>
              <c:pt idx="0">
                <c:v>40.560636182902577</c:v>
              </c:pt>
              <c:pt idx="1">
                <c:v>41.132794946298532</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9-18CD-48A9-AFA2-5F9C259C7509}"/>
            </c:ext>
          </c:extLst>
        </c:ser>
        <c:ser>
          <c:idx val="142"/>
          <c:order val="142"/>
          <c:tx>
            <c:v>h=130</c:v>
          </c:tx>
          <c:spPr>
            <a:ln w="3175">
              <a:solidFill>
                <a:srgbClr val="808080"/>
              </a:solidFill>
              <a:prstDash val="solid"/>
            </a:ln>
          </c:spPr>
          <c:marker>
            <c:symbol val="none"/>
          </c:marker>
          <c:dLbls>
            <c:dLbl>
              <c:idx val="0"/>
              <c:layout>
                <c:manualLayout>
                  <c:x val="-2.9079861111111237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130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A-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41.554671968190846</c:v>
              </c:pt>
              <c:pt idx="1">
                <c:v>50</c:v>
              </c:pt>
            </c:numLit>
          </c:xVal>
          <c:yVal>
            <c:numLit>
              <c:formatCode>General</c:formatCode>
              <c:ptCount val="2"/>
              <c:pt idx="0">
                <c:v>3.4000000000000002E-2</c:v>
              </c:pt>
              <c:pt idx="1">
                <c:v>3.0724749421742484E-2</c:v>
              </c:pt>
            </c:numLit>
          </c:yVal>
          <c:smooth val="0"/>
          <c:extLst>
            <c:ext xmlns:c16="http://schemas.microsoft.com/office/drawing/2014/chart" uri="{C3380CC4-5D6E-409C-BE32-E72D297353CC}">
              <c16:uniqueId val="{000000AB-18CD-48A9-AFA2-5F9C259C7509}"/>
            </c:ext>
          </c:extLst>
        </c:ser>
        <c:ser>
          <c:idx val="143"/>
          <c:order val="143"/>
          <c:tx>
            <c:v>h=131</c:v>
          </c:tx>
          <c:spPr>
            <a:ln w="3175">
              <a:solidFill>
                <a:srgbClr val="808080"/>
              </a:solidFill>
              <a:prstDash val="solid"/>
            </a:ln>
          </c:spPr>
          <c:marker>
            <c:symbol val="none"/>
          </c:marker>
          <c:xVal>
            <c:numLit>
              <c:formatCode>General</c:formatCode>
              <c:ptCount val="2"/>
              <c:pt idx="0">
                <c:v>42.548707753479121</c:v>
              </c:pt>
              <c:pt idx="1">
                <c:v>43.120866516875076</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C-18CD-48A9-AFA2-5F9C259C7509}"/>
            </c:ext>
          </c:extLst>
        </c:ser>
        <c:ser>
          <c:idx val="144"/>
          <c:order val="144"/>
          <c:tx>
            <c:v>h=132</c:v>
          </c:tx>
          <c:spPr>
            <a:ln w="3175">
              <a:solidFill>
                <a:srgbClr val="808080"/>
              </a:solidFill>
              <a:prstDash val="solid"/>
            </a:ln>
          </c:spPr>
          <c:marker>
            <c:symbol val="none"/>
          </c:marker>
          <c:xVal>
            <c:numLit>
              <c:formatCode>General</c:formatCode>
              <c:ptCount val="2"/>
              <c:pt idx="0">
                <c:v>43.54274353876739</c:v>
              </c:pt>
              <c:pt idx="1">
                <c:v>44.114902302163344</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D-18CD-48A9-AFA2-5F9C259C7509}"/>
            </c:ext>
          </c:extLst>
        </c:ser>
        <c:ser>
          <c:idx val="145"/>
          <c:order val="145"/>
          <c:tx>
            <c:v>h=133</c:v>
          </c:tx>
          <c:spPr>
            <a:ln w="3175">
              <a:solidFill>
                <a:srgbClr val="808080"/>
              </a:solidFill>
              <a:prstDash val="solid"/>
            </a:ln>
          </c:spPr>
          <c:marker>
            <c:symbol val="none"/>
          </c:marker>
          <c:xVal>
            <c:numLit>
              <c:formatCode>General</c:formatCode>
              <c:ptCount val="2"/>
              <c:pt idx="0">
                <c:v>44.536779324055658</c:v>
              </c:pt>
              <c:pt idx="1">
                <c:v>45.108938087451612</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E-18CD-48A9-AFA2-5F9C259C7509}"/>
            </c:ext>
          </c:extLst>
        </c:ser>
        <c:ser>
          <c:idx val="146"/>
          <c:order val="146"/>
          <c:tx>
            <c:v>h=134</c:v>
          </c:tx>
          <c:spPr>
            <a:ln w="3175">
              <a:solidFill>
                <a:srgbClr val="808080"/>
              </a:solidFill>
              <a:prstDash val="solid"/>
            </a:ln>
          </c:spPr>
          <c:marker>
            <c:symbol val="none"/>
          </c:marker>
          <c:xVal>
            <c:numLit>
              <c:formatCode>General</c:formatCode>
              <c:ptCount val="2"/>
              <c:pt idx="0">
                <c:v>45.530815109343926</c:v>
              </c:pt>
              <c:pt idx="1">
                <c:v>46.102973872739888</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F-18CD-48A9-AFA2-5F9C259C7509}"/>
            </c:ext>
          </c:extLst>
        </c:ser>
        <c:ser>
          <c:idx val="147"/>
          <c:order val="147"/>
          <c:tx>
            <c:v>h=135</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135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0-18CD-48A9-AFA2-5F9C259C75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46.524850894632202</c:v>
              </c:pt>
              <c:pt idx="1">
                <c:v>50</c:v>
              </c:pt>
            </c:numLit>
          </c:xVal>
          <c:yVal>
            <c:numLit>
              <c:formatCode>General</c:formatCode>
              <c:ptCount val="2"/>
              <c:pt idx="0">
                <c:v>3.4000000000000002E-2</c:v>
              </c:pt>
              <c:pt idx="1">
                <c:v>3.2652274479568234E-2</c:v>
              </c:pt>
            </c:numLit>
          </c:yVal>
          <c:smooth val="0"/>
          <c:extLst>
            <c:ext xmlns:c16="http://schemas.microsoft.com/office/drawing/2014/chart" uri="{C3380CC4-5D6E-409C-BE32-E72D297353CC}">
              <c16:uniqueId val="{000000B1-18CD-48A9-AFA2-5F9C259C7509}"/>
            </c:ext>
          </c:extLst>
        </c:ser>
        <c:ser>
          <c:idx val="148"/>
          <c:order val="148"/>
          <c:tx>
            <c:v>h=136</c:v>
          </c:tx>
          <c:spPr>
            <a:ln w="3175">
              <a:solidFill>
                <a:srgbClr val="808080"/>
              </a:solidFill>
              <a:prstDash val="solid"/>
            </a:ln>
          </c:spPr>
          <c:marker>
            <c:symbol val="none"/>
          </c:marker>
          <c:xVal>
            <c:numLit>
              <c:formatCode>General</c:formatCode>
              <c:ptCount val="2"/>
              <c:pt idx="0">
                <c:v>47.51888667992047</c:v>
              </c:pt>
              <c:pt idx="1">
                <c:v>48.091045443316425</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B2-18CD-48A9-AFA2-5F9C259C7509}"/>
            </c:ext>
          </c:extLst>
        </c:ser>
        <c:ser>
          <c:idx val="149"/>
          <c:order val="149"/>
          <c:tx>
            <c:v>h=137</c:v>
          </c:tx>
          <c:spPr>
            <a:ln w="3175">
              <a:solidFill>
                <a:srgbClr val="808080"/>
              </a:solidFill>
              <a:prstDash val="solid"/>
            </a:ln>
          </c:spPr>
          <c:marker>
            <c:symbol val="none"/>
          </c:marker>
          <c:xVal>
            <c:numLit>
              <c:formatCode>General</c:formatCode>
              <c:ptCount val="2"/>
              <c:pt idx="0">
                <c:v>48.512922465208739</c:v>
              </c:pt>
              <c:pt idx="1">
                <c:v>49.085081228604693</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B3-18CD-48A9-AFA2-5F9C259C7509}"/>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4A57-4DD2-9273-78A6CC3D8BF6}"/>
            </c:ext>
          </c:extLst>
        </c:ser>
        <c:ser>
          <c:idx val="1"/>
          <c:order val="1"/>
          <c:tx>
            <c:v>x=0</c:v>
          </c:tx>
          <c:spPr>
            <a:ln w="3175">
              <a:solidFill>
                <a:srgbClr val="000000"/>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-10.178000000000001</c:v>
              </c:pt>
              <c:pt idx="1">
                <c:v>50.8</c:v>
              </c:pt>
            </c:numLit>
          </c:xVal>
          <c:yVal>
            <c:numLit>
              <c:formatCode>General</c:formatCode>
              <c:ptCount val="2"/>
              <c:pt idx="0">
                <c:v>0</c:v>
              </c:pt>
              <c:pt idx="1">
                <c:v>0</c:v>
              </c:pt>
            </c:numLit>
          </c:yVal>
          <c:smooth val="0"/>
          <c:extLst>
            <c:ext xmlns:c16="http://schemas.microsoft.com/office/drawing/2014/chart" uri="{C3380CC4-5D6E-409C-BE32-E72D297353CC}">
              <c16:uniqueId val="{00000002-4A57-4DD2-9273-78A6CC3D8BF6}"/>
            </c:ext>
          </c:extLst>
        </c:ser>
        <c:ser>
          <c:idx val="2"/>
          <c:order val="2"/>
          <c:tx>
            <c:v>x=0.0002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2.0000000000000001E-4</c:v>
              </c:pt>
              <c:pt idx="1">
                <c:v>2.0000000000000001E-4</c:v>
              </c:pt>
            </c:numLit>
          </c:yVal>
          <c:smooth val="0"/>
          <c:extLst>
            <c:ext xmlns:c16="http://schemas.microsoft.com/office/drawing/2014/chart" uri="{C3380CC4-5D6E-409C-BE32-E72D297353CC}">
              <c16:uniqueId val="{00000003-4A57-4DD2-9273-78A6CC3D8BF6}"/>
            </c:ext>
          </c:extLst>
        </c:ser>
        <c:ser>
          <c:idx val="3"/>
          <c:order val="3"/>
          <c:tx>
            <c:v>x=0.0004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4.0000000000000002E-4</c:v>
              </c:pt>
              <c:pt idx="1">
                <c:v>4.0000000000000002E-4</c:v>
              </c:pt>
            </c:numLit>
          </c:yVal>
          <c:smooth val="0"/>
          <c:extLst>
            <c:ext xmlns:c16="http://schemas.microsoft.com/office/drawing/2014/chart" uri="{C3380CC4-5D6E-409C-BE32-E72D297353CC}">
              <c16:uniqueId val="{00000004-4A57-4DD2-9273-78A6CC3D8BF6}"/>
            </c:ext>
          </c:extLst>
        </c:ser>
        <c:ser>
          <c:idx val="4"/>
          <c:order val="4"/>
          <c:tx>
            <c:v>x=0.0006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6.0000000000000006E-4</c:v>
              </c:pt>
              <c:pt idx="1">
                <c:v>6.0000000000000006E-4</c:v>
              </c:pt>
            </c:numLit>
          </c:yVal>
          <c:smooth val="0"/>
          <c:extLst>
            <c:ext xmlns:c16="http://schemas.microsoft.com/office/drawing/2014/chart" uri="{C3380CC4-5D6E-409C-BE32-E72D297353CC}">
              <c16:uniqueId val="{00000005-4A57-4DD2-9273-78A6CC3D8BF6}"/>
            </c:ext>
          </c:extLst>
        </c:ser>
        <c:ser>
          <c:idx val="5"/>
          <c:order val="5"/>
          <c:tx>
            <c:v>x=0.0008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8.0000000000000004E-4</c:v>
              </c:pt>
              <c:pt idx="1">
                <c:v>8.0000000000000004E-4</c:v>
              </c:pt>
            </c:numLit>
          </c:yVal>
          <c:smooth val="0"/>
          <c:extLst>
            <c:ext xmlns:c16="http://schemas.microsoft.com/office/drawing/2014/chart" uri="{C3380CC4-5D6E-409C-BE32-E72D297353CC}">
              <c16:uniqueId val="{00000006-4A57-4DD2-9273-78A6CC3D8BF6}"/>
            </c:ext>
          </c:extLst>
        </c:ser>
        <c:ser>
          <c:idx val="6"/>
          <c:order val="6"/>
          <c:tx>
            <c:v>x=0.001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-10.289263499005965</c:v>
              </c:pt>
              <c:pt idx="1">
                <c:v>50.8</c:v>
              </c:pt>
            </c:numLit>
          </c:xVal>
          <c:yVal>
            <c:numLit>
              <c:formatCode>General</c:formatCode>
              <c:ptCount val="2"/>
              <c:pt idx="0">
                <c:v>1E-3</c:v>
              </c:pt>
              <c:pt idx="1">
                <c:v>1E-3</c:v>
              </c:pt>
            </c:numLit>
          </c:yVal>
          <c:smooth val="0"/>
          <c:extLst>
            <c:ext xmlns:c16="http://schemas.microsoft.com/office/drawing/2014/chart" uri="{C3380CC4-5D6E-409C-BE32-E72D297353CC}">
              <c16:uniqueId val="{00000008-4A57-4DD2-9273-78A6CC3D8BF6}"/>
            </c:ext>
          </c:extLst>
        </c:ser>
        <c:ser>
          <c:idx val="7"/>
          <c:order val="7"/>
          <c:tx>
            <c:v>x=0.0012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1.2000000000000001E-3</c:v>
              </c:pt>
              <c:pt idx="1">
                <c:v>1.2000000000000001E-3</c:v>
              </c:pt>
            </c:numLit>
          </c:yVal>
          <c:smooth val="0"/>
          <c:extLst>
            <c:ext xmlns:c16="http://schemas.microsoft.com/office/drawing/2014/chart" uri="{C3380CC4-5D6E-409C-BE32-E72D297353CC}">
              <c16:uniqueId val="{00000009-4A57-4DD2-9273-78A6CC3D8BF6}"/>
            </c:ext>
          </c:extLst>
        </c:ser>
        <c:ser>
          <c:idx val="8"/>
          <c:order val="8"/>
          <c:tx>
            <c:v>x=0.0014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1.4E-3</c:v>
              </c:pt>
              <c:pt idx="1">
                <c:v>1.4E-3</c:v>
              </c:pt>
            </c:numLit>
          </c:yVal>
          <c:smooth val="0"/>
          <c:extLst>
            <c:ext xmlns:c16="http://schemas.microsoft.com/office/drawing/2014/chart" uri="{C3380CC4-5D6E-409C-BE32-E72D297353CC}">
              <c16:uniqueId val="{0000000A-4A57-4DD2-9273-78A6CC3D8BF6}"/>
            </c:ext>
          </c:extLst>
        </c:ser>
        <c:ser>
          <c:idx val="9"/>
          <c:order val="9"/>
          <c:tx>
            <c:v>x=0.0016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1.6000000000000001E-3</c:v>
              </c:pt>
              <c:pt idx="1">
                <c:v>1.6000000000000001E-3</c:v>
              </c:pt>
            </c:numLit>
          </c:yVal>
          <c:smooth val="0"/>
          <c:extLst>
            <c:ext xmlns:c16="http://schemas.microsoft.com/office/drawing/2014/chart" uri="{C3380CC4-5D6E-409C-BE32-E72D297353CC}">
              <c16:uniqueId val="{0000000B-4A57-4DD2-9273-78A6CC3D8BF6}"/>
            </c:ext>
          </c:extLst>
        </c:ser>
        <c:ser>
          <c:idx val="10"/>
          <c:order val="10"/>
          <c:tx>
            <c:v>x=0.0018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1.8000000000000002E-3</c:v>
              </c:pt>
              <c:pt idx="1">
                <c:v>1.8000000000000002E-3</c:v>
              </c:pt>
            </c:numLit>
          </c:yVal>
          <c:smooth val="0"/>
          <c:extLst>
            <c:ext xmlns:c16="http://schemas.microsoft.com/office/drawing/2014/chart" uri="{C3380CC4-5D6E-409C-BE32-E72D297353CC}">
              <c16:uniqueId val="{0000000C-4A57-4DD2-9273-78A6CC3D8BF6}"/>
            </c:ext>
          </c:extLst>
        </c:ser>
        <c:ser>
          <c:idx val="11"/>
          <c:order val="11"/>
          <c:tx>
            <c:v>x=0.002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-7.7226612326043735</c:v>
              </c:pt>
              <c:pt idx="1">
                <c:v>50.8</c:v>
              </c:pt>
            </c:numLit>
          </c:xVal>
          <c:yVal>
            <c:numLit>
              <c:formatCode>General</c:formatCode>
              <c:ptCount val="2"/>
              <c:pt idx="0">
                <c:v>2E-3</c:v>
              </c:pt>
              <c:pt idx="1">
                <c:v>2E-3</c:v>
              </c:pt>
            </c:numLit>
          </c:yVal>
          <c:smooth val="0"/>
          <c:extLst>
            <c:ext xmlns:c16="http://schemas.microsoft.com/office/drawing/2014/chart" uri="{C3380CC4-5D6E-409C-BE32-E72D297353CC}">
              <c16:uniqueId val="{0000000E-4A57-4DD2-9273-78A6CC3D8BF6}"/>
            </c:ext>
          </c:extLst>
        </c:ser>
        <c:ser>
          <c:idx val="12"/>
          <c:order val="12"/>
          <c:tx>
            <c:v>x=0.0022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2.2000000000000001E-3</c:v>
              </c:pt>
              <c:pt idx="1">
                <c:v>2.2000000000000001E-3</c:v>
              </c:pt>
            </c:numLit>
          </c:yVal>
          <c:smooth val="0"/>
          <c:extLst>
            <c:ext xmlns:c16="http://schemas.microsoft.com/office/drawing/2014/chart" uri="{C3380CC4-5D6E-409C-BE32-E72D297353CC}">
              <c16:uniqueId val="{0000000F-4A57-4DD2-9273-78A6CC3D8BF6}"/>
            </c:ext>
          </c:extLst>
        </c:ser>
        <c:ser>
          <c:idx val="13"/>
          <c:order val="13"/>
          <c:tx>
            <c:v>x=0.0024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2.4000000000000002E-3</c:v>
              </c:pt>
              <c:pt idx="1">
                <c:v>2.4000000000000002E-3</c:v>
              </c:pt>
            </c:numLit>
          </c:yVal>
          <c:smooth val="0"/>
          <c:extLst>
            <c:ext xmlns:c16="http://schemas.microsoft.com/office/drawing/2014/chart" uri="{C3380CC4-5D6E-409C-BE32-E72D297353CC}">
              <c16:uniqueId val="{00000010-4A57-4DD2-9273-78A6CC3D8BF6}"/>
            </c:ext>
          </c:extLst>
        </c:ser>
        <c:ser>
          <c:idx val="14"/>
          <c:order val="14"/>
          <c:tx>
            <c:v>x=0.0026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2.6000000000000003E-3</c:v>
              </c:pt>
              <c:pt idx="1">
                <c:v>2.6000000000000003E-3</c:v>
              </c:pt>
            </c:numLit>
          </c:yVal>
          <c:smooth val="0"/>
          <c:extLst>
            <c:ext xmlns:c16="http://schemas.microsoft.com/office/drawing/2014/chart" uri="{C3380CC4-5D6E-409C-BE32-E72D297353CC}">
              <c16:uniqueId val="{00000011-4A57-4DD2-9273-78A6CC3D8BF6}"/>
            </c:ext>
          </c:extLst>
        </c:ser>
        <c:ser>
          <c:idx val="15"/>
          <c:order val="15"/>
          <c:tx>
            <c:v>x=0.0028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2.8E-3</c:v>
              </c:pt>
              <c:pt idx="1">
                <c:v>2.8E-3</c:v>
              </c:pt>
            </c:numLit>
          </c:yVal>
          <c:smooth val="0"/>
          <c:extLst>
            <c:ext xmlns:c16="http://schemas.microsoft.com/office/drawing/2014/chart" uri="{C3380CC4-5D6E-409C-BE32-E72D297353CC}">
              <c16:uniqueId val="{00000012-4A57-4DD2-9273-78A6CC3D8BF6}"/>
            </c:ext>
          </c:extLst>
        </c:ser>
        <c:ser>
          <c:idx val="16"/>
          <c:order val="16"/>
          <c:tx>
            <c:v>x=0.003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-3.0828113320079522</c:v>
              </c:pt>
              <c:pt idx="1">
                <c:v>50.8</c:v>
              </c:pt>
            </c:numLit>
          </c:xVal>
          <c:yVal>
            <c:numLit>
              <c:formatCode>General</c:formatCode>
              <c:ptCount val="2"/>
              <c:pt idx="0">
                <c:v>3.0000000000000001E-3</c:v>
              </c:pt>
              <c:pt idx="1">
                <c:v>3.0000000000000001E-3</c:v>
              </c:pt>
            </c:numLit>
          </c:yVal>
          <c:smooth val="0"/>
          <c:extLst>
            <c:ext xmlns:c16="http://schemas.microsoft.com/office/drawing/2014/chart" uri="{C3380CC4-5D6E-409C-BE32-E72D297353CC}">
              <c16:uniqueId val="{00000014-4A57-4DD2-9273-78A6CC3D8BF6}"/>
            </c:ext>
          </c:extLst>
        </c:ser>
        <c:ser>
          <c:idx val="17"/>
          <c:order val="17"/>
          <c:tx>
            <c:v>x=0.0032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3.2000000000000002E-3</c:v>
              </c:pt>
              <c:pt idx="1">
                <c:v>3.2000000000000002E-3</c:v>
              </c:pt>
            </c:numLit>
          </c:yVal>
          <c:smooth val="0"/>
          <c:extLst>
            <c:ext xmlns:c16="http://schemas.microsoft.com/office/drawing/2014/chart" uri="{C3380CC4-5D6E-409C-BE32-E72D297353CC}">
              <c16:uniqueId val="{00000015-4A57-4DD2-9273-78A6CC3D8BF6}"/>
            </c:ext>
          </c:extLst>
        </c:ser>
        <c:ser>
          <c:idx val="18"/>
          <c:order val="18"/>
          <c:tx>
            <c:v>x=0.0034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3.4000000000000002E-3</c:v>
              </c:pt>
              <c:pt idx="1">
                <c:v>3.4000000000000002E-3</c:v>
              </c:pt>
            </c:numLit>
          </c:yVal>
          <c:smooth val="0"/>
          <c:extLst>
            <c:ext xmlns:c16="http://schemas.microsoft.com/office/drawing/2014/chart" uri="{C3380CC4-5D6E-409C-BE32-E72D297353CC}">
              <c16:uniqueId val="{00000016-4A57-4DD2-9273-78A6CC3D8BF6}"/>
            </c:ext>
          </c:extLst>
        </c:ser>
        <c:ser>
          <c:idx val="19"/>
          <c:order val="19"/>
          <c:tx>
            <c:v>x=0.0036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3.6000000000000003E-3</c:v>
              </c:pt>
              <c:pt idx="1">
                <c:v>3.6000000000000003E-3</c:v>
              </c:pt>
            </c:numLit>
          </c:yVal>
          <c:smooth val="0"/>
          <c:extLst>
            <c:ext xmlns:c16="http://schemas.microsoft.com/office/drawing/2014/chart" uri="{C3380CC4-5D6E-409C-BE32-E72D297353CC}">
              <c16:uniqueId val="{00000017-4A57-4DD2-9273-78A6CC3D8BF6}"/>
            </c:ext>
          </c:extLst>
        </c:ser>
        <c:ser>
          <c:idx val="20"/>
          <c:order val="20"/>
          <c:tx>
            <c:v>x=0.0038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3.8E-3</c:v>
              </c:pt>
              <c:pt idx="1">
                <c:v>3.8E-3</c:v>
              </c:pt>
            </c:numLit>
          </c:yVal>
          <c:smooth val="0"/>
          <c:extLst>
            <c:ext xmlns:c16="http://schemas.microsoft.com/office/drawing/2014/chart" uri="{C3380CC4-5D6E-409C-BE32-E72D297353CC}">
              <c16:uniqueId val="{00000018-4A57-4DD2-9273-78A6CC3D8BF6}"/>
            </c:ext>
          </c:extLst>
        </c:ser>
        <c:ser>
          <c:idx val="21"/>
          <c:order val="21"/>
          <c:tx>
            <c:v>x=0.004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0.37569145129224651</c:v>
              </c:pt>
              <c:pt idx="1">
                <c:v>50.8</c:v>
              </c:pt>
            </c:numLit>
          </c:xVal>
          <c:yVal>
            <c:numLit>
              <c:formatCode>General</c:formatCode>
              <c:ptCount val="2"/>
              <c:pt idx="0">
                <c:v>4.0000000000000001E-3</c:v>
              </c:pt>
              <c:pt idx="1">
                <c:v>4.0000000000000001E-3</c:v>
              </c:pt>
            </c:numLit>
          </c:yVal>
          <c:smooth val="0"/>
          <c:extLst>
            <c:ext xmlns:c16="http://schemas.microsoft.com/office/drawing/2014/chart" uri="{C3380CC4-5D6E-409C-BE32-E72D297353CC}">
              <c16:uniqueId val="{0000001A-4A57-4DD2-9273-78A6CC3D8BF6}"/>
            </c:ext>
          </c:extLst>
        </c:ser>
        <c:ser>
          <c:idx val="22"/>
          <c:order val="22"/>
          <c:tx>
            <c:v>x=0.0042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4.2000000000000006E-3</c:v>
              </c:pt>
              <c:pt idx="1">
                <c:v>4.2000000000000006E-3</c:v>
              </c:pt>
            </c:numLit>
          </c:yVal>
          <c:smooth val="0"/>
          <c:extLst>
            <c:ext xmlns:c16="http://schemas.microsoft.com/office/drawing/2014/chart" uri="{C3380CC4-5D6E-409C-BE32-E72D297353CC}">
              <c16:uniqueId val="{0000001B-4A57-4DD2-9273-78A6CC3D8BF6}"/>
            </c:ext>
          </c:extLst>
        </c:ser>
        <c:ser>
          <c:idx val="23"/>
          <c:order val="23"/>
          <c:tx>
            <c:v>x=0.0044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4.4000000000000003E-3</c:v>
              </c:pt>
              <c:pt idx="1">
                <c:v>4.4000000000000003E-3</c:v>
              </c:pt>
            </c:numLit>
          </c:yVal>
          <c:smooth val="0"/>
          <c:extLst>
            <c:ext xmlns:c16="http://schemas.microsoft.com/office/drawing/2014/chart" uri="{C3380CC4-5D6E-409C-BE32-E72D297353CC}">
              <c16:uniqueId val="{0000001C-4A57-4DD2-9273-78A6CC3D8BF6}"/>
            </c:ext>
          </c:extLst>
        </c:ser>
        <c:ser>
          <c:idx val="24"/>
          <c:order val="24"/>
          <c:tx>
            <c:v>x=0.0046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4.5999999999999999E-3</c:v>
              </c:pt>
              <c:pt idx="1">
                <c:v>4.5999999999999999E-3</c:v>
              </c:pt>
            </c:numLit>
          </c:yVal>
          <c:smooth val="0"/>
          <c:extLst>
            <c:ext xmlns:c16="http://schemas.microsoft.com/office/drawing/2014/chart" uri="{C3380CC4-5D6E-409C-BE32-E72D297353CC}">
              <c16:uniqueId val="{0000001D-4A57-4DD2-9273-78A6CC3D8BF6}"/>
            </c:ext>
          </c:extLst>
        </c:ser>
        <c:ser>
          <c:idx val="25"/>
          <c:order val="25"/>
          <c:tx>
            <c:v>x=0.0048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4.8000000000000004E-3</c:v>
              </c:pt>
              <c:pt idx="1">
                <c:v>4.8000000000000004E-3</c:v>
              </c:pt>
            </c:numLit>
          </c:yVal>
          <c:smooth val="0"/>
          <c:extLst>
            <c:ext xmlns:c16="http://schemas.microsoft.com/office/drawing/2014/chart" uri="{C3380CC4-5D6E-409C-BE32-E72D297353CC}">
              <c16:uniqueId val="{0000001E-4A57-4DD2-9273-78A6CC3D8BF6}"/>
            </c:ext>
          </c:extLst>
        </c:ser>
        <c:ser>
          <c:idx val="26"/>
          <c:order val="26"/>
          <c:tx>
            <c:v>x=0.005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3.4233648111332013</c:v>
              </c:pt>
              <c:pt idx="1">
                <c:v>50.8</c:v>
              </c:pt>
            </c:numLit>
          </c:xVal>
          <c:yVal>
            <c:numLit>
              <c:formatCode>General</c:formatCode>
              <c:ptCount val="2"/>
              <c:pt idx="0">
                <c:v>5.0000000000000001E-3</c:v>
              </c:pt>
              <c:pt idx="1">
                <c:v>5.0000000000000001E-3</c:v>
              </c:pt>
            </c:numLit>
          </c:yVal>
          <c:smooth val="0"/>
          <c:extLst>
            <c:ext xmlns:c16="http://schemas.microsoft.com/office/drawing/2014/chart" uri="{C3380CC4-5D6E-409C-BE32-E72D297353CC}">
              <c16:uniqueId val="{00000020-4A57-4DD2-9273-78A6CC3D8BF6}"/>
            </c:ext>
          </c:extLst>
        </c:ser>
        <c:ser>
          <c:idx val="27"/>
          <c:order val="27"/>
          <c:tx>
            <c:v>x=0.0052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5.2000000000000006E-3</c:v>
              </c:pt>
              <c:pt idx="1">
                <c:v>5.2000000000000006E-3</c:v>
              </c:pt>
            </c:numLit>
          </c:yVal>
          <c:smooth val="0"/>
          <c:extLst>
            <c:ext xmlns:c16="http://schemas.microsoft.com/office/drawing/2014/chart" uri="{C3380CC4-5D6E-409C-BE32-E72D297353CC}">
              <c16:uniqueId val="{00000021-4A57-4DD2-9273-78A6CC3D8BF6}"/>
            </c:ext>
          </c:extLst>
        </c:ser>
        <c:ser>
          <c:idx val="28"/>
          <c:order val="28"/>
          <c:tx>
            <c:v>x=0.0054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5.4000000000000003E-3</c:v>
              </c:pt>
              <c:pt idx="1">
                <c:v>5.4000000000000003E-3</c:v>
              </c:pt>
            </c:numLit>
          </c:yVal>
          <c:smooth val="0"/>
          <c:extLst>
            <c:ext xmlns:c16="http://schemas.microsoft.com/office/drawing/2014/chart" uri="{C3380CC4-5D6E-409C-BE32-E72D297353CC}">
              <c16:uniqueId val="{00000022-4A57-4DD2-9273-78A6CC3D8BF6}"/>
            </c:ext>
          </c:extLst>
        </c:ser>
        <c:ser>
          <c:idx val="29"/>
          <c:order val="29"/>
          <c:tx>
            <c:v>x=0.0056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5.5999999999999999E-3</c:v>
              </c:pt>
              <c:pt idx="1">
                <c:v>5.5999999999999999E-3</c:v>
              </c:pt>
            </c:numLit>
          </c:yVal>
          <c:smooth val="0"/>
          <c:extLst>
            <c:ext xmlns:c16="http://schemas.microsoft.com/office/drawing/2014/chart" uri="{C3380CC4-5D6E-409C-BE32-E72D297353CC}">
              <c16:uniqueId val="{00000023-4A57-4DD2-9273-78A6CC3D8BF6}"/>
            </c:ext>
          </c:extLst>
        </c:ser>
        <c:ser>
          <c:idx val="30"/>
          <c:order val="30"/>
          <c:tx>
            <c:v>x=0.0058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5.8000000000000005E-3</c:v>
              </c:pt>
              <c:pt idx="1">
                <c:v>5.8000000000000005E-3</c:v>
              </c:pt>
            </c:numLit>
          </c:yVal>
          <c:smooth val="0"/>
          <c:extLst>
            <c:ext xmlns:c16="http://schemas.microsoft.com/office/drawing/2014/chart" uri="{C3380CC4-5D6E-409C-BE32-E72D297353CC}">
              <c16:uniqueId val="{00000024-4A57-4DD2-9273-78A6CC3D8BF6}"/>
            </c:ext>
          </c:extLst>
        </c:ser>
        <c:ser>
          <c:idx val="31"/>
          <c:order val="31"/>
          <c:tx>
            <c:v>x=0.006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5.9567697813121274</c:v>
              </c:pt>
              <c:pt idx="1">
                <c:v>50.8</c:v>
              </c:pt>
            </c:numLit>
          </c:xVal>
          <c:yVal>
            <c:numLit>
              <c:formatCode>General</c:formatCode>
              <c:ptCount val="2"/>
              <c:pt idx="0">
                <c:v>6.0000000000000001E-3</c:v>
              </c:pt>
              <c:pt idx="1">
                <c:v>6.0000000000000001E-3</c:v>
              </c:pt>
            </c:numLit>
          </c:yVal>
          <c:smooth val="0"/>
          <c:extLst>
            <c:ext xmlns:c16="http://schemas.microsoft.com/office/drawing/2014/chart" uri="{C3380CC4-5D6E-409C-BE32-E72D297353CC}">
              <c16:uniqueId val="{00000026-4A57-4DD2-9273-78A6CC3D8BF6}"/>
            </c:ext>
          </c:extLst>
        </c:ser>
        <c:ser>
          <c:idx val="32"/>
          <c:order val="32"/>
          <c:tx>
            <c:v>x=0.0062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6.2000000000000006E-3</c:v>
              </c:pt>
              <c:pt idx="1">
                <c:v>6.2000000000000006E-3</c:v>
              </c:pt>
            </c:numLit>
          </c:yVal>
          <c:smooth val="0"/>
          <c:extLst>
            <c:ext xmlns:c16="http://schemas.microsoft.com/office/drawing/2014/chart" uri="{C3380CC4-5D6E-409C-BE32-E72D297353CC}">
              <c16:uniqueId val="{00000027-4A57-4DD2-9273-78A6CC3D8BF6}"/>
            </c:ext>
          </c:extLst>
        </c:ser>
        <c:ser>
          <c:idx val="33"/>
          <c:order val="33"/>
          <c:tx>
            <c:v>x=0.0064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6.4000000000000003E-3</c:v>
              </c:pt>
              <c:pt idx="1">
                <c:v>6.4000000000000003E-3</c:v>
              </c:pt>
            </c:numLit>
          </c:yVal>
          <c:smooth val="0"/>
          <c:extLst>
            <c:ext xmlns:c16="http://schemas.microsoft.com/office/drawing/2014/chart" uri="{C3380CC4-5D6E-409C-BE32-E72D297353CC}">
              <c16:uniqueId val="{00000028-4A57-4DD2-9273-78A6CC3D8BF6}"/>
            </c:ext>
          </c:extLst>
        </c:ser>
        <c:ser>
          <c:idx val="34"/>
          <c:order val="34"/>
          <c:tx>
            <c:v>x=0.0066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6.6E-3</c:v>
              </c:pt>
              <c:pt idx="1">
                <c:v>6.6E-3</c:v>
              </c:pt>
            </c:numLit>
          </c:yVal>
          <c:smooth val="0"/>
          <c:extLst>
            <c:ext xmlns:c16="http://schemas.microsoft.com/office/drawing/2014/chart" uri="{C3380CC4-5D6E-409C-BE32-E72D297353CC}">
              <c16:uniqueId val="{00000029-4A57-4DD2-9273-78A6CC3D8BF6}"/>
            </c:ext>
          </c:extLst>
        </c:ser>
        <c:ser>
          <c:idx val="35"/>
          <c:order val="35"/>
          <c:tx>
            <c:v>x=0.0068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6.8000000000000005E-3</c:v>
              </c:pt>
              <c:pt idx="1">
                <c:v>6.8000000000000005E-3</c:v>
              </c:pt>
            </c:numLit>
          </c:yVal>
          <c:smooth val="0"/>
          <c:extLst>
            <c:ext xmlns:c16="http://schemas.microsoft.com/office/drawing/2014/chart" uri="{C3380CC4-5D6E-409C-BE32-E72D297353CC}">
              <c16:uniqueId val="{0000002A-4A57-4DD2-9273-78A6CC3D8BF6}"/>
            </c:ext>
          </c:extLst>
        </c:ser>
        <c:ser>
          <c:idx val="36"/>
          <c:order val="36"/>
          <c:tx>
            <c:v>x=0.007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8.145222266401591</c:v>
              </c:pt>
              <c:pt idx="1">
                <c:v>50.8</c:v>
              </c:pt>
            </c:numLit>
          </c:xVal>
          <c:yVal>
            <c:numLit>
              <c:formatCode>General</c:formatCode>
              <c:ptCount val="2"/>
              <c:pt idx="0">
                <c:v>7.0000000000000001E-3</c:v>
              </c:pt>
              <c:pt idx="1">
                <c:v>7.0000000000000001E-3</c:v>
              </c:pt>
            </c:numLit>
          </c:yVal>
          <c:smooth val="0"/>
          <c:extLst>
            <c:ext xmlns:c16="http://schemas.microsoft.com/office/drawing/2014/chart" uri="{C3380CC4-5D6E-409C-BE32-E72D297353CC}">
              <c16:uniqueId val="{0000002C-4A57-4DD2-9273-78A6CC3D8BF6}"/>
            </c:ext>
          </c:extLst>
        </c:ser>
        <c:ser>
          <c:idx val="37"/>
          <c:order val="37"/>
          <c:tx>
            <c:v>x=0.0072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7.2000000000000007E-3</c:v>
              </c:pt>
              <c:pt idx="1">
                <c:v>7.2000000000000007E-3</c:v>
              </c:pt>
            </c:numLit>
          </c:yVal>
          <c:smooth val="0"/>
          <c:extLst>
            <c:ext xmlns:c16="http://schemas.microsoft.com/office/drawing/2014/chart" uri="{C3380CC4-5D6E-409C-BE32-E72D297353CC}">
              <c16:uniqueId val="{0000002D-4A57-4DD2-9273-78A6CC3D8BF6}"/>
            </c:ext>
          </c:extLst>
        </c:ser>
        <c:ser>
          <c:idx val="38"/>
          <c:order val="38"/>
          <c:tx>
            <c:v>x=0.0074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7.4000000000000003E-3</c:v>
              </c:pt>
              <c:pt idx="1">
                <c:v>7.4000000000000003E-3</c:v>
              </c:pt>
            </c:numLit>
          </c:yVal>
          <c:smooth val="0"/>
          <c:extLst>
            <c:ext xmlns:c16="http://schemas.microsoft.com/office/drawing/2014/chart" uri="{C3380CC4-5D6E-409C-BE32-E72D297353CC}">
              <c16:uniqueId val="{0000002E-4A57-4DD2-9273-78A6CC3D8BF6}"/>
            </c:ext>
          </c:extLst>
        </c:ser>
        <c:ser>
          <c:idx val="39"/>
          <c:order val="39"/>
          <c:tx>
            <c:v>x=0.0076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7.6E-3</c:v>
              </c:pt>
              <c:pt idx="1">
                <c:v>7.6E-3</c:v>
              </c:pt>
            </c:numLit>
          </c:yVal>
          <c:smooth val="0"/>
          <c:extLst>
            <c:ext xmlns:c16="http://schemas.microsoft.com/office/drawing/2014/chart" uri="{C3380CC4-5D6E-409C-BE32-E72D297353CC}">
              <c16:uniqueId val="{0000002F-4A57-4DD2-9273-78A6CC3D8BF6}"/>
            </c:ext>
          </c:extLst>
        </c:ser>
        <c:ser>
          <c:idx val="40"/>
          <c:order val="40"/>
          <c:tx>
            <c:v>x=0.0078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7.8000000000000005E-3</c:v>
              </c:pt>
              <c:pt idx="1">
                <c:v>7.8000000000000005E-3</c:v>
              </c:pt>
            </c:numLit>
          </c:yVal>
          <c:smooth val="0"/>
          <c:extLst>
            <c:ext xmlns:c16="http://schemas.microsoft.com/office/drawing/2014/chart" uri="{C3380CC4-5D6E-409C-BE32-E72D297353CC}">
              <c16:uniqueId val="{00000030-4A57-4DD2-9273-78A6CC3D8BF6}"/>
            </c:ext>
          </c:extLst>
        </c:ser>
        <c:ser>
          <c:idx val="41"/>
          <c:order val="41"/>
          <c:tx>
            <c:v>x=0.008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10.057816302186881</c:v>
              </c:pt>
              <c:pt idx="1">
                <c:v>50.8</c:v>
              </c:pt>
            </c:numLit>
          </c:xVal>
          <c:yVal>
            <c:numLit>
              <c:formatCode>General</c:formatCode>
              <c:ptCount val="2"/>
              <c:pt idx="0">
                <c:v>8.0000000000000002E-3</c:v>
              </c:pt>
              <c:pt idx="1">
                <c:v>8.0000000000000002E-3</c:v>
              </c:pt>
            </c:numLit>
          </c:yVal>
          <c:smooth val="0"/>
          <c:extLst>
            <c:ext xmlns:c16="http://schemas.microsoft.com/office/drawing/2014/chart" uri="{C3380CC4-5D6E-409C-BE32-E72D297353CC}">
              <c16:uniqueId val="{00000032-4A57-4DD2-9273-78A6CC3D8BF6}"/>
            </c:ext>
          </c:extLst>
        </c:ser>
        <c:ser>
          <c:idx val="42"/>
          <c:order val="42"/>
          <c:tx>
            <c:v>x=0.0082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8.2000000000000007E-3</c:v>
              </c:pt>
              <c:pt idx="1">
                <c:v>8.2000000000000007E-3</c:v>
              </c:pt>
            </c:numLit>
          </c:yVal>
          <c:smooth val="0"/>
          <c:extLst>
            <c:ext xmlns:c16="http://schemas.microsoft.com/office/drawing/2014/chart" uri="{C3380CC4-5D6E-409C-BE32-E72D297353CC}">
              <c16:uniqueId val="{00000033-4A57-4DD2-9273-78A6CC3D8BF6}"/>
            </c:ext>
          </c:extLst>
        </c:ser>
        <c:ser>
          <c:idx val="43"/>
          <c:order val="43"/>
          <c:tx>
            <c:v>x=0.0084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8.4000000000000012E-3</c:v>
              </c:pt>
              <c:pt idx="1">
                <c:v>8.4000000000000012E-3</c:v>
              </c:pt>
            </c:numLit>
          </c:yVal>
          <c:smooth val="0"/>
          <c:extLst>
            <c:ext xmlns:c16="http://schemas.microsoft.com/office/drawing/2014/chart" uri="{C3380CC4-5D6E-409C-BE32-E72D297353CC}">
              <c16:uniqueId val="{00000034-4A57-4DD2-9273-78A6CC3D8BF6}"/>
            </c:ext>
          </c:extLst>
        </c:ser>
        <c:ser>
          <c:idx val="44"/>
          <c:order val="44"/>
          <c:tx>
            <c:v>x=0.0086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8.6E-3</c:v>
              </c:pt>
              <c:pt idx="1">
                <c:v>8.6E-3</c:v>
              </c:pt>
            </c:numLit>
          </c:yVal>
          <c:smooth val="0"/>
          <c:extLst>
            <c:ext xmlns:c16="http://schemas.microsoft.com/office/drawing/2014/chart" uri="{C3380CC4-5D6E-409C-BE32-E72D297353CC}">
              <c16:uniqueId val="{00000035-4A57-4DD2-9273-78A6CC3D8BF6}"/>
            </c:ext>
          </c:extLst>
        </c:ser>
        <c:ser>
          <c:idx val="45"/>
          <c:order val="45"/>
          <c:tx>
            <c:v>x=0.0088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8.8000000000000005E-3</c:v>
              </c:pt>
              <c:pt idx="1">
                <c:v>8.8000000000000005E-3</c:v>
              </c:pt>
            </c:numLit>
          </c:yVal>
          <c:smooth val="0"/>
          <c:extLst>
            <c:ext xmlns:c16="http://schemas.microsoft.com/office/drawing/2014/chart" uri="{C3380CC4-5D6E-409C-BE32-E72D297353CC}">
              <c16:uniqueId val="{00000036-4A57-4DD2-9273-78A6CC3D8BF6}"/>
            </c:ext>
          </c:extLst>
        </c:ser>
        <c:ser>
          <c:idx val="46"/>
          <c:order val="46"/>
          <c:tx>
            <c:v>x=0.009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11.774330019880717</c:v>
              </c:pt>
              <c:pt idx="1">
                <c:v>50.8</c:v>
              </c:pt>
            </c:numLit>
          </c:xVal>
          <c:yVal>
            <c:numLit>
              <c:formatCode>General</c:formatCode>
              <c:ptCount val="2"/>
              <c:pt idx="0">
                <c:v>9.0000000000000011E-3</c:v>
              </c:pt>
              <c:pt idx="1">
                <c:v>9.0000000000000011E-3</c:v>
              </c:pt>
            </c:numLit>
          </c:yVal>
          <c:smooth val="0"/>
          <c:extLst>
            <c:ext xmlns:c16="http://schemas.microsoft.com/office/drawing/2014/chart" uri="{C3380CC4-5D6E-409C-BE32-E72D297353CC}">
              <c16:uniqueId val="{00000038-4A57-4DD2-9273-78A6CC3D8BF6}"/>
            </c:ext>
          </c:extLst>
        </c:ser>
        <c:ser>
          <c:idx val="47"/>
          <c:order val="47"/>
          <c:tx>
            <c:v>x=0.0092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9.1999999999999998E-3</c:v>
              </c:pt>
              <c:pt idx="1">
                <c:v>9.1999999999999998E-3</c:v>
              </c:pt>
            </c:numLit>
          </c:yVal>
          <c:smooth val="0"/>
          <c:extLst>
            <c:ext xmlns:c16="http://schemas.microsoft.com/office/drawing/2014/chart" uri="{C3380CC4-5D6E-409C-BE32-E72D297353CC}">
              <c16:uniqueId val="{00000039-4A57-4DD2-9273-78A6CC3D8BF6}"/>
            </c:ext>
          </c:extLst>
        </c:ser>
        <c:ser>
          <c:idx val="48"/>
          <c:order val="48"/>
          <c:tx>
            <c:v>x=0.0094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9.4000000000000004E-3</c:v>
              </c:pt>
              <c:pt idx="1">
                <c:v>9.4000000000000004E-3</c:v>
              </c:pt>
            </c:numLit>
          </c:yVal>
          <c:smooth val="0"/>
          <c:extLst>
            <c:ext xmlns:c16="http://schemas.microsoft.com/office/drawing/2014/chart" uri="{C3380CC4-5D6E-409C-BE32-E72D297353CC}">
              <c16:uniqueId val="{0000003A-4A57-4DD2-9273-78A6CC3D8BF6}"/>
            </c:ext>
          </c:extLst>
        </c:ser>
        <c:ser>
          <c:idx val="49"/>
          <c:order val="49"/>
          <c:tx>
            <c:v>x=0.0096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9.6000000000000009E-3</c:v>
              </c:pt>
              <c:pt idx="1">
                <c:v>9.6000000000000009E-3</c:v>
              </c:pt>
            </c:numLit>
          </c:yVal>
          <c:smooth val="0"/>
          <c:extLst>
            <c:ext xmlns:c16="http://schemas.microsoft.com/office/drawing/2014/chart" uri="{C3380CC4-5D6E-409C-BE32-E72D297353CC}">
              <c16:uniqueId val="{0000003B-4A57-4DD2-9273-78A6CC3D8BF6}"/>
            </c:ext>
          </c:extLst>
        </c:ser>
        <c:ser>
          <c:idx val="50"/>
          <c:order val="50"/>
          <c:tx>
            <c:v>x=0.0098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9.7999999999999997E-3</c:v>
              </c:pt>
              <c:pt idx="1">
                <c:v>9.7999999999999997E-3</c:v>
              </c:pt>
            </c:numLit>
          </c:yVal>
          <c:smooth val="0"/>
          <c:extLst>
            <c:ext xmlns:c16="http://schemas.microsoft.com/office/drawing/2014/chart" uri="{C3380CC4-5D6E-409C-BE32-E72D297353CC}">
              <c16:uniqueId val="{0000003C-4A57-4DD2-9273-78A6CC3D8BF6}"/>
            </c:ext>
          </c:extLst>
        </c:ser>
        <c:ser>
          <c:idx val="51"/>
          <c:order val="51"/>
          <c:tx>
            <c:v>x=0.01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D-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13.314023856858848</c:v>
              </c:pt>
              <c:pt idx="1">
                <c:v>50.8</c:v>
              </c:pt>
            </c:numLit>
          </c:xVal>
          <c:yVal>
            <c:numLit>
              <c:formatCode>General</c:formatCode>
              <c:ptCount val="2"/>
              <c:pt idx="0">
                <c:v>0.01</c:v>
              </c:pt>
              <c:pt idx="1">
                <c:v>0.01</c:v>
              </c:pt>
            </c:numLit>
          </c:yVal>
          <c:smooth val="0"/>
          <c:extLst>
            <c:ext xmlns:c16="http://schemas.microsoft.com/office/drawing/2014/chart" uri="{C3380CC4-5D6E-409C-BE32-E72D297353CC}">
              <c16:uniqueId val="{0000003E-4A57-4DD2-9273-78A6CC3D8BF6}"/>
            </c:ext>
          </c:extLst>
        </c:ser>
        <c:ser>
          <c:idx val="52"/>
          <c:order val="52"/>
          <c:tx>
            <c:v>x=0.0102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1.0200000000000001E-2</c:v>
              </c:pt>
              <c:pt idx="1">
                <c:v>1.0200000000000001E-2</c:v>
              </c:pt>
            </c:numLit>
          </c:yVal>
          <c:smooth val="0"/>
          <c:extLst>
            <c:ext xmlns:c16="http://schemas.microsoft.com/office/drawing/2014/chart" uri="{C3380CC4-5D6E-409C-BE32-E72D297353CC}">
              <c16:uniqueId val="{0000003F-4A57-4DD2-9273-78A6CC3D8BF6}"/>
            </c:ext>
          </c:extLst>
        </c:ser>
        <c:ser>
          <c:idx val="53"/>
          <c:order val="53"/>
          <c:tx>
            <c:v>x=0.0104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1.0400000000000001E-2</c:v>
              </c:pt>
              <c:pt idx="1">
                <c:v>1.0400000000000001E-2</c:v>
              </c:pt>
            </c:numLit>
          </c:yVal>
          <c:smooth val="0"/>
          <c:extLst>
            <c:ext xmlns:c16="http://schemas.microsoft.com/office/drawing/2014/chart" uri="{C3380CC4-5D6E-409C-BE32-E72D297353CC}">
              <c16:uniqueId val="{00000040-4A57-4DD2-9273-78A6CC3D8BF6}"/>
            </c:ext>
          </c:extLst>
        </c:ser>
        <c:ser>
          <c:idx val="54"/>
          <c:order val="54"/>
          <c:tx>
            <c:v>x=0.0106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1.06E-2</c:v>
              </c:pt>
              <c:pt idx="1">
                <c:v>1.06E-2</c:v>
              </c:pt>
            </c:numLit>
          </c:yVal>
          <c:smooth val="0"/>
          <c:extLst>
            <c:ext xmlns:c16="http://schemas.microsoft.com/office/drawing/2014/chart" uri="{C3380CC4-5D6E-409C-BE32-E72D297353CC}">
              <c16:uniqueId val="{00000041-4A57-4DD2-9273-78A6CC3D8BF6}"/>
            </c:ext>
          </c:extLst>
        </c:ser>
        <c:ser>
          <c:idx val="55"/>
          <c:order val="55"/>
          <c:tx>
            <c:v>x=0.0108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1.0800000000000001E-2</c:v>
              </c:pt>
              <c:pt idx="1">
                <c:v>1.0800000000000001E-2</c:v>
              </c:pt>
            </c:numLit>
          </c:yVal>
          <c:smooth val="0"/>
          <c:extLst>
            <c:ext xmlns:c16="http://schemas.microsoft.com/office/drawing/2014/chart" uri="{C3380CC4-5D6E-409C-BE32-E72D297353CC}">
              <c16:uniqueId val="{00000042-4A57-4DD2-9273-78A6CC3D8BF6}"/>
            </c:ext>
          </c:extLst>
        </c:ser>
        <c:ser>
          <c:idx val="56"/>
          <c:order val="56"/>
          <c:tx>
            <c:v>x=0.011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3-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14.726916302186879</c:v>
              </c:pt>
              <c:pt idx="1">
                <c:v>50.8</c:v>
              </c:pt>
            </c:numLit>
          </c:xVal>
          <c:yVal>
            <c:numLit>
              <c:formatCode>General</c:formatCode>
              <c:ptCount val="2"/>
              <c:pt idx="0">
                <c:v>1.1000000000000001E-2</c:v>
              </c:pt>
              <c:pt idx="1">
                <c:v>1.1000000000000001E-2</c:v>
              </c:pt>
            </c:numLit>
          </c:yVal>
          <c:smooth val="0"/>
          <c:extLst>
            <c:ext xmlns:c16="http://schemas.microsoft.com/office/drawing/2014/chart" uri="{C3380CC4-5D6E-409C-BE32-E72D297353CC}">
              <c16:uniqueId val="{00000044-4A57-4DD2-9273-78A6CC3D8BF6}"/>
            </c:ext>
          </c:extLst>
        </c:ser>
        <c:ser>
          <c:idx val="57"/>
          <c:order val="57"/>
          <c:tx>
            <c:v>x=0.0112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1.12E-2</c:v>
              </c:pt>
              <c:pt idx="1">
                <c:v>1.12E-2</c:v>
              </c:pt>
            </c:numLit>
          </c:yVal>
          <c:smooth val="0"/>
          <c:extLst>
            <c:ext xmlns:c16="http://schemas.microsoft.com/office/drawing/2014/chart" uri="{C3380CC4-5D6E-409C-BE32-E72D297353CC}">
              <c16:uniqueId val="{00000045-4A57-4DD2-9273-78A6CC3D8BF6}"/>
            </c:ext>
          </c:extLst>
        </c:ser>
        <c:ser>
          <c:idx val="58"/>
          <c:order val="58"/>
          <c:tx>
            <c:v>x=0.0114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1.14E-2</c:v>
              </c:pt>
              <c:pt idx="1">
                <c:v>1.14E-2</c:v>
              </c:pt>
            </c:numLit>
          </c:yVal>
          <c:smooth val="0"/>
          <c:extLst>
            <c:ext xmlns:c16="http://schemas.microsoft.com/office/drawing/2014/chart" uri="{C3380CC4-5D6E-409C-BE32-E72D297353CC}">
              <c16:uniqueId val="{00000046-4A57-4DD2-9273-78A6CC3D8BF6}"/>
            </c:ext>
          </c:extLst>
        </c:ser>
        <c:ser>
          <c:idx val="59"/>
          <c:order val="59"/>
          <c:tx>
            <c:v>x=0.0116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1.1600000000000001E-2</c:v>
              </c:pt>
              <c:pt idx="1">
                <c:v>1.1600000000000001E-2</c:v>
              </c:pt>
            </c:numLit>
          </c:yVal>
          <c:smooth val="0"/>
          <c:extLst>
            <c:ext xmlns:c16="http://schemas.microsoft.com/office/drawing/2014/chart" uri="{C3380CC4-5D6E-409C-BE32-E72D297353CC}">
              <c16:uniqueId val="{00000047-4A57-4DD2-9273-78A6CC3D8BF6}"/>
            </c:ext>
          </c:extLst>
        </c:ser>
        <c:ser>
          <c:idx val="60"/>
          <c:order val="60"/>
          <c:tx>
            <c:v>x=0.0118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1.18E-2</c:v>
              </c:pt>
              <c:pt idx="1">
                <c:v>1.18E-2</c:v>
              </c:pt>
            </c:numLit>
          </c:yVal>
          <c:smooth val="0"/>
          <c:extLst>
            <c:ext xmlns:c16="http://schemas.microsoft.com/office/drawing/2014/chart" uri="{C3380CC4-5D6E-409C-BE32-E72D297353CC}">
              <c16:uniqueId val="{00000048-4A57-4DD2-9273-78A6CC3D8BF6}"/>
            </c:ext>
          </c:extLst>
        </c:ser>
        <c:ser>
          <c:idx val="61"/>
          <c:order val="61"/>
          <c:tx>
            <c:v>x=0.012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9-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16.032730019880717</c:v>
              </c:pt>
              <c:pt idx="1">
                <c:v>50.8</c:v>
              </c:pt>
            </c:numLit>
          </c:xVal>
          <c:yVal>
            <c:numLit>
              <c:formatCode>General</c:formatCode>
              <c:ptCount val="2"/>
              <c:pt idx="0">
                <c:v>1.2E-2</c:v>
              </c:pt>
              <c:pt idx="1">
                <c:v>1.2E-2</c:v>
              </c:pt>
            </c:numLit>
          </c:yVal>
          <c:smooth val="0"/>
          <c:extLst>
            <c:ext xmlns:c16="http://schemas.microsoft.com/office/drawing/2014/chart" uri="{C3380CC4-5D6E-409C-BE32-E72D297353CC}">
              <c16:uniqueId val="{0000004A-4A57-4DD2-9273-78A6CC3D8BF6}"/>
            </c:ext>
          </c:extLst>
        </c:ser>
        <c:ser>
          <c:idx val="62"/>
          <c:order val="62"/>
          <c:tx>
            <c:v>x=0.0122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1.2200000000000001E-2</c:v>
              </c:pt>
              <c:pt idx="1">
                <c:v>1.2200000000000001E-2</c:v>
              </c:pt>
            </c:numLit>
          </c:yVal>
          <c:smooth val="0"/>
          <c:extLst>
            <c:ext xmlns:c16="http://schemas.microsoft.com/office/drawing/2014/chart" uri="{C3380CC4-5D6E-409C-BE32-E72D297353CC}">
              <c16:uniqueId val="{0000004B-4A57-4DD2-9273-78A6CC3D8BF6}"/>
            </c:ext>
          </c:extLst>
        </c:ser>
        <c:ser>
          <c:idx val="63"/>
          <c:order val="63"/>
          <c:tx>
            <c:v>x=0.0124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1.2400000000000001E-2</c:v>
              </c:pt>
              <c:pt idx="1">
                <c:v>1.2400000000000001E-2</c:v>
              </c:pt>
            </c:numLit>
          </c:yVal>
          <c:smooth val="0"/>
          <c:extLst>
            <c:ext xmlns:c16="http://schemas.microsoft.com/office/drawing/2014/chart" uri="{C3380CC4-5D6E-409C-BE32-E72D297353CC}">
              <c16:uniqueId val="{0000004C-4A57-4DD2-9273-78A6CC3D8BF6}"/>
            </c:ext>
          </c:extLst>
        </c:ser>
        <c:ser>
          <c:idx val="64"/>
          <c:order val="64"/>
          <c:tx>
            <c:v>x=0.0126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1.26E-2</c:v>
              </c:pt>
              <c:pt idx="1">
                <c:v>1.26E-2</c:v>
              </c:pt>
            </c:numLit>
          </c:yVal>
          <c:smooth val="0"/>
          <c:extLst>
            <c:ext xmlns:c16="http://schemas.microsoft.com/office/drawing/2014/chart" uri="{C3380CC4-5D6E-409C-BE32-E72D297353CC}">
              <c16:uniqueId val="{0000004D-4A57-4DD2-9273-78A6CC3D8BF6}"/>
            </c:ext>
          </c:extLst>
        </c:ser>
        <c:ser>
          <c:idx val="65"/>
          <c:order val="65"/>
          <c:tx>
            <c:v>x=0.0128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1.2800000000000001E-2</c:v>
              </c:pt>
              <c:pt idx="1">
                <c:v>1.2800000000000001E-2</c:v>
              </c:pt>
            </c:numLit>
          </c:yVal>
          <c:smooth val="0"/>
          <c:extLst>
            <c:ext xmlns:c16="http://schemas.microsoft.com/office/drawing/2014/chart" uri="{C3380CC4-5D6E-409C-BE32-E72D297353CC}">
              <c16:uniqueId val="{0000004E-4A57-4DD2-9273-78A6CC3D8BF6}"/>
            </c:ext>
          </c:extLst>
        </c:ser>
        <c:ser>
          <c:idx val="66"/>
          <c:order val="66"/>
          <c:tx>
            <c:v>x=0.013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F-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17.241095228628232</c:v>
              </c:pt>
              <c:pt idx="1">
                <c:v>50.8</c:v>
              </c:pt>
            </c:numLit>
          </c:xVal>
          <c:yVal>
            <c:numLit>
              <c:formatCode>General</c:formatCode>
              <c:ptCount val="2"/>
              <c:pt idx="0">
                <c:v>1.3000000000000001E-2</c:v>
              </c:pt>
              <c:pt idx="1">
                <c:v>1.3000000000000001E-2</c:v>
              </c:pt>
            </c:numLit>
          </c:yVal>
          <c:smooth val="0"/>
          <c:extLst>
            <c:ext xmlns:c16="http://schemas.microsoft.com/office/drawing/2014/chart" uri="{C3380CC4-5D6E-409C-BE32-E72D297353CC}">
              <c16:uniqueId val="{00000050-4A57-4DD2-9273-78A6CC3D8BF6}"/>
            </c:ext>
          </c:extLst>
        </c:ser>
        <c:ser>
          <c:idx val="67"/>
          <c:order val="67"/>
          <c:tx>
            <c:v>x=0.0132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1.32E-2</c:v>
              </c:pt>
              <c:pt idx="1">
                <c:v>1.32E-2</c:v>
              </c:pt>
            </c:numLit>
          </c:yVal>
          <c:smooth val="0"/>
          <c:extLst>
            <c:ext xmlns:c16="http://schemas.microsoft.com/office/drawing/2014/chart" uri="{C3380CC4-5D6E-409C-BE32-E72D297353CC}">
              <c16:uniqueId val="{00000051-4A57-4DD2-9273-78A6CC3D8BF6}"/>
            </c:ext>
          </c:extLst>
        </c:ser>
        <c:ser>
          <c:idx val="68"/>
          <c:order val="68"/>
          <c:tx>
            <c:v>x=0.0134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1.34E-2</c:v>
              </c:pt>
              <c:pt idx="1">
                <c:v>1.34E-2</c:v>
              </c:pt>
            </c:numLit>
          </c:yVal>
          <c:smooth val="0"/>
          <c:extLst>
            <c:ext xmlns:c16="http://schemas.microsoft.com/office/drawing/2014/chart" uri="{C3380CC4-5D6E-409C-BE32-E72D297353CC}">
              <c16:uniqueId val="{00000052-4A57-4DD2-9273-78A6CC3D8BF6}"/>
            </c:ext>
          </c:extLst>
        </c:ser>
        <c:ser>
          <c:idx val="69"/>
          <c:order val="69"/>
          <c:tx>
            <c:v>x=0.0136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1.3600000000000001E-2</c:v>
              </c:pt>
              <c:pt idx="1">
                <c:v>1.3600000000000001E-2</c:v>
              </c:pt>
            </c:numLit>
          </c:yVal>
          <c:smooth val="0"/>
          <c:extLst>
            <c:ext xmlns:c16="http://schemas.microsoft.com/office/drawing/2014/chart" uri="{C3380CC4-5D6E-409C-BE32-E72D297353CC}">
              <c16:uniqueId val="{00000053-4A57-4DD2-9273-78A6CC3D8BF6}"/>
            </c:ext>
          </c:extLst>
        </c:ser>
        <c:ser>
          <c:idx val="70"/>
          <c:order val="70"/>
          <c:tx>
            <c:v>x=0.0138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1.3800000000000002E-2</c:v>
              </c:pt>
              <c:pt idx="1">
                <c:v>1.3800000000000002E-2</c:v>
              </c:pt>
            </c:numLit>
          </c:yVal>
          <c:smooth val="0"/>
          <c:extLst>
            <c:ext xmlns:c16="http://schemas.microsoft.com/office/drawing/2014/chart" uri="{C3380CC4-5D6E-409C-BE32-E72D297353CC}">
              <c16:uniqueId val="{00000054-4A57-4DD2-9273-78A6CC3D8BF6}"/>
            </c:ext>
          </c:extLst>
        </c:ser>
        <c:ser>
          <c:idx val="71"/>
          <c:order val="71"/>
          <c:tx>
            <c:v>x=0.014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5-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18.371974950298213</c:v>
              </c:pt>
              <c:pt idx="1">
                <c:v>50.8</c:v>
              </c:pt>
            </c:numLit>
          </c:xVal>
          <c:yVal>
            <c:numLit>
              <c:formatCode>General</c:formatCode>
              <c:ptCount val="2"/>
              <c:pt idx="0">
                <c:v>1.4E-2</c:v>
              </c:pt>
              <c:pt idx="1">
                <c:v>1.4E-2</c:v>
              </c:pt>
            </c:numLit>
          </c:yVal>
          <c:smooth val="0"/>
          <c:extLst>
            <c:ext xmlns:c16="http://schemas.microsoft.com/office/drawing/2014/chart" uri="{C3380CC4-5D6E-409C-BE32-E72D297353CC}">
              <c16:uniqueId val="{00000056-4A57-4DD2-9273-78A6CC3D8BF6}"/>
            </c:ext>
          </c:extLst>
        </c:ser>
        <c:ser>
          <c:idx val="72"/>
          <c:order val="72"/>
          <c:tx>
            <c:v>x=0.0142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1.4200000000000001E-2</c:v>
              </c:pt>
              <c:pt idx="1">
                <c:v>1.4200000000000001E-2</c:v>
              </c:pt>
            </c:numLit>
          </c:yVal>
          <c:smooth val="0"/>
          <c:extLst>
            <c:ext xmlns:c16="http://schemas.microsoft.com/office/drawing/2014/chart" uri="{C3380CC4-5D6E-409C-BE32-E72D297353CC}">
              <c16:uniqueId val="{00000057-4A57-4DD2-9273-78A6CC3D8BF6}"/>
            </c:ext>
          </c:extLst>
        </c:ser>
        <c:ser>
          <c:idx val="73"/>
          <c:order val="73"/>
          <c:tx>
            <c:v>x=0.0144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1.4400000000000001E-2</c:v>
              </c:pt>
              <c:pt idx="1">
                <c:v>1.4400000000000001E-2</c:v>
              </c:pt>
            </c:numLit>
          </c:yVal>
          <c:smooth val="0"/>
          <c:extLst>
            <c:ext xmlns:c16="http://schemas.microsoft.com/office/drawing/2014/chart" uri="{C3380CC4-5D6E-409C-BE32-E72D297353CC}">
              <c16:uniqueId val="{00000058-4A57-4DD2-9273-78A6CC3D8BF6}"/>
            </c:ext>
          </c:extLst>
        </c:ser>
        <c:ser>
          <c:idx val="74"/>
          <c:order val="74"/>
          <c:tx>
            <c:v>x=0.0146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1.46E-2</c:v>
              </c:pt>
              <c:pt idx="1">
                <c:v>1.46E-2</c:v>
              </c:pt>
            </c:numLit>
          </c:yVal>
          <c:smooth val="0"/>
          <c:extLst>
            <c:ext xmlns:c16="http://schemas.microsoft.com/office/drawing/2014/chart" uri="{C3380CC4-5D6E-409C-BE32-E72D297353CC}">
              <c16:uniqueId val="{00000059-4A57-4DD2-9273-78A6CC3D8BF6}"/>
            </c:ext>
          </c:extLst>
        </c:ser>
        <c:ser>
          <c:idx val="75"/>
          <c:order val="75"/>
          <c:tx>
            <c:v>x=0.0148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1.4800000000000001E-2</c:v>
              </c:pt>
              <c:pt idx="1">
                <c:v>1.4800000000000001E-2</c:v>
              </c:pt>
            </c:numLit>
          </c:yVal>
          <c:smooth val="0"/>
          <c:extLst>
            <c:ext xmlns:c16="http://schemas.microsoft.com/office/drawing/2014/chart" uri="{C3380CC4-5D6E-409C-BE32-E72D297353CC}">
              <c16:uniqueId val="{0000005A-4A57-4DD2-9273-78A6CC3D8BF6}"/>
            </c:ext>
          </c:extLst>
        </c:ser>
        <c:ser>
          <c:idx val="76"/>
          <c:order val="76"/>
          <c:tx>
            <c:v>x=0.015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B-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19.435202783300202</c:v>
              </c:pt>
              <c:pt idx="1">
                <c:v>50.8</c:v>
              </c:pt>
            </c:numLit>
          </c:xVal>
          <c:yVal>
            <c:numLit>
              <c:formatCode>General</c:formatCode>
              <c:ptCount val="2"/>
              <c:pt idx="0">
                <c:v>1.5000000000000001E-2</c:v>
              </c:pt>
              <c:pt idx="1">
                <c:v>1.5000000000000001E-2</c:v>
              </c:pt>
            </c:numLit>
          </c:yVal>
          <c:smooth val="0"/>
          <c:extLst>
            <c:ext xmlns:c16="http://schemas.microsoft.com/office/drawing/2014/chart" uri="{C3380CC4-5D6E-409C-BE32-E72D297353CC}">
              <c16:uniqueId val="{0000005C-4A57-4DD2-9273-78A6CC3D8BF6}"/>
            </c:ext>
          </c:extLst>
        </c:ser>
        <c:ser>
          <c:idx val="77"/>
          <c:order val="77"/>
          <c:tx>
            <c:v>x=0.0152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1.52E-2</c:v>
              </c:pt>
              <c:pt idx="1">
                <c:v>1.52E-2</c:v>
              </c:pt>
            </c:numLit>
          </c:yVal>
          <c:smooth val="0"/>
          <c:extLst>
            <c:ext xmlns:c16="http://schemas.microsoft.com/office/drawing/2014/chart" uri="{C3380CC4-5D6E-409C-BE32-E72D297353CC}">
              <c16:uniqueId val="{0000005D-4A57-4DD2-9273-78A6CC3D8BF6}"/>
            </c:ext>
          </c:extLst>
        </c:ser>
        <c:ser>
          <c:idx val="78"/>
          <c:order val="78"/>
          <c:tx>
            <c:v>x=0.0154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1.54E-2</c:v>
              </c:pt>
              <c:pt idx="1">
                <c:v>1.54E-2</c:v>
              </c:pt>
            </c:numLit>
          </c:yVal>
          <c:smooth val="0"/>
          <c:extLst>
            <c:ext xmlns:c16="http://schemas.microsoft.com/office/drawing/2014/chart" uri="{C3380CC4-5D6E-409C-BE32-E72D297353CC}">
              <c16:uniqueId val="{0000005E-4A57-4DD2-9273-78A6CC3D8BF6}"/>
            </c:ext>
          </c:extLst>
        </c:ser>
        <c:ser>
          <c:idx val="79"/>
          <c:order val="79"/>
          <c:tx>
            <c:v>x=0.0156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1.5600000000000001E-2</c:v>
              </c:pt>
              <c:pt idx="1">
                <c:v>1.5600000000000001E-2</c:v>
              </c:pt>
            </c:numLit>
          </c:yVal>
          <c:smooth val="0"/>
          <c:extLst>
            <c:ext xmlns:c16="http://schemas.microsoft.com/office/drawing/2014/chart" uri="{C3380CC4-5D6E-409C-BE32-E72D297353CC}">
              <c16:uniqueId val="{0000005F-4A57-4DD2-9273-78A6CC3D8BF6}"/>
            </c:ext>
          </c:extLst>
        </c:ser>
        <c:ser>
          <c:idx val="80"/>
          <c:order val="80"/>
          <c:tx>
            <c:v>x=0.0158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1.5800000000000002E-2</c:v>
              </c:pt>
              <c:pt idx="1">
                <c:v>1.5800000000000002E-2</c:v>
              </c:pt>
            </c:numLit>
          </c:yVal>
          <c:smooth val="0"/>
          <c:extLst>
            <c:ext xmlns:c16="http://schemas.microsoft.com/office/drawing/2014/chart" uri="{C3380CC4-5D6E-409C-BE32-E72D297353CC}">
              <c16:uniqueId val="{00000060-4A57-4DD2-9273-78A6CC3D8BF6}"/>
            </c:ext>
          </c:extLst>
        </c:ser>
        <c:ser>
          <c:idx val="81"/>
          <c:order val="81"/>
          <c:tx>
            <c:v>x=0.016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1-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20.430390457256465</c:v>
              </c:pt>
              <c:pt idx="1">
                <c:v>50.8</c:v>
              </c:pt>
            </c:numLit>
          </c:xVal>
          <c:yVal>
            <c:numLit>
              <c:formatCode>General</c:formatCode>
              <c:ptCount val="2"/>
              <c:pt idx="0">
                <c:v>1.6E-2</c:v>
              </c:pt>
              <c:pt idx="1">
                <c:v>1.6E-2</c:v>
              </c:pt>
            </c:numLit>
          </c:yVal>
          <c:smooth val="0"/>
          <c:extLst>
            <c:ext xmlns:c16="http://schemas.microsoft.com/office/drawing/2014/chart" uri="{C3380CC4-5D6E-409C-BE32-E72D297353CC}">
              <c16:uniqueId val="{00000062-4A57-4DD2-9273-78A6CC3D8BF6}"/>
            </c:ext>
          </c:extLst>
        </c:ser>
        <c:ser>
          <c:idx val="82"/>
          <c:order val="82"/>
          <c:tx>
            <c:v>x=0.0162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1.6199999999999999E-2</c:v>
              </c:pt>
              <c:pt idx="1">
                <c:v>1.6199999999999999E-2</c:v>
              </c:pt>
            </c:numLit>
          </c:yVal>
          <c:smooth val="0"/>
          <c:extLst>
            <c:ext xmlns:c16="http://schemas.microsoft.com/office/drawing/2014/chart" uri="{C3380CC4-5D6E-409C-BE32-E72D297353CC}">
              <c16:uniqueId val="{00000063-4A57-4DD2-9273-78A6CC3D8BF6}"/>
            </c:ext>
          </c:extLst>
        </c:ser>
        <c:ser>
          <c:idx val="83"/>
          <c:order val="83"/>
          <c:tx>
            <c:v>x=0.0164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1.6400000000000001E-2</c:v>
              </c:pt>
              <c:pt idx="1">
                <c:v>1.6400000000000001E-2</c:v>
              </c:pt>
            </c:numLit>
          </c:yVal>
          <c:smooth val="0"/>
          <c:extLst>
            <c:ext xmlns:c16="http://schemas.microsoft.com/office/drawing/2014/chart" uri="{C3380CC4-5D6E-409C-BE32-E72D297353CC}">
              <c16:uniqueId val="{00000064-4A57-4DD2-9273-78A6CC3D8BF6}"/>
            </c:ext>
          </c:extLst>
        </c:ser>
        <c:ser>
          <c:idx val="84"/>
          <c:order val="84"/>
          <c:tx>
            <c:v>x=0.0166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1.66E-2</c:v>
              </c:pt>
              <c:pt idx="1">
                <c:v>1.66E-2</c:v>
              </c:pt>
            </c:numLit>
          </c:yVal>
          <c:smooth val="0"/>
          <c:extLst>
            <c:ext xmlns:c16="http://schemas.microsoft.com/office/drawing/2014/chart" uri="{C3380CC4-5D6E-409C-BE32-E72D297353CC}">
              <c16:uniqueId val="{00000065-4A57-4DD2-9273-78A6CC3D8BF6}"/>
            </c:ext>
          </c:extLst>
        </c:ser>
        <c:ser>
          <c:idx val="85"/>
          <c:order val="85"/>
          <c:tx>
            <c:v>x=0.0168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1.6800000000000002E-2</c:v>
              </c:pt>
              <c:pt idx="1">
                <c:v>1.6800000000000002E-2</c:v>
              </c:pt>
            </c:numLit>
          </c:yVal>
          <c:smooth val="0"/>
          <c:extLst>
            <c:ext xmlns:c16="http://schemas.microsoft.com/office/drawing/2014/chart" uri="{C3380CC4-5D6E-409C-BE32-E72D297353CC}">
              <c16:uniqueId val="{00000066-4A57-4DD2-9273-78A6CC3D8BF6}"/>
            </c:ext>
          </c:extLst>
        </c:ser>
        <c:ser>
          <c:idx val="86"/>
          <c:order val="86"/>
          <c:tx>
            <c:v>x=0.017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7-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21.377778330019879</c:v>
              </c:pt>
              <c:pt idx="1">
                <c:v>50.8</c:v>
              </c:pt>
            </c:numLit>
          </c:xVal>
          <c:yVal>
            <c:numLit>
              <c:formatCode>General</c:formatCode>
              <c:ptCount val="2"/>
              <c:pt idx="0">
                <c:v>1.7000000000000001E-2</c:v>
              </c:pt>
              <c:pt idx="1">
                <c:v>1.7000000000000001E-2</c:v>
              </c:pt>
            </c:numLit>
          </c:yVal>
          <c:smooth val="0"/>
          <c:extLst>
            <c:ext xmlns:c16="http://schemas.microsoft.com/office/drawing/2014/chart" uri="{C3380CC4-5D6E-409C-BE32-E72D297353CC}">
              <c16:uniqueId val="{00000068-4A57-4DD2-9273-78A6CC3D8BF6}"/>
            </c:ext>
          </c:extLst>
        </c:ser>
        <c:ser>
          <c:idx val="87"/>
          <c:order val="87"/>
          <c:tx>
            <c:v>x=0.0172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1.72E-2</c:v>
              </c:pt>
              <c:pt idx="1">
                <c:v>1.72E-2</c:v>
              </c:pt>
            </c:numLit>
          </c:yVal>
          <c:smooth val="0"/>
          <c:extLst>
            <c:ext xmlns:c16="http://schemas.microsoft.com/office/drawing/2014/chart" uri="{C3380CC4-5D6E-409C-BE32-E72D297353CC}">
              <c16:uniqueId val="{00000069-4A57-4DD2-9273-78A6CC3D8BF6}"/>
            </c:ext>
          </c:extLst>
        </c:ser>
        <c:ser>
          <c:idx val="88"/>
          <c:order val="88"/>
          <c:tx>
            <c:v>x=0.0174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1.7400000000000002E-2</c:v>
              </c:pt>
              <c:pt idx="1">
                <c:v>1.7400000000000002E-2</c:v>
              </c:pt>
            </c:numLit>
          </c:yVal>
          <c:smooth val="0"/>
          <c:extLst>
            <c:ext xmlns:c16="http://schemas.microsoft.com/office/drawing/2014/chart" uri="{C3380CC4-5D6E-409C-BE32-E72D297353CC}">
              <c16:uniqueId val="{0000006A-4A57-4DD2-9273-78A6CC3D8BF6}"/>
            </c:ext>
          </c:extLst>
        </c:ser>
        <c:ser>
          <c:idx val="89"/>
          <c:order val="89"/>
          <c:tx>
            <c:v>x=0.0176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1.7600000000000001E-2</c:v>
              </c:pt>
              <c:pt idx="1">
                <c:v>1.7600000000000001E-2</c:v>
              </c:pt>
            </c:numLit>
          </c:yVal>
          <c:smooth val="0"/>
          <c:extLst>
            <c:ext xmlns:c16="http://schemas.microsoft.com/office/drawing/2014/chart" uri="{C3380CC4-5D6E-409C-BE32-E72D297353CC}">
              <c16:uniqueId val="{0000006B-4A57-4DD2-9273-78A6CC3D8BF6}"/>
            </c:ext>
          </c:extLst>
        </c:ser>
        <c:ser>
          <c:idx val="90"/>
          <c:order val="90"/>
          <c:tx>
            <c:v>x=0.0178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1.78E-2</c:v>
              </c:pt>
              <c:pt idx="1">
                <c:v>1.78E-2</c:v>
              </c:pt>
            </c:numLit>
          </c:yVal>
          <c:smooth val="0"/>
          <c:extLst>
            <c:ext xmlns:c16="http://schemas.microsoft.com/office/drawing/2014/chart" uri="{C3380CC4-5D6E-409C-BE32-E72D297353CC}">
              <c16:uniqueId val="{0000006C-4A57-4DD2-9273-78A6CC3D8BF6}"/>
            </c:ext>
          </c:extLst>
        </c:ser>
        <c:ser>
          <c:idx val="91"/>
          <c:order val="91"/>
          <c:tx>
            <c:v>x=0.018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D-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22.266756262425449</c:v>
              </c:pt>
              <c:pt idx="1">
                <c:v>50.8</c:v>
              </c:pt>
            </c:numLit>
          </c:xVal>
          <c:yVal>
            <c:numLit>
              <c:formatCode>General</c:formatCode>
              <c:ptCount val="2"/>
              <c:pt idx="0">
                <c:v>1.8000000000000002E-2</c:v>
              </c:pt>
              <c:pt idx="1">
                <c:v>1.8000000000000002E-2</c:v>
              </c:pt>
            </c:numLit>
          </c:yVal>
          <c:smooth val="0"/>
          <c:extLst>
            <c:ext xmlns:c16="http://schemas.microsoft.com/office/drawing/2014/chart" uri="{C3380CC4-5D6E-409C-BE32-E72D297353CC}">
              <c16:uniqueId val="{0000006E-4A57-4DD2-9273-78A6CC3D8BF6}"/>
            </c:ext>
          </c:extLst>
        </c:ser>
        <c:ser>
          <c:idx val="92"/>
          <c:order val="92"/>
          <c:tx>
            <c:v>x=0.0182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1.8200000000000001E-2</c:v>
              </c:pt>
              <c:pt idx="1">
                <c:v>1.8200000000000001E-2</c:v>
              </c:pt>
            </c:numLit>
          </c:yVal>
          <c:smooth val="0"/>
          <c:extLst>
            <c:ext xmlns:c16="http://schemas.microsoft.com/office/drawing/2014/chart" uri="{C3380CC4-5D6E-409C-BE32-E72D297353CC}">
              <c16:uniqueId val="{0000006F-4A57-4DD2-9273-78A6CC3D8BF6}"/>
            </c:ext>
          </c:extLst>
        </c:ser>
        <c:ser>
          <c:idx val="93"/>
          <c:order val="93"/>
          <c:tx>
            <c:v>x=0.0184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1.84E-2</c:v>
              </c:pt>
              <c:pt idx="1">
                <c:v>1.84E-2</c:v>
              </c:pt>
            </c:numLit>
          </c:yVal>
          <c:smooth val="0"/>
          <c:extLst>
            <c:ext xmlns:c16="http://schemas.microsoft.com/office/drawing/2014/chart" uri="{C3380CC4-5D6E-409C-BE32-E72D297353CC}">
              <c16:uniqueId val="{00000070-4A57-4DD2-9273-78A6CC3D8BF6}"/>
            </c:ext>
          </c:extLst>
        </c:ser>
        <c:ser>
          <c:idx val="94"/>
          <c:order val="94"/>
          <c:tx>
            <c:v>x=0.0186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1.8600000000000002E-2</c:v>
              </c:pt>
              <c:pt idx="1">
                <c:v>1.8600000000000002E-2</c:v>
              </c:pt>
            </c:numLit>
          </c:yVal>
          <c:smooth val="0"/>
          <c:extLst>
            <c:ext xmlns:c16="http://schemas.microsoft.com/office/drawing/2014/chart" uri="{C3380CC4-5D6E-409C-BE32-E72D297353CC}">
              <c16:uniqueId val="{00000071-4A57-4DD2-9273-78A6CC3D8BF6}"/>
            </c:ext>
          </c:extLst>
        </c:ser>
        <c:ser>
          <c:idx val="95"/>
          <c:order val="95"/>
          <c:tx>
            <c:v>x=0.0188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1.8800000000000001E-2</c:v>
              </c:pt>
              <c:pt idx="1">
                <c:v>1.8800000000000001E-2</c:v>
              </c:pt>
            </c:numLit>
          </c:yVal>
          <c:smooth val="0"/>
          <c:extLst>
            <c:ext xmlns:c16="http://schemas.microsoft.com/office/drawing/2014/chart" uri="{C3380CC4-5D6E-409C-BE32-E72D297353CC}">
              <c16:uniqueId val="{00000072-4A57-4DD2-9273-78A6CC3D8BF6}"/>
            </c:ext>
          </c:extLst>
        </c:ser>
        <c:ser>
          <c:idx val="96"/>
          <c:order val="96"/>
          <c:tx>
            <c:v>x=0.019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3-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23.117694035785291</c:v>
              </c:pt>
              <c:pt idx="1">
                <c:v>50.8</c:v>
              </c:pt>
            </c:numLit>
          </c:xVal>
          <c:yVal>
            <c:numLit>
              <c:formatCode>General</c:formatCode>
              <c:ptCount val="2"/>
              <c:pt idx="0">
                <c:v>1.9E-2</c:v>
              </c:pt>
              <c:pt idx="1">
                <c:v>1.9E-2</c:v>
              </c:pt>
            </c:numLit>
          </c:yVal>
          <c:smooth val="0"/>
          <c:extLst>
            <c:ext xmlns:c16="http://schemas.microsoft.com/office/drawing/2014/chart" uri="{C3380CC4-5D6E-409C-BE32-E72D297353CC}">
              <c16:uniqueId val="{00000074-4A57-4DD2-9273-78A6CC3D8BF6}"/>
            </c:ext>
          </c:extLst>
        </c:ser>
        <c:ser>
          <c:idx val="97"/>
          <c:order val="97"/>
          <c:tx>
            <c:v>x=0.0192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1.9200000000000002E-2</c:v>
              </c:pt>
              <c:pt idx="1">
                <c:v>1.9200000000000002E-2</c:v>
              </c:pt>
            </c:numLit>
          </c:yVal>
          <c:smooth val="0"/>
          <c:extLst>
            <c:ext xmlns:c16="http://schemas.microsoft.com/office/drawing/2014/chart" uri="{C3380CC4-5D6E-409C-BE32-E72D297353CC}">
              <c16:uniqueId val="{00000075-4A57-4DD2-9273-78A6CC3D8BF6}"/>
            </c:ext>
          </c:extLst>
        </c:ser>
        <c:ser>
          <c:idx val="98"/>
          <c:order val="98"/>
          <c:tx>
            <c:v>x=0.0194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1.9400000000000001E-2</c:v>
              </c:pt>
              <c:pt idx="1">
                <c:v>1.9400000000000001E-2</c:v>
              </c:pt>
            </c:numLit>
          </c:yVal>
          <c:smooth val="0"/>
          <c:extLst>
            <c:ext xmlns:c16="http://schemas.microsoft.com/office/drawing/2014/chart" uri="{C3380CC4-5D6E-409C-BE32-E72D297353CC}">
              <c16:uniqueId val="{00000076-4A57-4DD2-9273-78A6CC3D8BF6}"/>
            </c:ext>
          </c:extLst>
        </c:ser>
        <c:ser>
          <c:idx val="99"/>
          <c:order val="99"/>
          <c:tx>
            <c:v>x=0.0196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1.9599999999999999E-2</c:v>
              </c:pt>
              <c:pt idx="1">
                <c:v>1.9599999999999999E-2</c:v>
              </c:pt>
            </c:numLit>
          </c:yVal>
          <c:smooth val="0"/>
          <c:extLst>
            <c:ext xmlns:c16="http://schemas.microsoft.com/office/drawing/2014/chart" uri="{C3380CC4-5D6E-409C-BE32-E72D297353CC}">
              <c16:uniqueId val="{00000077-4A57-4DD2-9273-78A6CC3D8BF6}"/>
            </c:ext>
          </c:extLst>
        </c:ser>
        <c:ser>
          <c:idx val="100"/>
          <c:order val="100"/>
          <c:tx>
            <c:v>x=0.0198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1.9800000000000002E-2</c:v>
              </c:pt>
              <c:pt idx="1">
                <c:v>1.9800000000000002E-2</c:v>
              </c:pt>
            </c:numLit>
          </c:yVal>
          <c:smooth val="0"/>
          <c:extLst>
            <c:ext xmlns:c16="http://schemas.microsoft.com/office/drawing/2014/chart" uri="{C3380CC4-5D6E-409C-BE32-E72D297353CC}">
              <c16:uniqueId val="{00000078-4A57-4DD2-9273-78A6CC3D8BF6}"/>
            </c:ext>
          </c:extLst>
        </c:ser>
        <c:ser>
          <c:idx val="101"/>
          <c:order val="101"/>
          <c:tx>
            <c:v>x=0.02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9-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23.930369781312127</c:v>
              </c:pt>
              <c:pt idx="1">
                <c:v>50.8</c:v>
              </c:pt>
            </c:numLit>
          </c:xVal>
          <c:yVal>
            <c:numLit>
              <c:formatCode>General</c:formatCode>
              <c:ptCount val="2"/>
              <c:pt idx="0">
                <c:v>0.02</c:v>
              </c:pt>
              <c:pt idx="1">
                <c:v>0.02</c:v>
              </c:pt>
            </c:numLit>
          </c:yVal>
          <c:smooth val="0"/>
          <c:extLst>
            <c:ext xmlns:c16="http://schemas.microsoft.com/office/drawing/2014/chart" uri="{C3380CC4-5D6E-409C-BE32-E72D297353CC}">
              <c16:uniqueId val="{0000007A-4A57-4DD2-9273-78A6CC3D8BF6}"/>
            </c:ext>
          </c:extLst>
        </c:ser>
        <c:ser>
          <c:idx val="102"/>
          <c:order val="102"/>
          <c:tx>
            <c:v>x=0.0202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2.0200000000000003E-2</c:v>
              </c:pt>
              <c:pt idx="1">
                <c:v>2.0200000000000003E-2</c:v>
              </c:pt>
            </c:numLit>
          </c:yVal>
          <c:smooth val="0"/>
          <c:extLst>
            <c:ext xmlns:c16="http://schemas.microsoft.com/office/drawing/2014/chart" uri="{C3380CC4-5D6E-409C-BE32-E72D297353CC}">
              <c16:uniqueId val="{0000007B-4A57-4DD2-9273-78A6CC3D8BF6}"/>
            </c:ext>
          </c:extLst>
        </c:ser>
        <c:ser>
          <c:idx val="103"/>
          <c:order val="103"/>
          <c:tx>
            <c:v>x=0.0204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2.0400000000000001E-2</c:v>
              </c:pt>
              <c:pt idx="1">
                <c:v>2.0400000000000001E-2</c:v>
              </c:pt>
            </c:numLit>
          </c:yVal>
          <c:smooth val="0"/>
          <c:extLst>
            <c:ext xmlns:c16="http://schemas.microsoft.com/office/drawing/2014/chart" uri="{C3380CC4-5D6E-409C-BE32-E72D297353CC}">
              <c16:uniqueId val="{0000007C-4A57-4DD2-9273-78A6CC3D8BF6}"/>
            </c:ext>
          </c:extLst>
        </c:ser>
        <c:ser>
          <c:idx val="104"/>
          <c:order val="104"/>
          <c:tx>
            <c:v>x=0.0206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2.06E-2</c:v>
              </c:pt>
              <c:pt idx="1">
                <c:v>2.06E-2</c:v>
              </c:pt>
            </c:numLit>
          </c:yVal>
          <c:smooth val="0"/>
          <c:extLst>
            <c:ext xmlns:c16="http://schemas.microsoft.com/office/drawing/2014/chart" uri="{C3380CC4-5D6E-409C-BE32-E72D297353CC}">
              <c16:uniqueId val="{0000007D-4A57-4DD2-9273-78A6CC3D8BF6}"/>
            </c:ext>
          </c:extLst>
        </c:ser>
        <c:ser>
          <c:idx val="105"/>
          <c:order val="105"/>
          <c:tx>
            <c:v>x=0.0208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2.0800000000000003E-2</c:v>
              </c:pt>
              <c:pt idx="1">
                <c:v>2.0800000000000003E-2</c:v>
              </c:pt>
            </c:numLit>
          </c:yVal>
          <c:smooth val="0"/>
          <c:extLst>
            <c:ext xmlns:c16="http://schemas.microsoft.com/office/drawing/2014/chart" uri="{C3380CC4-5D6E-409C-BE32-E72D297353CC}">
              <c16:uniqueId val="{0000007E-4A57-4DD2-9273-78A6CC3D8BF6}"/>
            </c:ext>
          </c:extLst>
        </c:ser>
        <c:ser>
          <c:idx val="106"/>
          <c:order val="106"/>
          <c:tx>
            <c:v>x=0.021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F-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24.714949900596423</c:v>
              </c:pt>
              <c:pt idx="1">
                <c:v>50.8</c:v>
              </c:pt>
            </c:numLit>
          </c:xVal>
          <c:yVal>
            <c:numLit>
              <c:formatCode>General</c:formatCode>
              <c:ptCount val="2"/>
              <c:pt idx="0">
                <c:v>2.1000000000000001E-2</c:v>
              </c:pt>
              <c:pt idx="1">
                <c:v>2.1000000000000001E-2</c:v>
              </c:pt>
            </c:numLit>
          </c:yVal>
          <c:smooth val="0"/>
          <c:extLst>
            <c:ext xmlns:c16="http://schemas.microsoft.com/office/drawing/2014/chart" uri="{C3380CC4-5D6E-409C-BE32-E72D297353CC}">
              <c16:uniqueId val="{00000080-4A57-4DD2-9273-78A6CC3D8BF6}"/>
            </c:ext>
          </c:extLst>
        </c:ser>
        <c:ser>
          <c:idx val="107"/>
          <c:order val="107"/>
          <c:tx>
            <c:v>x=0.0212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2.12E-2</c:v>
              </c:pt>
              <c:pt idx="1">
                <c:v>2.12E-2</c:v>
              </c:pt>
            </c:numLit>
          </c:yVal>
          <c:smooth val="0"/>
          <c:extLst>
            <c:ext xmlns:c16="http://schemas.microsoft.com/office/drawing/2014/chart" uri="{C3380CC4-5D6E-409C-BE32-E72D297353CC}">
              <c16:uniqueId val="{00000081-4A57-4DD2-9273-78A6CC3D8BF6}"/>
            </c:ext>
          </c:extLst>
        </c:ser>
        <c:ser>
          <c:idx val="108"/>
          <c:order val="108"/>
          <c:tx>
            <c:v>x=0.0214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2.1400000000000002E-2</c:v>
              </c:pt>
              <c:pt idx="1">
                <c:v>2.1400000000000002E-2</c:v>
              </c:pt>
            </c:numLit>
          </c:yVal>
          <c:smooth val="0"/>
          <c:extLst>
            <c:ext xmlns:c16="http://schemas.microsoft.com/office/drawing/2014/chart" uri="{C3380CC4-5D6E-409C-BE32-E72D297353CC}">
              <c16:uniqueId val="{00000082-4A57-4DD2-9273-78A6CC3D8BF6}"/>
            </c:ext>
          </c:extLst>
        </c:ser>
        <c:ser>
          <c:idx val="109"/>
          <c:order val="109"/>
          <c:tx>
            <c:v>x=0.0216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2.1600000000000001E-2</c:v>
              </c:pt>
              <c:pt idx="1">
                <c:v>2.1600000000000001E-2</c:v>
              </c:pt>
            </c:numLit>
          </c:yVal>
          <c:smooth val="0"/>
          <c:extLst>
            <c:ext xmlns:c16="http://schemas.microsoft.com/office/drawing/2014/chart" uri="{C3380CC4-5D6E-409C-BE32-E72D297353CC}">
              <c16:uniqueId val="{00000083-4A57-4DD2-9273-78A6CC3D8BF6}"/>
            </c:ext>
          </c:extLst>
        </c:ser>
        <c:ser>
          <c:idx val="110"/>
          <c:order val="110"/>
          <c:tx>
            <c:v>x=0.0218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2.18E-2</c:v>
              </c:pt>
              <c:pt idx="1">
                <c:v>2.18E-2</c:v>
              </c:pt>
            </c:numLit>
          </c:yVal>
          <c:smooth val="0"/>
          <c:extLst>
            <c:ext xmlns:c16="http://schemas.microsoft.com/office/drawing/2014/chart" uri="{C3380CC4-5D6E-409C-BE32-E72D297353CC}">
              <c16:uniqueId val="{00000084-4A57-4DD2-9273-78A6CC3D8BF6}"/>
            </c:ext>
          </c:extLst>
        </c:ser>
        <c:ser>
          <c:idx val="111"/>
          <c:order val="111"/>
          <c:tx>
            <c:v>x=0.022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5-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25.460861232604376</c:v>
              </c:pt>
              <c:pt idx="1">
                <c:v>50.8</c:v>
              </c:pt>
            </c:numLit>
          </c:xVal>
          <c:yVal>
            <c:numLit>
              <c:formatCode>General</c:formatCode>
              <c:ptCount val="2"/>
              <c:pt idx="0">
                <c:v>2.2000000000000002E-2</c:v>
              </c:pt>
              <c:pt idx="1">
                <c:v>2.2000000000000002E-2</c:v>
              </c:pt>
            </c:numLit>
          </c:yVal>
          <c:smooth val="0"/>
          <c:extLst>
            <c:ext xmlns:c16="http://schemas.microsoft.com/office/drawing/2014/chart" uri="{C3380CC4-5D6E-409C-BE32-E72D297353CC}">
              <c16:uniqueId val="{00000086-4A57-4DD2-9273-78A6CC3D8BF6}"/>
            </c:ext>
          </c:extLst>
        </c:ser>
        <c:ser>
          <c:idx val="112"/>
          <c:order val="112"/>
          <c:tx>
            <c:v>x=0.0222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2.2200000000000001E-2</c:v>
              </c:pt>
              <c:pt idx="1">
                <c:v>2.2200000000000001E-2</c:v>
              </c:pt>
            </c:numLit>
          </c:yVal>
          <c:smooth val="0"/>
          <c:extLst>
            <c:ext xmlns:c16="http://schemas.microsoft.com/office/drawing/2014/chart" uri="{C3380CC4-5D6E-409C-BE32-E72D297353CC}">
              <c16:uniqueId val="{00000087-4A57-4DD2-9273-78A6CC3D8BF6}"/>
            </c:ext>
          </c:extLst>
        </c:ser>
        <c:ser>
          <c:idx val="113"/>
          <c:order val="113"/>
          <c:tx>
            <c:v>x=0.0224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2.24E-2</c:v>
              </c:pt>
              <c:pt idx="1">
                <c:v>2.24E-2</c:v>
              </c:pt>
            </c:numLit>
          </c:yVal>
          <c:smooth val="0"/>
          <c:extLst>
            <c:ext xmlns:c16="http://schemas.microsoft.com/office/drawing/2014/chart" uri="{C3380CC4-5D6E-409C-BE32-E72D297353CC}">
              <c16:uniqueId val="{00000088-4A57-4DD2-9273-78A6CC3D8BF6}"/>
            </c:ext>
          </c:extLst>
        </c:ser>
        <c:ser>
          <c:idx val="114"/>
          <c:order val="114"/>
          <c:tx>
            <c:v>x=0.0226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2.2600000000000002E-2</c:v>
              </c:pt>
              <c:pt idx="1">
                <c:v>2.2600000000000002E-2</c:v>
              </c:pt>
            </c:numLit>
          </c:yVal>
          <c:smooth val="0"/>
          <c:extLst>
            <c:ext xmlns:c16="http://schemas.microsoft.com/office/drawing/2014/chart" uri="{C3380CC4-5D6E-409C-BE32-E72D297353CC}">
              <c16:uniqueId val="{00000089-4A57-4DD2-9273-78A6CC3D8BF6}"/>
            </c:ext>
          </c:extLst>
        </c:ser>
        <c:ser>
          <c:idx val="115"/>
          <c:order val="115"/>
          <c:tx>
            <c:v>x=0.0228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2.2800000000000001E-2</c:v>
              </c:pt>
              <c:pt idx="1">
                <c:v>2.2800000000000001E-2</c:v>
              </c:pt>
            </c:numLit>
          </c:yVal>
          <c:smooth val="0"/>
          <c:extLst>
            <c:ext xmlns:c16="http://schemas.microsoft.com/office/drawing/2014/chart" uri="{C3380CC4-5D6E-409C-BE32-E72D297353CC}">
              <c16:uniqueId val="{0000008A-4A57-4DD2-9273-78A6CC3D8BF6}"/>
            </c:ext>
          </c:extLst>
        </c:ser>
        <c:ser>
          <c:idx val="116"/>
          <c:order val="116"/>
          <c:tx>
            <c:v>x=0.023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B-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26.178307157057652</c:v>
              </c:pt>
              <c:pt idx="1">
                <c:v>50.8</c:v>
              </c:pt>
            </c:numLit>
          </c:xVal>
          <c:yVal>
            <c:numLit>
              <c:formatCode>General</c:formatCode>
              <c:ptCount val="2"/>
              <c:pt idx="0">
                <c:v>2.3E-2</c:v>
              </c:pt>
              <c:pt idx="1">
                <c:v>2.3E-2</c:v>
              </c:pt>
            </c:numLit>
          </c:yVal>
          <c:smooth val="0"/>
          <c:extLst>
            <c:ext xmlns:c16="http://schemas.microsoft.com/office/drawing/2014/chart" uri="{C3380CC4-5D6E-409C-BE32-E72D297353CC}">
              <c16:uniqueId val="{0000008C-4A57-4DD2-9273-78A6CC3D8BF6}"/>
            </c:ext>
          </c:extLst>
        </c:ser>
        <c:ser>
          <c:idx val="117"/>
          <c:order val="117"/>
          <c:tx>
            <c:v>x=0.0232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2.3200000000000002E-2</c:v>
              </c:pt>
              <c:pt idx="1">
                <c:v>2.3200000000000002E-2</c:v>
              </c:pt>
            </c:numLit>
          </c:yVal>
          <c:smooth val="0"/>
          <c:extLst>
            <c:ext xmlns:c16="http://schemas.microsoft.com/office/drawing/2014/chart" uri="{C3380CC4-5D6E-409C-BE32-E72D297353CC}">
              <c16:uniqueId val="{0000008D-4A57-4DD2-9273-78A6CC3D8BF6}"/>
            </c:ext>
          </c:extLst>
        </c:ser>
        <c:ser>
          <c:idx val="118"/>
          <c:order val="118"/>
          <c:tx>
            <c:v>x=0.0234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2.3400000000000001E-2</c:v>
              </c:pt>
              <c:pt idx="1">
                <c:v>2.3400000000000001E-2</c:v>
              </c:pt>
            </c:numLit>
          </c:yVal>
          <c:smooth val="0"/>
          <c:extLst>
            <c:ext xmlns:c16="http://schemas.microsoft.com/office/drawing/2014/chart" uri="{C3380CC4-5D6E-409C-BE32-E72D297353CC}">
              <c16:uniqueId val="{0000008E-4A57-4DD2-9273-78A6CC3D8BF6}"/>
            </c:ext>
          </c:extLst>
        </c:ser>
        <c:ser>
          <c:idx val="119"/>
          <c:order val="119"/>
          <c:tx>
            <c:v>x=0.0236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2.3599999999999999E-2</c:v>
              </c:pt>
              <c:pt idx="1">
                <c:v>2.3599999999999999E-2</c:v>
              </c:pt>
            </c:numLit>
          </c:yVal>
          <c:smooth val="0"/>
          <c:extLst>
            <c:ext xmlns:c16="http://schemas.microsoft.com/office/drawing/2014/chart" uri="{C3380CC4-5D6E-409C-BE32-E72D297353CC}">
              <c16:uniqueId val="{0000008F-4A57-4DD2-9273-78A6CC3D8BF6}"/>
            </c:ext>
          </c:extLst>
        </c:ser>
        <c:ser>
          <c:idx val="120"/>
          <c:order val="120"/>
          <c:tx>
            <c:v>x=0.0238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2.3800000000000002E-2</c:v>
              </c:pt>
              <c:pt idx="1">
                <c:v>2.3800000000000002E-2</c:v>
              </c:pt>
            </c:numLit>
          </c:yVal>
          <c:smooth val="0"/>
          <c:extLst>
            <c:ext xmlns:c16="http://schemas.microsoft.com/office/drawing/2014/chart" uri="{C3380CC4-5D6E-409C-BE32-E72D297353CC}">
              <c16:uniqueId val="{00000090-4A57-4DD2-9273-78A6CC3D8BF6}"/>
            </c:ext>
          </c:extLst>
        </c:ser>
        <c:ser>
          <c:idx val="121"/>
          <c:order val="121"/>
          <c:tx>
            <c:v>x=0.024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1-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26.867121272365807</c:v>
              </c:pt>
              <c:pt idx="1">
                <c:v>50.8</c:v>
              </c:pt>
            </c:numLit>
          </c:xVal>
          <c:yVal>
            <c:numLit>
              <c:formatCode>General</c:formatCode>
              <c:ptCount val="2"/>
              <c:pt idx="0">
                <c:v>2.4E-2</c:v>
              </c:pt>
              <c:pt idx="1">
                <c:v>2.4E-2</c:v>
              </c:pt>
            </c:numLit>
          </c:yVal>
          <c:smooth val="0"/>
          <c:extLst>
            <c:ext xmlns:c16="http://schemas.microsoft.com/office/drawing/2014/chart" uri="{C3380CC4-5D6E-409C-BE32-E72D297353CC}">
              <c16:uniqueId val="{00000092-4A57-4DD2-9273-78A6CC3D8BF6}"/>
            </c:ext>
          </c:extLst>
        </c:ser>
        <c:ser>
          <c:idx val="122"/>
          <c:order val="122"/>
          <c:tx>
            <c:v>x=0.0242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2.4200000000000003E-2</c:v>
              </c:pt>
              <c:pt idx="1">
                <c:v>2.4200000000000003E-2</c:v>
              </c:pt>
            </c:numLit>
          </c:yVal>
          <c:smooth val="0"/>
          <c:extLst>
            <c:ext xmlns:c16="http://schemas.microsoft.com/office/drawing/2014/chart" uri="{C3380CC4-5D6E-409C-BE32-E72D297353CC}">
              <c16:uniqueId val="{00000093-4A57-4DD2-9273-78A6CC3D8BF6}"/>
            </c:ext>
          </c:extLst>
        </c:ser>
        <c:ser>
          <c:idx val="123"/>
          <c:order val="123"/>
          <c:tx>
            <c:v>x=0.0244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2.4400000000000002E-2</c:v>
              </c:pt>
              <c:pt idx="1">
                <c:v>2.4400000000000002E-2</c:v>
              </c:pt>
            </c:numLit>
          </c:yVal>
          <c:smooth val="0"/>
          <c:extLst>
            <c:ext xmlns:c16="http://schemas.microsoft.com/office/drawing/2014/chart" uri="{C3380CC4-5D6E-409C-BE32-E72D297353CC}">
              <c16:uniqueId val="{00000094-4A57-4DD2-9273-78A6CC3D8BF6}"/>
            </c:ext>
          </c:extLst>
        </c:ser>
        <c:ser>
          <c:idx val="124"/>
          <c:order val="124"/>
          <c:tx>
            <c:v>x=0.0246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2.46E-2</c:v>
              </c:pt>
              <c:pt idx="1">
                <c:v>2.46E-2</c:v>
              </c:pt>
            </c:numLit>
          </c:yVal>
          <c:smooth val="0"/>
          <c:extLst>
            <c:ext xmlns:c16="http://schemas.microsoft.com/office/drawing/2014/chart" uri="{C3380CC4-5D6E-409C-BE32-E72D297353CC}">
              <c16:uniqueId val="{00000095-4A57-4DD2-9273-78A6CC3D8BF6}"/>
            </c:ext>
          </c:extLst>
        </c:ser>
        <c:ser>
          <c:idx val="125"/>
          <c:order val="125"/>
          <c:tx>
            <c:v>x=0.0248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2.4800000000000003E-2</c:v>
              </c:pt>
              <c:pt idx="1">
                <c:v>2.4800000000000003E-2</c:v>
              </c:pt>
            </c:numLit>
          </c:yVal>
          <c:smooth val="0"/>
          <c:extLst>
            <c:ext xmlns:c16="http://schemas.microsoft.com/office/drawing/2014/chart" uri="{C3380CC4-5D6E-409C-BE32-E72D297353CC}">
              <c16:uniqueId val="{00000096-4A57-4DD2-9273-78A6CC3D8BF6}"/>
            </c:ext>
          </c:extLst>
        </c:ser>
        <c:ser>
          <c:idx val="126"/>
          <c:order val="126"/>
          <c:tx>
            <c:v>x=0.025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7-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27.527137176938368</c:v>
              </c:pt>
              <c:pt idx="1">
                <c:v>50.8</c:v>
              </c:pt>
            </c:numLit>
          </c:xVal>
          <c:yVal>
            <c:numLit>
              <c:formatCode>General</c:formatCode>
              <c:ptCount val="2"/>
              <c:pt idx="0">
                <c:v>2.5000000000000001E-2</c:v>
              </c:pt>
              <c:pt idx="1">
                <c:v>2.5000000000000001E-2</c:v>
              </c:pt>
            </c:numLit>
          </c:yVal>
          <c:smooth val="0"/>
          <c:extLst>
            <c:ext xmlns:c16="http://schemas.microsoft.com/office/drawing/2014/chart" uri="{C3380CC4-5D6E-409C-BE32-E72D297353CC}">
              <c16:uniqueId val="{00000098-4A57-4DD2-9273-78A6CC3D8BF6}"/>
            </c:ext>
          </c:extLst>
        </c:ser>
        <c:ser>
          <c:idx val="127"/>
          <c:order val="127"/>
          <c:tx>
            <c:v>x=0.0252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2.52E-2</c:v>
              </c:pt>
              <c:pt idx="1">
                <c:v>2.52E-2</c:v>
              </c:pt>
            </c:numLit>
          </c:yVal>
          <c:smooth val="0"/>
          <c:extLst>
            <c:ext xmlns:c16="http://schemas.microsoft.com/office/drawing/2014/chart" uri="{C3380CC4-5D6E-409C-BE32-E72D297353CC}">
              <c16:uniqueId val="{00000099-4A57-4DD2-9273-78A6CC3D8BF6}"/>
            </c:ext>
          </c:extLst>
        </c:ser>
        <c:ser>
          <c:idx val="128"/>
          <c:order val="128"/>
          <c:tx>
            <c:v>x=0.0254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2.5400000000000002E-2</c:v>
              </c:pt>
              <c:pt idx="1">
                <c:v>2.5400000000000002E-2</c:v>
              </c:pt>
            </c:numLit>
          </c:yVal>
          <c:smooth val="0"/>
          <c:extLst>
            <c:ext xmlns:c16="http://schemas.microsoft.com/office/drawing/2014/chart" uri="{C3380CC4-5D6E-409C-BE32-E72D297353CC}">
              <c16:uniqueId val="{0000009A-4A57-4DD2-9273-78A6CC3D8BF6}"/>
            </c:ext>
          </c:extLst>
        </c:ser>
        <c:ser>
          <c:idx val="129"/>
          <c:order val="129"/>
          <c:tx>
            <c:v>x=0.0256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2.5600000000000001E-2</c:v>
              </c:pt>
              <c:pt idx="1">
                <c:v>2.5600000000000001E-2</c:v>
              </c:pt>
            </c:numLit>
          </c:yVal>
          <c:smooth val="0"/>
          <c:extLst>
            <c:ext xmlns:c16="http://schemas.microsoft.com/office/drawing/2014/chart" uri="{C3380CC4-5D6E-409C-BE32-E72D297353CC}">
              <c16:uniqueId val="{0000009B-4A57-4DD2-9273-78A6CC3D8BF6}"/>
            </c:ext>
          </c:extLst>
        </c:ser>
        <c:ser>
          <c:idx val="130"/>
          <c:order val="130"/>
          <c:tx>
            <c:v>x=0.0258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2.58E-2</c:v>
              </c:pt>
              <c:pt idx="1">
                <c:v>2.58E-2</c:v>
              </c:pt>
            </c:numLit>
          </c:yVal>
          <c:smooth val="0"/>
          <c:extLst>
            <c:ext xmlns:c16="http://schemas.microsoft.com/office/drawing/2014/chart" uri="{C3380CC4-5D6E-409C-BE32-E72D297353CC}">
              <c16:uniqueId val="{0000009C-4A57-4DD2-9273-78A6CC3D8BF6}"/>
            </c:ext>
          </c:extLst>
        </c:ser>
        <c:ser>
          <c:idx val="131"/>
          <c:order val="131"/>
          <c:tx>
            <c:v>x=0.026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D-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28.168669184890657</c:v>
              </c:pt>
              <c:pt idx="1">
                <c:v>50.8</c:v>
              </c:pt>
            </c:numLit>
          </c:xVal>
          <c:yVal>
            <c:numLit>
              <c:formatCode>General</c:formatCode>
              <c:ptCount val="2"/>
              <c:pt idx="0">
                <c:v>2.6000000000000002E-2</c:v>
              </c:pt>
              <c:pt idx="1">
                <c:v>2.6000000000000002E-2</c:v>
              </c:pt>
            </c:numLit>
          </c:yVal>
          <c:smooth val="0"/>
          <c:extLst>
            <c:ext xmlns:c16="http://schemas.microsoft.com/office/drawing/2014/chart" uri="{C3380CC4-5D6E-409C-BE32-E72D297353CC}">
              <c16:uniqueId val="{0000009E-4A57-4DD2-9273-78A6CC3D8BF6}"/>
            </c:ext>
          </c:extLst>
        </c:ser>
        <c:ser>
          <c:idx val="132"/>
          <c:order val="132"/>
          <c:tx>
            <c:v>x=0.0262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2.6200000000000001E-2</c:v>
              </c:pt>
              <c:pt idx="1">
                <c:v>2.6200000000000001E-2</c:v>
              </c:pt>
            </c:numLit>
          </c:yVal>
          <c:smooth val="0"/>
          <c:extLst>
            <c:ext xmlns:c16="http://schemas.microsoft.com/office/drawing/2014/chart" uri="{C3380CC4-5D6E-409C-BE32-E72D297353CC}">
              <c16:uniqueId val="{0000009F-4A57-4DD2-9273-78A6CC3D8BF6}"/>
            </c:ext>
          </c:extLst>
        </c:ser>
        <c:ser>
          <c:idx val="133"/>
          <c:order val="133"/>
          <c:tx>
            <c:v>x=0.0264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2.64E-2</c:v>
              </c:pt>
              <c:pt idx="1">
                <c:v>2.64E-2</c:v>
              </c:pt>
            </c:numLit>
          </c:yVal>
          <c:smooth val="0"/>
          <c:extLst>
            <c:ext xmlns:c16="http://schemas.microsoft.com/office/drawing/2014/chart" uri="{C3380CC4-5D6E-409C-BE32-E72D297353CC}">
              <c16:uniqueId val="{000000A0-4A57-4DD2-9273-78A6CC3D8BF6}"/>
            </c:ext>
          </c:extLst>
        </c:ser>
        <c:ser>
          <c:idx val="134"/>
          <c:order val="134"/>
          <c:tx>
            <c:v>x=0.0266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2.6600000000000002E-2</c:v>
              </c:pt>
              <c:pt idx="1">
                <c:v>2.6600000000000002E-2</c:v>
              </c:pt>
            </c:numLit>
          </c:yVal>
          <c:smooth val="0"/>
          <c:extLst>
            <c:ext xmlns:c16="http://schemas.microsoft.com/office/drawing/2014/chart" uri="{C3380CC4-5D6E-409C-BE32-E72D297353CC}">
              <c16:uniqueId val="{000000A1-4A57-4DD2-9273-78A6CC3D8BF6}"/>
            </c:ext>
          </c:extLst>
        </c:ser>
        <c:ser>
          <c:idx val="135"/>
          <c:order val="135"/>
          <c:tx>
            <c:v>x=0.0268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2.6800000000000001E-2</c:v>
              </c:pt>
              <c:pt idx="1">
                <c:v>2.6800000000000001E-2</c:v>
              </c:pt>
            </c:numLit>
          </c:yVal>
          <c:smooth val="0"/>
          <c:extLst>
            <c:ext xmlns:c16="http://schemas.microsoft.com/office/drawing/2014/chart" uri="{C3380CC4-5D6E-409C-BE32-E72D297353CC}">
              <c16:uniqueId val="{000000A2-4A57-4DD2-9273-78A6CC3D8BF6}"/>
            </c:ext>
          </c:extLst>
        </c:ser>
        <c:ser>
          <c:idx val="136"/>
          <c:order val="136"/>
          <c:tx>
            <c:v>x=0.027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3-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28.791606361829029</c:v>
              </c:pt>
              <c:pt idx="1">
                <c:v>50.8</c:v>
              </c:pt>
            </c:numLit>
          </c:xVal>
          <c:yVal>
            <c:numLit>
              <c:formatCode>General</c:formatCode>
              <c:ptCount val="2"/>
              <c:pt idx="0">
                <c:v>2.7E-2</c:v>
              </c:pt>
              <c:pt idx="1">
                <c:v>2.7E-2</c:v>
              </c:pt>
            </c:numLit>
          </c:yVal>
          <c:smooth val="0"/>
          <c:extLst>
            <c:ext xmlns:c16="http://schemas.microsoft.com/office/drawing/2014/chart" uri="{C3380CC4-5D6E-409C-BE32-E72D297353CC}">
              <c16:uniqueId val="{000000A4-4A57-4DD2-9273-78A6CC3D8BF6}"/>
            </c:ext>
          </c:extLst>
        </c:ser>
        <c:ser>
          <c:idx val="137"/>
          <c:order val="137"/>
          <c:tx>
            <c:v>x=0.0272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2.7200000000000002E-2</c:v>
              </c:pt>
              <c:pt idx="1">
                <c:v>2.7200000000000002E-2</c:v>
              </c:pt>
            </c:numLit>
          </c:yVal>
          <c:smooth val="0"/>
          <c:extLst>
            <c:ext xmlns:c16="http://schemas.microsoft.com/office/drawing/2014/chart" uri="{C3380CC4-5D6E-409C-BE32-E72D297353CC}">
              <c16:uniqueId val="{000000A5-4A57-4DD2-9273-78A6CC3D8BF6}"/>
            </c:ext>
          </c:extLst>
        </c:ser>
        <c:ser>
          <c:idx val="138"/>
          <c:order val="138"/>
          <c:tx>
            <c:v>x=0.0274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2.7400000000000001E-2</c:v>
              </c:pt>
              <c:pt idx="1">
                <c:v>2.7400000000000001E-2</c:v>
              </c:pt>
            </c:numLit>
          </c:yVal>
          <c:smooth val="0"/>
          <c:extLst>
            <c:ext xmlns:c16="http://schemas.microsoft.com/office/drawing/2014/chart" uri="{C3380CC4-5D6E-409C-BE32-E72D297353CC}">
              <c16:uniqueId val="{000000A6-4A57-4DD2-9273-78A6CC3D8BF6}"/>
            </c:ext>
          </c:extLst>
        </c:ser>
        <c:ser>
          <c:idx val="139"/>
          <c:order val="139"/>
          <c:tx>
            <c:v>x=0.0276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2.7600000000000003E-2</c:v>
              </c:pt>
              <c:pt idx="1">
                <c:v>2.7600000000000003E-2</c:v>
              </c:pt>
            </c:numLit>
          </c:yVal>
          <c:smooth val="0"/>
          <c:extLst>
            <c:ext xmlns:c16="http://schemas.microsoft.com/office/drawing/2014/chart" uri="{C3380CC4-5D6E-409C-BE32-E72D297353CC}">
              <c16:uniqueId val="{000000A7-4A57-4DD2-9273-78A6CC3D8BF6}"/>
            </c:ext>
          </c:extLst>
        </c:ser>
        <c:ser>
          <c:idx val="140"/>
          <c:order val="140"/>
          <c:tx>
            <c:v>x=0.0278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2.7800000000000002E-2</c:v>
              </c:pt>
              <c:pt idx="1">
                <c:v>2.7800000000000002E-2</c:v>
              </c:pt>
            </c:numLit>
          </c:yVal>
          <c:smooth val="0"/>
          <c:extLst>
            <c:ext xmlns:c16="http://schemas.microsoft.com/office/drawing/2014/chart" uri="{C3380CC4-5D6E-409C-BE32-E72D297353CC}">
              <c16:uniqueId val="{000000A8-4A57-4DD2-9273-78A6CC3D8BF6}"/>
            </c:ext>
          </c:extLst>
        </c:ser>
        <c:ser>
          <c:idx val="141"/>
          <c:order val="141"/>
          <c:tx>
            <c:v>x=0.028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9-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29.385320079522867</c:v>
              </c:pt>
              <c:pt idx="1">
                <c:v>50.8</c:v>
              </c:pt>
            </c:numLit>
          </c:xVal>
          <c:yVal>
            <c:numLit>
              <c:formatCode>General</c:formatCode>
              <c:ptCount val="2"/>
              <c:pt idx="0">
                <c:v>2.8000000000000001E-2</c:v>
              </c:pt>
              <c:pt idx="1">
                <c:v>2.8000000000000001E-2</c:v>
              </c:pt>
            </c:numLit>
          </c:yVal>
          <c:smooth val="0"/>
          <c:extLst>
            <c:ext xmlns:c16="http://schemas.microsoft.com/office/drawing/2014/chart" uri="{C3380CC4-5D6E-409C-BE32-E72D297353CC}">
              <c16:uniqueId val="{000000AA-4A57-4DD2-9273-78A6CC3D8BF6}"/>
            </c:ext>
          </c:extLst>
        </c:ser>
        <c:ser>
          <c:idx val="142"/>
          <c:order val="142"/>
          <c:tx>
            <c:v>x=0.0282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2.8200000000000003E-2</c:v>
              </c:pt>
              <c:pt idx="1">
                <c:v>2.8200000000000003E-2</c:v>
              </c:pt>
            </c:numLit>
          </c:yVal>
          <c:smooth val="0"/>
          <c:extLst>
            <c:ext xmlns:c16="http://schemas.microsoft.com/office/drawing/2014/chart" uri="{C3380CC4-5D6E-409C-BE32-E72D297353CC}">
              <c16:uniqueId val="{000000AB-4A57-4DD2-9273-78A6CC3D8BF6}"/>
            </c:ext>
          </c:extLst>
        </c:ser>
        <c:ser>
          <c:idx val="143"/>
          <c:order val="143"/>
          <c:tx>
            <c:v>x=0.0284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2.8400000000000002E-2</c:v>
              </c:pt>
              <c:pt idx="1">
                <c:v>2.8400000000000002E-2</c:v>
              </c:pt>
            </c:numLit>
          </c:yVal>
          <c:smooth val="0"/>
          <c:extLst>
            <c:ext xmlns:c16="http://schemas.microsoft.com/office/drawing/2014/chart" uri="{C3380CC4-5D6E-409C-BE32-E72D297353CC}">
              <c16:uniqueId val="{000000AC-4A57-4DD2-9273-78A6CC3D8BF6}"/>
            </c:ext>
          </c:extLst>
        </c:ser>
        <c:ser>
          <c:idx val="144"/>
          <c:order val="144"/>
          <c:tx>
            <c:v>x=0.0286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2.86E-2</c:v>
              </c:pt>
              <c:pt idx="1">
                <c:v>2.86E-2</c:v>
              </c:pt>
            </c:numLit>
          </c:yVal>
          <c:smooth val="0"/>
          <c:extLst>
            <c:ext xmlns:c16="http://schemas.microsoft.com/office/drawing/2014/chart" uri="{C3380CC4-5D6E-409C-BE32-E72D297353CC}">
              <c16:uniqueId val="{000000AD-4A57-4DD2-9273-78A6CC3D8BF6}"/>
            </c:ext>
          </c:extLst>
        </c:ser>
        <c:ser>
          <c:idx val="145"/>
          <c:order val="145"/>
          <c:tx>
            <c:v>x=0.0288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2.8800000000000003E-2</c:v>
              </c:pt>
              <c:pt idx="1">
                <c:v>2.8800000000000003E-2</c:v>
              </c:pt>
            </c:numLit>
          </c:yVal>
          <c:smooth val="0"/>
          <c:extLst>
            <c:ext xmlns:c16="http://schemas.microsoft.com/office/drawing/2014/chart" uri="{C3380CC4-5D6E-409C-BE32-E72D297353CC}">
              <c16:uniqueId val="{000000AE-4A57-4DD2-9273-78A6CC3D8BF6}"/>
            </c:ext>
          </c:extLst>
        </c:ser>
        <c:ser>
          <c:idx val="146"/>
          <c:order val="146"/>
          <c:tx>
            <c:v>x=0.029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F-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29.970716302186883</c:v>
              </c:pt>
              <c:pt idx="1">
                <c:v>50.8</c:v>
              </c:pt>
            </c:numLit>
          </c:xVal>
          <c:yVal>
            <c:numLit>
              <c:formatCode>General</c:formatCode>
              <c:ptCount val="2"/>
              <c:pt idx="0">
                <c:v>2.9000000000000001E-2</c:v>
              </c:pt>
              <c:pt idx="1">
                <c:v>2.9000000000000001E-2</c:v>
              </c:pt>
            </c:numLit>
          </c:yVal>
          <c:smooth val="0"/>
          <c:extLst>
            <c:ext xmlns:c16="http://schemas.microsoft.com/office/drawing/2014/chart" uri="{C3380CC4-5D6E-409C-BE32-E72D297353CC}">
              <c16:uniqueId val="{000000B0-4A57-4DD2-9273-78A6CC3D8BF6}"/>
            </c:ext>
          </c:extLst>
        </c:ser>
        <c:ser>
          <c:idx val="147"/>
          <c:order val="147"/>
          <c:tx>
            <c:v>x=0.0292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2.92E-2</c:v>
              </c:pt>
              <c:pt idx="1">
                <c:v>2.92E-2</c:v>
              </c:pt>
            </c:numLit>
          </c:yVal>
          <c:smooth val="0"/>
          <c:extLst>
            <c:ext xmlns:c16="http://schemas.microsoft.com/office/drawing/2014/chart" uri="{C3380CC4-5D6E-409C-BE32-E72D297353CC}">
              <c16:uniqueId val="{000000B1-4A57-4DD2-9273-78A6CC3D8BF6}"/>
            </c:ext>
          </c:extLst>
        </c:ser>
        <c:ser>
          <c:idx val="148"/>
          <c:order val="148"/>
          <c:tx>
            <c:v>x=0.0294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2.9400000000000003E-2</c:v>
              </c:pt>
              <c:pt idx="1">
                <c:v>2.9400000000000003E-2</c:v>
              </c:pt>
            </c:numLit>
          </c:yVal>
          <c:smooth val="0"/>
          <c:extLst>
            <c:ext xmlns:c16="http://schemas.microsoft.com/office/drawing/2014/chart" uri="{C3380CC4-5D6E-409C-BE32-E72D297353CC}">
              <c16:uniqueId val="{000000B2-4A57-4DD2-9273-78A6CC3D8BF6}"/>
            </c:ext>
          </c:extLst>
        </c:ser>
        <c:ser>
          <c:idx val="149"/>
          <c:order val="149"/>
          <c:tx>
            <c:v>x=0.0296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2.9600000000000001E-2</c:v>
              </c:pt>
              <c:pt idx="1">
                <c:v>2.9600000000000001E-2</c:v>
              </c:pt>
            </c:numLit>
          </c:yVal>
          <c:smooth val="0"/>
          <c:extLst>
            <c:ext xmlns:c16="http://schemas.microsoft.com/office/drawing/2014/chart" uri="{C3380CC4-5D6E-409C-BE32-E72D297353CC}">
              <c16:uniqueId val="{000000B3-4A57-4DD2-9273-78A6CC3D8BF6}"/>
            </c:ext>
          </c:extLst>
        </c:ser>
        <c:ser>
          <c:idx val="150"/>
          <c:order val="150"/>
          <c:tx>
            <c:v>x=0.0298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2.98E-2</c:v>
              </c:pt>
              <c:pt idx="1">
                <c:v>2.98E-2</c:v>
              </c:pt>
            </c:numLit>
          </c:yVal>
          <c:smooth val="0"/>
          <c:extLst>
            <c:ext xmlns:c16="http://schemas.microsoft.com/office/drawing/2014/chart" uri="{C3380CC4-5D6E-409C-BE32-E72D297353CC}">
              <c16:uniqueId val="{000000B4-4A57-4DD2-9273-78A6CC3D8BF6}"/>
            </c:ext>
          </c:extLst>
        </c:ser>
        <c:ser>
          <c:idx val="151"/>
          <c:order val="151"/>
          <c:tx>
            <c:v>x=0.03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5-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30.537184890656061</c:v>
              </c:pt>
              <c:pt idx="1">
                <c:v>50.8</c:v>
              </c:pt>
            </c:numLit>
          </c:xVal>
          <c:yVal>
            <c:numLit>
              <c:formatCode>General</c:formatCode>
              <c:ptCount val="2"/>
              <c:pt idx="0">
                <c:v>3.0000000000000002E-2</c:v>
              </c:pt>
              <c:pt idx="1">
                <c:v>3.0000000000000002E-2</c:v>
              </c:pt>
            </c:numLit>
          </c:yVal>
          <c:smooth val="0"/>
          <c:extLst>
            <c:ext xmlns:c16="http://schemas.microsoft.com/office/drawing/2014/chart" uri="{C3380CC4-5D6E-409C-BE32-E72D297353CC}">
              <c16:uniqueId val="{000000B6-4A57-4DD2-9273-78A6CC3D8BF6}"/>
            </c:ext>
          </c:extLst>
        </c:ser>
        <c:ser>
          <c:idx val="152"/>
          <c:order val="152"/>
          <c:tx>
            <c:v>x=0.0302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3.0200000000000001E-2</c:v>
              </c:pt>
              <c:pt idx="1">
                <c:v>3.0200000000000001E-2</c:v>
              </c:pt>
            </c:numLit>
          </c:yVal>
          <c:smooth val="0"/>
          <c:extLst>
            <c:ext xmlns:c16="http://schemas.microsoft.com/office/drawing/2014/chart" uri="{C3380CC4-5D6E-409C-BE32-E72D297353CC}">
              <c16:uniqueId val="{000000B7-4A57-4DD2-9273-78A6CC3D8BF6}"/>
            </c:ext>
          </c:extLst>
        </c:ser>
        <c:ser>
          <c:idx val="153"/>
          <c:order val="153"/>
          <c:tx>
            <c:v>x=0.0304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3.04E-2</c:v>
              </c:pt>
              <c:pt idx="1">
                <c:v>3.04E-2</c:v>
              </c:pt>
            </c:numLit>
          </c:yVal>
          <c:smooth val="0"/>
          <c:extLst>
            <c:ext xmlns:c16="http://schemas.microsoft.com/office/drawing/2014/chart" uri="{C3380CC4-5D6E-409C-BE32-E72D297353CC}">
              <c16:uniqueId val="{000000B8-4A57-4DD2-9273-78A6CC3D8BF6}"/>
            </c:ext>
          </c:extLst>
        </c:ser>
        <c:ser>
          <c:idx val="154"/>
          <c:order val="154"/>
          <c:tx>
            <c:v>x=0.0306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3.0600000000000002E-2</c:v>
              </c:pt>
              <c:pt idx="1">
                <c:v>3.0600000000000002E-2</c:v>
              </c:pt>
            </c:numLit>
          </c:yVal>
          <c:smooth val="0"/>
          <c:extLst>
            <c:ext xmlns:c16="http://schemas.microsoft.com/office/drawing/2014/chart" uri="{C3380CC4-5D6E-409C-BE32-E72D297353CC}">
              <c16:uniqueId val="{000000B9-4A57-4DD2-9273-78A6CC3D8BF6}"/>
            </c:ext>
          </c:extLst>
        </c:ser>
        <c:ser>
          <c:idx val="155"/>
          <c:order val="155"/>
          <c:tx>
            <c:v>x=0.0308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3.0800000000000001E-2</c:v>
              </c:pt>
              <c:pt idx="1">
                <c:v>3.0800000000000001E-2</c:v>
              </c:pt>
            </c:numLit>
          </c:yVal>
          <c:smooth val="0"/>
          <c:extLst>
            <c:ext xmlns:c16="http://schemas.microsoft.com/office/drawing/2014/chart" uri="{C3380CC4-5D6E-409C-BE32-E72D297353CC}">
              <c16:uniqueId val="{000000BA-4A57-4DD2-9273-78A6CC3D8BF6}"/>
            </c:ext>
          </c:extLst>
        </c:ser>
        <c:ser>
          <c:idx val="156"/>
          <c:order val="156"/>
          <c:tx>
            <c:v>x=0.031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B-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31.084614910536782</c:v>
              </c:pt>
              <c:pt idx="1">
                <c:v>50.8</c:v>
              </c:pt>
            </c:numLit>
          </c:xVal>
          <c:yVal>
            <c:numLit>
              <c:formatCode>General</c:formatCode>
              <c:ptCount val="2"/>
              <c:pt idx="0">
                <c:v>3.1E-2</c:v>
              </c:pt>
              <c:pt idx="1">
                <c:v>3.1E-2</c:v>
              </c:pt>
            </c:numLit>
          </c:yVal>
          <c:smooth val="0"/>
          <c:extLst>
            <c:ext xmlns:c16="http://schemas.microsoft.com/office/drawing/2014/chart" uri="{C3380CC4-5D6E-409C-BE32-E72D297353CC}">
              <c16:uniqueId val="{000000BC-4A57-4DD2-9273-78A6CC3D8BF6}"/>
            </c:ext>
          </c:extLst>
        </c:ser>
        <c:ser>
          <c:idx val="157"/>
          <c:order val="157"/>
          <c:tx>
            <c:v>x=0.0312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3.1200000000000002E-2</c:v>
              </c:pt>
              <c:pt idx="1">
                <c:v>3.1200000000000002E-2</c:v>
              </c:pt>
            </c:numLit>
          </c:yVal>
          <c:smooth val="0"/>
          <c:extLst>
            <c:ext xmlns:c16="http://schemas.microsoft.com/office/drawing/2014/chart" uri="{C3380CC4-5D6E-409C-BE32-E72D297353CC}">
              <c16:uniqueId val="{000000BD-4A57-4DD2-9273-78A6CC3D8BF6}"/>
            </c:ext>
          </c:extLst>
        </c:ser>
        <c:ser>
          <c:idx val="158"/>
          <c:order val="158"/>
          <c:tx>
            <c:v>x=0.0314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3.1400000000000004E-2</c:v>
              </c:pt>
              <c:pt idx="1">
                <c:v>3.1400000000000004E-2</c:v>
              </c:pt>
            </c:numLit>
          </c:yVal>
          <c:smooth val="0"/>
          <c:extLst>
            <c:ext xmlns:c16="http://schemas.microsoft.com/office/drawing/2014/chart" uri="{C3380CC4-5D6E-409C-BE32-E72D297353CC}">
              <c16:uniqueId val="{000000BE-4A57-4DD2-9273-78A6CC3D8BF6}"/>
            </c:ext>
          </c:extLst>
        </c:ser>
        <c:ser>
          <c:idx val="159"/>
          <c:order val="159"/>
          <c:tx>
            <c:v>x=0.0316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3.1600000000000003E-2</c:v>
              </c:pt>
              <c:pt idx="1">
                <c:v>3.1600000000000003E-2</c:v>
              </c:pt>
            </c:numLit>
          </c:yVal>
          <c:smooth val="0"/>
          <c:extLst>
            <c:ext xmlns:c16="http://schemas.microsoft.com/office/drawing/2014/chart" uri="{C3380CC4-5D6E-409C-BE32-E72D297353CC}">
              <c16:uniqueId val="{000000BF-4A57-4DD2-9273-78A6CC3D8BF6}"/>
            </c:ext>
          </c:extLst>
        </c:ser>
        <c:ser>
          <c:idx val="160"/>
          <c:order val="160"/>
          <c:tx>
            <c:v>x=0.0318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3.1800000000000002E-2</c:v>
              </c:pt>
              <c:pt idx="1">
                <c:v>3.1800000000000002E-2</c:v>
              </c:pt>
            </c:numLit>
          </c:yVal>
          <c:smooth val="0"/>
          <c:extLst>
            <c:ext xmlns:c16="http://schemas.microsoft.com/office/drawing/2014/chart" uri="{C3380CC4-5D6E-409C-BE32-E72D297353CC}">
              <c16:uniqueId val="{000000C0-4A57-4DD2-9273-78A6CC3D8BF6}"/>
            </c:ext>
          </c:extLst>
        </c:ser>
        <c:ser>
          <c:idx val="161"/>
          <c:order val="161"/>
          <c:tx>
            <c:v>x=0.032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1-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31.623487077534794</c:v>
              </c:pt>
              <c:pt idx="1">
                <c:v>50.8</c:v>
              </c:pt>
            </c:numLit>
          </c:xVal>
          <c:yVal>
            <c:numLit>
              <c:formatCode>General</c:formatCode>
              <c:ptCount val="2"/>
              <c:pt idx="0">
                <c:v>3.2000000000000001E-2</c:v>
              </c:pt>
              <c:pt idx="1">
                <c:v>3.2000000000000001E-2</c:v>
              </c:pt>
            </c:numLit>
          </c:yVal>
          <c:smooth val="0"/>
          <c:extLst>
            <c:ext xmlns:c16="http://schemas.microsoft.com/office/drawing/2014/chart" uri="{C3380CC4-5D6E-409C-BE32-E72D297353CC}">
              <c16:uniqueId val="{000000C2-4A57-4DD2-9273-78A6CC3D8BF6}"/>
            </c:ext>
          </c:extLst>
        </c:ser>
        <c:ser>
          <c:idx val="162"/>
          <c:order val="162"/>
          <c:tx>
            <c:v>x=0.0322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3.2199999999999999E-2</c:v>
              </c:pt>
              <c:pt idx="1">
                <c:v>3.2199999999999999E-2</c:v>
              </c:pt>
            </c:numLit>
          </c:yVal>
          <c:smooth val="0"/>
          <c:extLst>
            <c:ext xmlns:c16="http://schemas.microsoft.com/office/drawing/2014/chart" uri="{C3380CC4-5D6E-409C-BE32-E72D297353CC}">
              <c16:uniqueId val="{000000C3-4A57-4DD2-9273-78A6CC3D8BF6}"/>
            </c:ext>
          </c:extLst>
        </c:ser>
        <c:ser>
          <c:idx val="163"/>
          <c:order val="163"/>
          <c:tx>
            <c:v>x=0.0324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3.2399999999999998E-2</c:v>
              </c:pt>
              <c:pt idx="1">
                <c:v>3.2399999999999998E-2</c:v>
              </c:pt>
            </c:numLit>
          </c:yVal>
          <c:smooth val="0"/>
          <c:extLst>
            <c:ext xmlns:c16="http://schemas.microsoft.com/office/drawing/2014/chart" uri="{C3380CC4-5D6E-409C-BE32-E72D297353CC}">
              <c16:uniqueId val="{000000C4-4A57-4DD2-9273-78A6CC3D8BF6}"/>
            </c:ext>
          </c:extLst>
        </c:ser>
        <c:ser>
          <c:idx val="164"/>
          <c:order val="164"/>
          <c:tx>
            <c:v>x=0.0326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3.2600000000000004E-2</c:v>
              </c:pt>
              <c:pt idx="1">
                <c:v>3.2600000000000004E-2</c:v>
              </c:pt>
            </c:numLit>
          </c:yVal>
          <c:smooth val="0"/>
          <c:extLst>
            <c:ext xmlns:c16="http://schemas.microsoft.com/office/drawing/2014/chart" uri="{C3380CC4-5D6E-409C-BE32-E72D297353CC}">
              <c16:uniqueId val="{000000C5-4A57-4DD2-9273-78A6CC3D8BF6}"/>
            </c:ext>
          </c:extLst>
        </c:ser>
        <c:ser>
          <c:idx val="165"/>
          <c:order val="165"/>
          <c:tx>
            <c:v>x=0.0328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3.2800000000000003E-2</c:v>
              </c:pt>
              <c:pt idx="1">
                <c:v>3.2800000000000003E-2</c:v>
              </c:pt>
            </c:numLit>
          </c:yVal>
          <c:smooth val="0"/>
          <c:extLst>
            <c:ext xmlns:c16="http://schemas.microsoft.com/office/drawing/2014/chart" uri="{C3380CC4-5D6E-409C-BE32-E72D297353CC}">
              <c16:uniqueId val="{000000C6-4A57-4DD2-9273-78A6CC3D8BF6}"/>
            </c:ext>
          </c:extLst>
        </c:ser>
        <c:ser>
          <c:idx val="166"/>
          <c:order val="166"/>
          <c:tx>
            <c:v>x=0.033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7-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32.143135785288273</c:v>
              </c:pt>
              <c:pt idx="1">
                <c:v>50.8</c:v>
              </c:pt>
            </c:numLit>
          </c:xVal>
          <c:yVal>
            <c:numLit>
              <c:formatCode>General</c:formatCode>
              <c:ptCount val="2"/>
              <c:pt idx="0">
                <c:v>3.3000000000000002E-2</c:v>
              </c:pt>
              <c:pt idx="1">
                <c:v>3.3000000000000002E-2</c:v>
              </c:pt>
            </c:numLit>
          </c:yVal>
          <c:smooth val="0"/>
          <c:extLst>
            <c:ext xmlns:c16="http://schemas.microsoft.com/office/drawing/2014/chart" uri="{C3380CC4-5D6E-409C-BE32-E72D297353CC}">
              <c16:uniqueId val="{000000C8-4A57-4DD2-9273-78A6CC3D8BF6}"/>
            </c:ext>
          </c:extLst>
        </c:ser>
        <c:ser>
          <c:idx val="167"/>
          <c:order val="167"/>
          <c:tx>
            <c:v>x=0.0332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3.32E-2</c:v>
              </c:pt>
              <c:pt idx="1">
                <c:v>3.32E-2</c:v>
              </c:pt>
            </c:numLit>
          </c:yVal>
          <c:smooth val="0"/>
          <c:extLst>
            <c:ext xmlns:c16="http://schemas.microsoft.com/office/drawing/2014/chart" uri="{C3380CC4-5D6E-409C-BE32-E72D297353CC}">
              <c16:uniqueId val="{000000C9-4A57-4DD2-9273-78A6CC3D8BF6}"/>
            </c:ext>
          </c:extLst>
        </c:ser>
        <c:ser>
          <c:idx val="168"/>
          <c:order val="168"/>
          <c:tx>
            <c:v>x=0.0334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3.3399999999999999E-2</c:v>
              </c:pt>
              <c:pt idx="1">
                <c:v>3.3399999999999999E-2</c:v>
              </c:pt>
            </c:numLit>
          </c:yVal>
          <c:smooth val="0"/>
          <c:extLst>
            <c:ext xmlns:c16="http://schemas.microsoft.com/office/drawing/2014/chart" uri="{C3380CC4-5D6E-409C-BE32-E72D297353CC}">
              <c16:uniqueId val="{000000CA-4A57-4DD2-9273-78A6CC3D8BF6}"/>
            </c:ext>
          </c:extLst>
        </c:ser>
        <c:ser>
          <c:idx val="169"/>
          <c:order val="169"/>
          <c:tx>
            <c:v>x=0.0336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3.3600000000000005E-2</c:v>
              </c:pt>
              <c:pt idx="1">
                <c:v>3.3600000000000005E-2</c:v>
              </c:pt>
            </c:numLit>
          </c:yVal>
          <c:smooth val="0"/>
          <c:extLst>
            <c:ext xmlns:c16="http://schemas.microsoft.com/office/drawing/2014/chart" uri="{C3380CC4-5D6E-409C-BE32-E72D297353CC}">
              <c16:uniqueId val="{000000CB-4A57-4DD2-9273-78A6CC3D8BF6}"/>
            </c:ext>
          </c:extLst>
        </c:ser>
        <c:ser>
          <c:idx val="170"/>
          <c:order val="170"/>
          <c:tx>
            <c:v>x=0.0338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3.3800000000000004E-2</c:v>
              </c:pt>
              <c:pt idx="1">
                <c:v>3.3800000000000004E-2</c:v>
              </c:pt>
            </c:numLit>
          </c:yVal>
          <c:smooth val="0"/>
          <c:extLst>
            <c:ext xmlns:c16="http://schemas.microsoft.com/office/drawing/2014/chart" uri="{C3380CC4-5D6E-409C-BE32-E72D297353CC}">
              <c16:uniqueId val="{000000CC-4A57-4DD2-9273-78A6CC3D8BF6}"/>
            </c:ext>
          </c:extLst>
        </c:ser>
        <c:ser>
          <c:idx val="171"/>
          <c:order val="171"/>
          <c:tx>
            <c:v>x=0.034</c:v>
          </c:tx>
          <c:spPr>
            <a:ln w="3175">
              <a:solidFill>
                <a:srgbClr val="000000"/>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D-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-10.178000000000001</c:v>
              </c:pt>
              <c:pt idx="1">
                <c:v>50.8</c:v>
              </c:pt>
            </c:numLit>
          </c:xVal>
          <c:yVal>
            <c:numLit>
              <c:formatCode>General</c:formatCode>
              <c:ptCount val="2"/>
              <c:pt idx="0">
                <c:v>3.4000000000000002E-2</c:v>
              </c:pt>
              <c:pt idx="1">
                <c:v>3.4000000000000002E-2</c:v>
              </c:pt>
            </c:numLit>
          </c:yVal>
          <c:smooth val="0"/>
          <c:extLst>
            <c:ext xmlns:c16="http://schemas.microsoft.com/office/drawing/2014/chart" uri="{C3380CC4-5D6E-409C-BE32-E72D297353CC}">
              <c16:uniqueId val="{000000CE-4A57-4DD2-9273-78A6CC3D8BF6}"/>
            </c:ext>
          </c:extLst>
        </c:ser>
        <c:ser>
          <c:idx val="172"/>
          <c:order val="172"/>
          <c:tx>
            <c:v>絶対湿度座標軸ラベル</c:v>
          </c:tx>
          <c:spPr>
            <a:ln w="3175">
              <a:solidFill>
                <a:srgbClr val="000000"/>
              </a:solidFill>
              <a:prstDash val="solid"/>
            </a:ln>
          </c:spPr>
          <c:marker>
            <c:symbol val="none"/>
          </c:marker>
          <c:dLbls>
            <c:dLbl>
              <c:idx val="0"/>
              <c:layout>
                <c:manualLayout>
                  <c:x val="3.8194444444444448E-2"/>
                  <c:y val="0"/>
                </c:manualLayout>
              </c:layout>
              <c:tx>
                <c:rich>
                  <a:bodyPr rot="-540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絶対湿度 </a:t>
                    </a:r>
                    <a:r>
                      <a:rPr lang="en-US"/>
                      <a:t>x[kg/kg(DA)]</a:t>
                    </a:r>
                  </a:p>
                </c:rich>
              </c:tx>
              <c:spPr>
                <a:solidFill>
                  <a:srgbClr val="FFFFFF"/>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F-4A57-4DD2-9273-78A6CC3D8B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50.8</c:v>
              </c:pt>
            </c:numLit>
          </c:xVal>
          <c:yVal>
            <c:numLit>
              <c:formatCode>General</c:formatCode>
              <c:ptCount val="1"/>
              <c:pt idx="0">
                <c:v>1.7000000000000001E-2</c:v>
              </c:pt>
            </c:numLit>
          </c:yVal>
          <c:smooth val="0"/>
          <c:extLst>
            <c:ext xmlns:c16="http://schemas.microsoft.com/office/drawing/2014/chart" uri="{C3380CC4-5D6E-409C-BE32-E72D297353CC}">
              <c16:uniqueId val="{000000D0-4A57-4DD2-9273-78A6CC3D8BF6}"/>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011E-4924-BEEA-FE22ECBFD237}"/>
            </c:ext>
          </c:extLst>
        </c:ser>
        <c:ser>
          <c:idx val="1"/>
          <c:order val="1"/>
          <c:spPr>
            <a:ln w="3175">
              <a:solidFill>
                <a:srgbClr val="000000"/>
              </a:solidFill>
              <a:prstDash val="solid"/>
            </a:ln>
          </c:spPr>
          <c:marker>
            <c:symbol val="none"/>
          </c:marker>
          <c:xVal>
            <c:numLit>
              <c:formatCode>General</c:formatCode>
              <c:ptCount val="2"/>
              <c:pt idx="0">
                <c:v>-3.758</c:v>
              </c:pt>
              <c:pt idx="1">
                <c:v>-4.3579999999999997</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01-011E-4924-BEEA-FE22ECBFD237}"/>
            </c:ext>
          </c:extLst>
        </c:ser>
        <c:ser>
          <c:idx val="2"/>
          <c:order val="2"/>
          <c:spPr>
            <a:ln w="3175">
              <a:solidFill>
                <a:srgbClr val="000000"/>
              </a:solidFill>
              <a:prstDash val="solid"/>
            </a:ln>
          </c:spPr>
          <c:marker>
            <c:symbol val="none"/>
          </c:marker>
          <c:dLbls>
            <c:dLbl>
              <c:idx val="0"/>
              <c:tx>
                <c:rich>
                  <a:bodyPr rot="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1E-4924-BEEA-FE22ECBFD2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-5.1180000000000012</c:v>
              </c:pt>
            </c:numLit>
          </c:xVal>
          <c:yVal>
            <c:numLit>
              <c:formatCode>General</c:formatCode>
              <c:ptCount val="1"/>
              <c:pt idx="0">
                <c:v>2.0930000000000001E-2</c:v>
              </c:pt>
            </c:numLit>
          </c:yVal>
          <c:smooth val="0"/>
          <c:extLst>
            <c:ext xmlns:c16="http://schemas.microsoft.com/office/drawing/2014/chart" uri="{C3380CC4-5D6E-409C-BE32-E72D297353CC}">
              <c16:uniqueId val="{00000003-011E-4924-BEEA-FE22ECBFD237}"/>
            </c:ext>
          </c:extLst>
        </c:ser>
        <c:ser>
          <c:idx val="3"/>
          <c:order val="3"/>
          <c:spPr>
            <a:ln w="3175">
              <a:solidFill>
                <a:srgbClr val="000000"/>
              </a:solidFill>
              <a:prstDash val="solid"/>
            </a:ln>
          </c:spPr>
          <c:marker>
            <c:symbol val="none"/>
          </c:marker>
          <c:xVal>
            <c:numLit>
              <c:formatCode>General</c:formatCode>
              <c:ptCount val="2"/>
              <c:pt idx="0">
                <c:v>-3.7573164307647193</c:v>
              </c:pt>
              <c:pt idx="1">
                <c:v>-4.0572985496633294</c:v>
              </c:pt>
            </c:numLit>
          </c:xVal>
          <c:yVal>
            <c:numLit>
              <c:formatCode>General</c:formatCode>
              <c:ptCount val="2"/>
              <c:pt idx="0">
                <c:v>2.0838150344721491E-2</c:v>
              </c:pt>
              <c:pt idx="1">
                <c:v>2.0835727619644421E-2</c:v>
              </c:pt>
            </c:numLit>
          </c:yVal>
          <c:smooth val="0"/>
          <c:extLst>
            <c:ext xmlns:c16="http://schemas.microsoft.com/office/drawing/2014/chart" uri="{C3380CC4-5D6E-409C-BE32-E72D297353CC}">
              <c16:uniqueId val="{00000004-011E-4924-BEEA-FE22ECBFD237}"/>
            </c:ext>
          </c:extLst>
        </c:ser>
        <c:ser>
          <c:idx val="4"/>
          <c:order val="4"/>
          <c:spPr>
            <a:ln w="3175">
              <a:solidFill>
                <a:srgbClr val="000000"/>
              </a:solidFill>
              <a:prstDash val="solid"/>
            </a:ln>
          </c:spPr>
          <c:marker>
            <c:symbol val="none"/>
          </c:marker>
          <c:xVal>
            <c:numLit>
              <c:formatCode>General</c:formatCode>
              <c:ptCount val="2"/>
              <c:pt idx="0">
                <c:v>-3.7551514284703731</c:v>
              </c:pt>
              <c:pt idx="1">
                <c:v>-4.0550769139387679</c:v>
              </c:pt>
            </c:numLit>
          </c:xVal>
          <c:yVal>
            <c:numLit>
              <c:formatCode>General</c:formatCode>
              <c:ptCount val="2"/>
              <c:pt idx="0">
                <c:v>2.0742509615122581E-2</c:v>
              </c:pt>
              <c:pt idx="1">
                <c:v>2.0737564151791284E-2</c:v>
              </c:pt>
            </c:numLit>
          </c:yVal>
          <c:smooth val="0"/>
          <c:extLst>
            <c:ext xmlns:c16="http://schemas.microsoft.com/office/drawing/2014/chart" uri="{C3380CC4-5D6E-409C-BE32-E72D297353CC}">
              <c16:uniqueId val="{00000005-011E-4924-BEEA-FE22ECBFD237}"/>
            </c:ext>
          </c:extLst>
        </c:ser>
        <c:ser>
          <c:idx val="5"/>
          <c:order val="5"/>
          <c:spPr>
            <a:ln w="3175">
              <a:solidFill>
                <a:srgbClr val="000000"/>
              </a:solidFill>
              <a:prstDash val="solid"/>
            </a:ln>
          </c:spPr>
          <c:marker>
            <c:symbol val="none"/>
          </c:marker>
          <c:xVal>
            <c:numLit>
              <c:formatCode>General</c:formatCode>
              <c:ptCount val="2"/>
              <c:pt idx="0">
                <c:v>-3.7513184851597101</c:v>
              </c:pt>
              <c:pt idx="1">
                <c:v>-4.0511437048590233</c:v>
              </c:pt>
            </c:numLit>
          </c:xVal>
          <c:yVal>
            <c:numLit>
              <c:formatCode>General</c:formatCode>
              <c:ptCount val="2"/>
              <c:pt idx="0">
                <c:v>2.0642878308754005E-2</c:v>
              </c:pt>
              <c:pt idx="1">
                <c:v>2.0635304812162952E-2</c:v>
              </c:pt>
            </c:numLit>
          </c:yVal>
          <c:smooth val="0"/>
          <c:extLst>
            <c:ext xmlns:c16="http://schemas.microsoft.com/office/drawing/2014/chart" uri="{C3380CC4-5D6E-409C-BE32-E72D297353CC}">
              <c16:uniqueId val="{00000006-011E-4924-BEEA-FE22ECBFD237}"/>
            </c:ext>
          </c:extLst>
        </c:ser>
        <c:ser>
          <c:idx val="6"/>
          <c:order val="6"/>
          <c:spPr>
            <a:ln w="3175">
              <a:solidFill>
                <a:srgbClr val="000000"/>
              </a:solidFill>
              <a:prstDash val="solid"/>
            </a:ln>
          </c:spPr>
          <c:marker>
            <c:symbol val="none"/>
          </c:marker>
          <c:xVal>
            <c:numLit>
              <c:formatCode>General</c:formatCode>
              <c:ptCount val="2"/>
              <c:pt idx="0">
                <c:v>-3.7456091126033786</c:v>
              </c:pt>
              <c:pt idx="1">
                <c:v>-4.0452849779513329</c:v>
              </c:pt>
            </c:numLit>
          </c:xVal>
          <c:yVal>
            <c:numLit>
              <c:formatCode>General</c:formatCode>
              <c:ptCount val="2"/>
              <c:pt idx="0">
                <c:v>2.0539046809061261E-2</c:v>
              </c:pt>
              <c:pt idx="1">
                <c:v>2.0528734430821465E-2</c:v>
              </c:pt>
            </c:numLit>
          </c:yVal>
          <c:smooth val="0"/>
          <c:extLst>
            <c:ext xmlns:c16="http://schemas.microsoft.com/office/drawing/2014/chart" uri="{C3380CC4-5D6E-409C-BE32-E72D297353CC}">
              <c16:uniqueId val="{00000007-011E-4924-BEEA-FE22ECBFD237}"/>
            </c:ext>
          </c:extLst>
        </c:ser>
        <c:ser>
          <c:idx val="7"/>
          <c:order val="7"/>
          <c:spPr>
            <a:ln w="3175">
              <a:solidFill>
                <a:srgbClr val="000000"/>
              </a:solidFill>
              <a:prstDash val="solid"/>
            </a:ln>
          </c:spPr>
          <c:marker>
            <c:symbol val="none"/>
          </c:marker>
          <c:xVal>
            <c:numLit>
              <c:formatCode>General</c:formatCode>
              <c:ptCount val="2"/>
              <c:pt idx="0">
                <c:v>-3.7377902586290985</c:v>
              </c:pt>
              <c:pt idx="1">
                <c:v>-4.3367333533434707</c:v>
              </c:pt>
            </c:numLit>
          </c:xVal>
          <c:yVal>
            <c:numLit>
              <c:formatCode>General</c:formatCode>
              <c:ptCount val="2"/>
              <c:pt idx="0">
                <c:v>2.0430795350641542E-2</c:v>
              </c:pt>
              <c:pt idx="1">
                <c:v>2.0404465069727713E-2</c:v>
              </c:pt>
            </c:numLit>
          </c:yVal>
          <c:smooth val="0"/>
          <c:extLst>
            <c:ext xmlns:c16="http://schemas.microsoft.com/office/drawing/2014/chart" uri="{C3380CC4-5D6E-409C-BE32-E72D297353CC}">
              <c16:uniqueId val="{00000008-011E-4924-BEEA-FE22ECBFD237}"/>
            </c:ext>
          </c:extLst>
        </c:ser>
        <c:ser>
          <c:idx val="8"/>
          <c:order val="8"/>
          <c:spPr>
            <a:ln w="3175">
              <a:solidFill>
                <a:srgbClr val="000000"/>
              </a:solidFill>
              <a:prstDash val="solid"/>
            </a:ln>
          </c:spPr>
          <c:marker>
            <c:symbol val="none"/>
          </c:marker>
          <c:dLbls>
            <c:dLbl>
              <c:idx val="0"/>
              <c:tx>
                <c:rich>
                  <a:bodyPr rot="-1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1E-4924-BEEA-FE22ECBFD2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-5.0953971933505686</c:v>
              </c:pt>
            </c:numLit>
          </c:xVal>
          <c:yVal>
            <c:numLit>
              <c:formatCode>General</c:formatCode>
              <c:ptCount val="1"/>
              <c:pt idx="0">
                <c:v>2.037114545104227E-2</c:v>
              </c:pt>
            </c:numLit>
          </c:yVal>
          <c:smooth val="0"/>
          <c:extLst>
            <c:ext xmlns:c16="http://schemas.microsoft.com/office/drawing/2014/chart" uri="{C3380CC4-5D6E-409C-BE32-E72D297353CC}">
              <c16:uniqueId val="{0000000A-011E-4924-BEEA-FE22ECBFD237}"/>
            </c:ext>
          </c:extLst>
        </c:ser>
        <c:ser>
          <c:idx val="9"/>
          <c:order val="9"/>
          <c:spPr>
            <a:ln w="3175">
              <a:solidFill>
                <a:srgbClr val="000000"/>
              </a:solidFill>
              <a:prstDash val="solid"/>
            </a:ln>
          </c:spPr>
          <c:marker>
            <c:symbol val="none"/>
          </c:marker>
          <c:xVal>
            <c:numLit>
              <c:formatCode>General</c:formatCode>
              <c:ptCount val="2"/>
              <c:pt idx="0">
                <c:v>-3.7276014439375182</c:v>
              </c:pt>
              <c:pt idx="1">
                <c:v>-4.0268062128221214</c:v>
              </c:pt>
            </c:numLit>
          </c:xVal>
          <c:yVal>
            <c:numLit>
              <c:formatCode>General</c:formatCode>
              <c:ptCount val="2"/>
              <c:pt idx="0">
                <c:v>2.0317894135552732E-2</c:v>
              </c:pt>
              <c:pt idx="1">
                <c:v>2.0301747870289474E-2</c:v>
              </c:pt>
            </c:numLit>
          </c:yVal>
          <c:smooth val="0"/>
          <c:extLst>
            <c:ext xmlns:c16="http://schemas.microsoft.com/office/drawing/2014/chart" uri="{C3380CC4-5D6E-409C-BE32-E72D297353CC}">
              <c16:uniqueId val="{0000000B-011E-4924-BEEA-FE22ECBFD237}"/>
            </c:ext>
          </c:extLst>
        </c:ser>
        <c:ser>
          <c:idx val="10"/>
          <c:order val="10"/>
          <c:spPr>
            <a:ln w="3175">
              <a:solidFill>
                <a:srgbClr val="000000"/>
              </a:solidFill>
              <a:prstDash val="solid"/>
            </a:ln>
          </c:spPr>
          <c:marker>
            <c:symbol val="none"/>
          </c:marker>
          <c:xVal>
            <c:numLit>
              <c:formatCode>General</c:formatCode>
              <c:ptCount val="2"/>
              <c:pt idx="0">
                <c:v>-3.7147516008544463</c:v>
              </c:pt>
              <c:pt idx="1">
                <c:v>-4.0136201835408292</c:v>
              </c:pt>
            </c:numLit>
          </c:xVal>
          <c:yVal>
            <c:numLit>
              <c:formatCode>General</c:formatCode>
              <c:ptCount val="2"/>
              <c:pt idx="0">
                <c:v>2.0200103644625281E-2</c:v>
              </c:pt>
              <c:pt idx="1">
                <c:v>2.0180849913089945E-2</c:v>
              </c:pt>
            </c:numLit>
          </c:yVal>
          <c:smooth val="0"/>
          <c:extLst>
            <c:ext xmlns:c16="http://schemas.microsoft.com/office/drawing/2014/chart" uri="{C3380CC4-5D6E-409C-BE32-E72D297353CC}">
              <c16:uniqueId val="{0000000C-011E-4924-BEEA-FE22ECBFD237}"/>
            </c:ext>
          </c:extLst>
        </c:ser>
        <c:ser>
          <c:idx val="11"/>
          <c:order val="11"/>
          <c:spPr>
            <a:ln w="3175">
              <a:solidFill>
                <a:srgbClr val="000000"/>
              </a:solidFill>
              <a:prstDash val="solid"/>
            </a:ln>
          </c:spPr>
          <c:marker>
            <c:symbol val="none"/>
          </c:marker>
          <c:xVal>
            <c:numLit>
              <c:formatCode>General</c:formatCode>
              <c:ptCount val="2"/>
              <c:pt idx="0">
                <c:v>-3.6989155989247418</c:v>
              </c:pt>
              <c:pt idx="1">
                <c:v>-3.9973698432209668</c:v>
              </c:pt>
            </c:numLit>
          </c:xVal>
          <c:yVal>
            <c:numLit>
              <c:formatCode>General</c:formatCode>
              <c:ptCount val="2"/>
              <c:pt idx="0">
                <c:v>2.0077175197246788E-2</c:v>
              </c:pt>
              <c:pt idx="1">
                <c:v>2.0054678249479638E-2</c:v>
              </c:pt>
            </c:numLit>
          </c:yVal>
          <c:smooth val="0"/>
          <c:extLst>
            <c:ext xmlns:c16="http://schemas.microsoft.com/office/drawing/2014/chart" uri="{C3380CC4-5D6E-409C-BE32-E72D297353CC}">
              <c16:uniqueId val="{0000000D-011E-4924-BEEA-FE22ECBFD237}"/>
            </c:ext>
          </c:extLst>
        </c:ser>
        <c:ser>
          <c:idx val="12"/>
          <c:order val="12"/>
          <c:spPr>
            <a:ln w="3175">
              <a:solidFill>
                <a:srgbClr val="000000"/>
              </a:solidFill>
              <a:prstDash val="solid"/>
            </a:ln>
          </c:spPr>
          <c:marker>
            <c:symbol val="none"/>
          </c:marker>
          <c:xVal>
            <c:numLit>
              <c:formatCode>General</c:formatCode>
              <c:ptCount val="2"/>
              <c:pt idx="0">
                <c:v>-3.6797304479524238</c:v>
              </c:pt>
              <c:pt idx="1">
                <c:v>-3.9776826867646431</c:v>
              </c:pt>
            </c:numLit>
          </c:xVal>
          <c:yVal>
            <c:numLit>
              <c:formatCode>General</c:formatCode>
              <c:ptCount val="2"/>
              <c:pt idx="0">
                <c:v>1.9948851824198272E-2</c:v>
              </c:pt>
              <c:pt idx="1">
                <c:v>1.9922969066463295E-2</c:v>
              </c:pt>
            </c:numLit>
          </c:yVal>
          <c:smooth val="0"/>
          <c:extLst>
            <c:ext xmlns:c16="http://schemas.microsoft.com/office/drawing/2014/chart" uri="{C3380CC4-5D6E-409C-BE32-E72D297353CC}">
              <c16:uniqueId val="{0000000E-011E-4924-BEEA-FE22ECBFD237}"/>
            </c:ext>
          </c:extLst>
        </c:ser>
        <c:ser>
          <c:idx val="13"/>
          <c:order val="13"/>
          <c:spPr>
            <a:ln w="3175">
              <a:solidFill>
                <a:srgbClr val="000000"/>
              </a:solidFill>
              <a:prstDash val="solid"/>
            </a:ln>
          </c:spPr>
          <c:marker>
            <c:symbol val="none"/>
          </c:marker>
          <c:xVal>
            <c:numLit>
              <c:formatCode>General</c:formatCode>
              <c:ptCount val="2"/>
              <c:pt idx="0">
                <c:v>-3.6567911778075404</c:v>
              </c:pt>
              <c:pt idx="1">
                <c:v>-4.2514973042485202</c:v>
              </c:pt>
            </c:numLit>
          </c:xVal>
          <c:yVal>
            <c:numLit>
              <c:formatCode>General</c:formatCode>
              <c:ptCount val="2"/>
              <c:pt idx="0">
                <c:v>1.9814869530917118E-2</c:v>
              </c:pt>
              <c:pt idx="1">
                <c:v>1.9756045431995016E-2</c:v>
              </c:pt>
            </c:numLit>
          </c:yVal>
          <c:smooth val="0"/>
          <c:extLst>
            <c:ext xmlns:c16="http://schemas.microsoft.com/office/drawing/2014/chart" uri="{C3380CC4-5D6E-409C-BE32-E72D297353CC}">
              <c16:uniqueId val="{0000000F-011E-4924-BEEA-FE22ECBFD237}"/>
            </c:ext>
          </c:extLst>
        </c:ser>
        <c:ser>
          <c:idx val="14"/>
          <c:order val="14"/>
          <c:spPr>
            <a:ln w="3175">
              <a:solidFill>
                <a:srgbClr val="000000"/>
              </a:solidFill>
              <a:prstDash val="solid"/>
            </a:ln>
          </c:spPr>
          <c:marker>
            <c:symbol val="none"/>
          </c:marker>
          <c:dLbls>
            <c:dLbl>
              <c:idx val="0"/>
              <c:tx>
                <c:rich>
                  <a:bodyPr rot="-4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1E-4924-BEEA-FE22ECBFD2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-5.0048045482834356</c:v>
              </c:pt>
            </c:numLit>
          </c:xVal>
          <c:yVal>
            <c:numLit>
              <c:formatCode>General</c:formatCode>
              <c:ptCount val="1"/>
              <c:pt idx="0">
                <c:v>1.9681605533496679E-2</c:v>
              </c:pt>
            </c:numLit>
          </c:yVal>
          <c:smooth val="0"/>
          <c:extLst>
            <c:ext xmlns:c16="http://schemas.microsoft.com/office/drawing/2014/chart" uri="{C3380CC4-5D6E-409C-BE32-E72D297353CC}">
              <c16:uniqueId val="{00000011-011E-4924-BEEA-FE22ECBFD237}"/>
            </c:ext>
          </c:extLst>
        </c:ser>
        <c:ser>
          <c:idx val="15"/>
          <c:order val="15"/>
          <c:spPr>
            <a:ln w="3175">
              <a:solidFill>
                <a:srgbClr val="000000"/>
              </a:solidFill>
              <a:prstDash val="solid"/>
            </a:ln>
          </c:spPr>
          <c:marker>
            <c:symbol val="none"/>
          </c:marker>
          <c:xVal>
            <c:numLit>
              <c:formatCode>General</c:formatCode>
              <c:ptCount val="2"/>
              <c:pt idx="0">
                <c:v>-3.6296464070240311</c:v>
              </c:pt>
              <c:pt idx="1">
                <c:v>-3.9262879289068784</c:v>
              </c:pt>
            </c:numLit>
          </c:xVal>
          <c:yVal>
            <c:numLit>
              <c:formatCode>General</c:formatCode>
              <c:ptCount val="2"/>
              <c:pt idx="0">
                <c:v>1.9674959043059544E-2</c:v>
              </c:pt>
              <c:pt idx="1">
                <c:v>1.9641848560224669E-2</c:v>
              </c:pt>
            </c:numLit>
          </c:yVal>
          <c:smooth val="0"/>
          <c:extLst>
            <c:ext xmlns:c16="http://schemas.microsoft.com/office/drawing/2014/chart" uri="{C3380CC4-5D6E-409C-BE32-E72D297353CC}">
              <c16:uniqueId val="{00000012-011E-4924-BEEA-FE22ECBFD237}"/>
            </c:ext>
          </c:extLst>
        </c:ser>
        <c:ser>
          <c:idx val="16"/>
          <c:order val="16"/>
          <c:spPr>
            <a:ln w="3175">
              <a:solidFill>
                <a:srgbClr val="000000"/>
              </a:solidFill>
              <a:prstDash val="solid"/>
            </a:ln>
          </c:spPr>
          <c:marker>
            <c:symbol val="none"/>
          </c:marker>
          <c:xVal>
            <c:numLit>
              <c:formatCode>General</c:formatCode>
              <c:ptCount val="2"/>
              <c:pt idx="0">
                <c:v>-3.5977936301001021</c:v>
              </c:pt>
              <c:pt idx="1">
                <c:v>-3.8936014035493267</c:v>
              </c:pt>
            </c:numLit>
          </c:xVal>
          <c:yVal>
            <c:numLit>
              <c:formatCode>General</c:formatCode>
              <c:ptCount val="2"/>
              <c:pt idx="0">
                <c:v>1.9528848142313003E-2</c:v>
              </c:pt>
              <c:pt idx="1">
                <c:v>1.9491881254637813E-2</c:v>
              </c:pt>
            </c:numLit>
          </c:yVal>
          <c:smooth val="0"/>
          <c:extLst>
            <c:ext xmlns:c16="http://schemas.microsoft.com/office/drawing/2014/chart" uri="{C3380CC4-5D6E-409C-BE32-E72D297353CC}">
              <c16:uniqueId val="{00000013-011E-4924-BEEA-FE22ECBFD237}"/>
            </c:ext>
          </c:extLst>
        </c:ser>
        <c:ser>
          <c:idx val="17"/>
          <c:order val="17"/>
          <c:spPr>
            <a:ln w="3175">
              <a:solidFill>
                <a:srgbClr val="000000"/>
              </a:solidFill>
              <a:prstDash val="solid"/>
            </a:ln>
          </c:spPr>
          <c:marker>
            <c:symbol val="none"/>
          </c:marker>
          <c:xVal>
            <c:numLit>
              <c:formatCode>General</c:formatCode>
              <c:ptCount val="2"/>
              <c:pt idx="0">
                <c:v>-3.5606742779232401</c:v>
              </c:pt>
              <c:pt idx="1">
                <c:v>-3.8555103033006843</c:v>
              </c:pt>
            </c:numLit>
          </c:xVal>
          <c:yVal>
            <c:numLit>
              <c:formatCode>General</c:formatCode>
              <c:ptCount val="2"/>
              <c:pt idx="0">
                <c:v>1.9376264717732728E-2</c:v>
              </c:pt>
              <c:pt idx="1">
                <c:v>1.9335269988825475E-2</c:v>
              </c:pt>
            </c:numLit>
          </c:yVal>
          <c:smooth val="0"/>
          <c:extLst>
            <c:ext xmlns:c16="http://schemas.microsoft.com/office/drawing/2014/chart" uri="{C3380CC4-5D6E-409C-BE32-E72D297353CC}">
              <c16:uniqueId val="{00000014-011E-4924-BEEA-FE22ECBFD237}"/>
            </c:ext>
          </c:extLst>
        </c:ser>
        <c:ser>
          <c:idx val="18"/>
          <c:order val="18"/>
          <c:spPr>
            <a:ln w="3175">
              <a:solidFill>
                <a:srgbClr val="000000"/>
              </a:solidFill>
              <a:prstDash val="solid"/>
            </a:ln>
          </c:spPr>
          <c:marker>
            <c:symbol val="none"/>
          </c:marker>
          <c:xVal>
            <c:numLit>
              <c:formatCode>General</c:formatCode>
              <c:ptCount val="2"/>
              <c:pt idx="0">
                <c:v>-3.517668638557927</c:v>
              </c:pt>
              <c:pt idx="1">
                <c:v>-3.8113786218780392</c:v>
              </c:pt>
            </c:numLit>
          </c:xVal>
          <c:yVal>
            <c:numLit>
              <c:formatCode>General</c:formatCode>
              <c:ptCount val="2"/>
              <c:pt idx="0">
                <c:v>1.921694067579767E-2</c:v>
              </c:pt>
              <c:pt idx="1">
                <c:v>1.917173944071374E-2</c:v>
              </c:pt>
            </c:numLit>
          </c:yVal>
          <c:smooth val="0"/>
          <c:extLst>
            <c:ext xmlns:c16="http://schemas.microsoft.com/office/drawing/2014/chart" uri="{C3380CC4-5D6E-409C-BE32-E72D297353CC}">
              <c16:uniqueId val="{00000015-011E-4924-BEEA-FE22ECBFD237}"/>
            </c:ext>
          </c:extLst>
        </c:ser>
        <c:ser>
          <c:idx val="19"/>
          <c:order val="19"/>
          <c:spPr>
            <a:ln w="3175">
              <a:solidFill>
                <a:srgbClr val="000000"/>
              </a:solidFill>
              <a:prstDash val="solid"/>
            </a:ln>
          </c:spPr>
          <c:marker>
            <c:symbol val="none"/>
          </c:marker>
          <c:xVal>
            <c:numLit>
              <c:formatCode>General</c:formatCode>
              <c:ptCount val="2"/>
              <c:pt idx="0">
                <c:v>-3.4680907686435161</c:v>
              </c:pt>
              <c:pt idx="1">
                <c:v>-4.0529202023993429</c:v>
              </c:pt>
            </c:numLit>
          </c:xVal>
          <c:yVal>
            <c:numLit>
              <c:formatCode>General</c:formatCode>
              <c:ptCount val="2"/>
              <c:pt idx="0">
                <c:v>1.905061686979987E-2</c:v>
              </c:pt>
              <c:pt idx="1">
                <c:v>1.8951450076302702E-2</c:v>
              </c:pt>
            </c:numLit>
          </c:yVal>
          <c:smooth val="0"/>
          <c:extLst>
            <c:ext xmlns:c16="http://schemas.microsoft.com/office/drawing/2014/chart" uri="{C3380CC4-5D6E-409C-BE32-E72D297353CC}">
              <c16:uniqueId val="{00000016-011E-4924-BEEA-FE22ECBFD237}"/>
            </c:ext>
          </c:extLst>
        </c:ser>
        <c:ser>
          <c:idx val="20"/>
          <c:order val="20"/>
          <c:spPr>
            <a:ln w="3175">
              <a:solidFill>
                <a:srgbClr val="000000"/>
              </a:solidFill>
              <a:prstDash val="solid"/>
            </a:ln>
          </c:spPr>
          <c:marker>
            <c:symbol val="none"/>
          </c:marker>
          <c:dLbls>
            <c:dLbl>
              <c:idx val="0"/>
              <c:tx>
                <c:rich>
                  <a:bodyPr rot="-7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11E-4924-BEEA-FE22ECBFD2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-4.7937399600325126</c:v>
              </c:pt>
            </c:numLit>
          </c:xVal>
          <c:yVal>
            <c:numLit>
              <c:formatCode>General</c:formatCode>
              <c:ptCount val="1"/>
              <c:pt idx="0">
                <c:v>1.8825953904367372E-2</c:v>
              </c:pt>
            </c:numLit>
          </c:yVal>
          <c:smooth val="0"/>
          <c:extLst>
            <c:ext xmlns:c16="http://schemas.microsoft.com/office/drawing/2014/chart" uri="{C3380CC4-5D6E-409C-BE32-E72D297353CC}">
              <c16:uniqueId val="{00000018-011E-4924-BEEA-FE22ECBFD237}"/>
            </c:ext>
          </c:extLst>
        </c:ser>
        <c:ser>
          <c:idx val="21"/>
          <c:order val="21"/>
          <c:spPr>
            <a:ln w="3175">
              <a:solidFill>
                <a:srgbClr val="000000"/>
              </a:solidFill>
              <a:prstDash val="solid"/>
            </a:ln>
          </c:spPr>
          <c:marker>
            <c:symbol val="none"/>
          </c:marker>
          <c:xVal>
            <c:numLit>
              <c:formatCode>General</c:formatCode>
              <c:ptCount val="2"/>
              <c:pt idx="0">
                <c:v>-3.4406035633560976</c:v>
              </c:pt>
              <c:pt idx="1">
                <c:v>-3.7322951803470819</c:v>
              </c:pt>
            </c:numLit>
          </c:xVal>
          <c:yVal>
            <c:numLit>
              <c:formatCode>General</c:formatCode>
              <c:ptCount val="2"/>
              <c:pt idx="0">
                <c:v>1.8964752998040003E-2</c:v>
              </c:pt>
              <c:pt idx="1">
                <c:v>1.891289174648661E-2</c:v>
              </c:pt>
            </c:numLit>
          </c:yVal>
          <c:smooth val="0"/>
          <c:extLst>
            <c:ext xmlns:c16="http://schemas.microsoft.com/office/drawing/2014/chart" uri="{C3380CC4-5D6E-409C-BE32-E72D297353CC}">
              <c16:uniqueId val="{00000019-011E-4924-BEEA-FE22ECBFD237}"/>
            </c:ext>
          </c:extLst>
        </c:ser>
        <c:ser>
          <c:idx val="22"/>
          <c:order val="22"/>
          <c:spPr>
            <a:ln w="3175">
              <a:solidFill>
                <a:srgbClr val="000000"/>
              </a:solidFill>
              <a:prstDash val="solid"/>
            </a:ln>
          </c:spPr>
          <c:marker>
            <c:symbol val="none"/>
          </c:marker>
          <c:xVal>
            <c:numLit>
              <c:formatCode>General</c:formatCode>
              <c:ptCount val="2"/>
              <c:pt idx="0">
                <c:v>-3.4111835808515791</c:v>
              </c:pt>
              <c:pt idx="1">
                <c:v>-3.7021044990194212</c:v>
              </c:pt>
            </c:numLit>
          </c:xVal>
          <c:yVal>
            <c:numLit>
              <c:formatCode>General</c:formatCode>
              <c:ptCount val="2"/>
              <c:pt idx="0">
                <c:v>1.8877049224379265E-2</c:v>
              </c:pt>
              <c:pt idx="1">
                <c:v>1.8822871269990157E-2</c:v>
              </c:pt>
            </c:numLit>
          </c:yVal>
          <c:smooth val="0"/>
          <c:extLst>
            <c:ext xmlns:c16="http://schemas.microsoft.com/office/drawing/2014/chart" uri="{C3380CC4-5D6E-409C-BE32-E72D297353CC}">
              <c16:uniqueId val="{0000001A-011E-4924-BEEA-FE22ECBFD237}"/>
            </c:ext>
          </c:extLst>
        </c:ser>
        <c:ser>
          <c:idx val="23"/>
          <c:order val="23"/>
          <c:spPr>
            <a:ln w="3175">
              <a:solidFill>
                <a:srgbClr val="000000"/>
              </a:solidFill>
              <a:prstDash val="solid"/>
            </a:ln>
          </c:spPr>
          <c:marker>
            <c:symbol val="none"/>
          </c:marker>
          <c:xVal>
            <c:numLit>
              <c:formatCode>General</c:formatCode>
              <c:ptCount val="2"/>
              <c:pt idx="0">
                <c:v>-3.3797243325935047</c:v>
              </c:pt>
              <c:pt idx="1">
                <c:v>-3.6698210225191046</c:v>
              </c:pt>
            </c:numLit>
          </c:xVal>
          <c:yVal>
            <c:numLit>
              <c:formatCode>General</c:formatCode>
              <c:ptCount val="2"/>
              <c:pt idx="0">
                <c:v>1.8787478625185268E-2</c:v>
              </c:pt>
              <c:pt idx="1">
                <c:v>1.8730934348336725E-2</c:v>
              </c:pt>
            </c:numLit>
          </c:yVal>
          <c:smooth val="0"/>
          <c:extLst>
            <c:ext xmlns:c16="http://schemas.microsoft.com/office/drawing/2014/chart" uri="{C3380CC4-5D6E-409C-BE32-E72D297353CC}">
              <c16:uniqueId val="{0000001B-011E-4924-BEEA-FE22ECBFD237}"/>
            </c:ext>
          </c:extLst>
        </c:ser>
        <c:ser>
          <c:idx val="24"/>
          <c:order val="24"/>
          <c:spPr>
            <a:ln w="3175">
              <a:solidFill>
                <a:srgbClr val="000000"/>
              </a:solidFill>
              <a:prstDash val="solid"/>
            </a:ln>
          </c:spPr>
          <c:marker>
            <c:symbol val="none"/>
          </c:marker>
          <c:xVal>
            <c:numLit>
              <c:formatCode>General</c:formatCode>
              <c:ptCount val="2"/>
              <c:pt idx="0">
                <c:v>-3.3461143621710736</c:v>
              </c:pt>
              <c:pt idx="1">
                <c:v>-3.6353303523381379</c:v>
              </c:pt>
            </c:numLit>
          </c:xVal>
          <c:yVal>
            <c:numLit>
              <c:formatCode>General</c:formatCode>
              <c:ptCount val="2"/>
              <c:pt idx="0">
                <c:v>1.8696016241449256E-2</c:v>
              </c:pt>
              <c:pt idx="1">
                <c:v>1.8637055329613312E-2</c:v>
              </c:pt>
            </c:numLit>
          </c:yVal>
          <c:smooth val="0"/>
          <c:extLst>
            <c:ext xmlns:c16="http://schemas.microsoft.com/office/drawing/2014/chart" uri="{C3380CC4-5D6E-409C-BE32-E72D297353CC}">
              <c16:uniqueId val="{0000001C-011E-4924-BEEA-FE22ECBFD237}"/>
            </c:ext>
          </c:extLst>
        </c:ser>
        <c:ser>
          <c:idx val="25"/>
          <c:order val="25"/>
          <c:spPr>
            <a:ln w="3175">
              <a:solidFill>
                <a:srgbClr val="000000"/>
              </a:solidFill>
              <a:prstDash val="solid"/>
            </a:ln>
          </c:spPr>
          <c:marker>
            <c:symbol val="none"/>
          </c:marker>
          <c:xVal>
            <c:numLit>
              <c:formatCode>General</c:formatCode>
              <c:ptCount val="2"/>
              <c:pt idx="0">
                <c:v>-3.3102371536754234</c:v>
              </c:pt>
              <c:pt idx="1">
                <c:v>-3.8867980751786924</c:v>
              </c:pt>
            </c:numLit>
          </c:xVal>
          <c:yVal>
            <c:numLit>
              <c:formatCode>General</c:formatCode>
              <c:ptCount val="2"/>
              <c:pt idx="0">
                <c:v>1.8602639402078635E-2</c:v>
              </c:pt>
              <c:pt idx="1">
                <c:v>1.8479806553120048E-2</c:v>
              </c:pt>
            </c:numLit>
          </c:yVal>
          <c:smooth val="0"/>
          <c:extLst>
            <c:ext xmlns:c16="http://schemas.microsoft.com/office/drawing/2014/chart" uri="{C3380CC4-5D6E-409C-BE32-E72D297353CC}">
              <c16:uniqueId val="{0000001D-011E-4924-BEEA-FE22ECBFD237}"/>
            </c:ext>
          </c:extLst>
        </c:ser>
        <c:ser>
          <c:idx val="26"/>
          <c:order val="26"/>
          <c:spPr>
            <a:ln w="3175">
              <a:solidFill>
                <a:srgbClr val="000000"/>
              </a:solidFill>
              <a:prstDash val="solid"/>
            </a:ln>
          </c:spPr>
          <c:marker>
            <c:symbol val="none"/>
          </c:marker>
          <c:xVal>
            <c:numLit>
              <c:formatCode>General</c:formatCode>
              <c:ptCount val="2"/>
              <c:pt idx="0">
                <c:v>-3.2719710627580656</c:v>
              </c:pt>
              <c:pt idx="1">
                <c:v>-3.5592437900382992</c:v>
              </c:pt>
            </c:numLit>
          </c:xVal>
          <c:yVal>
            <c:numLit>
              <c:formatCode>General</c:formatCode>
              <c:ptCount val="2"/>
              <c:pt idx="0">
                <c:v>1.85073280758347E-2</c:v>
              </c:pt>
              <c:pt idx="1">
                <c:v>1.8443380483584921E-2</c:v>
              </c:pt>
            </c:numLit>
          </c:yVal>
          <c:smooth val="0"/>
          <c:extLst>
            <c:ext xmlns:c16="http://schemas.microsoft.com/office/drawing/2014/chart" uri="{C3380CC4-5D6E-409C-BE32-E72D297353CC}">
              <c16:uniqueId val="{0000001E-011E-4924-BEEA-FE22ECBFD237}"/>
            </c:ext>
          </c:extLst>
        </c:ser>
        <c:ser>
          <c:idx val="27"/>
          <c:order val="27"/>
          <c:spPr>
            <a:ln w="3175">
              <a:solidFill>
                <a:srgbClr val="000000"/>
              </a:solidFill>
              <a:prstDash val="solid"/>
            </a:ln>
          </c:spPr>
          <c:marker>
            <c:symbol val="none"/>
          </c:marker>
          <c:xVal>
            <c:numLit>
              <c:formatCode>General</c:formatCode>
              <c:ptCount val="2"/>
              <c:pt idx="0">
                <c:v>-3.2311892749519693</c:v>
              </c:pt>
              <c:pt idx="1">
                <c:v>-3.5173928687057834</c:v>
              </c:pt>
            </c:numLit>
          </c:xVal>
          <c:yVal>
            <c:numLit>
              <c:formatCode>General</c:formatCode>
              <c:ptCount val="2"/>
              <c:pt idx="0">
                <c:v>1.8410065253019303E-2</c:v>
              </c:pt>
              <c:pt idx="1">
                <c:v>1.8343546556689797E-2</c:v>
              </c:pt>
            </c:numLit>
          </c:yVal>
          <c:smooth val="0"/>
          <c:extLst>
            <c:ext xmlns:c16="http://schemas.microsoft.com/office/drawing/2014/chart" uri="{C3380CC4-5D6E-409C-BE32-E72D297353CC}">
              <c16:uniqueId val="{0000001F-011E-4924-BEEA-FE22ECBFD237}"/>
            </c:ext>
          </c:extLst>
        </c:ser>
        <c:ser>
          <c:idx val="28"/>
          <c:order val="28"/>
          <c:spPr>
            <a:ln w="3175">
              <a:solidFill>
                <a:srgbClr val="000000"/>
              </a:solidFill>
              <a:prstDash val="solid"/>
            </a:ln>
          </c:spPr>
          <c:marker>
            <c:symbol val="none"/>
          </c:marker>
          <c:xVal>
            <c:numLit>
              <c:formatCode>General</c:formatCode>
              <c:ptCount val="2"/>
              <c:pt idx="0">
                <c:v>-3.1877597963437578</c:v>
              </c:pt>
              <c:pt idx="1">
                <c:v>-3.4728246421453663</c:v>
              </c:pt>
            </c:numLit>
          </c:xVal>
          <c:yVal>
            <c:numLit>
              <c:formatCode>General</c:formatCode>
              <c:ptCount val="2"/>
              <c:pt idx="0">
                <c:v>1.8310837357796605E-2</c:v>
              </c:pt>
              <c:pt idx="1">
                <c:v>1.8241695148370509E-2</c:v>
              </c:pt>
            </c:numLit>
          </c:yVal>
          <c:smooth val="0"/>
          <c:extLst>
            <c:ext xmlns:c16="http://schemas.microsoft.com/office/drawing/2014/chart" uri="{C3380CC4-5D6E-409C-BE32-E72D297353CC}">
              <c16:uniqueId val="{00000020-011E-4924-BEEA-FE22ECBFD237}"/>
            </c:ext>
          </c:extLst>
        </c:ser>
        <c:ser>
          <c:idx val="29"/>
          <c:order val="29"/>
          <c:spPr>
            <a:ln w="3175">
              <a:solidFill>
                <a:srgbClr val="000000"/>
              </a:solidFill>
              <a:prstDash val="solid"/>
            </a:ln>
          </c:spPr>
          <c:marker>
            <c:symbol val="none"/>
          </c:marker>
          <c:xVal>
            <c:numLit>
              <c:formatCode>General</c:formatCode>
              <c:ptCount val="2"/>
              <c:pt idx="0">
                <c:v>-3.1415454822086812</c:v>
              </c:pt>
              <c:pt idx="1">
                <c:v>-3.4253983312720453</c:v>
              </c:pt>
            </c:numLit>
          </c:xVal>
          <c:yVal>
            <c:numLit>
              <c:formatCode>General</c:formatCode>
              <c:ptCount val="2"/>
              <c:pt idx="0">
                <c:v>1.820963469175254E-2</c:v>
              </c:pt>
              <c:pt idx="1">
                <c:v>1.8137816256964326E-2</c:v>
              </c:pt>
            </c:numLit>
          </c:yVal>
          <c:smooth val="0"/>
          <c:extLst>
            <c:ext xmlns:c16="http://schemas.microsoft.com/office/drawing/2014/chart" uri="{C3380CC4-5D6E-409C-BE32-E72D297353CC}">
              <c16:uniqueId val="{00000021-011E-4924-BEEA-FE22ECBFD237}"/>
            </c:ext>
          </c:extLst>
        </c:ser>
        <c:ser>
          <c:idx val="30"/>
          <c:order val="30"/>
          <c:spPr>
            <a:ln w="3175">
              <a:solidFill>
                <a:srgbClr val="000000"/>
              </a:solidFill>
              <a:prstDash val="solid"/>
            </a:ln>
          </c:spPr>
          <c:marker>
            <c:symbol val="none"/>
          </c:marker>
          <c:xVal>
            <c:numLit>
              <c:formatCode>General</c:formatCode>
              <c:ptCount val="2"/>
              <c:pt idx="0">
                <c:v>-3.0924041097491268</c:v>
              </c:pt>
              <c:pt idx="1">
                <c:v>-3.6575453920736818</c:v>
              </c:pt>
            </c:numLit>
          </c:xVal>
          <c:yVal>
            <c:numLit>
              <c:formatCode>General</c:formatCode>
              <c:ptCount val="2"/>
              <c:pt idx="0">
                <c:v>1.8106451908935582E-2</c:v>
              </c:pt>
              <c:pt idx="1">
                <c:v>1.7957384915551974E-2</c:v>
              </c:pt>
            </c:numLit>
          </c:yVal>
          <c:smooth val="0"/>
          <c:extLst>
            <c:ext xmlns:c16="http://schemas.microsoft.com/office/drawing/2014/chart" uri="{C3380CC4-5D6E-409C-BE32-E72D297353CC}">
              <c16:uniqueId val="{00000022-011E-4924-BEEA-FE22ECBFD237}"/>
            </c:ext>
          </c:extLst>
        </c:ser>
        <c:ser>
          <c:idx val="31"/>
          <c:order val="31"/>
          <c:spPr>
            <a:ln w="3175">
              <a:solidFill>
                <a:srgbClr val="000000"/>
              </a:solidFill>
              <a:prstDash val="solid"/>
            </a:ln>
          </c:spPr>
          <c:marker>
            <c:symbol val="none"/>
          </c:marker>
          <c:dLbls>
            <c:dLbl>
              <c:idx val="0"/>
              <c:tx>
                <c:rich>
                  <a:bodyPr rot="-12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11E-4924-BEEA-FE22ECBFD2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-4.3734691487420454</c:v>
              </c:pt>
            </c:numLit>
          </c:xVal>
          <c:yVal>
            <c:numLit>
              <c:formatCode>General</c:formatCode>
              <c:ptCount val="1"/>
              <c:pt idx="0">
                <c:v>1.7768728173225303E-2</c:v>
              </c:pt>
            </c:numLit>
          </c:yVal>
          <c:smooth val="0"/>
          <c:extLst>
            <c:ext xmlns:c16="http://schemas.microsoft.com/office/drawing/2014/chart" uri="{C3380CC4-5D6E-409C-BE32-E72D297353CC}">
              <c16:uniqueId val="{00000024-011E-4924-BEEA-FE22ECBFD237}"/>
            </c:ext>
          </c:extLst>
        </c:ser>
        <c:ser>
          <c:idx val="32"/>
          <c:order val="32"/>
          <c:spPr>
            <a:ln w="3175">
              <a:solidFill>
                <a:srgbClr val="000000"/>
              </a:solidFill>
              <a:prstDash val="solid"/>
            </a:ln>
          </c:spPr>
          <c:marker>
            <c:symbol val="none"/>
          </c:marker>
          <c:xVal>
            <c:numLit>
              <c:formatCode>General</c:formatCode>
              <c:ptCount val="2"/>
              <c:pt idx="0">
                <c:v>-3.0401885016002286</c:v>
              </c:pt>
              <c:pt idx="1">
                <c:v>-3.3213823853739761</c:v>
              </c:pt>
            </c:numLit>
          </c:xVal>
          <c:yVal>
            <c:numLit>
              <c:formatCode>General</c:formatCode>
              <c:ptCount val="2"/>
              <c:pt idx="0">
                <c:v>1.8001288522178398E-2</c:v>
              </c:pt>
              <c:pt idx="1">
                <c:v>1.79239588608462E-2</c:v>
              </c:pt>
            </c:numLit>
          </c:yVal>
          <c:smooth val="0"/>
          <c:extLst>
            <c:ext xmlns:c16="http://schemas.microsoft.com/office/drawing/2014/chart" uri="{C3380CC4-5D6E-409C-BE32-E72D297353CC}">
              <c16:uniqueId val="{00000025-011E-4924-BEEA-FE22ECBFD237}"/>
            </c:ext>
          </c:extLst>
        </c:ser>
        <c:ser>
          <c:idx val="33"/>
          <c:order val="33"/>
          <c:spPr>
            <a:ln w="3175">
              <a:solidFill>
                <a:srgbClr val="000000"/>
              </a:solidFill>
              <a:prstDash val="solid"/>
            </a:ln>
          </c:spPr>
          <c:marker>
            <c:symbol val="none"/>
          </c:marker>
          <c:xVal>
            <c:numLit>
              <c:formatCode>General</c:formatCode>
              <c:ptCount val="2"/>
              <c:pt idx="0">
                <c:v>-2.9847467072668263</c:v>
              </c:pt>
              <c:pt idx="1">
                <c:v>-3.2644856755106595</c:v>
              </c:pt>
            </c:numLit>
          </c:xVal>
          <c:yVal>
            <c:numLit>
              <c:formatCode>General</c:formatCode>
              <c:ptCount val="2"/>
              <c:pt idx="0">
                <c:v>1.7894149439960622E-2</c:v>
              </c:pt>
              <c:pt idx="1">
                <c:v>1.7813984785902574E-2</c:v>
              </c:pt>
            </c:numLit>
          </c:yVal>
          <c:smooth val="0"/>
          <c:extLst>
            <c:ext xmlns:c16="http://schemas.microsoft.com/office/drawing/2014/chart" uri="{C3380CC4-5D6E-409C-BE32-E72D297353CC}">
              <c16:uniqueId val="{00000026-011E-4924-BEEA-FE22ECBFD237}"/>
            </c:ext>
          </c:extLst>
        </c:ser>
        <c:ser>
          <c:idx val="34"/>
          <c:order val="34"/>
          <c:spPr>
            <a:ln w="3175">
              <a:solidFill>
                <a:srgbClr val="000000"/>
              </a:solidFill>
              <a:prstDash val="solid"/>
            </a:ln>
          </c:spPr>
          <c:marker>
            <c:symbol val="none"/>
          </c:marker>
          <c:xVal>
            <c:numLit>
              <c:formatCode>General</c:formatCode>
              <c:ptCount val="2"/>
              <c:pt idx="0">
                <c:v>-2.9259222501155961</c:v>
              </c:pt>
              <c:pt idx="1">
                <c:v>-3.2041171702836717</c:v>
              </c:pt>
            </c:numLit>
          </c:xVal>
          <c:yVal>
            <c:numLit>
              <c:formatCode>General</c:formatCode>
              <c:ptCount val="2"/>
              <c:pt idx="0">
                <c:v>1.7785045532430037E-2</c:v>
              </c:pt>
              <c:pt idx="1">
                <c:v>1.7701993219551154E-2</c:v>
              </c:pt>
            </c:numLit>
          </c:yVal>
          <c:smooth val="0"/>
          <c:extLst>
            <c:ext xmlns:c16="http://schemas.microsoft.com/office/drawing/2014/chart" uri="{C3380CC4-5D6E-409C-BE32-E72D297353CC}">
              <c16:uniqueId val="{00000027-011E-4924-BEEA-FE22ECBFD237}"/>
            </c:ext>
          </c:extLst>
        </c:ser>
        <c:ser>
          <c:idx val="35"/>
          <c:order val="35"/>
          <c:spPr>
            <a:ln w="3175">
              <a:solidFill>
                <a:srgbClr val="000000"/>
              </a:solidFill>
              <a:prstDash val="solid"/>
            </a:ln>
          </c:spPr>
          <c:marker>
            <c:symbol val="none"/>
          </c:marker>
          <c:xVal>
            <c:numLit>
              <c:formatCode>General</c:formatCode>
              <c:ptCount val="2"/>
              <c:pt idx="0">
                <c:v>-2.8635544479409476</c:v>
              </c:pt>
              <c:pt idx="1">
                <c:v>-3.1401119058801523</c:v>
              </c:pt>
            </c:numLit>
          </c:xVal>
          <c:yVal>
            <c:numLit>
              <c:formatCode>General</c:formatCode>
              <c:ptCount val="2"/>
              <c:pt idx="0">
                <c:v>1.7673994224443108E-2</c:v>
              </c:pt>
              <c:pt idx="1">
                <c:v>1.7588001986049255E-2</c:v>
              </c:pt>
            </c:numLit>
          </c:yVal>
          <c:smooth val="0"/>
          <c:extLst>
            <c:ext xmlns:c16="http://schemas.microsoft.com/office/drawing/2014/chart" uri="{C3380CC4-5D6E-409C-BE32-E72D297353CC}">
              <c16:uniqueId val="{00000028-011E-4924-BEEA-FE22ECBFD237}"/>
            </c:ext>
          </c:extLst>
        </c:ser>
        <c:ser>
          <c:idx val="36"/>
          <c:order val="36"/>
          <c:spPr>
            <a:ln w="3175">
              <a:solidFill>
                <a:srgbClr val="000000"/>
              </a:solidFill>
              <a:prstDash val="solid"/>
            </a:ln>
          </c:spPr>
          <c:marker>
            <c:symbol val="none"/>
          </c:marker>
          <c:xVal>
            <c:numLit>
              <c:formatCode>General</c:formatCode>
              <c:ptCount val="2"/>
              <c:pt idx="0">
                <c:v>-2.7974788154258228</c:v>
              </c:pt>
              <c:pt idx="1">
                <c:v>-3.347142064510721</c:v>
              </c:pt>
            </c:numLit>
          </c:xVal>
          <c:yVal>
            <c:numLit>
              <c:formatCode>General</c:formatCode>
              <c:ptCount val="2"/>
              <c:pt idx="0">
                <c:v>1.7561020112610893E-2</c:v>
              </c:pt>
              <c:pt idx="1">
                <c:v>1.7383084173262529E-2</c:v>
              </c:pt>
            </c:numLit>
          </c:yVal>
          <c:smooth val="0"/>
          <c:extLst>
            <c:ext xmlns:c16="http://schemas.microsoft.com/office/drawing/2014/chart" uri="{C3380CC4-5D6E-409C-BE32-E72D297353CC}">
              <c16:uniqueId val="{00000029-011E-4924-BEEA-FE22ECBFD237}"/>
            </c:ext>
          </c:extLst>
        </c:ser>
        <c:ser>
          <c:idx val="37"/>
          <c:order val="37"/>
          <c:spPr>
            <a:ln w="3175">
              <a:solidFill>
                <a:srgbClr val="000000"/>
              </a:solidFill>
              <a:prstDash val="solid"/>
            </a:ln>
          </c:spPr>
          <c:marker>
            <c:symbol val="none"/>
          </c:marker>
          <c:xVal>
            <c:numLit>
              <c:formatCode>General</c:formatCode>
              <c:ptCount val="2"/>
              <c:pt idx="0">
                <c:v>-2.7275275569962796</c:v>
              </c:pt>
              <c:pt idx="1">
                <c:v>-3.000512197277649</c:v>
              </c:pt>
            </c:numLit>
          </c:xVal>
          <c:yVal>
            <c:numLit>
              <c:formatCode>General</c:formatCode>
              <c:ptCount val="2"/>
              <c:pt idx="0">
                <c:v>1.7446155602337338E-2</c:v>
              </c:pt>
              <c:pt idx="1">
                <c:v>1.7354129262755674E-2</c:v>
              </c:pt>
            </c:numLit>
          </c:yVal>
          <c:smooth val="0"/>
          <c:extLst>
            <c:ext xmlns:c16="http://schemas.microsoft.com/office/drawing/2014/chart" uri="{C3380CC4-5D6E-409C-BE32-E72D297353CC}">
              <c16:uniqueId val="{0000002A-011E-4924-BEEA-FE22ECBFD237}"/>
            </c:ext>
          </c:extLst>
        </c:ser>
        <c:ser>
          <c:idx val="38"/>
          <c:order val="38"/>
          <c:spPr>
            <a:ln w="3175">
              <a:solidFill>
                <a:srgbClr val="000000"/>
              </a:solidFill>
              <a:prstDash val="solid"/>
            </a:ln>
          </c:spPr>
          <c:marker>
            <c:symbol val="none"/>
          </c:marker>
          <c:xVal>
            <c:numLit>
              <c:formatCode>General</c:formatCode>
              <c:ptCount val="2"/>
              <c:pt idx="0">
                <c:v>-2.6535301585852245</c:v>
              </c:pt>
              <c:pt idx="1">
                <c:v>-2.9245703956378155</c:v>
              </c:pt>
            </c:numLit>
          </c:xVal>
          <c:yVal>
            <c:numLit>
              <c:formatCode>General</c:formatCode>
              <c:ptCount val="2"/>
              <c:pt idx="0">
                <c:v>1.7329441559713527E-2</c:v>
              </c:pt>
              <c:pt idx="1">
                <c:v>1.7234322847302124E-2</c:v>
              </c:pt>
            </c:numLit>
          </c:yVal>
          <c:smooth val="0"/>
          <c:extLst>
            <c:ext xmlns:c16="http://schemas.microsoft.com/office/drawing/2014/chart" uri="{C3380CC4-5D6E-409C-BE32-E72D297353CC}">
              <c16:uniqueId val="{0000002B-011E-4924-BEEA-FE22ECBFD237}"/>
            </c:ext>
          </c:extLst>
        </c:ser>
        <c:ser>
          <c:idx val="39"/>
          <c:order val="39"/>
          <c:spPr>
            <a:ln w="3175">
              <a:solidFill>
                <a:srgbClr val="000000"/>
              </a:solidFill>
              <a:prstDash val="solid"/>
            </a:ln>
          </c:spPr>
          <c:marker>
            <c:symbol val="none"/>
          </c:marker>
          <c:xVal>
            <c:numLit>
              <c:formatCode>General</c:formatCode>
              <c:ptCount val="2"/>
              <c:pt idx="0">
                <c:v>-2.575314086634803</c:v>
              </c:pt>
              <c:pt idx="1">
                <c:v>-2.8442984434997114</c:v>
              </c:pt>
            </c:numLit>
          </c:xVal>
          <c:yVal>
            <c:numLit>
              <c:formatCode>General</c:formatCode>
              <c:ptCount val="2"/>
              <c:pt idx="0">
                <c:v>1.7210927971887027E-2</c:v>
              </c:pt>
              <c:pt idx="1">
                <c:v>1.7112668261044767E-2</c:v>
              </c:pt>
            </c:numLit>
          </c:yVal>
          <c:smooth val="0"/>
          <c:extLst>
            <c:ext xmlns:c16="http://schemas.microsoft.com/office/drawing/2014/chart" uri="{C3380CC4-5D6E-409C-BE32-E72D297353CC}">
              <c16:uniqueId val="{0000002C-011E-4924-BEEA-FE22ECBFD237}"/>
            </c:ext>
          </c:extLst>
        </c:ser>
        <c:ser>
          <c:idx val="40"/>
          <c:order val="40"/>
          <c:spPr>
            <a:ln w="3175">
              <a:solidFill>
                <a:srgbClr val="000000"/>
              </a:solidFill>
              <a:prstDash val="solid"/>
            </a:ln>
          </c:spPr>
          <c:marker>
            <c:symbol val="none"/>
          </c:marker>
          <c:xVal>
            <c:numLit>
              <c:formatCode>General</c:formatCode>
              <c:ptCount val="2"/>
              <c:pt idx="0">
                <c:v>-2.4927056022343019</c:v>
              </c:pt>
              <c:pt idx="1">
                <c:v>-2.7595179345950451</c:v>
              </c:pt>
            </c:numLit>
          </c:xVal>
          <c:yVal>
            <c:numLit>
              <c:formatCode>General</c:formatCode>
              <c:ptCount val="2"/>
              <c:pt idx="0">
                <c:v>1.7090674608169102E-2</c:v>
              </c:pt>
              <c:pt idx="1">
                <c:v>1.6989226782600338E-2</c:v>
              </c:pt>
            </c:numLit>
          </c:yVal>
          <c:smooth val="0"/>
          <c:extLst>
            <c:ext xmlns:c16="http://schemas.microsoft.com/office/drawing/2014/chart" uri="{C3380CC4-5D6E-409C-BE32-E72D297353CC}">
              <c16:uniqueId val="{0000002D-011E-4924-BEEA-FE22ECBFD237}"/>
            </c:ext>
          </c:extLst>
        </c:ser>
        <c:ser>
          <c:idx val="41"/>
          <c:order val="41"/>
          <c:spPr>
            <a:ln w="3175">
              <a:solidFill>
                <a:srgbClr val="000000"/>
              </a:solidFill>
              <a:prstDash val="solid"/>
            </a:ln>
          </c:spPr>
          <c:marker>
            <c:symbol val="none"/>
          </c:marker>
          <c:xVal>
            <c:numLit>
              <c:formatCode>General</c:formatCode>
              <c:ptCount val="2"/>
              <c:pt idx="0">
                <c:v>-2.4055306975638757</c:v>
              </c:pt>
              <c:pt idx="1">
                <c:v>-2.9345947649926489</c:v>
              </c:pt>
            </c:numLit>
          </c:xVal>
          <c:yVal>
            <c:numLit>
              <c:formatCode>General</c:formatCode>
              <c:ptCount val="2"/>
              <c:pt idx="0">
                <c:v>1.6968751672690126E-2</c:v>
              </c:pt>
              <c:pt idx="1">
                <c:v>1.6759423705491334E-2</c:v>
              </c:pt>
            </c:numLit>
          </c:yVal>
          <c:smooth val="0"/>
          <c:extLst>
            <c:ext xmlns:c16="http://schemas.microsoft.com/office/drawing/2014/chart" uri="{C3380CC4-5D6E-409C-BE32-E72D297353CC}">
              <c16:uniqueId val="{0000002E-011E-4924-BEEA-FE22ECBFD237}"/>
            </c:ext>
          </c:extLst>
        </c:ser>
        <c:ser>
          <c:idx val="42"/>
          <c:order val="42"/>
          <c:spPr>
            <a:ln w="3175">
              <a:solidFill>
                <a:srgbClr val="000000"/>
              </a:solidFill>
              <a:prstDash val="solid"/>
            </a:ln>
          </c:spPr>
          <c:marker>
            <c:symbol val="none"/>
          </c:marker>
          <c:dLbls>
            <c:dLbl>
              <c:idx val="0"/>
              <c:tx>
                <c:rich>
                  <a:bodyPr rot="-16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11E-4924-BEEA-FE22ECBFD2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-3.6048866411471585</c:v>
              </c:pt>
            </c:numLit>
          </c:xVal>
          <c:yVal>
            <c:numLit>
              <c:formatCode>General</c:formatCode>
              <c:ptCount val="1"/>
              <c:pt idx="0">
                <c:v>1.649447339505386E-2</c:v>
              </c:pt>
            </c:numLit>
          </c:yVal>
          <c:smooth val="0"/>
          <c:extLst>
            <c:ext xmlns:c16="http://schemas.microsoft.com/office/drawing/2014/chart" uri="{C3380CC4-5D6E-409C-BE32-E72D297353CC}">
              <c16:uniqueId val="{00000030-011E-4924-BEEA-FE22ECBFD237}"/>
            </c:ext>
          </c:extLst>
        </c:ser>
        <c:ser>
          <c:idx val="43"/>
          <c:order val="43"/>
          <c:spPr>
            <a:ln w="3175">
              <a:solidFill>
                <a:srgbClr val="000000"/>
              </a:solidFill>
              <a:prstDash val="solid"/>
            </a:ln>
          </c:spPr>
          <c:marker>
            <c:symbol val="none"/>
          </c:marker>
          <c:xVal>
            <c:numLit>
              <c:formatCode>General</c:formatCode>
              <c:ptCount val="2"/>
              <c:pt idx="0">
                <c:v>-2.313616160746133</c:v>
              </c:pt>
              <c:pt idx="1">
                <c:v>-2.5757172835089825</c:v>
              </c:pt>
            </c:numLit>
          </c:xVal>
          <c:yVal>
            <c:numLit>
              <c:formatCode>General</c:formatCode>
              <c:ptCount val="2"/>
              <c:pt idx="0">
                <c:v>1.6845240437890034E-2</c:v>
              </c:pt>
              <c:pt idx="1">
                <c:v>1.6737282465345154E-2</c:v>
              </c:pt>
            </c:numLit>
          </c:yVal>
          <c:smooth val="0"/>
          <c:extLst>
            <c:ext xmlns:c16="http://schemas.microsoft.com/office/drawing/2014/chart" uri="{C3380CC4-5D6E-409C-BE32-E72D297353CC}">
              <c16:uniqueId val="{00000031-011E-4924-BEEA-FE22ECBFD237}"/>
            </c:ext>
          </c:extLst>
        </c:ser>
        <c:ser>
          <c:idx val="44"/>
          <c:order val="44"/>
          <c:spPr>
            <a:ln w="3175">
              <a:solidFill>
                <a:srgbClr val="000000"/>
              </a:solidFill>
              <a:prstDash val="solid"/>
            </a:ln>
          </c:spPr>
          <c:marker>
            <c:symbol val="none"/>
          </c:marker>
          <c:xVal>
            <c:numLit>
              <c:formatCode>General</c:formatCode>
              <c:ptCount val="2"/>
              <c:pt idx="0">
                <c:v>-2.216790773750446</c:v>
              </c:pt>
              <c:pt idx="1">
                <c:v>-2.4763434048290445</c:v>
              </c:pt>
            </c:numLit>
          </c:xVal>
          <c:yVal>
            <c:numLit>
              <c:formatCode>General</c:formatCode>
              <c:ptCount val="2"/>
              <c:pt idx="0">
                <c:v>1.6720233846569021E-2</c:v>
              </c:pt>
              <c:pt idx="1">
                <c:v>1.6608958306105915E-2</c:v>
              </c:pt>
            </c:numLit>
          </c:yVal>
          <c:smooth val="0"/>
          <c:extLst>
            <c:ext xmlns:c16="http://schemas.microsoft.com/office/drawing/2014/chart" uri="{C3380CC4-5D6E-409C-BE32-E72D297353CC}">
              <c16:uniqueId val="{00000032-011E-4924-BEEA-FE22ECBFD237}"/>
            </c:ext>
          </c:extLst>
        </c:ser>
        <c:ser>
          <c:idx val="45"/>
          <c:order val="45"/>
          <c:spPr>
            <a:ln w="3175">
              <a:solidFill>
                <a:srgbClr val="000000"/>
              </a:solidFill>
              <a:prstDash val="solid"/>
            </a:ln>
          </c:spPr>
          <c:marker>
            <c:symbol val="none"/>
          </c:marker>
          <c:xVal>
            <c:numLit>
              <c:formatCode>General</c:formatCode>
              <c:ptCount val="2"/>
              <c:pt idx="0">
                <c:v>-2.1148866461057976</c:v>
              </c:pt>
              <c:pt idx="1">
                <c:v>-2.3717560940296778</c:v>
              </c:pt>
            </c:numLit>
          </c:xVal>
          <c:yVal>
            <c:numLit>
              <c:formatCode>General</c:formatCode>
              <c:ptCount val="2"/>
              <c:pt idx="0">
                <c:v>1.6593837068668817E-2</c:v>
              </c:pt>
              <c:pt idx="1">
                <c:v>1.6479205804989291E-2</c:v>
              </c:pt>
            </c:numLit>
          </c:yVal>
          <c:smooth val="0"/>
          <c:extLst>
            <c:ext xmlns:c16="http://schemas.microsoft.com/office/drawing/2014/chart" uri="{C3380CC4-5D6E-409C-BE32-E72D297353CC}">
              <c16:uniqueId val="{00000033-011E-4924-BEEA-FE22ECBFD237}"/>
            </c:ext>
          </c:extLst>
        </c:ser>
        <c:ser>
          <c:idx val="46"/>
          <c:order val="46"/>
          <c:spPr>
            <a:ln w="3175">
              <a:solidFill>
                <a:srgbClr val="000000"/>
              </a:solidFill>
              <a:prstDash val="solid"/>
            </a:ln>
          </c:spPr>
          <c:marker>
            <c:symbol val="none"/>
          </c:marker>
          <c:xVal>
            <c:numLit>
              <c:formatCode>General</c:formatCode>
              <c:ptCount val="2"/>
              <c:pt idx="0">
                <c:v>-2.0077406848213544</c:v>
              </c:pt>
              <c:pt idx="1">
                <c:v>-2.2617878171027579</c:v>
              </c:pt>
            </c:numLit>
          </c:xVal>
          <c:yVal>
            <c:numLit>
              <c:formatCode>General</c:formatCode>
              <c:ptCount val="2"/>
              <c:pt idx="0">
                <c:v>1.6466167997462634E-2</c:v>
              </c:pt>
              <c:pt idx="1">
                <c:v>1.6348145906530984E-2</c:v>
              </c:pt>
            </c:numLit>
          </c:yVal>
          <c:smooth val="0"/>
          <c:extLst>
            <c:ext xmlns:c16="http://schemas.microsoft.com/office/drawing/2014/chart" uri="{C3380CC4-5D6E-409C-BE32-E72D297353CC}">
              <c16:uniqueId val="{00000034-011E-4924-BEEA-FE22ECBFD237}"/>
            </c:ext>
          </c:extLst>
        </c:ser>
        <c:ser>
          <c:idx val="47"/>
          <c:order val="47"/>
          <c:spPr>
            <a:ln w="3175">
              <a:solidFill>
                <a:srgbClr val="000000"/>
              </a:solidFill>
              <a:prstDash val="solid"/>
            </a:ln>
          </c:spPr>
          <c:marker>
            <c:symbol val="none"/>
          </c:marker>
          <c:xVal>
            <c:numLit>
              <c:formatCode>General</c:formatCode>
              <c:ptCount val="2"/>
              <c:pt idx="0">
                <c:v>-1.8951961980647147</c:v>
              </c:pt>
              <c:pt idx="1">
                <c:v>-2.3973910482134464</c:v>
              </c:pt>
            </c:numLit>
          </c:xVal>
          <c:yVal>
            <c:numLit>
              <c:formatCode>General</c:formatCode>
              <c:ptCount val="2"/>
              <c:pt idx="0">
                <c:v>1.6337357668468857E-2</c:v>
              </c:pt>
              <c:pt idx="1">
                <c:v>1.6094504538306124E-2</c:v>
              </c:pt>
            </c:numLit>
          </c:yVal>
          <c:smooth val="0"/>
          <c:extLst>
            <c:ext xmlns:c16="http://schemas.microsoft.com/office/drawing/2014/chart" uri="{C3380CC4-5D6E-409C-BE32-E72D297353CC}">
              <c16:uniqueId val="{00000035-011E-4924-BEEA-FE22ECBFD237}"/>
            </c:ext>
          </c:extLst>
        </c:ser>
        <c:ser>
          <c:idx val="48"/>
          <c:order val="48"/>
          <c:spPr>
            <a:ln w="3175">
              <a:solidFill>
                <a:srgbClr val="000000"/>
              </a:solidFill>
              <a:prstDash val="solid"/>
            </a:ln>
          </c:spPr>
          <c:marker>
            <c:symbol val="none"/>
          </c:marker>
          <c:xVal>
            <c:numLit>
              <c:formatCode>General</c:formatCode>
              <c:ptCount val="2"/>
              <c:pt idx="0">
                <c:v>-1.7771046267974688</c:v>
              </c:pt>
              <c:pt idx="1">
                <c:v>-2.0250727985773351</c:v>
              </c:pt>
            </c:numLit>
          </c:xVal>
          <c:yVal>
            <c:numLit>
              <c:formatCode>General</c:formatCode>
              <c:ptCount val="2"/>
              <c:pt idx="0">
                <c:v>1.6207550583249328E-2</c:v>
              </c:pt>
              <c:pt idx="1">
                <c:v>1.60826554977502E-2</c:v>
              </c:pt>
            </c:numLit>
          </c:yVal>
          <c:smooth val="0"/>
          <c:extLst>
            <c:ext xmlns:c16="http://schemas.microsoft.com/office/drawing/2014/chart" uri="{C3380CC4-5D6E-409C-BE32-E72D297353CC}">
              <c16:uniqueId val="{00000036-011E-4924-BEEA-FE22ECBFD237}"/>
            </c:ext>
          </c:extLst>
        </c:ser>
        <c:ser>
          <c:idx val="49"/>
          <c:order val="49"/>
          <c:spPr>
            <a:ln w="3175">
              <a:solidFill>
                <a:srgbClr val="000000"/>
              </a:solidFill>
              <a:prstDash val="solid"/>
            </a:ln>
          </c:spPr>
          <c:marker>
            <c:symbol val="none"/>
          </c:marker>
          <c:xVal>
            <c:numLit>
              <c:formatCode>General</c:formatCode>
              <c:ptCount val="2"/>
              <c:pt idx="0">
                <c:v>-1.6533273947279199</c:v>
              </c:pt>
              <c:pt idx="1">
                <c:v>-1.8980310127626514</c:v>
              </c:pt>
            </c:numLit>
          </c:xVal>
          <c:yVal>
            <c:numLit>
              <c:formatCode>General</c:formatCode>
              <c:ptCount val="2"/>
              <c:pt idx="0">
                <c:v>1.6076904919395639E-2</c:v>
              </c:pt>
              <c:pt idx="1">
                <c:v>1.5948535562537603E-2</c:v>
              </c:pt>
            </c:numLit>
          </c:yVal>
          <c:smooth val="0"/>
          <c:extLst>
            <c:ext xmlns:c16="http://schemas.microsoft.com/office/drawing/2014/chart" uri="{C3380CC4-5D6E-409C-BE32-E72D297353CC}">
              <c16:uniqueId val="{00000037-011E-4924-BEEA-FE22ECBFD237}"/>
            </c:ext>
          </c:extLst>
        </c:ser>
        <c:ser>
          <c:idx val="50"/>
          <c:order val="50"/>
          <c:spPr>
            <a:ln w="3175">
              <a:solidFill>
                <a:srgbClr val="000000"/>
              </a:solidFill>
              <a:prstDash val="solid"/>
            </a:ln>
          </c:spPr>
          <c:marker>
            <c:symbol val="none"/>
          </c:marker>
          <c:xVal>
            <c:numLit>
              <c:formatCode>General</c:formatCode>
              <c:ptCount val="2"/>
              <c:pt idx="0">
                <c:v>-1.5237378626491505</c:v>
              </c:pt>
              <c:pt idx="1">
                <c:v>-1.7650220780229187</c:v>
              </c:pt>
            </c:numLit>
          </c:xVal>
          <c:yVal>
            <c:numLit>
              <c:formatCode>General</c:formatCode>
              <c:ptCount val="2"/>
              <c:pt idx="0">
                <c:v>1.5945592607543146E-2</c:v>
              </c:pt>
              <c:pt idx="1">
                <c:v>1.5813729677496932E-2</c:v>
              </c:pt>
            </c:numLit>
          </c:yVal>
          <c:smooth val="0"/>
          <c:extLst>
            <c:ext xmlns:c16="http://schemas.microsoft.com/office/drawing/2014/chart" uri="{C3380CC4-5D6E-409C-BE32-E72D297353CC}">
              <c16:uniqueId val="{00000038-011E-4924-BEEA-FE22ECBFD237}"/>
            </c:ext>
          </c:extLst>
        </c:ser>
        <c:ser>
          <c:idx val="51"/>
          <c:order val="51"/>
          <c:spPr>
            <a:ln w="3175">
              <a:solidFill>
                <a:srgbClr val="000000"/>
              </a:solidFill>
              <a:prstDash val="solid"/>
            </a:ln>
          </c:spPr>
          <c:marker>
            <c:symbol val="none"/>
          </c:marker>
          <c:xVal>
            <c:numLit>
              <c:formatCode>General</c:formatCode>
              <c:ptCount val="2"/>
              <c:pt idx="0">
                <c:v>-1.388223368555124</c:v>
              </c:pt>
              <c:pt idx="1">
                <c:v>-1.6259301677145295</c:v>
              </c:pt>
            </c:numLit>
          </c:xVal>
          <c:yVal>
            <c:numLit>
              <c:formatCode>General</c:formatCode>
              <c:ptCount val="2"/>
              <c:pt idx="0">
                <c:v>1.5813799256283002E-2</c:v>
              </c:pt>
              <c:pt idx="1">
                <c:v>1.5678428325744984E-2</c:v>
              </c:pt>
            </c:numLit>
          </c:yVal>
          <c:smooth val="0"/>
          <c:extLst>
            <c:ext xmlns:c16="http://schemas.microsoft.com/office/drawing/2014/chart" uri="{C3380CC4-5D6E-409C-BE32-E72D297353CC}">
              <c16:uniqueId val="{00000039-011E-4924-BEEA-FE22ECBFD237}"/>
            </c:ext>
          </c:extLst>
        </c:ser>
        <c:ser>
          <c:idx val="52"/>
          <c:order val="52"/>
          <c:spPr>
            <a:ln w="3175">
              <a:solidFill>
                <a:srgbClr val="000000"/>
              </a:solidFill>
              <a:prstDash val="solid"/>
            </a:ln>
          </c:spPr>
          <c:marker>
            <c:symbol val="none"/>
          </c:marker>
          <c:xVal>
            <c:numLit>
              <c:formatCode>General</c:formatCode>
              <c:ptCount val="2"/>
              <c:pt idx="0">
                <c:v>-1.2466873299709398</c:v>
              </c:pt>
              <c:pt idx="1">
                <c:v>-1.7146635892116067</c:v>
              </c:pt>
            </c:numLit>
          </c:xVal>
          <c:yVal>
            <c:numLit>
              <c:formatCode>General</c:formatCode>
              <c:ptCount val="2"/>
              <c:pt idx="0">
                <c:v>1.5681723906468353E-2</c:v>
              </c:pt>
              <c:pt idx="1">
                <c:v>1.540398349013896E-2</c:v>
              </c:pt>
            </c:numLit>
          </c:yVal>
          <c:smooth val="0"/>
          <c:extLst>
            <c:ext xmlns:c16="http://schemas.microsoft.com/office/drawing/2014/chart" uri="{C3380CC4-5D6E-409C-BE32-E72D297353CC}">
              <c16:uniqueId val="{0000003A-011E-4924-BEEA-FE22ECBFD237}"/>
            </c:ext>
          </c:extLst>
        </c:ser>
        <c:ser>
          <c:idx val="53"/>
          <c:order val="53"/>
          <c:spPr>
            <a:ln w="3175">
              <a:solidFill>
                <a:srgbClr val="000000"/>
              </a:solidFill>
              <a:prstDash val="solid"/>
            </a:ln>
          </c:spPr>
          <c:marker>
            <c:symbol val="none"/>
          </c:marker>
          <c:dLbls>
            <c:dLbl>
              <c:idx val="0"/>
              <c:tx>
                <c:rich>
                  <a:bodyPr rot="-23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11E-4924-BEEA-FE22ECBFD2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-2.3076574148248494</c:v>
              </c:pt>
            </c:numLit>
          </c:xVal>
          <c:yVal>
            <c:numLit>
              <c:formatCode>General</c:formatCode>
              <c:ptCount val="1"/>
              <c:pt idx="0">
                <c:v>1.5052384582440575E-2</c:v>
              </c:pt>
            </c:numLit>
          </c:yVal>
          <c:smooth val="0"/>
          <c:extLst>
            <c:ext xmlns:c16="http://schemas.microsoft.com/office/drawing/2014/chart" uri="{C3380CC4-5D6E-409C-BE32-E72D297353CC}">
              <c16:uniqueId val="{0000003C-011E-4924-BEEA-FE22ECBFD237}"/>
            </c:ext>
          </c:extLst>
        </c:ser>
        <c:ser>
          <c:idx val="54"/>
          <c:order val="54"/>
          <c:spPr>
            <a:ln w="3175">
              <a:solidFill>
                <a:srgbClr val="000000"/>
              </a:solidFill>
              <a:prstDash val="solid"/>
            </a:ln>
          </c:spPr>
          <c:marker>
            <c:symbol val="none"/>
          </c:marker>
          <c:xVal>
            <c:numLit>
              <c:formatCode>General</c:formatCode>
              <c:ptCount val="2"/>
              <c:pt idx="0">
                <c:v>-1.0990513798353114</c:v>
              </c:pt>
              <c:pt idx="1">
                <c:v>-1.3291187844030128</c:v>
              </c:pt>
            </c:numLit>
          </c:xVal>
          <c:yVal>
            <c:numLit>
              <c:formatCode>General</c:formatCode>
              <c:ptCount val="2"/>
              <c:pt idx="0">
                <c:v>1.5549578597725369E-2</c:v>
              </c:pt>
              <c:pt idx="1">
                <c:v>1.5407169702183561E-2</c:v>
              </c:pt>
            </c:numLit>
          </c:yVal>
          <c:smooth val="0"/>
          <c:extLst>
            <c:ext xmlns:c16="http://schemas.microsoft.com/office/drawing/2014/chart" uri="{C3380CC4-5D6E-409C-BE32-E72D297353CC}">
              <c16:uniqueId val="{0000003D-011E-4924-BEEA-FE22ECBFD237}"/>
            </c:ext>
          </c:extLst>
        </c:ser>
        <c:ser>
          <c:idx val="55"/>
          <c:order val="55"/>
          <c:spPr>
            <a:ln w="3175">
              <a:solidFill>
                <a:srgbClr val="000000"/>
              </a:solidFill>
              <a:prstDash val="solid"/>
            </a:ln>
          </c:spPr>
          <c:marker>
            <c:symbol val="none"/>
          </c:marker>
          <c:xVal>
            <c:numLit>
              <c:formatCode>General</c:formatCode>
              <c:ptCount val="2"/>
              <c:pt idx="0">
                <c:v>-0.94525750221214544</c:v>
              </c:pt>
              <c:pt idx="1">
                <c:v>-1.171258910076004</c:v>
              </c:pt>
            </c:numLit>
          </c:xVal>
          <c:yVal>
            <c:numLit>
              <c:formatCode>General</c:formatCode>
              <c:ptCount val="2"/>
              <c:pt idx="0">
                <c:v>1.5417587732063727E-2</c:v>
              </c:pt>
              <c:pt idx="1">
                <c:v>1.5271660405463735E-2</c:v>
              </c:pt>
            </c:numLit>
          </c:yVal>
          <c:smooth val="0"/>
          <c:extLst>
            <c:ext xmlns:c16="http://schemas.microsoft.com/office/drawing/2014/chart" uri="{C3380CC4-5D6E-409C-BE32-E72D297353CC}">
              <c16:uniqueId val="{0000003E-011E-4924-BEEA-FE22ECBFD237}"/>
            </c:ext>
          </c:extLst>
        </c:ser>
        <c:ser>
          <c:idx val="56"/>
          <c:order val="56"/>
          <c:spPr>
            <a:ln w="3175">
              <a:solidFill>
                <a:srgbClr val="000000"/>
              </a:solidFill>
              <a:prstDash val="solid"/>
            </a:ln>
          </c:spPr>
          <c:marker>
            <c:symbol val="none"/>
          </c:marker>
          <c:xVal>
            <c:numLit>
              <c:formatCode>General</c:formatCode>
              <c:ptCount val="2"/>
              <c:pt idx="0">
                <c:v>-0.78527012929796181</c:v>
              </c:pt>
              <c:pt idx="1">
                <c:v>-1.0070396059342881</c:v>
              </c:pt>
            </c:numLit>
          </c:xVal>
          <c:yVal>
            <c:numLit>
              <c:formatCode>General</c:formatCode>
              <c:ptCount val="2"/>
              <c:pt idx="0">
                <c:v>1.5285987222392702E-2</c:v>
              </c:pt>
              <c:pt idx="1">
                <c:v>1.5136550067768871E-2</c:v>
              </c:pt>
            </c:numLit>
          </c:yVal>
          <c:smooth val="0"/>
          <c:extLst>
            <c:ext xmlns:c16="http://schemas.microsoft.com/office/drawing/2014/chart" uri="{C3380CC4-5D6E-409C-BE32-E72D297353CC}">
              <c16:uniqueId val="{0000003F-011E-4924-BEEA-FE22ECBFD237}"/>
            </c:ext>
          </c:extLst>
        </c:ser>
        <c:ser>
          <c:idx val="57"/>
          <c:order val="57"/>
          <c:spPr>
            <a:ln w="3175">
              <a:solidFill>
                <a:srgbClr val="000000"/>
              </a:solidFill>
              <a:prstDash val="solid"/>
            </a:ln>
          </c:spPr>
          <c:marker>
            <c:symbol val="none"/>
          </c:marker>
          <c:xVal>
            <c:numLit>
              <c:formatCode>General</c:formatCode>
              <c:ptCount val="2"/>
              <c:pt idx="0">
                <c:v>-0.61907815687851919</c:v>
              </c:pt>
              <c:pt idx="1">
                <c:v>-0.83644925897128908</c:v>
              </c:pt>
            </c:numLit>
          </c:xVal>
          <c:yVal>
            <c:numLit>
              <c:formatCode>General</c:formatCode>
              <c:ptCount val="2"/>
              <c:pt idx="0">
                <c:v>1.5155023417515526E-2</c:v>
              </c:pt>
              <c:pt idx="1">
                <c:v>1.5002091586488069E-2</c:v>
              </c:pt>
            </c:numLit>
          </c:yVal>
          <c:smooth val="0"/>
          <c:extLst>
            <c:ext xmlns:c16="http://schemas.microsoft.com/office/drawing/2014/chart" uri="{C3380CC4-5D6E-409C-BE32-E72D297353CC}">
              <c16:uniqueId val="{00000040-011E-4924-BEEA-FE22ECBFD237}"/>
            </c:ext>
          </c:extLst>
        </c:ser>
        <c:ser>
          <c:idx val="58"/>
          <c:order val="58"/>
          <c:spPr>
            <a:ln w="3175">
              <a:solidFill>
                <a:srgbClr val="000000"/>
              </a:solidFill>
              <a:prstDash val="solid"/>
            </a:ln>
          </c:spPr>
          <c:marker>
            <c:symbol val="none"/>
          </c:marker>
          <c:xVal>
            <c:numLit>
              <c:formatCode>General</c:formatCode>
              <c:ptCount val="2"/>
              <c:pt idx="0">
                <c:v>-0.44669683184065456</c:v>
              </c:pt>
              <c:pt idx="1">
                <c:v>-0.87235472792758506</c:v>
              </c:pt>
            </c:numLit>
          </c:xVal>
          <c:yVal>
            <c:numLit>
              <c:formatCode>General</c:formatCode>
              <c:ptCount val="2"/>
              <c:pt idx="0">
                <c:v>1.5024951799785189E-2</c:v>
              </c:pt>
              <c:pt idx="1">
                <c:v>1.4712176032084051E-2</c:v>
              </c:pt>
            </c:numLit>
          </c:yVal>
          <c:smooth val="0"/>
          <c:extLst>
            <c:ext xmlns:c16="http://schemas.microsoft.com/office/drawing/2014/chart" uri="{C3380CC4-5D6E-409C-BE32-E72D297353CC}">
              <c16:uniqueId val="{00000041-011E-4924-BEEA-FE22ECBFD237}"/>
            </c:ext>
          </c:extLst>
        </c:ser>
        <c:ser>
          <c:idx val="59"/>
          <c:order val="59"/>
          <c:spPr>
            <a:ln w="3175">
              <a:solidFill>
                <a:srgbClr val="000000"/>
              </a:solidFill>
              <a:prstDash val="solid"/>
            </a:ln>
          </c:spPr>
          <c:marker>
            <c:symbol val="none"/>
          </c:marker>
          <c:xVal>
            <c:numLit>
              <c:formatCode>General</c:formatCode>
              <c:ptCount val="2"/>
              <c:pt idx="0">
                <c:v>-0.26816946284299165</c:v>
              </c:pt>
              <c:pt idx="1">
                <c:v>-0.47624598722283679</c:v>
              </c:pt>
            </c:numLit>
          </c:xVal>
          <c:yVal>
            <c:numLit>
              <c:formatCode>General</c:formatCode>
              <c:ptCount val="2"/>
              <c:pt idx="0">
                <c:v>1.4896035457000568E-2</c:v>
              </c:pt>
              <c:pt idx="1">
                <c:v>1.4736187176696662E-2</c:v>
              </c:pt>
            </c:numLit>
          </c:yVal>
          <c:smooth val="0"/>
          <c:extLst>
            <c:ext xmlns:c16="http://schemas.microsoft.com/office/drawing/2014/chart" uri="{C3380CC4-5D6E-409C-BE32-E72D297353CC}">
              <c16:uniqueId val="{00000042-011E-4924-BEEA-FE22ECBFD237}"/>
            </c:ext>
          </c:extLst>
        </c:ser>
        <c:ser>
          <c:idx val="60"/>
          <c:order val="60"/>
          <c:spPr>
            <a:ln w="3175">
              <a:solidFill>
                <a:srgbClr val="000000"/>
              </a:solidFill>
              <a:prstDash val="solid"/>
            </a:ln>
          </c:spPr>
          <c:marker>
            <c:symbol val="none"/>
          </c:marker>
          <c:xVal>
            <c:numLit>
              <c:formatCode>General</c:formatCode>
              <c:ptCount val="2"/>
              <c:pt idx="0">
                <c:v>-8.3568904066706209E-2</c:v>
              </c:pt>
              <c:pt idx="1">
                <c:v>-0.28675188305885801</c:v>
              </c:pt>
            </c:numLit>
          </c:xVal>
          <c:yVal>
            <c:numLit>
              <c:formatCode>General</c:formatCode>
              <c:ptCount val="2"/>
              <c:pt idx="0">
                <c:v>1.4768543336192361E-2</c:v>
              </c:pt>
              <c:pt idx="1">
                <c:v>1.4605287509683575E-2</c:v>
              </c:pt>
            </c:numLit>
          </c:yVal>
          <c:smooth val="0"/>
          <c:extLst>
            <c:ext xmlns:c16="http://schemas.microsoft.com/office/drawing/2014/chart" uri="{C3380CC4-5D6E-409C-BE32-E72D297353CC}">
              <c16:uniqueId val="{00000043-011E-4924-BEEA-FE22ECBFD237}"/>
            </c:ext>
          </c:extLst>
        </c:ser>
        <c:ser>
          <c:idx val="61"/>
          <c:order val="61"/>
          <c:spPr>
            <a:ln w="3175">
              <a:solidFill>
                <a:srgbClr val="000000"/>
              </a:solidFill>
              <a:prstDash val="solid"/>
            </a:ln>
          </c:spPr>
          <c:marker>
            <c:symbol val="none"/>
          </c:marker>
          <c:xVal>
            <c:numLit>
              <c:formatCode>General</c:formatCode>
              <c:ptCount val="2"/>
              <c:pt idx="0">
                <c:v>0.10700123764518008</c:v>
              </c:pt>
              <c:pt idx="1">
                <c:v>-9.1127145974432305E-2</c:v>
              </c:pt>
            </c:numLit>
          </c:xVal>
          <c:yVal>
            <c:numLit>
              <c:formatCode>General</c:formatCode>
              <c:ptCount val="2"/>
              <c:pt idx="0">
                <c:v>1.4642748293527812E-2</c:v>
              </c:pt>
              <c:pt idx="1">
                <c:v>1.4476128428781763E-2</c:v>
              </c:pt>
            </c:numLit>
          </c:yVal>
          <c:smooth val="0"/>
          <c:extLst>
            <c:ext xmlns:c16="http://schemas.microsoft.com/office/drawing/2014/chart" uri="{C3380CC4-5D6E-409C-BE32-E72D297353CC}">
              <c16:uniqueId val="{00000044-011E-4924-BEEA-FE22ECBFD237}"/>
            </c:ext>
          </c:extLst>
        </c:ser>
        <c:ser>
          <c:idx val="62"/>
          <c:order val="62"/>
          <c:spPr>
            <a:ln w="3175">
              <a:solidFill>
                <a:srgbClr val="000000"/>
              </a:solidFill>
              <a:prstDash val="solid"/>
            </a:ln>
          </c:spPr>
          <c:marker>
            <c:symbol val="none"/>
          </c:marker>
          <c:xVal>
            <c:numLit>
              <c:formatCode>General</c:formatCode>
              <c:ptCount val="2"/>
              <c:pt idx="0">
                <c:v>0.30340571978893238</c:v>
              </c:pt>
              <c:pt idx="1">
                <c:v>0.11048958435157942</c:v>
              </c:pt>
            </c:numLit>
          </c:xVal>
          <c:yVal>
            <c:numLit>
              <c:formatCode>General</c:formatCode>
              <c:ptCount val="2"/>
              <c:pt idx="0">
                <c:v>1.4518924961431453E-2</c:v>
              </c:pt>
              <c:pt idx="1">
                <c:v>1.4348991954383022E-2</c:v>
              </c:pt>
            </c:numLit>
          </c:yVal>
          <c:smooth val="0"/>
          <c:extLst>
            <c:ext xmlns:c16="http://schemas.microsoft.com/office/drawing/2014/chart" uri="{C3380CC4-5D6E-409C-BE32-E72D297353CC}">
              <c16:uniqueId val="{00000045-011E-4924-BEEA-FE22ECBFD237}"/>
            </c:ext>
          </c:extLst>
        </c:ser>
        <c:ser>
          <c:idx val="63"/>
          <c:order val="63"/>
          <c:spPr>
            <a:ln w="3175">
              <a:solidFill>
                <a:srgbClr val="000000"/>
              </a:solidFill>
              <a:prstDash val="solid"/>
            </a:ln>
          </c:spPr>
          <c:marker>
            <c:symbol val="none"/>
          </c:marker>
          <c:xVal>
            <c:numLit>
              <c:formatCode>General</c:formatCode>
              <c:ptCount val="2"/>
              <c:pt idx="0">
                <c:v>0.5054771487943629</c:v>
              </c:pt>
              <c:pt idx="1">
                <c:v>0.13032764032617034</c:v>
              </c:pt>
            </c:numLit>
          </c:xVal>
          <c:yVal>
            <c:numLit>
              <c:formatCode>General</c:formatCode>
              <c:ptCount val="2"/>
              <c:pt idx="0">
                <c:v>1.439734746090714E-2</c:v>
              </c:pt>
              <c:pt idx="1">
                <c:v>1.4051000367389811E-2</c:v>
              </c:pt>
            </c:numLit>
          </c:yVal>
          <c:smooth val="0"/>
          <c:extLst>
            <c:ext xmlns:c16="http://schemas.microsoft.com/office/drawing/2014/chart" uri="{C3380CC4-5D6E-409C-BE32-E72D297353CC}">
              <c16:uniqueId val="{00000046-011E-4924-BEEA-FE22ECBFD237}"/>
            </c:ext>
          </c:extLst>
        </c:ser>
        <c:ser>
          <c:idx val="64"/>
          <c:order val="64"/>
          <c:spPr>
            <a:ln w="3175">
              <a:solidFill>
                <a:srgbClr val="000000"/>
              </a:solidFill>
              <a:prstDash val="solid"/>
            </a:ln>
          </c:spPr>
          <c:marker>
            <c:symbol val="none"/>
          </c:marker>
          <c:dLbls>
            <c:dLbl>
              <c:idx val="0"/>
              <c:tx>
                <c:rich>
                  <a:bodyPr rot="-31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7-011E-4924-BEEA-FE22ECBFD2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-0.34514016993581637</c:v>
              </c:pt>
            </c:numLit>
          </c:xVal>
          <c:yVal>
            <c:numLit>
              <c:formatCode>General</c:formatCode>
              <c:ptCount val="1"/>
              <c:pt idx="0">
                <c:v>1.3612458427713661E-2</c:v>
              </c:pt>
            </c:numLit>
          </c:yVal>
          <c:smooth val="0"/>
          <c:extLst>
            <c:ext xmlns:c16="http://schemas.microsoft.com/office/drawing/2014/chart" uri="{C3380CC4-5D6E-409C-BE32-E72D297353CC}">
              <c16:uniqueId val="{00000048-011E-4924-BEEA-FE22ECBFD237}"/>
            </c:ext>
          </c:extLst>
        </c:ser>
        <c:ser>
          <c:idx val="65"/>
          <c:order val="65"/>
          <c:spPr>
            <a:ln w="3175">
              <a:solidFill>
                <a:srgbClr val="000000"/>
              </a:solidFill>
              <a:prstDash val="solid"/>
            </a:ln>
          </c:spPr>
          <c:marker>
            <c:symbol val="none"/>
          </c:marker>
          <c:xVal>
            <c:numLit>
              <c:formatCode>General</c:formatCode>
              <c:ptCount val="56"/>
              <c:pt idx="0">
                <c:v>-3.758</c:v>
              </c:pt>
              <c:pt idx="1">
                <c:v>-3.7573164307647193</c:v>
              </c:pt>
              <c:pt idx="2">
                <c:v>-3.7551514284703731</c:v>
              </c:pt>
              <c:pt idx="3">
                <c:v>-3.7513184851597101</c:v>
              </c:pt>
              <c:pt idx="4">
                <c:v>-3.7456091126033786</c:v>
              </c:pt>
              <c:pt idx="5">
                <c:v>-3.7377902586290985</c:v>
              </c:pt>
              <c:pt idx="6">
                <c:v>-3.7276014439375182</c:v>
              </c:pt>
              <c:pt idx="7">
                <c:v>-3.7147516008544463</c:v>
              </c:pt>
              <c:pt idx="8">
                <c:v>-3.6989155989247418</c:v>
              </c:pt>
              <c:pt idx="9">
                <c:v>-3.6797304479524238</c:v>
              </c:pt>
              <c:pt idx="10">
                <c:v>-3.6567911778075404</c:v>
              </c:pt>
              <c:pt idx="11">
                <c:v>-3.6296464070240311</c:v>
              </c:pt>
              <c:pt idx="12">
                <c:v>-3.5977936301001021</c:v>
              </c:pt>
              <c:pt idx="13">
                <c:v>-3.5606742779232401</c:v>
              </c:pt>
              <c:pt idx="14">
                <c:v>-3.517668638557927</c:v>
              </c:pt>
              <c:pt idx="15">
                <c:v>-3.4680907686435161</c:v>
              </c:pt>
              <c:pt idx="16">
                <c:v>-3.4406035633560976</c:v>
              </c:pt>
              <c:pt idx="17">
                <c:v>-3.4111835808515791</c:v>
              </c:pt>
              <c:pt idx="18">
                <c:v>-3.3797243325935047</c:v>
              </c:pt>
              <c:pt idx="19">
                <c:v>-3.3461143621710736</c:v>
              </c:pt>
              <c:pt idx="20">
                <c:v>-3.3102371536754234</c:v>
              </c:pt>
              <c:pt idx="21">
                <c:v>-3.2719710627580656</c:v>
              </c:pt>
              <c:pt idx="22">
                <c:v>-3.2311892749519693</c:v>
              </c:pt>
              <c:pt idx="23">
                <c:v>-3.1877597963437578</c:v>
              </c:pt>
              <c:pt idx="24">
                <c:v>-3.1415454822086812</c:v>
              </c:pt>
              <c:pt idx="25">
                <c:v>-3.0924041097491268</c:v>
              </c:pt>
              <c:pt idx="26">
                <c:v>-3.0401885016002286</c:v>
              </c:pt>
              <c:pt idx="27">
                <c:v>-2.9847467072668263</c:v>
              </c:pt>
              <c:pt idx="28">
                <c:v>-2.9259222501155961</c:v>
              </c:pt>
              <c:pt idx="29">
                <c:v>-2.8635544479409476</c:v>
              </c:pt>
              <c:pt idx="30">
                <c:v>-2.7974788154258228</c:v>
              </c:pt>
              <c:pt idx="31">
                <c:v>-2.7275275569962796</c:v>
              </c:pt>
              <c:pt idx="32">
                <c:v>-2.6535301585852245</c:v>
              </c:pt>
              <c:pt idx="33">
                <c:v>-2.575314086634803</c:v>
              </c:pt>
              <c:pt idx="34">
                <c:v>-2.4927056022343019</c:v>
              </c:pt>
              <c:pt idx="35">
                <c:v>-2.4055306975638757</c:v>
              </c:pt>
              <c:pt idx="36">
                <c:v>-2.313616160746133</c:v>
              </c:pt>
              <c:pt idx="37">
                <c:v>-2.216790773750446</c:v>
              </c:pt>
              <c:pt idx="38">
                <c:v>-2.1148866461057976</c:v>
              </c:pt>
              <c:pt idx="39">
                <c:v>-2.0077406848213544</c:v>
              </c:pt>
              <c:pt idx="40">
                <c:v>-1.8951961980647147</c:v>
              </c:pt>
              <c:pt idx="41">
                <c:v>-1.7771046267974688</c:v>
              </c:pt>
              <c:pt idx="42">
                <c:v>-1.6533273947279199</c:v>
              </c:pt>
              <c:pt idx="43">
                <c:v>-1.5237378626491505</c:v>
              </c:pt>
              <c:pt idx="44">
                <c:v>-1.388223368555124</c:v>
              </c:pt>
              <c:pt idx="45">
                <c:v>-1.2466873299709398</c:v>
              </c:pt>
              <c:pt idx="46">
                <c:v>-1.0990513798353114</c:v>
              </c:pt>
              <c:pt idx="47">
                <c:v>-0.94525750221214544</c:v>
              </c:pt>
              <c:pt idx="48">
                <c:v>-0.78527012929796181</c:v>
              </c:pt>
              <c:pt idx="49">
                <c:v>-0.61907815687851919</c:v>
              </c:pt>
              <c:pt idx="50">
                <c:v>-0.44669683184065456</c:v>
              </c:pt>
              <c:pt idx="51">
                <c:v>-0.26816946284299165</c:v>
              </c:pt>
              <c:pt idx="52">
                <c:v>-8.3568904066706209E-2</c:v>
              </c:pt>
              <c:pt idx="53">
                <c:v>0.10700123764518008</c:v>
              </c:pt>
              <c:pt idx="54">
                <c:v>0.30340571978893238</c:v>
              </c:pt>
              <c:pt idx="55">
                <c:v>0.5054771487943629</c:v>
              </c:pt>
            </c:numLit>
          </c:xVal>
          <c:yVal>
            <c:numLit>
              <c:formatCode>General</c:formatCode>
              <c:ptCount val="56"/>
              <c:pt idx="0">
                <c:v>2.0930000000000001E-2</c:v>
              </c:pt>
              <c:pt idx="1">
                <c:v>2.0838150344721491E-2</c:v>
              </c:pt>
              <c:pt idx="2">
                <c:v>2.0742509615122581E-2</c:v>
              </c:pt>
              <c:pt idx="3">
                <c:v>2.0642878308754005E-2</c:v>
              </c:pt>
              <c:pt idx="4">
                <c:v>2.0539046809061261E-2</c:v>
              </c:pt>
              <c:pt idx="5">
                <c:v>2.0430795350641542E-2</c:v>
              </c:pt>
              <c:pt idx="6">
                <c:v>2.0317894135552732E-2</c:v>
              </c:pt>
              <c:pt idx="7">
                <c:v>2.0200103644625281E-2</c:v>
              </c:pt>
              <c:pt idx="8">
                <c:v>2.0077175197246788E-2</c:v>
              </c:pt>
              <c:pt idx="9">
                <c:v>1.9948851824198272E-2</c:v>
              </c:pt>
              <c:pt idx="10">
                <c:v>1.9814869530917118E-2</c:v>
              </c:pt>
              <c:pt idx="11">
                <c:v>1.9674959043059544E-2</c:v>
              </c:pt>
              <c:pt idx="12">
                <c:v>1.9528848142313003E-2</c:v>
              </c:pt>
              <c:pt idx="13">
                <c:v>1.9376264717732728E-2</c:v>
              </c:pt>
              <c:pt idx="14">
                <c:v>1.921694067579767E-2</c:v>
              </c:pt>
              <c:pt idx="15">
                <c:v>1.905061686979987E-2</c:v>
              </c:pt>
              <c:pt idx="16">
                <c:v>1.8964752998040003E-2</c:v>
              </c:pt>
              <c:pt idx="17">
                <c:v>1.8877049224379265E-2</c:v>
              </c:pt>
              <c:pt idx="18">
                <c:v>1.8787478625185268E-2</c:v>
              </c:pt>
              <c:pt idx="19">
                <c:v>1.8696016241449256E-2</c:v>
              </c:pt>
              <c:pt idx="20">
                <c:v>1.8602639402078635E-2</c:v>
              </c:pt>
              <c:pt idx="21">
                <c:v>1.85073280758347E-2</c:v>
              </c:pt>
              <c:pt idx="22">
                <c:v>1.8410065253019303E-2</c:v>
              </c:pt>
              <c:pt idx="23">
                <c:v>1.8310837357796605E-2</c:v>
              </c:pt>
              <c:pt idx="24">
                <c:v>1.820963469175254E-2</c:v>
              </c:pt>
              <c:pt idx="25">
                <c:v>1.8106451908935582E-2</c:v>
              </c:pt>
              <c:pt idx="26">
                <c:v>1.8001288522178398E-2</c:v>
              </c:pt>
              <c:pt idx="27">
                <c:v>1.7894149439960622E-2</c:v>
              </c:pt>
              <c:pt idx="28">
                <c:v>1.7785045532430037E-2</c:v>
              </c:pt>
              <c:pt idx="29">
                <c:v>1.7673994224443108E-2</c:v>
              </c:pt>
              <c:pt idx="30">
                <c:v>1.7561020112610893E-2</c:v>
              </c:pt>
              <c:pt idx="31">
                <c:v>1.7446155602337338E-2</c:v>
              </c:pt>
              <c:pt idx="32">
                <c:v>1.7329441559713527E-2</c:v>
              </c:pt>
              <c:pt idx="33">
                <c:v>1.7210927971887027E-2</c:v>
              </c:pt>
              <c:pt idx="34">
                <c:v>1.7090674608169102E-2</c:v>
              </c:pt>
              <c:pt idx="35">
                <c:v>1.6968751672690126E-2</c:v>
              </c:pt>
              <c:pt idx="36">
                <c:v>1.6845240437890034E-2</c:v>
              </c:pt>
              <c:pt idx="37">
                <c:v>1.6720233846569021E-2</c:v>
              </c:pt>
              <c:pt idx="38">
                <c:v>1.6593837068668817E-2</c:v>
              </c:pt>
              <c:pt idx="39">
                <c:v>1.6466167997462634E-2</c:v>
              </c:pt>
              <c:pt idx="40">
                <c:v>1.6337357668468857E-2</c:v>
              </c:pt>
              <c:pt idx="41">
                <c:v>1.6207550583249328E-2</c:v>
              </c:pt>
              <c:pt idx="42">
                <c:v>1.6076904919395639E-2</c:v>
              </c:pt>
              <c:pt idx="43">
                <c:v>1.5945592607543146E-2</c:v>
              </c:pt>
              <c:pt idx="44">
                <c:v>1.5813799256283002E-2</c:v>
              </c:pt>
              <c:pt idx="45">
                <c:v>1.5681723906468353E-2</c:v>
              </c:pt>
              <c:pt idx="46">
                <c:v>1.5549578597725369E-2</c:v>
              </c:pt>
              <c:pt idx="47">
                <c:v>1.5417587732063727E-2</c:v>
              </c:pt>
              <c:pt idx="48">
                <c:v>1.5285987222392702E-2</c:v>
              </c:pt>
              <c:pt idx="49">
                <c:v>1.5155023417515526E-2</c:v>
              </c:pt>
              <c:pt idx="50">
                <c:v>1.5024951799785189E-2</c:v>
              </c:pt>
              <c:pt idx="51">
                <c:v>1.4896035457000568E-2</c:v>
              </c:pt>
              <c:pt idx="52">
                <c:v>1.4768543336192361E-2</c:v>
              </c:pt>
              <c:pt idx="53">
                <c:v>1.4642748293527812E-2</c:v>
              </c:pt>
              <c:pt idx="54">
                <c:v>1.4518924961431453E-2</c:v>
              </c:pt>
              <c:pt idx="55">
                <c:v>1.439734746090714E-2</c:v>
              </c:pt>
            </c:numLit>
          </c:yVal>
          <c:smooth val="1"/>
          <c:extLst>
            <c:ext xmlns:c16="http://schemas.microsoft.com/office/drawing/2014/chart" uri="{C3380CC4-5D6E-409C-BE32-E72D297353CC}">
              <c16:uniqueId val="{00000049-011E-4924-BEEA-FE22ECBFD237}"/>
            </c:ext>
          </c:extLst>
        </c:ser>
        <c:ser>
          <c:idx val="66"/>
          <c:order val="66"/>
          <c:spPr>
            <a:ln w="3175">
              <a:solidFill>
                <a:srgbClr val="000000"/>
              </a:solidFill>
              <a:prstDash val="solid"/>
            </a:ln>
          </c:spPr>
          <c:marker>
            <c:symbol val="none"/>
          </c:marker>
          <c:xVal>
            <c:numLit>
              <c:formatCode>General</c:formatCode>
              <c:ptCount val="2"/>
              <c:pt idx="0">
                <c:v>-6.4780000000000006</c:v>
              </c:pt>
              <c:pt idx="1">
                <c:v>-5.878000000000001</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4A-011E-4924-BEEA-FE22ECBFD237}"/>
            </c:ext>
          </c:extLst>
        </c:ser>
        <c:ser>
          <c:idx val="67"/>
          <c:order val="67"/>
          <c:spPr>
            <a:ln w="3175">
              <a:solidFill>
                <a:srgbClr val="000000"/>
              </a:solidFill>
              <a:prstDash val="solid"/>
            </a:ln>
          </c:spPr>
          <c:marker>
            <c:symbol val="none"/>
          </c:marker>
          <c:xVal>
            <c:numLit>
              <c:formatCode>General</c:formatCode>
              <c:ptCount val="2"/>
              <c:pt idx="0">
                <c:v>-6.4771548667567451</c:v>
              </c:pt>
              <c:pt idx="1">
                <c:v>-6.1771726249136609</c:v>
              </c:pt>
            </c:numLit>
          </c:xVal>
          <c:yVal>
            <c:numLit>
              <c:formatCode>General</c:formatCode>
              <c:ptCount val="2"/>
              <c:pt idx="0">
                <c:v>2.0816221982499338E-2</c:v>
              </c:pt>
              <c:pt idx="1">
                <c:v>2.0818636402393346E-2</c:v>
              </c:pt>
            </c:numLit>
          </c:yVal>
          <c:smooth val="0"/>
          <c:extLst>
            <c:ext xmlns:c16="http://schemas.microsoft.com/office/drawing/2014/chart" uri="{C3380CC4-5D6E-409C-BE32-E72D297353CC}">
              <c16:uniqueId val="{0000004B-011E-4924-BEEA-FE22ECBFD237}"/>
            </c:ext>
          </c:extLst>
        </c:ser>
        <c:ser>
          <c:idx val="68"/>
          <c:order val="68"/>
          <c:spPr>
            <a:ln w="3175">
              <a:solidFill>
                <a:srgbClr val="000000"/>
              </a:solidFill>
              <a:prstDash val="solid"/>
            </a:ln>
          </c:spPr>
          <c:marker>
            <c:symbol val="none"/>
          </c:marker>
          <c:xVal>
            <c:numLit>
              <c:formatCode>General</c:formatCode>
              <c:ptCount val="2"/>
              <c:pt idx="0">
                <c:v>-6.4744781546020507</c:v>
              </c:pt>
              <c:pt idx="1">
                <c:v>-6.1745521569433741</c:v>
              </c:pt>
            </c:numLit>
          </c:xVal>
          <c:yVal>
            <c:numLit>
              <c:formatCode>General</c:formatCode>
              <c:ptCount val="2"/>
              <c:pt idx="0">
                <c:v>2.0697747630638599E-2</c:v>
              </c:pt>
              <c:pt idx="1">
                <c:v>2.0702676147209751E-2</c:v>
              </c:pt>
            </c:numLit>
          </c:yVal>
          <c:smooth val="0"/>
          <c:extLst>
            <c:ext xmlns:c16="http://schemas.microsoft.com/office/drawing/2014/chart" uri="{C3380CC4-5D6E-409C-BE32-E72D297353CC}">
              <c16:uniqueId val="{0000004C-011E-4924-BEEA-FE22ECBFD237}"/>
            </c:ext>
          </c:extLst>
        </c:ser>
        <c:ser>
          <c:idx val="69"/>
          <c:order val="69"/>
          <c:spPr>
            <a:ln w="3175">
              <a:solidFill>
                <a:srgbClr val="000000"/>
              </a:solidFill>
              <a:prstDash val="solid"/>
            </a:ln>
          </c:spPr>
          <c:marker>
            <c:symbol val="none"/>
          </c:marker>
          <c:xVal>
            <c:numLit>
              <c:formatCode>General</c:formatCode>
              <c:ptCount val="2"/>
              <c:pt idx="0">
                <c:v>-6.4697392601020702</c:v>
              </c:pt>
              <c:pt idx="1">
                <c:v>-6.169912839625173</c:v>
              </c:pt>
            </c:numLit>
          </c:xVal>
          <c:yVal>
            <c:numLit>
              <c:formatCode>General</c:formatCode>
              <c:ptCount val="2"/>
              <c:pt idx="0">
                <c:v>2.0574329599127333E-2</c:v>
              </c:pt>
              <c:pt idx="1">
                <c:v>2.0581877160896857E-2</c:v>
              </c:pt>
            </c:numLit>
          </c:yVal>
          <c:smooth val="0"/>
          <c:extLst>
            <c:ext xmlns:c16="http://schemas.microsoft.com/office/drawing/2014/chart" uri="{C3380CC4-5D6E-409C-BE32-E72D297353CC}">
              <c16:uniqueId val="{0000004D-011E-4924-BEEA-FE22ECBFD237}"/>
            </c:ext>
          </c:extLst>
        </c:ser>
        <c:ser>
          <c:idx val="70"/>
          <c:order val="70"/>
          <c:spPr>
            <a:ln w="3175">
              <a:solidFill>
                <a:srgbClr val="000000"/>
              </a:solidFill>
              <a:prstDash val="solid"/>
            </a:ln>
          </c:spPr>
          <c:marker>
            <c:symbol val="none"/>
          </c:marker>
          <c:xVal>
            <c:numLit>
              <c:formatCode>General</c:formatCode>
              <c:ptCount val="2"/>
              <c:pt idx="0">
                <c:v>-6.4626803906648105</c:v>
              </c:pt>
              <c:pt idx="1">
                <c:v>-6.163002300125668</c:v>
              </c:pt>
            </c:numLit>
          </c:xVal>
          <c:yVal>
            <c:numLit>
              <c:formatCode>General</c:formatCode>
              <c:ptCount val="2"/>
              <c:pt idx="0">
                <c:v>2.0445707961793541E-2</c:v>
              </c:pt>
              <c:pt idx="1">
                <c:v>2.0455985061604547E-2</c:v>
              </c:pt>
            </c:numLit>
          </c:yVal>
          <c:smooth val="0"/>
          <c:extLst>
            <c:ext xmlns:c16="http://schemas.microsoft.com/office/drawing/2014/chart" uri="{C3380CC4-5D6E-409C-BE32-E72D297353CC}">
              <c16:uniqueId val="{0000004E-011E-4924-BEEA-FE22ECBFD237}"/>
            </c:ext>
          </c:extLst>
        </c:ser>
        <c:ser>
          <c:idx val="71"/>
          <c:order val="71"/>
          <c:spPr>
            <a:ln w="3175">
              <a:solidFill>
                <a:srgbClr val="000000"/>
              </a:solidFill>
              <a:prstDash val="solid"/>
            </a:ln>
          </c:spPr>
          <c:marker>
            <c:symbol val="none"/>
          </c:marker>
          <c:xVal>
            <c:numLit>
              <c:formatCode>General</c:formatCode>
              <c:ptCount val="2"/>
              <c:pt idx="0">
                <c:v>-6.4530133649286947</c:v>
              </c:pt>
              <c:pt idx="1">
                <c:v>-5.8540639178741065</c:v>
              </c:pt>
            </c:numLit>
          </c:xVal>
          <c:yVal>
            <c:numLit>
              <c:formatCode>General</c:formatCode>
              <c:ptCount val="2"/>
              <c:pt idx="0">
                <c:v>2.0311610158401223E-2</c:v>
              </c:pt>
              <c:pt idx="1">
                <c:v>2.033786162222339E-2</c:v>
              </c:pt>
            </c:numLit>
          </c:yVal>
          <c:smooth val="0"/>
          <c:extLst>
            <c:ext xmlns:c16="http://schemas.microsoft.com/office/drawing/2014/chart" uri="{C3380CC4-5D6E-409C-BE32-E72D297353CC}">
              <c16:uniqueId val="{0000004F-011E-4924-BEEA-FE22ECBFD237}"/>
            </c:ext>
          </c:extLst>
        </c:ser>
        <c:ser>
          <c:idx val="72"/>
          <c:order val="72"/>
          <c:spPr>
            <a:ln w="3175">
              <a:solidFill>
                <a:srgbClr val="000000"/>
              </a:solidFill>
              <a:prstDash val="solid"/>
            </a:ln>
          </c:spPr>
          <c:marker>
            <c:symbol val="none"/>
          </c:marker>
          <c:xVal>
            <c:numLit>
              <c:formatCode>General</c:formatCode>
              <c:ptCount val="2"/>
              <c:pt idx="0">
                <c:v>-6.4404160659918741</c:v>
              </c:pt>
              <c:pt idx="1">
                <c:v>-6.1412058508383218</c:v>
              </c:pt>
            </c:numLit>
          </c:xVal>
          <c:yVal>
            <c:numLit>
              <c:formatCode>General</c:formatCode>
              <c:ptCount val="2"/>
              <c:pt idx="0">
                <c:v>2.0171751126828213E-2</c:v>
              </c:pt>
              <c:pt idx="1">
                <c:v>2.0187842331041393E-2</c:v>
              </c:pt>
            </c:numLit>
          </c:yVal>
          <c:smooth val="0"/>
          <c:extLst>
            <c:ext xmlns:c16="http://schemas.microsoft.com/office/drawing/2014/chart" uri="{C3380CC4-5D6E-409C-BE32-E72D297353CC}">
              <c16:uniqueId val="{00000050-011E-4924-BEEA-FE22ECBFD237}"/>
            </c:ext>
          </c:extLst>
        </c:ser>
        <c:ser>
          <c:idx val="73"/>
          <c:order val="73"/>
          <c:spPr>
            <a:ln w="3175">
              <a:solidFill>
                <a:srgbClr val="000000"/>
              </a:solidFill>
              <a:prstDash val="solid"/>
            </a:ln>
          </c:spPr>
          <c:marker>
            <c:symbol val="none"/>
          </c:marker>
          <c:xVal>
            <c:numLit>
              <c:formatCode>General</c:formatCode>
              <c:ptCount val="2"/>
              <c:pt idx="0">
                <c:v>-6.4245285241259857</c:v>
              </c:pt>
              <c:pt idx="1">
                <c:v>-6.1256522059410843</c:v>
              </c:pt>
            </c:numLit>
          </c:xVal>
          <c:yVal>
            <c:numLit>
              <c:formatCode>General</c:formatCode>
              <c:ptCount val="2"/>
              <c:pt idx="0">
                <c:v>2.0025833674800028E-2</c:v>
              </c:pt>
              <c:pt idx="1">
                <c:v>2.0045021897082967E-2</c:v>
              </c:pt>
            </c:numLit>
          </c:yVal>
          <c:smooth val="0"/>
          <c:extLst>
            <c:ext xmlns:c16="http://schemas.microsoft.com/office/drawing/2014/chart" uri="{C3380CC4-5D6E-409C-BE32-E72D297353CC}">
              <c16:uniqueId val="{00000051-011E-4924-BEEA-FE22ECBFD237}"/>
            </c:ext>
          </c:extLst>
        </c:ser>
        <c:ser>
          <c:idx val="74"/>
          <c:order val="74"/>
          <c:spPr>
            <a:ln w="3175">
              <a:solidFill>
                <a:srgbClr val="000000"/>
              </a:solidFill>
              <a:prstDash val="solid"/>
            </a:ln>
          </c:spPr>
          <c:marker>
            <c:symbol val="none"/>
          </c:marker>
          <c:xVal>
            <c:numLit>
              <c:formatCode>General</c:formatCode>
              <c:ptCount val="2"/>
              <c:pt idx="0">
                <c:v>-6.4049486097896127</c:v>
              </c:pt>
              <c:pt idx="1">
                <c:v>-6.1064838193638336</c:v>
              </c:pt>
            </c:numLit>
          </c:xVal>
          <c:yVal>
            <c:numLit>
              <c:formatCode>General</c:formatCode>
              <c:ptCount val="2"/>
              <c:pt idx="0">
                <c:v>1.9873549157153957E-2</c:v>
              </c:pt>
              <c:pt idx="1">
                <c:v>1.9895969774747002E-2</c:v>
              </c:pt>
            </c:numLit>
          </c:yVal>
          <c:smooth val="0"/>
          <c:extLst>
            <c:ext xmlns:c16="http://schemas.microsoft.com/office/drawing/2014/chart" uri="{C3380CC4-5D6E-409C-BE32-E72D297353CC}">
              <c16:uniqueId val="{00000052-011E-4924-BEEA-FE22ECBFD237}"/>
            </c:ext>
          </c:extLst>
        </c:ser>
        <c:ser>
          <c:idx val="75"/>
          <c:order val="75"/>
          <c:spPr>
            <a:ln w="3175">
              <a:solidFill>
                <a:srgbClr val="000000"/>
              </a:solidFill>
              <a:prstDash val="solid"/>
            </a:ln>
          </c:spPr>
          <c:marker>
            <c:symbol val="none"/>
          </c:marker>
          <c:xVal>
            <c:numLit>
              <c:formatCode>General</c:formatCode>
              <c:ptCount val="2"/>
              <c:pt idx="0">
                <c:v>-6.3812273246822127</c:v>
              </c:pt>
              <c:pt idx="1">
                <c:v>-6.0832611503332013</c:v>
              </c:pt>
            </c:numLit>
          </c:xVal>
          <c:yVal>
            <c:numLit>
              <c:formatCode>General</c:formatCode>
              <c:ptCount val="2"/>
              <c:pt idx="0">
                <c:v>1.9714578538365699E-2</c:v>
              </c:pt>
              <c:pt idx="1">
                <c:v>1.9740373775798421E-2</c:v>
              </c:pt>
            </c:numLit>
          </c:yVal>
          <c:smooth val="0"/>
          <c:extLst>
            <c:ext xmlns:c16="http://schemas.microsoft.com/office/drawing/2014/chart" uri="{C3380CC4-5D6E-409C-BE32-E72D297353CC}">
              <c16:uniqueId val="{00000053-011E-4924-BEEA-FE22ECBFD237}"/>
            </c:ext>
          </c:extLst>
        </c:ser>
        <c:ser>
          <c:idx val="76"/>
          <c:order val="76"/>
          <c:spPr>
            <a:ln w="3175">
              <a:solidFill>
                <a:srgbClr val="000000"/>
              </a:solidFill>
              <a:prstDash val="solid"/>
            </a:ln>
          </c:spPr>
          <c:marker>
            <c:symbol val="none"/>
          </c:marker>
          <c:xVal>
            <c:numLit>
              <c:formatCode>General</c:formatCode>
              <c:ptCount val="2"/>
              <c:pt idx="0">
                <c:v>-6.3528636892133203</c:v>
              </c:pt>
              <c:pt idx="1">
                <c:v>-5.7581260856691445</c:v>
              </c:pt>
            </c:numLit>
          </c:xVal>
          <c:yVal>
            <c:numLit>
              <c:formatCode>General</c:formatCode>
              <c:ptCount val="2"/>
              <c:pt idx="0">
                <c:v>1.9548593935935225E-2</c:v>
              </c:pt>
              <c:pt idx="1">
                <c:v>1.9607244455322151E-2</c:v>
              </c:pt>
            </c:numLit>
          </c:yVal>
          <c:smooth val="0"/>
          <c:extLst>
            <c:ext xmlns:c16="http://schemas.microsoft.com/office/drawing/2014/chart" uri="{C3380CC4-5D6E-409C-BE32-E72D297353CC}">
              <c16:uniqueId val="{00000054-011E-4924-BEEA-FE22ECBFD237}"/>
            </c:ext>
          </c:extLst>
        </c:ser>
        <c:ser>
          <c:idx val="77"/>
          <c:order val="77"/>
          <c:spPr>
            <a:ln w="3175">
              <a:solidFill>
                <a:srgbClr val="000000"/>
              </a:solidFill>
              <a:prstDash val="solid"/>
            </a:ln>
          </c:spPr>
          <c:marker>
            <c:symbol val="none"/>
          </c:marker>
          <c:xVal>
            <c:numLit>
              <c:formatCode>General</c:formatCode>
              <c:ptCount val="2"/>
              <c:pt idx="0">
                <c:v>-6.3192992403036552</c:v>
              </c:pt>
              <c:pt idx="1">
                <c:v>-6.0226350152140311</c:v>
              </c:pt>
            </c:numLit>
          </c:xVal>
          <c:yVal>
            <c:numLit>
              <c:formatCode>General</c:formatCode>
              <c:ptCount val="2"/>
              <c:pt idx="0">
                <c:v>1.9375260758225134E-2</c:v>
              </c:pt>
              <c:pt idx="1">
                <c:v>1.94082602718086E-2</c:v>
              </c:pt>
            </c:numLit>
          </c:yVal>
          <c:smooth val="0"/>
          <c:extLst>
            <c:ext xmlns:c16="http://schemas.microsoft.com/office/drawing/2014/chart" uri="{C3380CC4-5D6E-409C-BE32-E72D297353CC}">
              <c16:uniqueId val="{00000055-011E-4924-BEEA-FE22ECBFD237}"/>
            </c:ext>
          </c:extLst>
        </c:ser>
        <c:ser>
          <c:idx val="78"/>
          <c:order val="78"/>
          <c:spPr>
            <a:ln w="3175">
              <a:solidFill>
                <a:srgbClr val="000000"/>
              </a:solidFill>
              <a:prstDash val="solid"/>
            </a:ln>
          </c:spPr>
          <c:marker>
            <c:symbol val="none"/>
          </c:marker>
          <c:xVal>
            <c:numLit>
              <c:formatCode>General</c:formatCode>
              <c:ptCount val="2"/>
              <c:pt idx="0">
                <c:v>-6.2799121753649985</c:v>
              </c:pt>
              <c:pt idx="1">
                <c:v>-5.9840761830536753</c:v>
              </c:pt>
            </c:numLit>
          </c:xVal>
          <c:yVal>
            <c:numLit>
              <c:formatCode>General</c:formatCode>
              <c:ptCount val="2"/>
              <c:pt idx="0">
                <c:v>1.9194240570334139E-2</c:v>
              </c:pt>
              <c:pt idx="1">
                <c:v>1.9231084265235985E-2</c:v>
              </c:pt>
            </c:numLit>
          </c:yVal>
          <c:smooth val="0"/>
          <c:extLst>
            <c:ext xmlns:c16="http://schemas.microsoft.com/office/drawing/2014/chart" uri="{C3380CC4-5D6E-409C-BE32-E72D297353CC}">
              <c16:uniqueId val="{00000056-011E-4924-BEEA-FE22ECBFD237}"/>
            </c:ext>
          </c:extLst>
        </c:ser>
        <c:ser>
          <c:idx val="79"/>
          <c:order val="79"/>
          <c:spPr>
            <a:ln w="3175">
              <a:solidFill>
                <a:srgbClr val="000000"/>
              </a:solidFill>
              <a:prstDash val="solid"/>
            </a:ln>
          </c:spPr>
          <c:marker>
            <c:symbol val="none"/>
          </c:marker>
          <c:xVal>
            <c:numLit>
              <c:formatCode>General</c:formatCode>
              <c:ptCount val="2"/>
              <c:pt idx="0">
                <c:v>-6.2340112084088908</c:v>
              </c:pt>
              <c:pt idx="1">
                <c:v>-5.9391405956743277</c:v>
              </c:pt>
            </c:numLit>
          </c:xVal>
          <c:yVal>
            <c:numLit>
              <c:formatCode>General</c:formatCode>
              <c:ptCount val="2"/>
              <c:pt idx="0">
                <c:v>1.900519484317249E-2</c:v>
              </c:pt>
              <c:pt idx="1">
                <c:v>1.9046053859856433E-2</c:v>
              </c:pt>
            </c:numLit>
          </c:yVal>
          <c:smooth val="0"/>
          <c:extLst>
            <c:ext xmlns:c16="http://schemas.microsoft.com/office/drawing/2014/chart" uri="{C3380CC4-5D6E-409C-BE32-E72D297353CC}">
              <c16:uniqueId val="{00000057-011E-4924-BEEA-FE22ECBFD237}"/>
            </c:ext>
          </c:extLst>
        </c:ser>
        <c:ser>
          <c:idx val="80"/>
          <c:order val="80"/>
          <c:spPr>
            <a:ln w="3175">
              <a:solidFill>
                <a:srgbClr val="000000"/>
              </a:solidFill>
              <a:prstDash val="solid"/>
            </a:ln>
          </c:spPr>
          <c:marker>
            <c:symbol val="none"/>
          </c:marker>
          <c:xVal>
            <c:numLit>
              <c:formatCode>General</c:formatCode>
              <c:ptCount val="2"/>
              <c:pt idx="0">
                <c:v>-6.1808292446003525</c:v>
              </c:pt>
              <c:pt idx="1">
                <c:v>-5.8870773748687428</c:v>
              </c:pt>
            </c:numLit>
          </c:xVal>
          <c:yVal>
            <c:numLit>
              <c:formatCode>General</c:formatCode>
              <c:ptCount val="2"/>
              <c:pt idx="0">
                <c:v>1.8807789763299193E-2</c:v>
              </c:pt>
              <c:pt idx="1">
                <c:v>1.885284251062827E-2</c:v>
              </c:pt>
            </c:numLit>
          </c:yVal>
          <c:smooth val="0"/>
          <c:extLst>
            <c:ext xmlns:c16="http://schemas.microsoft.com/office/drawing/2014/chart" uri="{C3380CC4-5D6E-409C-BE32-E72D297353CC}">
              <c16:uniqueId val="{00000058-011E-4924-BEEA-FE22ECBFD237}"/>
            </c:ext>
          </c:extLst>
        </c:ser>
        <c:ser>
          <c:idx val="81"/>
          <c:order val="81"/>
          <c:spPr>
            <a:ln w="3175">
              <a:solidFill>
                <a:srgbClr val="000000"/>
              </a:solidFill>
              <a:prstDash val="solid"/>
            </a:ln>
          </c:spPr>
          <c:marker>
            <c:symbol val="none"/>
          </c:marker>
          <c:xVal>
            <c:numLit>
              <c:formatCode>General</c:formatCode>
              <c:ptCount val="2"/>
              <c:pt idx="0">
                <c:v>-6.1195170325550308</c:v>
              </c:pt>
              <c:pt idx="1">
                <c:v>-5.534599652818355</c:v>
              </c:pt>
            </c:numLit>
          </c:xVal>
          <c:yVal>
            <c:numLit>
              <c:formatCode>General</c:formatCode>
              <c:ptCount val="2"/>
              <c:pt idx="0">
                <c:v>1.86017023029456E-2</c:v>
              </c:pt>
              <c:pt idx="1">
                <c:v>1.8700586194654339E-2</c:v>
              </c:pt>
            </c:numLit>
          </c:yVal>
          <c:smooth val="0"/>
          <c:extLst>
            <c:ext xmlns:c16="http://schemas.microsoft.com/office/drawing/2014/chart" uri="{C3380CC4-5D6E-409C-BE32-E72D297353CC}">
              <c16:uniqueId val="{00000059-011E-4924-BEEA-FE22ECBFD237}"/>
            </c:ext>
          </c:extLst>
        </c:ser>
        <c:ser>
          <c:idx val="82"/>
          <c:order val="82"/>
          <c:spPr>
            <a:ln w="3175">
              <a:solidFill>
                <a:srgbClr val="000000"/>
              </a:solidFill>
              <a:prstDash val="solid"/>
            </a:ln>
          </c:spPr>
          <c:marker>
            <c:symbol val="none"/>
          </c:marker>
          <c:xVal>
            <c:numLit>
              <c:formatCode>General</c:formatCode>
              <c:ptCount val="2"/>
              <c:pt idx="0">
                <c:v>-6.085522707107951</c:v>
              </c:pt>
              <c:pt idx="1">
                <c:v>-5.7937763361296684</c:v>
              </c:pt>
            </c:numLit>
          </c:xVal>
          <c:yVal>
            <c:numLit>
              <c:formatCode>General</c:formatCode>
              <c:ptCount val="2"/>
              <c:pt idx="0">
                <c:v>1.8495306506800622E-2</c:v>
              </c:pt>
              <c:pt idx="1">
                <c:v>1.8546999744218709E-2</c:v>
              </c:pt>
            </c:numLit>
          </c:yVal>
          <c:smooth val="0"/>
          <c:extLst>
            <c:ext xmlns:c16="http://schemas.microsoft.com/office/drawing/2014/chart" uri="{C3380CC4-5D6E-409C-BE32-E72D297353CC}">
              <c16:uniqueId val="{0000005A-011E-4924-BEEA-FE22ECBFD237}"/>
            </c:ext>
          </c:extLst>
        </c:ser>
        <c:ser>
          <c:idx val="83"/>
          <c:order val="83"/>
          <c:spPr>
            <a:ln w="3175">
              <a:solidFill>
                <a:srgbClr val="000000"/>
              </a:solidFill>
              <a:prstDash val="solid"/>
            </a:ln>
          </c:spPr>
          <c:marker>
            <c:symbol val="none"/>
          </c:marker>
          <c:xVal>
            <c:numLit>
              <c:formatCode>General</c:formatCode>
              <c:ptCount val="2"/>
              <c:pt idx="0">
                <c:v>-6.0491370217777725</c:v>
              </c:pt>
              <c:pt idx="1">
                <c:v>-5.7581565088975415</c:v>
              </c:pt>
            </c:numLit>
          </c:xVal>
          <c:yVal>
            <c:numLit>
              <c:formatCode>General</c:formatCode>
              <c:ptCount val="2"/>
              <c:pt idx="0">
                <c:v>1.8386627768883546E-2</c:v>
              </c:pt>
              <c:pt idx="1">
                <c:v>1.8440631137357402E-2</c:v>
              </c:pt>
            </c:numLit>
          </c:yVal>
          <c:smooth val="0"/>
          <c:extLst>
            <c:ext xmlns:c16="http://schemas.microsoft.com/office/drawing/2014/chart" uri="{C3380CC4-5D6E-409C-BE32-E72D297353CC}">
              <c16:uniqueId val="{0000005B-011E-4924-BEEA-FE22ECBFD237}"/>
            </c:ext>
          </c:extLst>
        </c:ser>
        <c:ser>
          <c:idx val="84"/>
          <c:order val="84"/>
          <c:spPr>
            <a:ln w="3175">
              <a:solidFill>
                <a:srgbClr val="000000"/>
              </a:solidFill>
              <a:prstDash val="solid"/>
            </a:ln>
          </c:spPr>
          <c:marker>
            <c:symbol val="none"/>
          </c:marker>
          <c:xVal>
            <c:numLit>
              <c:formatCode>General</c:formatCode>
              <c:ptCount val="2"/>
              <c:pt idx="0">
                <c:v>-6.0102280619194612</c:v>
              </c:pt>
              <c:pt idx="1">
                <c:v>-5.7200666445882398</c:v>
              </c:pt>
            </c:numLit>
          </c:xVal>
          <c:yVal>
            <c:numLit>
              <c:formatCode>General</c:formatCode>
              <c:ptCount val="2"/>
              <c:pt idx="0">
                <c:v>1.8275632385817388E-2</c:v>
              </c:pt>
              <c:pt idx="1">
                <c:v>1.8331995490505258E-2</c:v>
              </c:pt>
            </c:numLit>
          </c:yVal>
          <c:smooth val="0"/>
          <c:extLst>
            <c:ext xmlns:c16="http://schemas.microsoft.com/office/drawing/2014/chart" uri="{C3380CC4-5D6E-409C-BE32-E72D297353CC}">
              <c16:uniqueId val="{0000005C-011E-4924-BEEA-FE22ECBFD237}"/>
            </c:ext>
          </c:extLst>
        </c:ser>
        <c:ser>
          <c:idx val="85"/>
          <c:order val="85"/>
          <c:spPr>
            <a:ln w="3175">
              <a:solidFill>
                <a:srgbClr val="000000"/>
              </a:solidFill>
              <a:prstDash val="solid"/>
            </a:ln>
          </c:spPr>
          <c:marker>
            <c:symbol val="none"/>
          </c:marker>
          <c:xVal>
            <c:numLit>
              <c:formatCode>General</c:formatCode>
              <c:ptCount val="2"/>
              <c:pt idx="0">
                <c:v>-5.9686577382838752</c:v>
              </c:pt>
              <c:pt idx="1">
                <c:v>-5.6793715867435788</c:v>
              </c:pt>
            </c:numLit>
          </c:xVal>
          <c:yVal>
            <c:numLit>
              <c:formatCode>General</c:formatCode>
              <c:ptCount val="2"/>
              <c:pt idx="0">
                <c:v>1.8162289062279902E-2</c:v>
              </c:pt>
              <c:pt idx="1">
                <c:v>1.8221062213132893E-2</c:v>
              </c:pt>
            </c:numLit>
          </c:yVal>
          <c:smooth val="0"/>
          <c:extLst>
            <c:ext xmlns:c16="http://schemas.microsoft.com/office/drawing/2014/chart" uri="{C3380CC4-5D6E-409C-BE32-E72D297353CC}">
              <c16:uniqueId val="{0000005D-011E-4924-BEEA-FE22ECBFD237}"/>
            </c:ext>
          </c:extLst>
        </c:ser>
        <c:ser>
          <c:idx val="86"/>
          <c:order val="86"/>
          <c:spPr>
            <a:ln w="3175">
              <a:solidFill>
                <a:srgbClr val="000000"/>
              </a:solidFill>
              <a:prstDash val="solid"/>
            </a:ln>
          </c:spPr>
          <c:marker>
            <c:symbol val="none"/>
          </c:marker>
          <c:xVal>
            <c:numLit>
              <c:formatCode>General</c:formatCode>
              <c:ptCount val="2"/>
              <c:pt idx="0">
                <c:v>-5.9242816702136096</c:v>
              </c:pt>
              <c:pt idx="1">
                <c:v>-5.3475877573340735</c:v>
              </c:pt>
            </c:numLit>
          </c:xVal>
          <c:yVal>
            <c:numLit>
              <c:formatCode>General</c:formatCode>
              <c:ptCount val="2"/>
              <c:pt idx="0">
                <c:v>1.8046569310441331E-2</c:v>
              </c:pt>
              <c:pt idx="1">
                <c:v>1.8169061664199238E-2</c:v>
              </c:pt>
            </c:numLit>
          </c:yVal>
          <c:smooth val="0"/>
          <c:extLst>
            <c:ext xmlns:c16="http://schemas.microsoft.com/office/drawing/2014/chart" uri="{C3380CC4-5D6E-409C-BE32-E72D297353CC}">
              <c16:uniqueId val="{0000005E-011E-4924-BEEA-FE22ECBFD237}"/>
            </c:ext>
          </c:extLst>
        </c:ser>
        <c:ser>
          <c:idx val="87"/>
          <c:order val="87"/>
          <c:spPr>
            <a:ln w="3175">
              <a:solidFill>
                <a:srgbClr val="000000"/>
              </a:solidFill>
              <a:prstDash val="solid"/>
            </a:ln>
          </c:spPr>
          <c:marker>
            <c:symbol val="none"/>
          </c:marker>
          <c:xVal>
            <c:numLit>
              <c:formatCode>General</c:formatCode>
              <c:ptCount val="2"/>
              <c:pt idx="0">
                <c:v>-5.8769490965930213</c:v>
              </c:pt>
              <c:pt idx="1">
                <c:v>-5.5895944012428798</c:v>
              </c:pt>
            </c:numLit>
          </c:xVal>
          <c:yVal>
            <c:numLit>
              <c:formatCode>General</c:formatCode>
              <c:ptCount val="2"/>
              <c:pt idx="0">
                <c:v>1.7928447884993152E-2</c:v>
              </c:pt>
              <c:pt idx="1">
                <c:v>1.7992194584566659E-2</c:v>
              </c:pt>
            </c:numLit>
          </c:yVal>
          <c:smooth val="0"/>
          <c:extLst>
            <c:ext xmlns:c16="http://schemas.microsoft.com/office/drawing/2014/chart" uri="{C3380CC4-5D6E-409C-BE32-E72D297353CC}">
              <c16:uniqueId val="{0000005F-011E-4924-BEEA-FE22ECBFD237}"/>
            </c:ext>
          </c:extLst>
        </c:ser>
        <c:ser>
          <c:idx val="88"/>
          <c:order val="88"/>
          <c:spPr>
            <a:ln w="3175">
              <a:solidFill>
                <a:srgbClr val="000000"/>
              </a:solidFill>
              <a:prstDash val="solid"/>
            </a:ln>
          </c:spPr>
          <c:marker>
            <c:symbol val="none"/>
          </c:marker>
          <c:xVal>
            <c:numLit>
              <c:formatCode>General</c:formatCode>
              <c:ptCount val="2"/>
              <c:pt idx="0">
                <c:v>-5.8265028202105924</c:v>
              </c:pt>
              <c:pt idx="1">
                <c:v>-5.5402108697385151</c:v>
              </c:pt>
            </c:numLit>
          </c:xVal>
          <c:yVal>
            <c:numLit>
              <c:formatCode>General</c:formatCode>
              <c:ptCount val="2"/>
              <c:pt idx="0">
                <c:v>1.780790325517077E-2</c:v>
              </c:pt>
              <c:pt idx="1">
                <c:v>1.7874214546059516E-2</c:v>
              </c:pt>
            </c:numLit>
          </c:yVal>
          <c:smooth val="0"/>
          <c:extLst>
            <c:ext xmlns:c16="http://schemas.microsoft.com/office/drawing/2014/chart" uri="{C3380CC4-5D6E-409C-BE32-E72D297353CC}">
              <c16:uniqueId val="{00000060-011E-4924-BEEA-FE22ECBFD237}"/>
            </c:ext>
          </c:extLst>
        </c:ser>
        <c:ser>
          <c:idx val="89"/>
          <c:order val="89"/>
          <c:spPr>
            <a:ln w="3175">
              <a:solidFill>
                <a:srgbClr val="000000"/>
              </a:solidFill>
              <a:prstDash val="solid"/>
            </a:ln>
          </c:spPr>
          <c:marker>
            <c:symbol val="none"/>
          </c:marker>
          <c:xVal>
            <c:numLit>
              <c:formatCode>General</c:formatCode>
              <c:ptCount val="2"/>
              <c:pt idx="0">
                <c:v>-5.7727791918245215</c:v>
              </c:pt>
              <c:pt idx="1">
                <c:v>-5.4876192678528364</c:v>
              </c:pt>
            </c:numLit>
          </c:xVal>
          <c:yVal>
            <c:numLit>
              <c:formatCode>General</c:formatCode>
              <c:ptCount val="2"/>
              <c:pt idx="0">
                <c:v>1.7684918114909066E-2</c:v>
              </c:pt>
              <c:pt idx="1">
                <c:v>1.7753846463893632E-2</c:v>
              </c:pt>
            </c:numLit>
          </c:yVal>
          <c:smooth val="0"/>
          <c:extLst>
            <c:ext xmlns:c16="http://schemas.microsoft.com/office/drawing/2014/chart" uri="{C3380CC4-5D6E-409C-BE32-E72D297353CC}">
              <c16:uniqueId val="{00000061-011E-4924-BEEA-FE22ECBFD237}"/>
            </c:ext>
          </c:extLst>
        </c:ser>
        <c:ser>
          <c:idx val="90"/>
          <c:order val="90"/>
          <c:spPr>
            <a:ln w="3175">
              <a:solidFill>
                <a:srgbClr val="000000"/>
              </a:solidFill>
              <a:prstDash val="solid"/>
            </a:ln>
          </c:spPr>
          <c:marker>
            <c:symbol val="none"/>
          </c:marker>
          <c:xVal>
            <c:numLit>
              <c:formatCode>General</c:formatCode>
              <c:ptCount val="2"/>
              <c:pt idx="0">
                <c:v>-5.7156081408752861</c:v>
              </c:pt>
              <c:pt idx="1">
                <c:v>-5.4316531537037873</c:v>
              </c:pt>
            </c:numLit>
          </c:xVal>
          <c:yVal>
            <c:numLit>
              <c:formatCode>General</c:formatCode>
              <c:ptCount val="2"/>
              <c:pt idx="0">
                <c:v>1.7559479931924228E-2</c:v>
              </c:pt>
              <c:pt idx="1">
                <c:v>1.7631078127631022E-2</c:v>
              </c:pt>
            </c:numLit>
          </c:yVal>
          <c:smooth val="0"/>
          <c:extLst>
            <c:ext xmlns:c16="http://schemas.microsoft.com/office/drawing/2014/chart" uri="{C3380CC4-5D6E-409C-BE32-E72D297353CC}">
              <c16:uniqueId val="{00000062-011E-4924-BEEA-FE22ECBFD237}"/>
            </c:ext>
          </c:extLst>
        </c:ser>
        <c:ser>
          <c:idx val="91"/>
          <c:order val="91"/>
          <c:spPr>
            <a:ln w="3175">
              <a:solidFill>
                <a:srgbClr val="000000"/>
              </a:solidFill>
              <a:prstDash val="solid"/>
            </a:ln>
          </c:spPr>
          <c:marker>
            <c:symbol val="none"/>
          </c:marker>
          <c:xVal>
            <c:numLit>
              <c:formatCode>General</c:formatCode>
              <c:ptCount val="2"/>
              <c:pt idx="0">
                <c:v>-5.6548132604507</c:v>
              </c:pt>
              <c:pt idx="1">
                <c:v>-5.0894800551960175</c:v>
              </c:pt>
            </c:numLit>
          </c:xVal>
          <c:yVal>
            <c:numLit>
              <c:formatCode>General</c:formatCode>
              <c:ptCount val="2"/>
              <c:pt idx="0">
                <c:v>1.7431581536076757E-2</c:v>
              </c:pt>
              <c:pt idx="1">
                <c:v>1.7580251649321022E-2</c:v>
              </c:pt>
            </c:numLit>
          </c:yVal>
          <c:smooth val="0"/>
          <c:extLst>
            <c:ext xmlns:c16="http://schemas.microsoft.com/office/drawing/2014/chart" uri="{C3380CC4-5D6E-409C-BE32-E72D297353CC}">
              <c16:uniqueId val="{00000063-011E-4924-BEEA-FE22ECBFD237}"/>
            </c:ext>
          </c:extLst>
        </c:ser>
        <c:ser>
          <c:idx val="92"/>
          <c:order val="92"/>
          <c:spPr>
            <a:ln w="3175">
              <a:solidFill>
                <a:srgbClr val="000000"/>
              </a:solidFill>
              <a:prstDash val="solid"/>
            </a:ln>
          </c:spPr>
          <c:marker>
            <c:symbol val="none"/>
          </c:marker>
          <c:xVal>
            <c:numLit>
              <c:formatCode>General</c:formatCode>
              <c:ptCount val="2"/>
              <c:pt idx="0">
                <c:v>-5.5902119547643538</c:v>
              </c:pt>
              <c:pt idx="1">
                <c:v>-5.3089007812936524</c:v>
              </c:pt>
            </c:numLit>
          </c:xVal>
          <c:yVal>
            <c:numLit>
              <c:formatCode>General</c:formatCode>
              <c:ptCount val="2"/>
              <c:pt idx="0">
                <c:v>1.730122174682644E-2</c:v>
              </c:pt>
              <c:pt idx="1">
                <c:v>1.7378318722868574E-2</c:v>
              </c:pt>
            </c:numLit>
          </c:yVal>
          <c:smooth val="0"/>
          <c:extLst>
            <c:ext xmlns:c16="http://schemas.microsoft.com/office/drawing/2014/chart" uri="{C3380CC4-5D6E-409C-BE32-E72D297353CC}">
              <c16:uniqueId val="{00000064-011E-4924-BEEA-FE22ECBFD237}"/>
            </c:ext>
          </c:extLst>
        </c:ser>
        <c:ser>
          <c:idx val="93"/>
          <c:order val="93"/>
          <c:spPr>
            <a:ln w="3175">
              <a:solidFill>
                <a:srgbClr val="000000"/>
              </a:solidFill>
              <a:prstDash val="solid"/>
            </a:ln>
          </c:spPr>
          <c:marker>
            <c:symbol val="none"/>
          </c:marker>
          <c:xVal>
            <c:numLit>
              <c:formatCode>General</c:formatCode>
              <c:ptCount val="2"/>
              <c:pt idx="0">
                <c:v>-5.5216156580385984</c:v>
              </c:pt>
              <c:pt idx="1">
                <c:v>-5.2417513042334738</c:v>
              </c:pt>
            </c:numLit>
          </c:xVal>
          <c:yVal>
            <c:numLit>
              <c:formatCode>General</c:formatCode>
              <c:ptCount val="2"/>
              <c:pt idx="0">
                <c:v>1.7168406038928632E-2</c:v>
              </c:pt>
              <c:pt idx="1">
                <c:v>1.7248331985026011E-2</c:v>
              </c:pt>
            </c:numLit>
          </c:yVal>
          <c:smooth val="0"/>
          <c:extLst>
            <c:ext xmlns:c16="http://schemas.microsoft.com/office/drawing/2014/chart" uri="{C3380CC4-5D6E-409C-BE32-E72D297353CC}">
              <c16:uniqueId val="{00000065-011E-4924-BEEA-FE22ECBFD237}"/>
            </c:ext>
          </c:extLst>
        </c:ser>
        <c:ser>
          <c:idx val="94"/>
          <c:order val="94"/>
          <c:spPr>
            <a:ln w="3175">
              <a:solidFill>
                <a:srgbClr val="000000"/>
              </a:solidFill>
              <a:prstDash val="solid"/>
            </a:ln>
          </c:spPr>
          <c:marker>
            <c:symbol val="none"/>
          </c:marker>
          <c:xVal>
            <c:numLit>
              <c:formatCode>General</c:formatCode>
              <c:ptCount val="2"/>
              <c:pt idx="0">
                <c:v>-5.4488301342643446</c:v>
              </c:pt>
              <c:pt idx="1">
                <c:v>-5.1705013862512814</c:v>
              </c:pt>
            </c:numLit>
          </c:xVal>
          <c:yVal>
            <c:numLit>
              <c:formatCode>General</c:formatCode>
              <c:ptCount val="2"/>
              <c:pt idx="0">
                <c:v>1.7033147244730054E-2</c:v>
              </c:pt>
              <c:pt idx="1">
                <c:v>1.7115954993172641E-2</c:v>
              </c:pt>
            </c:numLit>
          </c:yVal>
          <c:smooth val="0"/>
          <c:extLst>
            <c:ext xmlns:c16="http://schemas.microsoft.com/office/drawing/2014/chart" uri="{C3380CC4-5D6E-409C-BE32-E72D297353CC}">
              <c16:uniqueId val="{00000066-011E-4924-BEEA-FE22ECBFD237}"/>
            </c:ext>
          </c:extLst>
        </c:ser>
        <c:ser>
          <c:idx val="95"/>
          <c:order val="95"/>
          <c:spPr>
            <a:ln w="3175">
              <a:solidFill>
                <a:srgbClr val="000000"/>
              </a:solidFill>
              <a:prstDash val="solid"/>
            </a:ln>
          </c:spPr>
          <c:marker>
            <c:symbol val="none"/>
          </c:marker>
          <c:xVal>
            <c:numLit>
              <c:formatCode>General</c:formatCode>
              <c:ptCount val="2"/>
              <c:pt idx="0">
                <c:v>-5.3716558678134341</c:v>
              </c:pt>
              <c:pt idx="1">
                <c:v>-5.0949557962763974</c:v>
              </c:pt>
            </c:numLit>
          </c:xVal>
          <c:yVal>
            <c:numLit>
              <c:formatCode>General</c:formatCode>
              <c:ptCount val="2"/>
              <c:pt idx="0">
                <c:v>1.6895466290491552E-2</c:v>
              </c:pt>
              <c:pt idx="1">
                <c:v>1.6981208300576808E-2</c:v>
              </c:pt>
            </c:numLit>
          </c:yVal>
          <c:smooth val="0"/>
          <c:extLst>
            <c:ext xmlns:c16="http://schemas.microsoft.com/office/drawing/2014/chart" uri="{C3380CC4-5D6E-409C-BE32-E72D297353CC}">
              <c16:uniqueId val="{00000067-011E-4924-BEEA-FE22ECBFD237}"/>
            </c:ext>
          </c:extLst>
        </c:ser>
        <c:ser>
          <c:idx val="96"/>
          <c:order val="96"/>
          <c:spPr>
            <a:ln w="3175">
              <a:solidFill>
                <a:srgbClr val="000000"/>
              </a:solidFill>
              <a:prstDash val="solid"/>
            </a:ln>
          </c:spPr>
          <c:marker>
            <c:symbol val="none"/>
          </c:marker>
          <c:xVal>
            <c:numLit>
              <c:formatCode>General</c:formatCode>
              <c:ptCount val="2"/>
              <c:pt idx="0">
                <c:v>-5.2898885552707755</c:v>
              </c:pt>
              <c:pt idx="1">
                <c:v>-4.7399594524317035</c:v>
              </c:pt>
            </c:numLit>
          </c:xVal>
          <c:yVal>
            <c:numLit>
              <c:formatCode>General</c:formatCode>
              <c:ptCount val="2"/>
              <c:pt idx="0">
                <c:v>1.6755392963085362E-2</c:v>
              </c:pt>
              <c:pt idx="1">
                <c:v>1.6932880948920096E-2</c:v>
              </c:pt>
            </c:numLit>
          </c:yVal>
          <c:smooth val="0"/>
          <c:extLst>
            <c:ext xmlns:c16="http://schemas.microsoft.com/office/drawing/2014/chart" uri="{C3380CC4-5D6E-409C-BE32-E72D297353CC}">
              <c16:uniqueId val="{00000068-011E-4924-BEEA-FE22ECBFD237}"/>
            </c:ext>
          </c:extLst>
        </c:ser>
        <c:ser>
          <c:idx val="97"/>
          <c:order val="97"/>
          <c:spPr>
            <a:ln w="3175">
              <a:solidFill>
                <a:srgbClr val="000000"/>
              </a:solidFill>
              <a:prstDash val="solid"/>
            </a:ln>
          </c:spPr>
          <c:marker>
            <c:symbol val="none"/>
          </c:marker>
          <c:xVal>
            <c:numLit>
              <c:formatCode>General</c:formatCode>
              <c:ptCount val="2"/>
              <c:pt idx="0">
                <c:v>-5.2033197090931331</c:v>
              </c:pt>
              <c:pt idx="1">
                <c:v>-4.930173878055025</c:v>
              </c:pt>
            </c:numLit>
          </c:xVal>
          <c:yVal>
            <c:numLit>
              <c:formatCode>General</c:formatCode>
              <c:ptCount val="2"/>
              <c:pt idx="0">
                <c:v>1.6612966702180775E-2</c:v>
              </c:pt>
              <c:pt idx="1">
                <c:v>1.6704732176865585E-2</c:v>
              </c:pt>
            </c:numLit>
          </c:yVal>
          <c:smooth val="0"/>
          <c:extLst>
            <c:ext xmlns:c16="http://schemas.microsoft.com/office/drawing/2014/chart" uri="{C3380CC4-5D6E-409C-BE32-E72D297353CC}">
              <c16:uniqueId val="{00000069-011E-4924-BEEA-FE22ECBFD237}"/>
            </c:ext>
          </c:extLst>
        </c:ser>
        <c:ser>
          <c:idx val="98"/>
          <c:order val="98"/>
          <c:spPr>
            <a:ln w="3175">
              <a:solidFill>
                <a:srgbClr val="000000"/>
              </a:solidFill>
              <a:prstDash val="solid"/>
            </a:ln>
          </c:spPr>
          <c:marker>
            <c:symbol val="none"/>
          </c:marker>
          <c:xVal>
            <c:numLit>
              <c:formatCode>General</c:formatCode>
              <c:ptCount val="2"/>
              <c:pt idx="0">
                <c:v>-5.1117373837437654</c:v>
              </c:pt>
              <c:pt idx="1">
                <c:v>-4.8405261843098577</c:v>
              </c:pt>
            </c:numLit>
          </c:xVal>
          <c:yVal>
            <c:numLit>
              <c:formatCode>General</c:formatCode>
              <c:ptCount val="2"/>
              <c:pt idx="0">
                <c:v>1.6468237411641461E-2</c:v>
              </c:pt>
              <c:pt idx="1">
                <c:v>1.6563090346779514E-2</c:v>
              </c:pt>
            </c:numLit>
          </c:yVal>
          <c:smooth val="0"/>
          <c:extLst>
            <c:ext xmlns:c16="http://schemas.microsoft.com/office/drawing/2014/chart" uri="{C3380CC4-5D6E-409C-BE32-E72D297353CC}">
              <c16:uniqueId val="{0000006A-011E-4924-BEEA-FE22ECBFD237}"/>
            </c:ext>
          </c:extLst>
        </c:ser>
        <c:ser>
          <c:idx val="99"/>
          <c:order val="99"/>
          <c:spPr>
            <a:ln w="3175">
              <a:solidFill>
                <a:srgbClr val="000000"/>
              </a:solidFill>
              <a:prstDash val="solid"/>
            </a:ln>
          </c:spPr>
          <c:marker>
            <c:symbol val="none"/>
          </c:marker>
          <c:xVal>
            <c:numLit>
              <c:formatCode>General</c:formatCode>
              <c:ptCount val="2"/>
              <c:pt idx="0">
                <c:v>-5.0149270347463339</c:v>
              </c:pt>
              <c:pt idx="1">
                <c:v>-4.7457616406108887</c:v>
              </c:pt>
            </c:numLit>
          </c:xVal>
          <c:yVal>
            <c:numLit>
              <c:formatCode>General</c:formatCode>
              <c:ptCount val="2"/>
              <c:pt idx="0">
                <c:v>1.6321266282315831E-2</c:v>
              </c:pt>
              <c:pt idx="1">
                <c:v>1.6419255616592431E-2</c:v>
              </c:pt>
            </c:numLit>
          </c:yVal>
          <c:smooth val="0"/>
          <c:extLst>
            <c:ext xmlns:c16="http://schemas.microsoft.com/office/drawing/2014/chart" uri="{C3380CC4-5D6E-409C-BE32-E72D297353CC}">
              <c16:uniqueId val="{0000006B-011E-4924-BEEA-FE22ECBFD237}"/>
            </c:ext>
          </c:extLst>
        </c:ser>
        <c:ser>
          <c:idx val="100"/>
          <c:order val="100"/>
          <c:spPr>
            <a:ln w="3175">
              <a:solidFill>
                <a:srgbClr val="000000"/>
              </a:solidFill>
              <a:prstDash val="solid"/>
            </a:ln>
          </c:spPr>
          <c:marker>
            <c:symbol val="none"/>
          </c:marker>
          <c:xVal>
            <c:numLit>
              <c:formatCode>General</c:formatCode>
              <c:ptCount val="2"/>
              <c:pt idx="0">
                <c:v>-4.9126725205921735</c:v>
              </c:pt>
              <c:pt idx="1">
                <c:v>-4.6456687915541259</c:v>
              </c:pt>
            </c:numLit>
          </c:xVal>
          <c:yVal>
            <c:numLit>
              <c:formatCode>General</c:formatCode>
              <c:ptCount val="2"/>
              <c:pt idx="0">
                <c:v>1.6172126616717374E-2</c:v>
              </c:pt>
              <c:pt idx="1">
                <c:v>1.6273299812841348E-2</c:v>
              </c:pt>
            </c:numLit>
          </c:yVal>
          <c:smooth val="0"/>
          <c:extLst>
            <c:ext xmlns:c16="http://schemas.microsoft.com/office/drawing/2014/chart" uri="{C3380CC4-5D6E-409C-BE32-E72D297353CC}">
              <c16:uniqueId val="{0000006C-011E-4924-BEEA-FE22ECBFD237}"/>
            </c:ext>
          </c:extLst>
        </c:ser>
        <c:ser>
          <c:idx val="101"/>
          <c:order val="101"/>
          <c:spPr>
            <a:ln w="3175">
              <a:solidFill>
                <a:srgbClr val="000000"/>
              </a:solidFill>
              <a:prstDash val="solid"/>
            </a:ln>
          </c:spPr>
          <c:marker>
            <c:symbol val="none"/>
          </c:marker>
          <c:xVal>
            <c:numLit>
              <c:formatCode>General</c:formatCode>
              <c:ptCount val="2"/>
              <c:pt idx="0">
                <c:v>-4.8047572565634464</c:v>
              </c:pt>
              <c:pt idx="1">
                <c:v>-4.2753392408300135</c:v>
              </c:pt>
            </c:numLit>
          </c:xVal>
          <c:yVal>
            <c:numLit>
              <c:formatCode>General</c:formatCode>
              <c:ptCount val="2"/>
              <c:pt idx="0">
                <c:v>1.602090464428578E-2</c:v>
              </c:pt>
              <c:pt idx="1">
                <c:v>1.6229744658270026E-2</c:v>
              </c:pt>
            </c:numLit>
          </c:yVal>
          <c:smooth val="0"/>
          <c:extLst>
            <c:ext xmlns:c16="http://schemas.microsoft.com/office/drawing/2014/chart" uri="{C3380CC4-5D6E-409C-BE32-E72D297353CC}">
              <c16:uniqueId val="{0000006D-011E-4924-BEEA-FE22ECBFD237}"/>
            </c:ext>
          </c:extLst>
        </c:ser>
        <c:ser>
          <c:idx val="102"/>
          <c:order val="102"/>
          <c:spPr>
            <a:ln w="3175">
              <a:solidFill>
                <a:srgbClr val="000000"/>
              </a:solidFill>
              <a:prstDash val="solid"/>
            </a:ln>
          </c:spPr>
          <c:marker>
            <c:symbol val="none"/>
          </c:marker>
          <c:xVal>
            <c:numLit>
              <c:formatCode>General</c:formatCode>
              <c:ptCount val="2"/>
              <c:pt idx="0">
                <c:v>-4.6909655282406417</c:v>
              </c:pt>
              <c:pt idx="1">
                <c:v>-4.4286515323763824</c:v>
              </c:pt>
            </c:numLit>
          </c:xVal>
          <c:yVal>
            <c:numLit>
              <c:formatCode>General</c:formatCode>
              <c:ptCount val="2"/>
              <c:pt idx="0">
                <c:v>1.5867700314020336E-2</c:v>
              </c:pt>
              <c:pt idx="1">
                <c:v>1.5975376328465341E-2</c:v>
              </c:pt>
            </c:numLit>
          </c:yVal>
          <c:smooth val="0"/>
          <c:extLst>
            <c:ext xmlns:c16="http://schemas.microsoft.com/office/drawing/2014/chart" uri="{C3380CC4-5D6E-409C-BE32-E72D297353CC}">
              <c16:uniqueId val="{0000006E-011E-4924-BEEA-FE22ECBFD237}"/>
            </c:ext>
          </c:extLst>
        </c:ser>
        <c:ser>
          <c:idx val="103"/>
          <c:order val="103"/>
          <c:spPr>
            <a:ln w="3175">
              <a:solidFill>
                <a:srgbClr val="000000"/>
              </a:solidFill>
              <a:prstDash val="solid"/>
            </a:ln>
          </c:spPr>
          <c:marker>
            <c:symbol val="none"/>
          </c:marker>
          <c:xVal>
            <c:numLit>
              <c:formatCode>General</c:formatCode>
              <c:ptCount val="2"/>
              <c:pt idx="0">
                <c:v>-4.5710839706874209</c:v>
              </c:pt>
              <c:pt idx="1">
                <c:v>-4.3113074088595988</c:v>
              </c:pt>
            </c:numLit>
          </c:xVal>
          <c:yVal>
            <c:numLit>
              <c:formatCode>General</c:formatCode>
              <c:ptCount val="2"/>
              <c:pt idx="0">
                <c:v>1.5712628049326046E-2</c:v>
              </c:pt>
              <c:pt idx="1">
                <c:v>1.5823618626362695E-2</c:v>
              </c:pt>
            </c:numLit>
          </c:yVal>
          <c:smooth val="0"/>
          <c:extLst>
            <c:ext xmlns:c16="http://schemas.microsoft.com/office/drawing/2014/chart" uri="{C3380CC4-5D6E-409C-BE32-E72D297353CC}">
              <c16:uniqueId val="{0000006F-011E-4924-BEEA-FE22ECBFD237}"/>
            </c:ext>
          </c:extLst>
        </c:ser>
        <c:ser>
          <c:idx val="104"/>
          <c:order val="104"/>
          <c:spPr>
            <a:ln w="3175">
              <a:solidFill>
                <a:srgbClr val="000000"/>
              </a:solidFill>
              <a:prstDash val="solid"/>
            </a:ln>
          </c:spPr>
          <c:marker>
            <c:symbol val="none"/>
          </c:marker>
          <c:xVal>
            <c:numLit>
              <c:formatCode>General</c:formatCode>
              <c:ptCount val="2"/>
              <c:pt idx="0">
                <c:v>-4.4449032169939464</c:v>
              </c:pt>
              <c:pt idx="1">
                <c:v>-4.1877986154546427</c:v>
              </c:pt>
            </c:numLit>
          </c:xVal>
          <c:yVal>
            <c:numLit>
              <c:formatCode>General</c:formatCode>
              <c:ptCount val="2"/>
              <c:pt idx="0">
                <c:v>1.5555817447964507E-2</c:v>
              </c:pt>
              <c:pt idx="1">
                <c:v>1.5670161229587115E-2</c:v>
              </c:pt>
            </c:numLit>
          </c:yVal>
          <c:smooth val="0"/>
          <c:extLst>
            <c:ext xmlns:c16="http://schemas.microsoft.com/office/drawing/2014/chart" uri="{C3380CC4-5D6E-409C-BE32-E72D297353CC}">
              <c16:uniqueId val="{00000070-011E-4924-BEEA-FE22ECBFD237}"/>
            </c:ext>
          </c:extLst>
        </c:ser>
        <c:ser>
          <c:idx val="105"/>
          <c:order val="105"/>
          <c:spPr>
            <a:ln w="3175">
              <a:solidFill>
                <a:srgbClr val="000000"/>
              </a:solidFill>
              <a:prstDash val="solid"/>
            </a:ln>
          </c:spPr>
          <c:marker>
            <c:symbol val="none"/>
          </c:marker>
          <c:xVal>
            <c:numLit>
              <c:formatCode>General</c:formatCode>
              <c:ptCount val="2"/>
              <c:pt idx="0">
                <c:v>-4.312219716966025</c:v>
              </c:pt>
              <c:pt idx="1">
                <c:v>-4.0579260852665504</c:v>
              </c:pt>
            </c:numLit>
          </c:xVal>
          <c:yVal>
            <c:numLit>
              <c:formatCode>General</c:formatCode>
              <c:ptCount val="2"/>
              <c:pt idx="0">
                <c:v>1.5397413908124226E-2</c:v>
              </c:pt>
              <c:pt idx="1">
                <c:v>1.5515146520333783E-2</c:v>
              </c:pt>
            </c:numLit>
          </c:yVal>
          <c:smooth val="0"/>
          <c:extLst>
            <c:ext xmlns:c16="http://schemas.microsoft.com/office/drawing/2014/chart" uri="{C3380CC4-5D6E-409C-BE32-E72D297353CC}">
              <c16:uniqueId val="{00000071-011E-4924-BEEA-FE22ECBFD237}"/>
            </c:ext>
          </c:extLst>
        </c:ser>
        <c:ser>
          <c:idx val="106"/>
          <c:order val="106"/>
          <c:spPr>
            <a:ln w="3175">
              <a:solidFill>
                <a:srgbClr val="000000"/>
              </a:solidFill>
              <a:prstDash val="solid"/>
            </a:ln>
          </c:spPr>
          <c:marker>
            <c:symbol val="none"/>
          </c:marker>
          <c:xVal>
            <c:numLit>
              <c:formatCode>General</c:formatCode>
              <c:ptCount val="2"/>
              <c:pt idx="0">
                <c:v>-4.1728377232389242</c:v>
              </c:pt>
              <c:pt idx="1">
                <c:v>-3.6701909794749938</c:v>
              </c:pt>
            </c:numLit>
          </c:xVal>
          <c:yVal>
            <c:numLit>
              <c:formatCode>General</c:formatCode>
              <c:ptCount val="2"/>
              <c:pt idx="0">
                <c:v>1.5237579159901987E-2</c:v>
              </c:pt>
              <c:pt idx="1">
                <c:v>1.5479922581002253E-2</c:v>
              </c:pt>
            </c:numLit>
          </c:yVal>
          <c:smooth val="0"/>
          <c:extLst>
            <c:ext xmlns:c16="http://schemas.microsoft.com/office/drawing/2014/chart" uri="{C3380CC4-5D6E-409C-BE32-E72D297353CC}">
              <c16:uniqueId val="{00000072-011E-4924-BEEA-FE22ECBFD237}"/>
            </c:ext>
          </c:extLst>
        </c:ser>
        <c:ser>
          <c:idx val="107"/>
          <c:order val="107"/>
          <c:spPr>
            <a:ln w="3175">
              <a:solidFill>
                <a:srgbClr val="000000"/>
              </a:solidFill>
              <a:prstDash val="solid"/>
            </a:ln>
          </c:spPr>
          <c:marker>
            <c:symbol val="none"/>
          </c:marker>
          <c:xVal>
            <c:numLit>
              <c:formatCode>General</c:formatCode>
              <c:ptCount val="2"/>
              <c:pt idx="0">
                <c:v>-4.026571437958375</c:v>
              </c:pt>
              <c:pt idx="1">
                <c:v>-3.778333902587538</c:v>
              </c:pt>
            </c:numLit>
          </c:xVal>
          <c:yVal>
            <c:numLit>
              <c:formatCode>General</c:formatCode>
              <c:ptCount val="2"/>
              <c:pt idx="0">
                <c:v>1.5076491680015076E-2</c:v>
              </c:pt>
              <c:pt idx="1">
                <c:v>1.5201094996387811E-2</c:v>
              </c:pt>
            </c:numLit>
          </c:yVal>
          <c:smooth val="0"/>
          <c:extLst>
            <c:ext xmlns:c16="http://schemas.microsoft.com/office/drawing/2014/chart" uri="{C3380CC4-5D6E-409C-BE32-E72D297353CC}">
              <c16:uniqueId val="{00000073-011E-4924-BEEA-FE22ECBFD237}"/>
            </c:ext>
          </c:extLst>
        </c:ser>
        <c:ser>
          <c:idx val="108"/>
          <c:order val="108"/>
          <c:spPr>
            <a:ln w="3175">
              <a:solidFill>
                <a:srgbClr val="000000"/>
              </a:solidFill>
              <a:prstDash val="solid"/>
            </a:ln>
          </c:spPr>
          <c:marker>
            <c:symbol val="none"/>
          </c:marker>
          <c:xVal>
            <c:numLit>
              <c:formatCode>General</c:formatCode>
              <c:ptCount val="2"/>
              <c:pt idx="0">
                <c:v>-3.8732473084196117</c:v>
              </c:pt>
              <c:pt idx="1">
                <c:v>-3.6282629203486501</c:v>
              </c:pt>
            </c:numLit>
          </c:xVal>
          <c:yVal>
            <c:numLit>
              <c:formatCode>General</c:formatCode>
              <c:ptCount val="2"/>
              <c:pt idx="0">
                <c:v>1.4914346966454389E-2</c:v>
              </c:pt>
              <c:pt idx="1">
                <c:v>1.5042424325441343E-2</c:v>
              </c:pt>
            </c:numLit>
          </c:yVal>
          <c:smooth val="0"/>
          <c:extLst>
            <c:ext xmlns:c16="http://schemas.microsoft.com/office/drawing/2014/chart" uri="{C3380CC4-5D6E-409C-BE32-E72D297353CC}">
              <c16:uniqueId val="{00000074-011E-4924-BEEA-FE22ECBFD237}"/>
            </c:ext>
          </c:extLst>
        </c:ser>
        <c:ser>
          <c:idx val="109"/>
          <c:order val="109"/>
          <c:spPr>
            <a:ln w="3175">
              <a:solidFill>
                <a:srgbClr val="000000"/>
              </a:solidFill>
              <a:prstDash val="solid"/>
            </a:ln>
          </c:spPr>
          <c:marker>
            <c:symbol val="none"/>
          </c:marker>
          <c:xVal>
            <c:numLit>
              <c:formatCode>General</c:formatCode>
              <c:ptCount val="2"/>
              <c:pt idx="0">
                <c:v>-3.7127064547319453</c:v>
              </c:pt>
              <c:pt idx="1">
                <c:v>-3.4711301637575316</c:v>
              </c:pt>
            </c:numLit>
          </c:xVal>
          <c:yVal>
            <c:numLit>
              <c:formatCode>General</c:formatCode>
              <c:ptCount val="2"/>
              <c:pt idx="0">
                <c:v>1.4751357649160357E-2</c:v>
              </c:pt>
              <c:pt idx="1">
                <c:v>1.4882929003442607E-2</c:v>
              </c:pt>
            </c:numLit>
          </c:yVal>
          <c:smooth val="0"/>
          <c:extLst>
            <c:ext xmlns:c16="http://schemas.microsoft.com/office/drawing/2014/chart" uri="{C3380CC4-5D6E-409C-BE32-E72D297353CC}">
              <c16:uniqueId val="{00000075-011E-4924-BEEA-FE22ECBFD237}"/>
            </c:ext>
          </c:extLst>
        </c:ser>
        <c:ser>
          <c:idx val="110"/>
          <c:order val="110"/>
          <c:spPr>
            <a:ln w="3175">
              <a:solidFill>
                <a:srgbClr val="000000"/>
              </a:solidFill>
              <a:prstDash val="solid"/>
            </a:ln>
          </c:spPr>
          <c:marker>
            <c:symbol val="none"/>
          </c:marker>
          <c:xVal>
            <c:numLit>
              <c:formatCode>General</c:formatCode>
              <c:ptCount val="2"/>
              <c:pt idx="0">
                <c:v>-3.5448072067633123</c:v>
              </c:pt>
              <c:pt idx="1">
                <c:v>-3.3067971968373073</c:v>
              </c:pt>
            </c:numLit>
          </c:xVal>
          <c:yVal>
            <c:numLit>
              <c:formatCode>General</c:formatCode>
              <c:ptCount val="2"/>
              <c:pt idx="0">
                <c:v>1.458775341278396E-2</c:v>
              </c:pt>
              <c:pt idx="1">
                <c:v>1.4722833866947267E-2</c:v>
              </c:pt>
            </c:numLit>
          </c:yVal>
          <c:smooth val="0"/>
          <c:extLst>
            <c:ext xmlns:c16="http://schemas.microsoft.com/office/drawing/2014/chart" uri="{C3380CC4-5D6E-409C-BE32-E72D297353CC}">
              <c16:uniqueId val="{00000076-011E-4924-BEEA-FE22ECBFD237}"/>
            </c:ext>
          </c:extLst>
        </c:ser>
        <c:ser>
          <c:idx val="111"/>
          <c:order val="111"/>
          <c:spPr>
            <a:ln w="3175">
              <a:solidFill>
                <a:srgbClr val="000000"/>
              </a:solidFill>
              <a:prstDash val="solid"/>
            </a:ln>
          </c:spPr>
          <c:marker>
            <c:symbol val="none"/>
          </c:marker>
          <c:xVal>
            <c:numLit>
              <c:formatCode>General</c:formatCode>
              <c:ptCount val="2"/>
              <c:pt idx="0">
                <c:v>-3.3694277214410562</c:v>
              </c:pt>
              <c:pt idx="1">
                <c:v>-2.9009011365821324</c:v>
              </c:pt>
            </c:numLit>
          </c:xVal>
          <c:yVal>
            <c:numLit>
              <c:formatCode>General</c:formatCode>
              <c:ptCount val="2"/>
              <c:pt idx="0">
                <c:v>1.4423780708309812E-2</c:v>
              </c:pt>
              <c:pt idx="1">
                <c:v>1.4701015343783125E-2</c:v>
              </c:pt>
            </c:numLit>
          </c:yVal>
          <c:smooth val="0"/>
          <c:extLst>
            <c:ext xmlns:c16="http://schemas.microsoft.com/office/drawing/2014/chart" uri="{C3380CC4-5D6E-409C-BE32-E72D297353CC}">
              <c16:uniqueId val="{00000077-011E-4924-BEEA-FE22ECBFD237}"/>
            </c:ext>
          </c:extLst>
        </c:ser>
        <c:ser>
          <c:idx val="112"/>
          <c:order val="112"/>
          <c:spPr>
            <a:ln w="3175">
              <a:solidFill>
                <a:srgbClr val="000000"/>
              </a:solidFill>
              <a:prstDash val="solid"/>
            </a:ln>
          </c:spPr>
          <c:marker>
            <c:symbol val="none"/>
          </c:marker>
          <c:xVal>
            <c:numLit>
              <c:formatCode>General</c:formatCode>
              <c:ptCount val="2"/>
              <c:pt idx="0">
                <c:v>-3.1864686451132647</c:v>
              </c:pt>
              <c:pt idx="1">
                <c:v>-2.9560765734004115</c:v>
              </c:pt>
            </c:numLit>
          </c:xVal>
          <c:yVal>
            <c:numLit>
              <c:formatCode>General</c:formatCode>
              <c:ptCount val="2"/>
              <c:pt idx="0">
                <c:v>1.4259702231886499E-2</c:v>
              </c:pt>
              <c:pt idx="1">
                <c:v>1.4401824969069376E-2</c:v>
              </c:pt>
            </c:numLit>
          </c:yVal>
          <c:smooth val="0"/>
          <c:extLst>
            <c:ext xmlns:c16="http://schemas.microsoft.com/office/drawing/2014/chart" uri="{C3380CC4-5D6E-409C-BE32-E72D297353CC}">
              <c16:uniqueId val="{00000078-011E-4924-BEEA-FE22ECBFD237}"/>
            </c:ext>
          </c:extLst>
        </c:ser>
        <c:ser>
          <c:idx val="113"/>
          <c:order val="113"/>
          <c:spPr>
            <a:ln w="3175">
              <a:solidFill>
                <a:srgbClr val="000000"/>
              </a:solidFill>
              <a:prstDash val="solid"/>
            </a:ln>
          </c:spPr>
          <c:marker>
            <c:symbol val="none"/>
          </c:marker>
          <c:xVal>
            <c:numLit>
              <c:formatCode>General</c:formatCode>
              <c:ptCount val="2"/>
              <c:pt idx="0">
                <c:v>-2.995855779328612</c:v>
              </c:pt>
              <c:pt idx="1">
                <c:v>-2.7695195454399149</c:v>
              </c:pt>
            </c:numLit>
          </c:xVal>
          <c:yVal>
            <c:numLit>
              <c:formatCode>General</c:formatCode>
              <c:ptCount val="2"/>
              <c:pt idx="0">
                <c:v>1.4095796151733538E-2</c:v>
              </c:pt>
              <c:pt idx="1">
                <c:v>1.4241440571197172E-2</c:v>
              </c:pt>
            </c:numLit>
          </c:yVal>
          <c:smooth val="0"/>
          <c:extLst>
            <c:ext xmlns:c16="http://schemas.microsoft.com/office/drawing/2014/chart" uri="{C3380CC4-5D6E-409C-BE32-E72D297353CC}">
              <c16:uniqueId val="{00000079-011E-4924-BEEA-FE22ECBFD237}"/>
            </c:ext>
          </c:extLst>
        </c:ser>
        <c:ser>
          <c:idx val="114"/>
          <c:order val="114"/>
          <c:spPr>
            <a:ln w="3175">
              <a:solidFill>
                <a:srgbClr val="000000"/>
              </a:solidFill>
              <a:prstDash val="solid"/>
            </a:ln>
          </c:spPr>
          <c:marker>
            <c:symbol val="none"/>
          </c:marker>
          <c:xVal>
            <c:numLit>
              <c:formatCode>General</c:formatCode>
              <c:ptCount val="2"/>
              <c:pt idx="0">
                <c:v>-2.797542702336508</c:v>
              </c:pt>
              <c:pt idx="1">
                <c:v>-2.5754287346047877</c:v>
              </c:pt>
            </c:numLit>
          </c:xVal>
          <c:yVal>
            <c:numLit>
              <c:formatCode>General</c:formatCode>
              <c:ptCount val="2"/>
              <c:pt idx="0">
                <c:v>1.3932355067550029E-2</c:v>
              </c:pt>
              <c:pt idx="1">
                <c:v>1.4081513307464042E-2</c:v>
              </c:pt>
            </c:numLit>
          </c:yVal>
          <c:smooth val="0"/>
          <c:extLst>
            <c:ext xmlns:c16="http://schemas.microsoft.com/office/drawing/2014/chart" uri="{C3380CC4-5D6E-409C-BE32-E72D297353CC}">
              <c16:uniqueId val="{0000007A-011E-4924-BEEA-FE22ECBFD237}"/>
            </c:ext>
          </c:extLst>
        </c:ser>
        <c:ser>
          <c:idx val="115"/>
          <c:order val="115"/>
          <c:spPr>
            <a:ln w="3175">
              <a:solidFill>
                <a:srgbClr val="000000"/>
              </a:solidFill>
              <a:prstDash val="solid"/>
            </a:ln>
          </c:spPr>
          <c:marker>
            <c:symbol val="none"/>
          </c:marker>
          <c:xVal>
            <c:numLit>
              <c:formatCode>General</c:formatCode>
              <c:ptCount val="2"/>
              <c:pt idx="0">
                <c:v>-2.5915132931495299</c:v>
              </c:pt>
              <c:pt idx="1">
                <c:v>-2.3737886177428424</c:v>
              </c:pt>
            </c:numLit>
          </c:xVal>
          <c:yVal>
            <c:numLit>
              <c:formatCode>General</c:formatCode>
              <c:ptCount val="2"/>
              <c:pt idx="0">
                <c:v>1.3769684691476037E-2</c:v>
              </c:pt>
              <c:pt idx="1">
                <c:v>1.3922342343814391E-2</c:v>
              </c:pt>
            </c:numLit>
          </c:yVal>
          <c:smooth val="0"/>
          <c:extLst>
            <c:ext xmlns:c16="http://schemas.microsoft.com/office/drawing/2014/chart" uri="{C3380CC4-5D6E-409C-BE32-E72D297353CC}">
              <c16:uniqueId val="{0000007B-011E-4924-BEEA-FE22ECBFD237}"/>
            </c:ext>
          </c:extLst>
        </c:ser>
        <c:ser>
          <c:idx val="116"/>
          <c:order val="116"/>
          <c:spPr>
            <a:ln w="3175">
              <a:solidFill>
                <a:srgbClr val="000000"/>
              </a:solidFill>
              <a:prstDash val="solid"/>
            </a:ln>
          </c:spPr>
          <c:marker>
            <c:symbol val="none"/>
          </c:marker>
          <c:xVal>
            <c:numLit>
              <c:formatCode>General</c:formatCode>
              <c:ptCount val="2"/>
              <c:pt idx="0">
                <c:v>-2.3777841004811022</c:v>
              </c:pt>
              <c:pt idx="1">
                <c:v>-1.9514919878507884</c:v>
              </c:pt>
            </c:numLit>
          </c:xVal>
          <c:yVal>
            <c:numLit>
              <c:formatCode>General</c:formatCode>
              <c:ptCount val="2"/>
              <c:pt idx="0">
                <c:v>1.3608102245343555E-2</c:v>
              </c:pt>
              <c:pt idx="1">
                <c:v>1.3920407227151928E-2</c:v>
              </c:pt>
            </c:numLit>
          </c:yVal>
          <c:smooth val="0"/>
          <c:extLst>
            <c:ext xmlns:c16="http://schemas.microsoft.com/office/drawing/2014/chart" uri="{C3380CC4-5D6E-409C-BE32-E72D297353CC}">
              <c16:uniqueId val="{0000007C-011E-4924-BEEA-FE22ECBFD237}"/>
            </c:ext>
          </c:extLst>
        </c:ser>
        <c:ser>
          <c:idx val="117"/>
          <c:order val="117"/>
          <c:spPr>
            <a:ln w="3175">
              <a:solidFill>
                <a:srgbClr val="000000"/>
              </a:solidFill>
              <a:prstDash val="solid"/>
            </a:ln>
          </c:spPr>
          <c:marker>
            <c:symbol val="none"/>
          </c:marker>
          <c:xVal>
            <c:numLit>
              <c:formatCode>General</c:formatCode>
              <c:ptCount val="2"/>
              <c:pt idx="0">
                <c:v>-2.156406495623691</c:v>
              </c:pt>
              <c:pt idx="1">
                <c:v>-1.9479603446816371</c:v>
              </c:pt>
            </c:numLit>
          </c:xVal>
          <c:yVal>
            <c:numLit>
              <c:formatCode>General</c:formatCode>
              <c:ptCount val="2"/>
              <c:pt idx="0">
                <c:v>1.3447934575631624E-2</c:v>
              </c:pt>
              <c:pt idx="1">
                <c:v>1.3607520356295923E-2</c:v>
              </c:pt>
            </c:numLit>
          </c:yVal>
          <c:smooth val="0"/>
          <c:extLst>
            <c:ext xmlns:c16="http://schemas.microsoft.com/office/drawing/2014/chart" uri="{C3380CC4-5D6E-409C-BE32-E72D297353CC}">
              <c16:uniqueId val="{0000007D-011E-4924-BEEA-FE22ECBFD237}"/>
            </c:ext>
          </c:extLst>
        </c:ser>
        <c:ser>
          <c:idx val="118"/>
          <c:order val="118"/>
          <c:spPr>
            <a:ln w="3175">
              <a:solidFill>
                <a:srgbClr val="000000"/>
              </a:solidFill>
              <a:prstDash val="solid"/>
            </a:ln>
          </c:spPr>
          <c:marker>
            <c:symbol val="none"/>
          </c:marker>
          <c:xVal>
            <c:numLit>
              <c:formatCode>General</c:formatCode>
              <c:ptCount val="2"/>
              <c:pt idx="0">
                <c:v>-1.9274685467120087</c:v>
              </c:pt>
              <c:pt idx="1">
                <c:v>-1.723909151193072</c:v>
              </c:pt>
            </c:numLit>
          </c:xVal>
          <c:yVal>
            <c:numLit>
              <c:formatCode>General</c:formatCode>
              <c:ptCount val="2"/>
              <c:pt idx="0">
                <c:v>1.3289515995076896E-2</c:v>
              </c:pt>
              <c:pt idx="1">
                <c:v>1.3452516235149875E-2</c:v>
              </c:pt>
            </c:numLit>
          </c:yVal>
          <c:smooth val="0"/>
          <c:extLst>
            <c:ext xmlns:c16="http://schemas.microsoft.com/office/drawing/2014/chart" uri="{C3380CC4-5D6E-409C-BE32-E72D297353CC}">
              <c16:uniqueId val="{0000007E-011E-4924-BEEA-FE22ECBFD237}"/>
            </c:ext>
          </c:extLst>
        </c:ser>
        <c:ser>
          <c:idx val="119"/>
          <c:order val="119"/>
          <c:spPr>
            <a:ln w="3175">
              <a:solidFill>
                <a:srgbClr val="000000"/>
              </a:solidFill>
              <a:prstDash val="solid"/>
            </a:ln>
          </c:spPr>
          <c:marker>
            <c:symbol val="none"/>
          </c:marker>
          <c:xVal>
            <c:numLit>
              <c:formatCode>General</c:formatCode>
              <c:ptCount val="2"/>
              <c:pt idx="0">
                <c:v>-1.6910965521384105</c:v>
              </c:pt>
              <c:pt idx="1">
                <c:v>-1.4925859044313796</c:v>
              </c:pt>
            </c:numLit>
          </c:xVal>
          <c:yVal>
            <c:numLit>
              <c:formatCode>General</c:formatCode>
              <c:ptCount val="2"/>
              <c:pt idx="0">
                <c:v>1.313318586808335E-2</c:v>
              </c:pt>
              <c:pt idx="1">
                <c:v>1.3299557742944548E-2</c:v>
              </c:pt>
            </c:numLit>
          </c:yVal>
          <c:smooth val="0"/>
          <c:extLst>
            <c:ext xmlns:c16="http://schemas.microsoft.com/office/drawing/2014/chart" uri="{C3380CC4-5D6E-409C-BE32-E72D297353CC}">
              <c16:uniqueId val="{0000007F-011E-4924-BEEA-FE22ECBFD237}"/>
            </c:ext>
          </c:extLst>
        </c:ser>
        <c:ser>
          <c:idx val="120"/>
          <c:order val="120"/>
          <c:spPr>
            <a:ln w="3175">
              <a:solidFill>
                <a:srgbClr val="000000"/>
              </a:solidFill>
              <a:prstDash val="solid"/>
            </a:ln>
          </c:spPr>
          <c:marker>
            <c:symbol val="none"/>
          </c:marker>
          <c:xVal>
            <c:numLit>
              <c:formatCode>General</c:formatCode>
              <c:ptCount val="2"/>
              <c:pt idx="0">
                <c:v>-1.4474561734172946</c:v>
              </c:pt>
              <c:pt idx="1">
                <c:v>-1.2541529530699185</c:v>
              </c:pt>
            </c:numLit>
          </c:xVal>
          <c:yVal>
            <c:numLit>
              <c:formatCode>General</c:formatCode>
              <c:ptCount val="2"/>
              <c:pt idx="0">
                <c:v>1.2979285965653065E-2</c:v>
              </c:pt>
              <c:pt idx="1">
                <c:v>1.3148979228746737E-2</c:v>
              </c:pt>
            </c:numLit>
          </c:yVal>
          <c:smooth val="0"/>
          <c:extLst>
            <c:ext xmlns:c16="http://schemas.microsoft.com/office/drawing/2014/chart" uri="{C3380CC4-5D6E-409C-BE32-E72D297353CC}">
              <c16:uniqueId val="{00000080-011E-4924-BEEA-FE22ECBFD237}"/>
            </c:ext>
          </c:extLst>
        </c:ser>
        <c:ser>
          <c:idx val="121"/>
          <c:order val="121"/>
          <c:spPr>
            <a:ln w="3175">
              <a:solidFill>
                <a:srgbClr val="000000"/>
              </a:solidFill>
              <a:prstDash val="solid"/>
            </a:ln>
          </c:spPr>
          <c:marker>
            <c:symbol val="none"/>
          </c:marker>
          <c:xVal>
            <c:numLit>
              <c:formatCode>General</c:formatCode>
              <c:ptCount val="2"/>
              <c:pt idx="0">
                <c:v>-1.1967531127124049</c:v>
              </c:pt>
              <c:pt idx="1">
                <c:v>-0.82091889735930601</c:v>
              </c:pt>
            </c:numLit>
          </c:xVal>
          <c:yVal>
            <c:numLit>
              <c:formatCode>General</c:formatCode>
              <c:ptCount val="2"/>
              <c:pt idx="0">
                <c:v>1.2828157624189995E-2</c:v>
              </c:pt>
              <c:pt idx="1">
                <c:v>1.3174100182621095E-2</c:v>
              </c:pt>
            </c:numLit>
          </c:yVal>
          <c:smooth val="0"/>
          <c:extLst>
            <c:ext xmlns:c16="http://schemas.microsoft.com/office/drawing/2014/chart" uri="{C3380CC4-5D6E-409C-BE32-E72D297353CC}">
              <c16:uniqueId val="{00000081-011E-4924-BEEA-FE22ECBFD237}"/>
            </c:ext>
          </c:extLst>
        </c:ser>
        <c:ser>
          <c:idx val="122"/>
          <c:order val="122"/>
          <c:spPr>
            <a:ln w="3175">
              <a:solidFill>
                <a:srgbClr val="000000"/>
              </a:solidFill>
              <a:prstDash val="solid"/>
            </a:ln>
          </c:spPr>
          <c:marker>
            <c:symbol val="none"/>
          </c:marker>
          <c:xVal>
            <c:numLit>
              <c:formatCode>General</c:formatCode>
              <c:ptCount val="56"/>
              <c:pt idx="0">
                <c:v>-6.4780000000000006</c:v>
              </c:pt>
              <c:pt idx="1">
                <c:v>-6.4771548667567451</c:v>
              </c:pt>
              <c:pt idx="2">
                <c:v>-6.4744781546020507</c:v>
              </c:pt>
              <c:pt idx="3">
                <c:v>-6.4697392601020702</c:v>
              </c:pt>
              <c:pt idx="4">
                <c:v>-6.4626803906648105</c:v>
              </c:pt>
              <c:pt idx="5">
                <c:v>-6.4530133649286947</c:v>
              </c:pt>
              <c:pt idx="6">
                <c:v>-6.4404160659918741</c:v>
              </c:pt>
              <c:pt idx="7">
                <c:v>-6.4245285241259857</c:v>
              </c:pt>
              <c:pt idx="8">
                <c:v>-6.4049486097896127</c:v>
              </c:pt>
              <c:pt idx="9">
                <c:v>-6.3812273246822127</c:v>
              </c:pt>
              <c:pt idx="10">
                <c:v>-6.3528636892133203</c:v>
              </c:pt>
              <c:pt idx="11">
                <c:v>-6.3192992403036552</c:v>
              </c:pt>
              <c:pt idx="12">
                <c:v>-6.2799121753649985</c:v>
              </c:pt>
              <c:pt idx="13">
                <c:v>-6.2340112084088908</c:v>
              </c:pt>
              <c:pt idx="14">
                <c:v>-6.1808292446003525</c:v>
              </c:pt>
              <c:pt idx="15">
                <c:v>-6.1195170325550308</c:v>
              </c:pt>
              <c:pt idx="16">
                <c:v>-6.085522707107951</c:v>
              </c:pt>
              <c:pt idx="17">
                <c:v>-6.0491370217777725</c:v>
              </c:pt>
              <c:pt idx="18">
                <c:v>-6.0102280619194612</c:v>
              </c:pt>
              <c:pt idx="19">
                <c:v>-5.9686577382838752</c:v>
              </c:pt>
              <c:pt idx="20">
                <c:v>-5.9242816702136096</c:v>
              </c:pt>
              <c:pt idx="21">
                <c:v>-5.8769490965930213</c:v>
              </c:pt>
              <c:pt idx="22">
                <c:v>-5.8265028202105924</c:v>
              </c:pt>
              <c:pt idx="23">
                <c:v>-5.7727791918245215</c:v>
              </c:pt>
              <c:pt idx="24">
                <c:v>-5.7156081408752861</c:v>
              </c:pt>
              <c:pt idx="25">
                <c:v>-5.6548132604507</c:v>
              </c:pt>
              <c:pt idx="26">
                <c:v>-5.5902119547643538</c:v>
              </c:pt>
              <c:pt idx="27">
                <c:v>-5.5216156580385984</c:v>
              </c:pt>
              <c:pt idx="28">
                <c:v>-5.4488301342643446</c:v>
              </c:pt>
              <c:pt idx="29">
                <c:v>-5.3716558678134341</c:v>
              </c:pt>
              <c:pt idx="30">
                <c:v>-5.2898885552707755</c:v>
              </c:pt>
              <c:pt idx="31">
                <c:v>-5.2033197090931331</c:v>
              </c:pt>
              <c:pt idx="32">
                <c:v>-5.1117373837437654</c:v>
              </c:pt>
              <c:pt idx="33">
                <c:v>-5.0149270347463339</c:v>
              </c:pt>
              <c:pt idx="34">
                <c:v>-4.9126725205921735</c:v>
              </c:pt>
              <c:pt idx="35">
                <c:v>-4.8047572565634464</c:v>
              </c:pt>
              <c:pt idx="36">
                <c:v>-4.6909655282406417</c:v>
              </c:pt>
              <c:pt idx="37">
                <c:v>-4.5710839706874209</c:v>
              </c:pt>
              <c:pt idx="38">
                <c:v>-4.4449032169939464</c:v>
              </c:pt>
              <c:pt idx="39">
                <c:v>-4.312219716966025</c:v>
              </c:pt>
              <c:pt idx="40">
                <c:v>-4.1728377232389242</c:v>
              </c:pt>
              <c:pt idx="41">
                <c:v>-4.026571437958375</c:v>
              </c:pt>
              <c:pt idx="42">
                <c:v>-3.8732473084196117</c:v>
              </c:pt>
              <c:pt idx="43">
                <c:v>-3.7127064547319453</c:v>
              </c:pt>
              <c:pt idx="44">
                <c:v>-3.5448072067633123</c:v>
              </c:pt>
              <c:pt idx="45">
                <c:v>-3.3694277214410562</c:v>
              </c:pt>
              <c:pt idx="46">
                <c:v>-3.1864686451132647</c:v>
              </c:pt>
              <c:pt idx="47">
                <c:v>-2.995855779328612</c:v>
              </c:pt>
              <c:pt idx="48">
                <c:v>-2.797542702336508</c:v>
              </c:pt>
              <c:pt idx="49">
                <c:v>-2.5915132931495299</c:v>
              </c:pt>
              <c:pt idx="50">
                <c:v>-2.3777841004811022</c:v>
              </c:pt>
              <c:pt idx="51">
                <c:v>-2.156406495623691</c:v>
              </c:pt>
              <c:pt idx="52">
                <c:v>-1.9274685467120087</c:v>
              </c:pt>
              <c:pt idx="53">
                <c:v>-1.6910965521384105</c:v>
              </c:pt>
              <c:pt idx="54">
                <c:v>-1.4474561734172946</c:v>
              </c:pt>
              <c:pt idx="55">
                <c:v>-1.1967531127124049</c:v>
              </c:pt>
            </c:numLit>
          </c:xVal>
          <c:yVal>
            <c:numLit>
              <c:formatCode>General</c:formatCode>
              <c:ptCount val="56"/>
              <c:pt idx="0">
                <c:v>2.0930000000000001E-2</c:v>
              </c:pt>
              <c:pt idx="1">
                <c:v>2.0816221982499338E-2</c:v>
              </c:pt>
              <c:pt idx="2">
                <c:v>2.0697747630638599E-2</c:v>
              </c:pt>
              <c:pt idx="3">
                <c:v>2.0574329599127333E-2</c:v>
              </c:pt>
              <c:pt idx="4">
                <c:v>2.0445707961793541E-2</c:v>
              </c:pt>
              <c:pt idx="5">
                <c:v>2.0311610158401223E-2</c:v>
              </c:pt>
              <c:pt idx="6">
                <c:v>2.0171751126828213E-2</c:v>
              </c:pt>
              <c:pt idx="7">
                <c:v>2.0025833674800028E-2</c:v>
              </c:pt>
              <c:pt idx="8">
                <c:v>1.9873549157153957E-2</c:v>
              </c:pt>
              <c:pt idx="9">
                <c:v>1.9714578538365699E-2</c:v>
              </c:pt>
              <c:pt idx="10">
                <c:v>1.9548593935935225E-2</c:v>
              </c:pt>
              <c:pt idx="11">
                <c:v>1.9375260758225134E-2</c:v>
              </c:pt>
              <c:pt idx="12">
                <c:v>1.9194240570334139E-2</c:v>
              </c:pt>
              <c:pt idx="13">
                <c:v>1.900519484317249E-2</c:v>
              </c:pt>
              <c:pt idx="14">
                <c:v>1.8807789763299193E-2</c:v>
              </c:pt>
              <c:pt idx="15">
                <c:v>1.86017023029456E-2</c:v>
              </c:pt>
              <c:pt idx="16">
                <c:v>1.8495306506800622E-2</c:v>
              </c:pt>
              <c:pt idx="17">
                <c:v>1.8386627768883546E-2</c:v>
              </c:pt>
              <c:pt idx="18">
                <c:v>1.8275632385817388E-2</c:v>
              </c:pt>
              <c:pt idx="19">
                <c:v>1.8162289062279902E-2</c:v>
              </c:pt>
              <c:pt idx="20">
                <c:v>1.8046569310441331E-2</c:v>
              </c:pt>
              <c:pt idx="21">
                <c:v>1.7928447884993152E-2</c:v>
              </c:pt>
              <c:pt idx="22">
                <c:v>1.780790325517077E-2</c:v>
              </c:pt>
              <c:pt idx="23">
                <c:v>1.7684918114909066E-2</c:v>
              </c:pt>
              <c:pt idx="24">
                <c:v>1.7559479931924228E-2</c:v>
              </c:pt>
              <c:pt idx="25">
                <c:v>1.7431581536076757E-2</c:v>
              </c:pt>
              <c:pt idx="26">
                <c:v>1.730122174682644E-2</c:v>
              </c:pt>
              <c:pt idx="27">
                <c:v>1.7168406038928632E-2</c:v>
              </c:pt>
              <c:pt idx="28">
                <c:v>1.7033147244730054E-2</c:v>
              </c:pt>
              <c:pt idx="29">
                <c:v>1.6895466290491552E-2</c:v>
              </c:pt>
              <c:pt idx="30">
                <c:v>1.6755392963085362E-2</c:v>
              </c:pt>
              <c:pt idx="31">
                <c:v>1.6612966702180775E-2</c:v>
              </c:pt>
              <c:pt idx="32">
                <c:v>1.6468237411641461E-2</c:v>
              </c:pt>
              <c:pt idx="33">
                <c:v>1.6321266282315831E-2</c:v>
              </c:pt>
              <c:pt idx="34">
                <c:v>1.6172126616717374E-2</c:v>
              </c:pt>
              <c:pt idx="35">
                <c:v>1.602090464428578E-2</c:v>
              </c:pt>
              <c:pt idx="36">
                <c:v>1.5867700314020336E-2</c:v>
              </c:pt>
              <c:pt idx="37">
                <c:v>1.5712628049326046E-2</c:v>
              </c:pt>
              <c:pt idx="38">
                <c:v>1.5555817447964507E-2</c:v>
              </c:pt>
              <c:pt idx="39">
                <c:v>1.5397413908124226E-2</c:v>
              </c:pt>
              <c:pt idx="40">
                <c:v>1.5237579159901987E-2</c:v>
              </c:pt>
              <c:pt idx="41">
                <c:v>1.5076491680015076E-2</c:v>
              </c:pt>
              <c:pt idx="42">
                <c:v>1.4914346966454389E-2</c:v>
              </c:pt>
              <c:pt idx="43">
                <c:v>1.4751357649160357E-2</c:v>
              </c:pt>
              <c:pt idx="44">
                <c:v>1.458775341278396E-2</c:v>
              </c:pt>
              <c:pt idx="45">
                <c:v>1.4423780708309812E-2</c:v>
              </c:pt>
              <c:pt idx="46">
                <c:v>1.4259702231886499E-2</c:v>
              </c:pt>
              <c:pt idx="47">
                <c:v>1.4095796151733538E-2</c:v>
              </c:pt>
              <c:pt idx="48">
                <c:v>1.3932355067550029E-2</c:v>
              </c:pt>
              <c:pt idx="49">
                <c:v>1.3769684691476037E-2</c:v>
              </c:pt>
              <c:pt idx="50">
                <c:v>1.3608102245343555E-2</c:v>
              </c:pt>
              <c:pt idx="51">
                <c:v>1.3447934575631624E-2</c:v>
              </c:pt>
              <c:pt idx="52">
                <c:v>1.3289515995076896E-2</c:v>
              </c:pt>
              <c:pt idx="53">
                <c:v>1.313318586808335E-2</c:v>
              </c:pt>
              <c:pt idx="54">
                <c:v>1.2979285965653065E-2</c:v>
              </c:pt>
              <c:pt idx="55">
                <c:v>1.2828157624189995E-2</c:v>
              </c:pt>
            </c:numLit>
          </c:yVal>
          <c:smooth val="1"/>
          <c:extLst>
            <c:ext xmlns:c16="http://schemas.microsoft.com/office/drawing/2014/chart" uri="{C3380CC4-5D6E-409C-BE32-E72D297353CC}">
              <c16:uniqueId val="{00000082-011E-4924-BEEA-FE22ECBFD237}"/>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98E7-4814-B79B-4796DEC62FAC}"/>
            </c:ext>
          </c:extLst>
        </c:ser>
        <c:ser>
          <c:idx val="1"/>
          <c:order val="1"/>
          <c:spPr>
            <a:ln w="3175">
              <a:solidFill>
                <a:srgbClr val="000000"/>
              </a:solidFill>
              <a:prstDash val="solid"/>
            </a:ln>
          </c:spPr>
          <c:marker>
            <c:symbol val="none"/>
          </c:marker>
          <c:xVal>
            <c:numLit>
              <c:formatCode>General</c:formatCode>
              <c:ptCount val="2"/>
              <c:pt idx="0">
                <c:v>19.065942353411515</c:v>
              </c:pt>
              <c:pt idx="1">
                <c:v>18.66787537570767</c:v>
              </c:pt>
            </c:numLit>
          </c:xVal>
          <c:yVal>
            <c:numLit>
              <c:formatCode>General</c:formatCode>
              <c:ptCount val="2"/>
              <c:pt idx="0">
                <c:v>3.0559524052679921E-2</c:v>
              </c:pt>
              <c:pt idx="1">
                <c:v>3.0227471499139232E-2</c:v>
              </c:pt>
            </c:numLit>
          </c:yVal>
          <c:smooth val="0"/>
          <c:extLst>
            <c:ext xmlns:c16="http://schemas.microsoft.com/office/drawing/2014/chart" uri="{C3380CC4-5D6E-409C-BE32-E72D297353CC}">
              <c16:uniqueId val="{00000001-98E7-4814-B79B-4796DEC62FAC}"/>
            </c:ext>
          </c:extLst>
        </c:ser>
        <c:ser>
          <c:idx val="2"/>
          <c:order val="2"/>
          <c:spPr>
            <a:ln w="3175">
              <a:solidFill>
                <a:srgbClr val="000000"/>
              </a:solidFill>
              <a:prstDash val="solid"/>
            </a:ln>
          </c:spPr>
          <c:marker>
            <c:symbol val="none"/>
          </c:marker>
          <c:xVal>
            <c:numLit>
              <c:formatCode>General</c:formatCode>
              <c:ptCount val="2"/>
              <c:pt idx="0">
                <c:v>18.790543749866966</c:v>
              </c:pt>
              <c:pt idx="1">
                <c:v>18.596258512800294</c:v>
              </c:pt>
            </c:numLit>
          </c:xVal>
          <c:yVal>
            <c:numLit>
              <c:formatCode>General</c:formatCode>
              <c:ptCount val="2"/>
              <c:pt idx="0">
                <c:v>3.0736362467444784E-2</c:v>
              </c:pt>
              <c:pt idx="1">
                <c:v>3.0567287252488837E-2</c:v>
              </c:pt>
            </c:numLit>
          </c:yVal>
          <c:smooth val="0"/>
          <c:extLst>
            <c:ext xmlns:c16="http://schemas.microsoft.com/office/drawing/2014/chart" uri="{C3380CC4-5D6E-409C-BE32-E72D297353CC}">
              <c16:uniqueId val="{00000002-98E7-4814-B79B-4796DEC62FAC}"/>
            </c:ext>
          </c:extLst>
        </c:ser>
        <c:ser>
          <c:idx val="3"/>
          <c:order val="3"/>
          <c:spPr>
            <a:ln w="3175">
              <a:solidFill>
                <a:srgbClr val="000000"/>
              </a:solidFill>
              <a:prstDash val="solid"/>
            </a:ln>
          </c:spPr>
          <c:marker>
            <c:symbol val="none"/>
          </c:marker>
          <c:xVal>
            <c:numLit>
              <c:formatCode>General</c:formatCode>
              <c:ptCount val="2"/>
              <c:pt idx="0">
                <c:v>18.499745455246352</c:v>
              </c:pt>
              <c:pt idx="1">
                <c:v>18.121202508513718</c:v>
              </c:pt>
            </c:numLit>
          </c:xVal>
          <c:yVal>
            <c:numLit>
              <c:formatCode>General</c:formatCode>
              <c:ptCount val="2"/>
              <c:pt idx="0">
                <c:v>3.0915182575025162E-2</c:v>
              </c:pt>
              <c:pt idx="1">
                <c:v>3.0570865934507054E-2</c:v>
              </c:pt>
            </c:numLit>
          </c:yVal>
          <c:smooth val="0"/>
          <c:extLst>
            <c:ext xmlns:c16="http://schemas.microsoft.com/office/drawing/2014/chart" uri="{C3380CC4-5D6E-409C-BE32-E72D297353CC}">
              <c16:uniqueId val="{00000003-98E7-4814-B79B-4796DEC62FAC}"/>
            </c:ext>
          </c:extLst>
        </c:ser>
        <c:ser>
          <c:idx val="4"/>
          <c:order val="4"/>
          <c:spPr>
            <a:ln w="3175">
              <a:solidFill>
                <a:srgbClr val="000000"/>
              </a:solidFill>
              <a:prstDash val="solid"/>
            </a:ln>
          </c:spPr>
          <c:marker>
            <c:symbol val="none"/>
          </c:marker>
          <c:xVal>
            <c:numLit>
              <c:formatCode>General</c:formatCode>
              <c:ptCount val="2"/>
              <c:pt idx="0">
                <c:v>18.192821137276322</c:v>
              </c:pt>
              <c:pt idx="1">
                <c:v>18.008841462495695</c:v>
              </c:pt>
            </c:numLit>
          </c:xVal>
          <c:yVal>
            <c:numLit>
              <c:formatCode>General</c:formatCode>
              <c:ptCount val="2"/>
              <c:pt idx="0">
                <c:v>3.1095573924337105E-2</c:v>
              </c:pt>
              <c:pt idx="1">
                <c:v>3.092030540840026E-2</c:v>
              </c:pt>
            </c:numLit>
          </c:yVal>
          <c:smooth val="0"/>
          <c:extLst>
            <c:ext xmlns:c16="http://schemas.microsoft.com/office/drawing/2014/chart" uri="{C3380CC4-5D6E-409C-BE32-E72D297353CC}">
              <c16:uniqueId val="{00000004-98E7-4814-B79B-4796DEC62FAC}"/>
            </c:ext>
          </c:extLst>
        </c:ser>
        <c:ser>
          <c:idx val="5"/>
          <c:order val="5"/>
          <c:spPr>
            <a:ln w="3175">
              <a:solidFill>
                <a:srgbClr val="000000"/>
              </a:solidFill>
              <a:prstDash val="solid"/>
            </a:ln>
          </c:spPr>
          <c:marker>
            <c:symbol val="none"/>
          </c:marker>
          <c:xVal>
            <c:numLit>
              <c:formatCode>General</c:formatCode>
              <c:ptCount val="2"/>
              <c:pt idx="0">
                <c:v>17.869058802111013</c:v>
              </c:pt>
              <c:pt idx="1">
                <c:v>17.512263671003737</c:v>
              </c:pt>
            </c:numLit>
          </c:xVal>
          <c:yVal>
            <c:numLit>
              <c:formatCode>General</c:formatCode>
              <c:ptCount val="2"/>
              <c:pt idx="0">
                <c:v>3.1277058802111013E-2</c:v>
              </c:pt>
              <c:pt idx="1">
                <c:v>3.0920263671003735E-2</c:v>
              </c:pt>
            </c:numLit>
          </c:yVal>
          <c:smooth val="0"/>
          <c:extLst>
            <c:ext xmlns:c16="http://schemas.microsoft.com/office/drawing/2014/chart" uri="{C3380CC4-5D6E-409C-BE32-E72D297353CC}">
              <c16:uniqueId val="{00000005-98E7-4814-B79B-4796DEC62FAC}"/>
            </c:ext>
          </c:extLst>
        </c:ser>
        <c:ser>
          <c:idx val="6"/>
          <c:order val="6"/>
          <c:spPr>
            <a:ln w="3175">
              <a:solidFill>
                <a:srgbClr val="000000"/>
              </a:solidFill>
              <a:prstDash val="solid"/>
            </a:ln>
          </c:spPr>
          <c:marker>
            <c:symbol val="none"/>
          </c:marker>
          <c:xVal>
            <c:numLit>
              <c:formatCode>General</c:formatCode>
              <c:ptCount val="2"/>
              <c:pt idx="0">
                <c:v>17.527772872567621</c:v>
              </c:pt>
              <c:pt idx="1">
                <c:v>17.355259547178523</c:v>
              </c:pt>
            </c:numLit>
          </c:xVal>
          <c:yVal>
            <c:numLit>
              <c:formatCode>General</c:formatCode>
              <c:ptCount val="2"/>
              <c:pt idx="0">
                <c:v>3.145908735335045E-2</c:v>
              </c:pt>
              <c:pt idx="1">
                <c:v>3.1277551364499577E-2</c:v>
              </c:pt>
            </c:numLit>
          </c:yVal>
          <c:smooth val="0"/>
          <c:extLst>
            <c:ext xmlns:c16="http://schemas.microsoft.com/office/drawing/2014/chart" uri="{C3380CC4-5D6E-409C-BE32-E72D297353CC}">
              <c16:uniqueId val="{00000006-98E7-4814-B79B-4796DEC62FAC}"/>
            </c:ext>
          </c:extLst>
        </c:ser>
        <c:ser>
          <c:idx val="7"/>
          <c:order val="7"/>
          <c:spPr>
            <a:ln w="3175">
              <a:solidFill>
                <a:srgbClr val="000000"/>
              </a:solidFill>
              <a:prstDash val="solid"/>
            </a:ln>
          </c:spPr>
          <c:marker>
            <c:symbol val="none"/>
          </c:marker>
          <c:xVal>
            <c:numLit>
              <c:formatCode>General</c:formatCode>
              <c:ptCount val="2"/>
              <c:pt idx="0">
                <c:v>17.168318281619168</c:v>
              </c:pt>
              <c:pt idx="1">
                <c:v>16.83568661673575</c:v>
              </c:pt>
            </c:numLit>
          </c:xVal>
          <c:yVal>
            <c:numLit>
              <c:formatCode>General</c:formatCode>
              <c:ptCount val="2"/>
              <c:pt idx="0">
                <c:v>3.1641033323740492E-2</c:v>
              </c:pt>
              <c:pt idx="1">
                <c:v>3.1271687347059783E-2</c:v>
              </c:pt>
            </c:numLit>
          </c:yVal>
          <c:smooth val="0"/>
          <c:extLst>
            <c:ext xmlns:c16="http://schemas.microsoft.com/office/drawing/2014/chart" uri="{C3380CC4-5D6E-409C-BE32-E72D297353CC}">
              <c16:uniqueId val="{00000007-98E7-4814-B79B-4796DEC62FAC}"/>
            </c:ext>
          </c:extLst>
        </c:ser>
        <c:ser>
          <c:idx val="8"/>
          <c:order val="8"/>
          <c:spPr>
            <a:ln w="3175">
              <a:solidFill>
                <a:srgbClr val="000000"/>
              </a:solidFill>
              <a:prstDash val="solid"/>
            </a:ln>
          </c:spPr>
          <c:marker>
            <c:symbol val="none"/>
          </c:marker>
          <c:xVal>
            <c:numLit>
              <c:formatCode>General</c:formatCode>
              <c:ptCount val="2"/>
              <c:pt idx="0">
                <c:v>16.790106626063352</c:v>
              </c:pt>
              <c:pt idx="1">
                <c:v>16.630311684234673</c:v>
              </c:pt>
            </c:numLit>
          </c:xVal>
          <c:yVal>
            <c:numLit>
              <c:formatCode>General</c:formatCode>
              <c:ptCount val="2"/>
              <c:pt idx="0">
                <c:v>3.1822190731097821E-2</c:v>
              </c:pt>
              <c:pt idx="1">
                <c:v>3.1634394339182338E-2</c:v>
              </c:pt>
            </c:numLit>
          </c:yVal>
          <c:smooth val="0"/>
          <c:extLst>
            <c:ext xmlns:c16="http://schemas.microsoft.com/office/drawing/2014/chart" uri="{C3380CC4-5D6E-409C-BE32-E72D297353CC}">
              <c16:uniqueId val="{00000008-98E7-4814-B79B-4796DEC62FAC}"/>
            </c:ext>
          </c:extLst>
        </c:ser>
        <c:ser>
          <c:idx val="9"/>
          <c:order val="9"/>
          <c:spPr>
            <a:ln w="3175">
              <a:solidFill>
                <a:srgbClr val="000000"/>
              </a:solidFill>
              <a:prstDash val="solid"/>
            </a:ln>
          </c:spPr>
          <c:marker>
            <c:symbol val="none"/>
          </c:marker>
          <c:xVal>
            <c:numLit>
              <c:formatCode>General</c:formatCode>
              <c:ptCount val="2"/>
              <c:pt idx="0">
                <c:v>16.392624340635372</c:v>
              </c:pt>
              <c:pt idx="1">
                <c:v>16.086740742682426</c:v>
              </c:pt>
            </c:numLit>
          </c:xVal>
          <c:yVal>
            <c:numLit>
              <c:formatCode>General</c:formatCode>
              <c:ptCount val="2"/>
              <c:pt idx="0">
                <c:v>3.2001771819701222E-2</c:v>
              </c:pt>
              <c:pt idx="1">
                <c:v>3.1619986584539107E-2</c:v>
              </c:pt>
            </c:numLit>
          </c:yVal>
          <c:smooth val="0"/>
          <c:extLst>
            <c:ext xmlns:c16="http://schemas.microsoft.com/office/drawing/2014/chart" uri="{C3380CC4-5D6E-409C-BE32-E72D297353CC}">
              <c16:uniqueId val="{00000009-98E7-4814-B79B-4796DEC62FAC}"/>
            </c:ext>
          </c:extLst>
        </c:ser>
        <c:ser>
          <c:idx val="10"/>
          <c:order val="10"/>
          <c:spPr>
            <a:ln w="3175">
              <a:solidFill>
                <a:srgbClr val="000000"/>
              </a:solidFill>
              <a:prstDash val="solid"/>
            </a:ln>
          </c:spPr>
          <c:marker>
            <c:symbol val="none"/>
          </c:marker>
          <c:xVal>
            <c:numLit>
              <c:formatCode>General</c:formatCode>
              <c:ptCount val="2"/>
              <c:pt idx="0">
                <c:v>15.9754527418382</c:v>
              </c:pt>
              <c:pt idx="1">
                <c:v>15.829703556634092</c:v>
              </c:pt>
            </c:numLit>
          </c:xVal>
          <c:yVal>
            <c:numLit>
              <c:formatCode>General</c:formatCode>
              <c:ptCount val="2"/>
              <c:pt idx="0">
                <c:v>3.2178906690858773E-2</c:v>
              </c:pt>
              <c:pt idx="1">
                <c:v>3.1984960023775003E-2</c:v>
              </c:pt>
            </c:numLit>
          </c:yVal>
          <c:smooth val="0"/>
          <c:extLst>
            <c:ext xmlns:c16="http://schemas.microsoft.com/office/drawing/2014/chart" uri="{C3380CC4-5D6E-409C-BE32-E72D297353CC}">
              <c16:uniqueId val="{0000000A-98E7-4814-B79B-4796DEC62FAC}"/>
            </c:ext>
          </c:extLst>
        </c:ser>
        <c:ser>
          <c:idx val="11"/>
          <c:order val="11"/>
          <c:spPr>
            <a:ln w="3175">
              <a:solidFill>
                <a:srgbClr val="000000"/>
              </a:solidFill>
              <a:prstDash val="solid"/>
            </a:ln>
          </c:spPr>
          <c:marker>
            <c:symbol val="none"/>
          </c:marker>
          <c:xVal>
            <c:numLit>
              <c:formatCode>General</c:formatCode>
              <c:ptCount val="2"/>
              <c:pt idx="0">
                <c:v>15.538289652700842</c:v>
              </c:pt>
              <c:pt idx="1">
                <c:v>15.261865871573226</c:v>
              </c:pt>
            </c:numLit>
          </c:xVal>
          <c:yVal>
            <c:numLit>
              <c:formatCode>General</c:formatCode>
              <c:ptCount val="2"/>
              <c:pt idx="0">
                <c:v>3.2352645029202619E-2</c:v>
              </c:pt>
              <c:pt idx="1">
                <c:v>3.1958760717850802E-2</c:v>
              </c:pt>
            </c:numLit>
          </c:yVal>
          <c:smooth val="0"/>
          <c:extLst>
            <c:ext xmlns:c16="http://schemas.microsoft.com/office/drawing/2014/chart" uri="{C3380CC4-5D6E-409C-BE32-E72D297353CC}">
              <c16:uniqueId val="{0000000B-98E7-4814-B79B-4796DEC62FAC}"/>
            </c:ext>
          </c:extLst>
        </c:ser>
        <c:ser>
          <c:idx val="12"/>
          <c:order val="12"/>
          <c:spPr>
            <a:ln w="3175">
              <a:solidFill>
                <a:srgbClr val="000000"/>
              </a:solidFill>
              <a:prstDash val="solid"/>
            </a:ln>
          </c:spPr>
          <c:marker>
            <c:symbol val="none"/>
          </c:marker>
          <c:xVal>
            <c:numLit>
              <c:formatCode>General</c:formatCode>
              <c:ptCount val="2"/>
              <c:pt idx="0">
                <c:v>15.08097215642557</c:v>
              </c:pt>
              <c:pt idx="1">
                <c:v>14.950645050280301</c:v>
              </c:pt>
            </c:numLit>
          </c:xVal>
          <c:yVal>
            <c:numLit>
              <c:formatCode>General</c:formatCode>
              <c:ptCount val="2"/>
              <c:pt idx="0">
                <c:v>3.2521960349640437E-2</c:v>
              </c:pt>
              <c:pt idx="1">
                <c:v>3.2322098964301806E-2</c:v>
              </c:pt>
            </c:numLit>
          </c:yVal>
          <c:smooth val="0"/>
          <c:extLst>
            <c:ext xmlns:c16="http://schemas.microsoft.com/office/drawing/2014/chart" uri="{C3380CC4-5D6E-409C-BE32-E72D297353CC}">
              <c16:uniqueId val="{0000000C-98E7-4814-B79B-4796DEC62FAC}"/>
            </c:ext>
          </c:extLst>
        </c:ser>
        <c:ser>
          <c:idx val="13"/>
          <c:order val="13"/>
          <c:spPr>
            <a:ln w="3175">
              <a:solidFill>
                <a:srgbClr val="000000"/>
              </a:solidFill>
              <a:prstDash val="solid"/>
            </a:ln>
          </c:spPr>
          <c:marker>
            <c:symbol val="none"/>
          </c:marker>
          <c:xVal>
            <c:numLit>
              <c:formatCode>General</c:formatCode>
              <c:ptCount val="2"/>
              <c:pt idx="0">
                <c:v>14.603499843901423</c:v>
              </c:pt>
              <c:pt idx="1">
                <c:v>14.359310194111718</c:v>
              </c:pt>
            </c:numLit>
          </c:xVal>
          <c:yVal>
            <c:numLit>
              <c:formatCode>General</c:formatCode>
              <c:ptCount val="2"/>
              <c:pt idx="0">
                <c:v>3.2685757166608632E-2</c:v>
              </c:pt>
              <c:pt idx="1">
                <c:v>3.2280386229829018E-2</c:v>
              </c:pt>
            </c:numLit>
          </c:yVal>
          <c:smooth val="0"/>
          <c:extLst>
            <c:ext xmlns:c16="http://schemas.microsoft.com/office/drawing/2014/chart" uri="{C3380CC4-5D6E-409C-BE32-E72D297353CC}">
              <c16:uniqueId val="{0000000D-98E7-4814-B79B-4796DEC62FAC}"/>
            </c:ext>
          </c:extLst>
        </c:ser>
        <c:ser>
          <c:idx val="14"/>
          <c:order val="14"/>
          <c:spPr>
            <a:ln w="3175">
              <a:solidFill>
                <a:srgbClr val="000000"/>
              </a:solidFill>
              <a:prstDash val="solid"/>
            </a:ln>
          </c:spPr>
          <c:marker>
            <c:symbol val="none"/>
          </c:marker>
          <c:xVal>
            <c:numLit>
              <c:formatCode>General</c:formatCode>
              <c:ptCount val="2"/>
              <c:pt idx="0">
                <c:v>14.106057727229052</c:v>
              </c:pt>
              <c:pt idx="1">
                <c:v>13.992539490552689</c:v>
              </c:pt>
            </c:numLit>
          </c:xVal>
          <c:yVal>
            <c:numLit>
              <c:formatCode>General</c:formatCode>
              <c:ptCount val="2"/>
              <c:pt idx="0">
                <c:v>3.2842881427324513E-2</c:v>
              </c:pt>
              <c:pt idx="1">
                <c:v>3.2637486919956847E-2</c:v>
              </c:pt>
            </c:numLit>
          </c:yVal>
          <c:smooth val="0"/>
          <c:extLst>
            <c:ext xmlns:c16="http://schemas.microsoft.com/office/drawing/2014/chart" uri="{C3380CC4-5D6E-409C-BE32-E72D297353CC}">
              <c16:uniqueId val="{0000000E-98E7-4814-B79B-4796DEC62FAC}"/>
            </c:ext>
          </c:extLst>
        </c:ser>
        <c:ser>
          <c:idx val="15"/>
          <c:order val="15"/>
          <c:spPr>
            <a:ln w="3175">
              <a:solidFill>
                <a:srgbClr val="000000"/>
              </a:solidFill>
              <a:prstDash val="solid"/>
            </a:ln>
          </c:spPr>
          <c:marker>
            <c:symbol val="none"/>
          </c:marker>
          <c:xVal>
            <c:numLit>
              <c:formatCode>General</c:formatCode>
              <c:ptCount val="2"/>
              <c:pt idx="0">
                <c:v>13.589037803579986</c:v>
              </c:pt>
              <c:pt idx="1">
                <c:v>13.379829603456537</c:v>
              </c:pt>
            </c:numLit>
          </c:xVal>
          <c:yVal>
            <c:numLit>
              <c:formatCode>General</c:formatCode>
              <c:ptCount val="2"/>
              <c:pt idx="0">
                <c:v>3.2992134447433728E-2</c:v>
              </c:pt>
              <c:pt idx="1">
                <c:v>3.2576198776832564E-2</c:v>
              </c:pt>
            </c:numLit>
          </c:yVal>
          <c:smooth val="0"/>
          <c:extLst>
            <c:ext xmlns:c16="http://schemas.microsoft.com/office/drawing/2014/chart" uri="{C3380CC4-5D6E-409C-BE32-E72D297353CC}">
              <c16:uniqueId val="{0000000F-98E7-4814-B79B-4796DEC62FAC}"/>
            </c:ext>
          </c:extLst>
        </c:ser>
        <c:ser>
          <c:idx val="16"/>
          <c:order val="16"/>
          <c:spPr>
            <a:ln w="3175">
              <a:solidFill>
                <a:srgbClr val="000000"/>
              </a:solidFill>
              <a:prstDash val="solid"/>
            </a:ln>
          </c:spPr>
          <c:marker>
            <c:symbol val="none"/>
          </c:marker>
          <c:xVal>
            <c:numLit>
              <c:formatCode>General</c:formatCode>
              <c:ptCount val="2"/>
              <c:pt idx="0">
                <c:v>13.053058090665036</c:v>
              </c:pt>
              <c:pt idx="1">
                <c:v>12.957695020136329</c:v>
              </c:pt>
            </c:numLit>
          </c:xVal>
          <c:yVal>
            <c:numLit>
              <c:formatCode>General</c:formatCode>
              <c:ptCount val="2"/>
              <c:pt idx="0">
                <c:v>3.3132290436861909E-2</c:v>
              </c:pt>
              <c:pt idx="1">
                <c:v>3.2921906118984975E-2</c:v>
              </c:pt>
            </c:numLit>
          </c:yVal>
          <c:smooth val="0"/>
          <c:extLst>
            <c:ext xmlns:c16="http://schemas.microsoft.com/office/drawing/2014/chart" uri="{C3380CC4-5D6E-409C-BE32-E72D297353CC}">
              <c16:uniqueId val="{00000010-98E7-4814-B79B-4796DEC62FAC}"/>
            </c:ext>
          </c:extLst>
        </c:ser>
        <c:ser>
          <c:idx val="17"/>
          <c:order val="17"/>
          <c:spPr>
            <a:ln w="3175">
              <a:solidFill>
                <a:srgbClr val="000000"/>
              </a:solidFill>
              <a:prstDash val="solid"/>
            </a:ln>
          </c:spPr>
          <c:marker>
            <c:symbol val="none"/>
          </c:marker>
          <c:xVal>
            <c:numLit>
              <c:formatCode>General</c:formatCode>
              <c:ptCount val="2"/>
              <c:pt idx="0">
                <c:v>12.498977840522226</c:v>
              </c:pt>
              <c:pt idx="1">
                <c:v>12.327357914986976</c:v>
              </c:pt>
            </c:numLit>
          </c:xVal>
          <c:yVal>
            <c:numLit>
              <c:formatCode>General</c:formatCode>
              <c:ptCount val="2"/>
              <c:pt idx="0">
                <c:v>3.3262117506318627E-2</c:v>
              </c:pt>
              <c:pt idx="1">
                <c:v>3.2836872075066262E-2</c:v>
              </c:pt>
            </c:numLit>
          </c:yVal>
          <c:smooth val="0"/>
          <c:extLst>
            <c:ext xmlns:c16="http://schemas.microsoft.com/office/drawing/2014/chart" uri="{C3380CC4-5D6E-409C-BE32-E72D297353CC}">
              <c16:uniqueId val="{00000011-98E7-4814-B79B-4796DEC62FAC}"/>
            </c:ext>
          </c:extLst>
        </c:ser>
        <c:ser>
          <c:idx val="18"/>
          <c:order val="18"/>
          <c:spPr>
            <a:ln w="3175">
              <a:solidFill>
                <a:srgbClr val="000000"/>
              </a:solidFill>
              <a:prstDash val="solid"/>
            </a:ln>
          </c:spPr>
          <c:marker>
            <c:symbol val="none"/>
          </c:marker>
          <c:xVal>
            <c:numLit>
              <c:formatCode>General</c:formatCode>
              <c:ptCount val="2"/>
              <c:pt idx="0">
                <c:v>11.927907597824111</c:v>
              </c:pt>
              <c:pt idx="1">
                <c:v>11.851943673723694</c:v>
              </c:pt>
            </c:numLit>
          </c:xVal>
          <c:yVal>
            <c:numLit>
              <c:formatCode>General</c:formatCode>
              <c:ptCount val="2"/>
              <c:pt idx="0">
                <c:v>3.3380401807334426E-2</c:v>
              </c:pt>
              <c:pt idx="1">
                <c:v>3.3165739707207965E-2</c:v>
              </c:pt>
            </c:numLit>
          </c:yVal>
          <c:smooth val="0"/>
          <c:extLst>
            <c:ext xmlns:c16="http://schemas.microsoft.com/office/drawing/2014/chart" uri="{C3380CC4-5D6E-409C-BE32-E72D297353CC}">
              <c16:uniqueId val="{00000012-98E7-4814-B79B-4796DEC62FAC}"/>
            </c:ext>
          </c:extLst>
        </c:ser>
        <c:ser>
          <c:idx val="19"/>
          <c:order val="19"/>
          <c:spPr>
            <a:ln w="3175">
              <a:solidFill>
                <a:srgbClr val="000000"/>
              </a:solidFill>
              <a:prstDash val="solid"/>
            </a:ln>
          </c:spPr>
          <c:marker>
            <c:symbol val="none"/>
          </c:marker>
          <c:xVal>
            <c:numLit>
              <c:formatCode>General</c:formatCode>
              <c:ptCount val="2"/>
              <c:pt idx="0">
                <c:v>11.341212826619152</c:v>
              </c:pt>
              <c:pt idx="1">
                <c:v>11.209515832597802</c:v>
              </c:pt>
            </c:numLit>
          </c:xVal>
          <c:yVal>
            <c:numLit>
              <c:formatCode>General</c:formatCode>
              <c:ptCount val="2"/>
              <c:pt idx="0">
                <c:v>3.348597419470218E-2</c:v>
              </c:pt>
              <c:pt idx="1">
                <c:v>3.3053009567298661E-2</c:v>
              </c:pt>
            </c:numLit>
          </c:yVal>
          <c:smooth val="0"/>
          <c:extLst>
            <c:ext xmlns:c16="http://schemas.microsoft.com/office/drawing/2014/chart" uri="{C3380CC4-5D6E-409C-BE32-E72D297353CC}">
              <c16:uniqueId val="{00000013-98E7-4814-B79B-4796DEC62FAC}"/>
            </c:ext>
          </c:extLst>
        </c:ser>
        <c:ser>
          <c:idx val="20"/>
          <c:order val="20"/>
          <c:spPr>
            <a:ln w="3175">
              <a:solidFill>
                <a:srgbClr val="000000"/>
              </a:solidFill>
              <a:prstDash val="solid"/>
            </a:ln>
          </c:spPr>
          <c:marker>
            <c:symbol val="none"/>
          </c:marker>
          <c:xVal>
            <c:numLit>
              <c:formatCode>General</c:formatCode>
              <c:ptCount val="2"/>
              <c:pt idx="0">
                <c:v>10.740510003894533</c:v>
              </c:pt>
              <c:pt idx="1">
                <c:v>10.685018452103247</c:v>
              </c:pt>
            </c:numLit>
          </c:xVal>
          <c:yVal>
            <c:numLit>
              <c:formatCode>General</c:formatCode>
              <c:ptCount val="2"/>
              <c:pt idx="0">
                <c:v>3.3577738530929296E-2</c:v>
              </c:pt>
              <c:pt idx="1">
                <c:v>3.3359674073499483E-2</c:v>
              </c:pt>
            </c:numLit>
          </c:yVal>
          <c:smooth val="0"/>
          <c:extLst>
            <c:ext xmlns:c16="http://schemas.microsoft.com/office/drawing/2014/chart" uri="{C3380CC4-5D6E-409C-BE32-E72D297353CC}">
              <c16:uniqueId val="{00000014-98E7-4814-B79B-4796DEC62FAC}"/>
            </c:ext>
          </c:extLst>
        </c:ser>
        <c:ser>
          <c:idx val="21"/>
          <c:order val="21"/>
          <c:spPr>
            <a:ln w="3175">
              <a:solidFill>
                <a:srgbClr val="000000"/>
              </a:solidFill>
              <a:prstDash val="solid"/>
            </a:ln>
          </c:spPr>
          <c:marker>
            <c:symbol val="none"/>
          </c:marker>
          <c:xVal>
            <c:numLit>
              <c:formatCode>General</c:formatCode>
              <c:ptCount val="2"/>
              <c:pt idx="0">
                <c:v>10.127654377823859</c:v>
              </c:pt>
              <c:pt idx="1">
                <c:v>10.037804226864415</c:v>
              </c:pt>
            </c:numLit>
          </c:xVal>
          <c:yVal>
            <c:numLit>
              <c:formatCode>General</c:formatCode>
              <c:ptCount val="2"/>
              <c:pt idx="0">
                <c:v>3.3654700505295149E-2</c:v>
              </c:pt>
              <c:pt idx="1">
                <c:v>3.3215917729250491E-2</c:v>
              </c:pt>
            </c:numLit>
          </c:yVal>
          <c:smooth val="0"/>
          <c:extLst>
            <c:ext xmlns:c16="http://schemas.microsoft.com/office/drawing/2014/chart" uri="{C3380CC4-5D6E-409C-BE32-E72D297353CC}">
              <c16:uniqueId val="{00000015-98E7-4814-B79B-4796DEC62FAC}"/>
            </c:ext>
          </c:extLst>
        </c:ser>
        <c:ser>
          <c:idx val="22"/>
          <c:order val="22"/>
          <c:spPr>
            <a:ln w="3175">
              <a:solidFill>
                <a:srgbClr val="000000"/>
              </a:solidFill>
              <a:prstDash val="solid"/>
            </a:ln>
          </c:spPr>
          <c:marker>
            <c:symbol val="none"/>
          </c:marker>
          <c:xVal>
            <c:numLit>
              <c:formatCode>General</c:formatCode>
              <c:ptCount val="2"/>
              <c:pt idx="0">
                <c:v>9.5047190068155949</c:v>
              </c:pt>
              <c:pt idx="1">
                <c:v>9.4705341963532561</c:v>
              </c:pt>
            </c:numLit>
          </c:xVal>
          <c:yVal>
            <c:numLit>
              <c:formatCode>General</c:formatCode>
              <c:ptCount val="2"/>
              <c:pt idx="0">
                <c:v>3.3715995646515944E-2</c:v>
              </c:pt>
              <c:pt idx="1">
                <c:v>3.3495547445713945E-2</c:v>
              </c:pt>
            </c:numLit>
          </c:yVal>
          <c:smooth val="0"/>
          <c:extLst>
            <c:ext xmlns:c16="http://schemas.microsoft.com/office/drawing/2014/chart" uri="{C3380CC4-5D6E-409C-BE32-E72D297353CC}">
              <c16:uniqueId val="{00000016-98E7-4814-B79B-4796DEC62FAC}"/>
            </c:ext>
          </c:extLst>
        </c:ser>
        <c:ser>
          <c:idx val="23"/>
          <c:order val="23"/>
          <c:spPr>
            <a:ln w="3175">
              <a:solidFill>
                <a:srgbClr val="000000"/>
              </a:solidFill>
              <a:prstDash val="solid"/>
            </a:ln>
          </c:spPr>
          <c:marker>
            <c:symbol val="none"/>
          </c:marker>
          <c:xVal>
            <c:numLit>
              <c:formatCode>General</c:formatCode>
              <c:ptCount val="2"/>
              <c:pt idx="0">
                <c:v>8.8739652091894179</c:v>
              </c:pt>
              <c:pt idx="1">
                <c:v>8.8273457192173677</c:v>
              </c:pt>
            </c:numLit>
          </c:xVal>
          <c:yVal>
            <c:numLit>
              <c:formatCode>General</c:formatCode>
              <c:ptCount val="2"/>
              <c:pt idx="0">
                <c:v>3.3760915098533552E-2</c:v>
              </c:pt>
              <c:pt idx="1">
                <c:v>3.3318469750308249E-2</c:v>
              </c:pt>
            </c:numLit>
          </c:yVal>
          <c:smooth val="0"/>
          <c:extLst>
            <c:ext xmlns:c16="http://schemas.microsoft.com/office/drawing/2014/chart" uri="{C3380CC4-5D6E-409C-BE32-E72D297353CC}">
              <c16:uniqueId val="{00000017-98E7-4814-B79B-4796DEC62FAC}"/>
            </c:ext>
          </c:extLst>
        </c:ser>
        <c:ser>
          <c:idx val="24"/>
          <c:order val="24"/>
          <c:spPr>
            <a:ln w="3175">
              <a:solidFill>
                <a:srgbClr val="000000"/>
              </a:solidFill>
              <a:prstDash val="solid"/>
            </a:ln>
          </c:spPr>
          <c:marker>
            <c:symbol val="none"/>
          </c:marker>
          <c:xVal>
            <c:numLit>
              <c:formatCode>General</c:formatCode>
              <c:ptCount val="2"/>
              <c:pt idx="0">
                <c:v>8.2378051220730821</c:v>
              </c:pt>
              <c:pt idx="1">
                <c:v>8.225463654451131</c:v>
              </c:pt>
            </c:numLit>
          </c:xVal>
          <c:yVal>
            <c:numLit>
              <c:formatCode>General</c:formatCode>
              <c:ptCount val="2"/>
              <c:pt idx="0">
                <c:v>3.378892772867001E-2</c:v>
              </c:pt>
              <c:pt idx="1">
                <c:v>3.3567222078175703E-2</c:v>
              </c:pt>
            </c:numLit>
          </c:yVal>
          <c:smooth val="0"/>
          <c:extLst>
            <c:ext xmlns:c16="http://schemas.microsoft.com/office/drawing/2014/chart" uri="{C3380CC4-5D6E-409C-BE32-E72D297353CC}">
              <c16:uniqueId val="{00000018-98E7-4814-B79B-4796DEC62FAC}"/>
            </c:ext>
          </c:extLst>
        </c:ser>
        <c:ser>
          <c:idx val="25"/>
          <c:order val="25"/>
          <c:spPr>
            <a:ln w="3175">
              <a:solidFill>
                <a:srgbClr val="000000"/>
              </a:solidFill>
              <a:prstDash val="solid"/>
            </a:ln>
          </c:spPr>
          <c:marker>
            <c:symbol val="none"/>
          </c:marker>
          <c:xVal>
            <c:numLit>
              <c:formatCode>General</c:formatCode>
              <c:ptCount val="2"/>
              <c:pt idx="0">
                <c:v>7.5987576377376911</c:v>
              </c:pt>
              <c:pt idx="1">
                <c:v>7.5961108226432881</c:v>
              </c:pt>
            </c:numLit>
          </c:xVal>
          <c:yVal>
            <c:numLit>
              <c:formatCode>General</c:formatCode>
              <c:ptCount val="2"/>
              <c:pt idx="0">
                <c:v>3.3799697260686282E-2</c:v>
              </c:pt>
              <c:pt idx="1">
                <c:v>3.3355914596524684E-2</c:v>
              </c:pt>
            </c:numLit>
          </c:yVal>
          <c:smooth val="0"/>
          <c:extLst>
            <c:ext xmlns:c16="http://schemas.microsoft.com/office/drawing/2014/chart" uri="{C3380CC4-5D6E-409C-BE32-E72D297353CC}">
              <c16:uniqueId val="{00000019-98E7-4814-B79B-4796DEC62FAC}"/>
            </c:ext>
          </c:extLst>
        </c:ser>
        <c:ser>
          <c:idx val="26"/>
          <c:order val="26"/>
          <c:spPr>
            <a:ln w="3175">
              <a:solidFill>
                <a:srgbClr val="000000"/>
              </a:solidFill>
              <a:prstDash val="solid"/>
            </a:ln>
          </c:spPr>
          <c:marker>
            <c:symbol val="none"/>
          </c:marker>
          <c:xVal>
            <c:numLit>
              <c:formatCode>General</c:formatCode>
              <c:ptCount val="2"/>
              <c:pt idx="0">
                <c:v>6.9593994946761999</c:v>
              </c:pt>
              <c:pt idx="1">
                <c:v>6.9690995033886791</c:v>
              </c:pt>
            </c:numLit>
          </c:xVal>
          <c:yVal>
            <c:numLit>
              <c:formatCode>General</c:formatCode>
              <c:ptCount val="2"/>
              <c:pt idx="0">
                <c:v>3.3793093371721462E-2</c:v>
              </c:pt>
              <c:pt idx="1">
                <c:v>3.3571315899795236E-2</c:v>
              </c:pt>
            </c:numLit>
          </c:yVal>
          <c:smooth val="0"/>
          <c:extLst>
            <c:ext xmlns:c16="http://schemas.microsoft.com/office/drawing/2014/chart" uri="{C3380CC4-5D6E-409C-BE32-E72D297353CC}">
              <c16:uniqueId val="{0000001A-98E7-4814-B79B-4796DEC62FAC}"/>
            </c:ext>
          </c:extLst>
        </c:ser>
        <c:ser>
          <c:idx val="27"/>
          <c:order val="27"/>
          <c:spPr>
            <a:ln w="3175">
              <a:solidFill>
                <a:srgbClr val="000000"/>
              </a:solidFill>
              <a:prstDash val="solid"/>
            </a:ln>
          </c:spPr>
          <c:marker>
            <c:symbol val="none"/>
          </c:marker>
          <c:xVal>
            <c:numLit>
              <c:formatCode>General</c:formatCode>
              <c:ptCount val="2"/>
              <c:pt idx="0">
                <c:v>6.3223136896666619</c:v>
              </c:pt>
              <c:pt idx="1">
                <c:v>6.363682183126433</c:v>
              </c:pt>
            </c:numLit>
          </c:xVal>
          <c:yVal>
            <c:numLit>
              <c:formatCode>General</c:formatCode>
              <c:ptCount val="2"/>
              <c:pt idx="0">
                <c:v>3.3769196044631293E-2</c:v>
              </c:pt>
              <c:pt idx="1">
                <c:v>3.3326465146540557E-2</c:v>
              </c:pt>
            </c:numLit>
          </c:yVal>
          <c:smooth val="0"/>
          <c:extLst>
            <c:ext xmlns:c16="http://schemas.microsoft.com/office/drawing/2014/chart" uri="{C3380CC4-5D6E-409C-BE32-E72D297353CC}">
              <c16:uniqueId val="{0000001B-98E7-4814-B79B-4796DEC62FAC}"/>
            </c:ext>
          </c:extLst>
        </c:ser>
        <c:ser>
          <c:idx val="28"/>
          <c:order val="28"/>
          <c:spPr>
            <a:ln w="3175">
              <a:solidFill>
                <a:srgbClr val="000000"/>
              </a:solidFill>
              <a:prstDash val="solid"/>
            </a:ln>
          </c:spPr>
          <c:marker>
            <c:symbol val="none"/>
          </c:marker>
          <c:xVal>
            <c:numLit>
              <c:formatCode>General</c:formatCode>
              <c:ptCount val="2"/>
              <c:pt idx="0">
                <c:v>5.690037597761866</c:v>
              </c:pt>
              <c:pt idx="1">
                <c:v>5.7216231564211437</c:v>
              </c:pt>
            </c:numLit>
          </c:xVal>
          <c:yVal>
            <c:numLit>
              <c:formatCode>General</c:formatCode>
              <c:ptCount val="2"/>
              <c:pt idx="0">
                <c:v>3.3728292893413635E-2</c:v>
              </c:pt>
              <c:pt idx="1">
                <c:v>3.3507632671113403E-2</c:v>
              </c:pt>
            </c:numLit>
          </c:yVal>
          <c:smooth val="0"/>
          <c:extLst>
            <c:ext xmlns:c16="http://schemas.microsoft.com/office/drawing/2014/chart" uri="{C3380CC4-5D6E-409C-BE32-E72D297353CC}">
              <c16:uniqueId val="{0000001C-98E7-4814-B79B-4796DEC62FAC}"/>
            </c:ext>
          </c:extLst>
        </c:ser>
        <c:ser>
          <c:idx val="29"/>
          <c:order val="29"/>
          <c:spPr>
            <a:ln w="3175">
              <a:solidFill>
                <a:srgbClr val="000000"/>
              </a:solidFill>
              <a:prstDash val="solid"/>
            </a:ln>
          </c:spPr>
          <c:marker>
            <c:symbol val="none"/>
          </c:marker>
          <c:xVal>
            <c:numLit>
              <c:formatCode>General</c:formatCode>
              <c:ptCount val="2"/>
              <c:pt idx="0">
                <c:v>5.0650132114445139</c:v>
              </c:pt>
              <c:pt idx="1">
                <c:v>5.1497368938084964</c:v>
              </c:pt>
            </c:numLit>
          </c:xVal>
          <c:yVal>
            <c:numLit>
              <c:formatCode>General</c:formatCode>
              <c:ptCount val="2"/>
              <c:pt idx="0">
                <c:v>3.3670869635499083E-2</c:v>
              </c:pt>
              <c:pt idx="1">
                <c:v>3.3231529303240491E-2</c:v>
              </c:pt>
            </c:numLit>
          </c:yVal>
          <c:smooth val="0"/>
          <c:extLst>
            <c:ext xmlns:c16="http://schemas.microsoft.com/office/drawing/2014/chart" uri="{C3380CC4-5D6E-409C-BE32-E72D297353CC}">
              <c16:uniqueId val="{0000001D-98E7-4814-B79B-4796DEC62FAC}"/>
            </c:ext>
          </c:extLst>
        </c:ser>
        <c:ser>
          <c:idx val="30"/>
          <c:order val="30"/>
          <c:spPr>
            <a:ln w="3175">
              <a:solidFill>
                <a:srgbClr val="000000"/>
              </a:solidFill>
              <a:prstDash val="solid"/>
            </a:ln>
          </c:spPr>
          <c:marker>
            <c:symbol val="none"/>
          </c:marker>
          <c:xVal>
            <c:numLit>
              <c:formatCode>General</c:formatCode>
              <c:ptCount val="2"/>
              <c:pt idx="0">
                <c:v>4.4495417349447202</c:v>
              </c:pt>
              <c:pt idx="1">
                <c:v>4.5025151533077423</c:v>
              </c:pt>
            </c:numLit>
          </c:xVal>
          <c:yVal>
            <c:numLit>
              <c:formatCode>General</c:formatCode>
              <c:ptCount val="2"/>
              <c:pt idx="0">
                <c:v>3.3597594322318097E-2</c:v>
              </c:pt>
              <c:pt idx="1">
                <c:v>3.3379187523657441E-2</c:v>
              </c:pt>
            </c:numLit>
          </c:yVal>
          <c:smooth val="0"/>
          <c:extLst>
            <c:ext xmlns:c16="http://schemas.microsoft.com/office/drawing/2014/chart" uri="{C3380CC4-5D6E-409C-BE32-E72D297353CC}">
              <c16:uniqueId val="{0000001E-98E7-4814-B79B-4796DEC62FAC}"/>
            </c:ext>
          </c:extLst>
        </c:ser>
        <c:ser>
          <c:idx val="31"/>
          <c:order val="31"/>
          <c:spPr>
            <a:ln w="3175">
              <a:solidFill>
                <a:srgbClr val="000000"/>
              </a:solidFill>
              <a:prstDash val="solid"/>
            </a:ln>
          </c:spPr>
          <c:marker>
            <c:symbol val="none"/>
          </c:marker>
          <c:xVal>
            <c:numLit>
              <c:formatCode>General</c:formatCode>
              <c:ptCount val="2"/>
              <c:pt idx="0">
                <c:v>3.8457444174013791</c:v>
              </c:pt>
              <c:pt idx="1">
                <c:v>3.9725118512840907</c:v>
              </c:pt>
            </c:numLit>
          </c:xVal>
          <c:yVal>
            <c:numLit>
              <c:formatCode>General</c:formatCode>
              <c:ptCount val="2"/>
              <c:pt idx="0">
                <c:v>3.3509296313245625E-2</c:v>
              </c:pt>
              <c:pt idx="1">
                <c:v>3.3075527474857841E-2</c:v>
              </c:pt>
            </c:numLit>
          </c:yVal>
          <c:smooth val="0"/>
          <c:extLst>
            <c:ext xmlns:c16="http://schemas.microsoft.com/office/drawing/2014/chart" uri="{C3380CC4-5D6E-409C-BE32-E72D297353CC}">
              <c16:uniqueId val="{0000001F-98E7-4814-B79B-4796DEC62FAC}"/>
            </c:ext>
          </c:extLst>
        </c:ser>
        <c:ser>
          <c:idx val="32"/>
          <c:order val="32"/>
          <c:spPr>
            <a:ln w="3175">
              <a:solidFill>
                <a:srgbClr val="000000"/>
              </a:solidFill>
              <a:prstDash val="solid"/>
            </a:ln>
          </c:spPr>
          <c:marker>
            <c:symbol val="none"/>
          </c:marker>
          <c:xVal>
            <c:numLit>
              <c:formatCode>General</c:formatCode>
              <c:ptCount val="2"/>
              <c:pt idx="0">
                <c:v>3.255531023136959</c:v>
              </c:pt>
              <c:pt idx="1">
                <c:v>3.3290908330828737</c:v>
              </c:pt>
            </c:numLit>
          </c:xVal>
          <c:yVal>
            <c:numLit>
              <c:formatCode>General</c:formatCode>
              <c:ptCount val="2"/>
              <c:pt idx="0">
                <c:v>3.3406941252105297E-2</c:v>
              </c:pt>
              <c:pt idx="1">
                <c:v>3.3191821575344858E-2</c:v>
              </c:pt>
            </c:numLit>
          </c:yVal>
          <c:smooth val="0"/>
          <c:extLst>
            <c:ext xmlns:c16="http://schemas.microsoft.com/office/drawing/2014/chart" uri="{C3380CC4-5D6E-409C-BE32-E72D297353CC}">
              <c16:uniqueId val="{00000020-98E7-4814-B79B-4796DEC62FAC}"/>
            </c:ext>
          </c:extLst>
        </c:ser>
        <c:ser>
          <c:idx val="33"/>
          <c:order val="33"/>
          <c:spPr>
            <a:ln w="3175">
              <a:solidFill>
                <a:srgbClr val="000000"/>
              </a:solidFill>
              <a:prstDash val="solid"/>
            </a:ln>
          </c:spPr>
          <c:marker>
            <c:symbol val="none"/>
          </c:marker>
          <c:xVal>
            <c:numLit>
              <c:formatCode>General</c:formatCode>
              <c:ptCount val="2"/>
              <c:pt idx="0">
                <c:v>2.6805767765256308</c:v>
              </c:pt>
              <c:pt idx="1">
                <c:v>2.8475224049212988</c:v>
              </c:pt>
            </c:numLit>
          </c:xVal>
          <c:yVal>
            <c:numLit>
              <c:formatCode>General</c:formatCode>
              <c:ptCount val="2"/>
              <c:pt idx="0">
                <c:v>3.3291603458921876E-2</c:v>
              </c:pt>
              <c:pt idx="1">
                <c:v>3.286534127068319E-2</c:v>
              </c:pt>
            </c:numLit>
          </c:yVal>
          <c:smooth val="0"/>
          <c:extLst>
            <c:ext xmlns:c16="http://schemas.microsoft.com/office/drawing/2014/chart" uri="{C3380CC4-5D6E-409C-BE32-E72D297353CC}">
              <c16:uniqueId val="{00000021-98E7-4814-B79B-4796DEC62FAC}"/>
            </c:ext>
          </c:extLst>
        </c:ser>
        <c:ser>
          <c:idx val="34"/>
          <c:order val="34"/>
          <c:spPr>
            <a:ln w="3175">
              <a:solidFill>
                <a:srgbClr val="000000"/>
              </a:solidFill>
              <a:prstDash val="solid"/>
            </a:ln>
          </c:spPr>
          <c:marker>
            <c:symbol val="none"/>
          </c:marker>
          <c:xVal>
            <c:numLit>
              <c:formatCode>General</c:formatCode>
              <c:ptCount val="2"/>
              <c:pt idx="0">
                <c:v>2.1223080446173976</c:v>
              </c:pt>
              <c:pt idx="1">
                <c:v>2.215406181779167</c:v>
              </c:pt>
            </c:numLit>
          </c:xVal>
          <c:yVal>
            <c:numLit>
              <c:formatCode>General</c:formatCode>
              <c:ptCount val="2"/>
              <c:pt idx="0">
                <c:v>3.3164437178186706E-2</c:v>
              </c:pt>
              <c:pt idx="1">
                <c:v>3.2953498606149004E-2</c:v>
              </c:pt>
            </c:numLit>
          </c:yVal>
          <c:smooth val="0"/>
          <c:extLst>
            <c:ext xmlns:c16="http://schemas.microsoft.com/office/drawing/2014/chart" uri="{C3380CC4-5D6E-409C-BE32-E72D297353CC}">
              <c16:uniqueId val="{00000022-98E7-4814-B79B-4796DEC62FAC}"/>
            </c:ext>
          </c:extLst>
        </c:ser>
        <c:ser>
          <c:idx val="35"/>
          <c:order val="35"/>
          <c:spPr>
            <a:ln w="3175">
              <a:solidFill>
                <a:srgbClr val="000000"/>
              </a:solidFill>
              <a:prstDash val="solid"/>
            </a:ln>
          </c:spPr>
          <c:marker>
            <c:symbol val="none"/>
          </c:marker>
          <c:xVal>
            <c:numLit>
              <c:formatCode>General</c:formatCode>
              <c:ptCount val="2"/>
              <c:pt idx="0">
                <c:v>1.5818964894711631</c:v>
              </c:pt>
              <c:pt idx="1">
                <c:v>1.7867276450066407</c:v>
              </c:pt>
            </c:numLit>
          </c:xVal>
          <c:yVal>
            <c:numLit>
              <c:formatCode>General</c:formatCode>
              <c:ptCount val="2"/>
              <c:pt idx="0">
                <c:v>3.3026648039659948E-2</c:v>
              </c:pt>
              <c:pt idx="1">
                <c:v>3.2609522245188913E-2</c:v>
              </c:pt>
            </c:numLit>
          </c:yVal>
          <c:smooth val="0"/>
          <c:extLst>
            <c:ext xmlns:c16="http://schemas.microsoft.com/office/drawing/2014/chart" uri="{C3380CC4-5D6E-409C-BE32-E72D297353CC}">
              <c16:uniqueId val="{00000023-98E7-4814-B79B-4796DEC62FAC}"/>
            </c:ext>
          </c:extLst>
        </c:ser>
        <c:ser>
          <c:idx val="36"/>
          <c:order val="36"/>
          <c:spPr>
            <a:ln w="3175">
              <a:solidFill>
                <a:srgbClr val="000000"/>
              </a:solidFill>
              <a:prstDash val="solid"/>
            </a:ln>
          </c:spPr>
          <c:marker>
            <c:symbol val="none"/>
          </c:marker>
          <c:xVal>
            <c:numLit>
              <c:formatCode>General</c:formatCode>
              <c:ptCount val="2"/>
              <c:pt idx="0">
                <c:v>1.0602609781934789</c:v>
              </c:pt>
              <c:pt idx="1">
                <c:v>1.1716702716729019</c:v>
              </c:pt>
            </c:numLit>
          </c:xVal>
          <c:yVal>
            <c:numLit>
              <c:formatCode>General</c:formatCode>
              <c:ptCount val="2"/>
              <c:pt idx="0">
                <c:v>3.2879465911649565E-2</c:v>
              </c:pt>
              <c:pt idx="1">
                <c:v>3.2673440637310779E-2</c:v>
              </c:pt>
            </c:numLit>
          </c:yVal>
          <c:smooth val="0"/>
          <c:extLst>
            <c:ext xmlns:c16="http://schemas.microsoft.com/office/drawing/2014/chart" uri="{C3380CC4-5D6E-409C-BE32-E72D297353CC}">
              <c16:uniqueId val="{00000024-98E7-4814-B79B-4796DEC62FAC}"/>
            </c:ext>
          </c:extLst>
        </c:ser>
        <c:ser>
          <c:idx val="37"/>
          <c:order val="37"/>
          <c:spPr>
            <a:ln w="3175">
              <a:solidFill>
                <a:srgbClr val="000000"/>
              </a:solidFill>
              <a:prstDash val="solid"/>
            </a:ln>
          </c:spPr>
          <c:marker>
            <c:symbol val="none"/>
          </c:marker>
          <c:xVal>
            <c:numLit>
              <c:formatCode>General</c:formatCode>
              <c:ptCount val="2"/>
              <c:pt idx="0">
                <c:v>0.55807620951249115</c:v>
              </c:pt>
              <c:pt idx="1">
                <c:v>0.79821151263275059</c:v>
              </c:pt>
            </c:numLit>
          </c:xVal>
          <c:yVal>
            <c:numLit>
              <c:formatCode>General</c:formatCode>
              <c:ptCount val="2"/>
              <c:pt idx="0">
                <c:v>3.2724120089613527E-2</c:v>
              </c:pt>
              <c:pt idx="1">
                <c:v>3.2317426293419958E-2</c:v>
              </c:pt>
            </c:numLit>
          </c:yVal>
          <c:smooth val="0"/>
          <c:extLst>
            <c:ext xmlns:c16="http://schemas.microsoft.com/office/drawing/2014/chart" uri="{C3380CC4-5D6E-409C-BE32-E72D297353CC}">
              <c16:uniqueId val="{00000025-98E7-4814-B79B-4796DEC62FAC}"/>
            </c:ext>
          </c:extLst>
        </c:ser>
        <c:ser>
          <c:idx val="38"/>
          <c:order val="38"/>
          <c:spPr>
            <a:ln w="3175">
              <a:solidFill>
                <a:srgbClr val="000000"/>
              </a:solidFill>
              <a:prstDash val="solid"/>
            </a:ln>
          </c:spPr>
          <c:marker>
            <c:symbol val="none"/>
          </c:marker>
          <c:xVal>
            <c:numLit>
              <c:formatCode>General</c:formatCode>
              <c:ptCount val="2"/>
              <c:pt idx="0">
                <c:v>7.5786811510906382E-2</c:v>
              </c:pt>
              <c:pt idx="1">
                <c:v>0.20416979751933934</c:v>
              </c:pt>
            </c:numLit>
          </c:xVal>
          <c:yVal>
            <c:numLit>
              <c:formatCode>General</c:formatCode>
              <c:ptCount val="2"/>
              <c:pt idx="0">
                <c:v>3.2561817496304393E-2</c:v>
              </c:pt>
              <c:pt idx="1">
                <c:v>3.2361268918781903E-2</c:v>
              </c:pt>
            </c:numLit>
          </c:yVal>
          <c:smooth val="0"/>
          <c:extLst>
            <c:ext xmlns:c16="http://schemas.microsoft.com/office/drawing/2014/chart" uri="{C3380CC4-5D6E-409C-BE32-E72D297353CC}">
              <c16:uniqueId val="{00000026-98E7-4814-B79B-4796DEC62FAC}"/>
            </c:ext>
          </c:extLst>
        </c:ser>
        <c:ser>
          <c:idx val="39"/>
          <c:order val="39"/>
          <c:spPr>
            <a:ln w="3175">
              <a:solidFill>
                <a:srgbClr val="000000"/>
              </a:solidFill>
              <a:prstDash val="solid"/>
            </a:ln>
          </c:spPr>
          <c:marker>
            <c:symbol val="none"/>
          </c:marker>
          <c:xVal>
            <c:numLit>
              <c:formatCode>General</c:formatCode>
              <c:ptCount val="2"/>
              <c:pt idx="0">
                <c:v>-0.38637441921499299</c:v>
              </c:pt>
              <c:pt idx="1">
                <c:v>-0.11367185303516499</c:v>
              </c:pt>
            </c:numLit>
          </c:xVal>
          <c:yVal>
            <c:numLit>
              <c:formatCode>General</c:formatCode>
              <c:ptCount val="2"/>
              <c:pt idx="0">
                <c:v>3.2393724302205024E-2</c:v>
              </c:pt>
              <c:pt idx="1">
                <c:v>3.1998423464197956E-2</c:v>
              </c:pt>
            </c:numLit>
          </c:yVal>
          <c:smooth val="0"/>
          <c:extLst>
            <c:ext xmlns:c16="http://schemas.microsoft.com/office/drawing/2014/chart" uri="{C3380CC4-5D6E-409C-BE32-E72D297353CC}">
              <c16:uniqueId val="{00000027-98E7-4814-B79B-4796DEC62FAC}"/>
            </c:ext>
          </c:extLst>
        </c:ser>
        <c:ser>
          <c:idx val="40"/>
          <c:order val="40"/>
          <c:spPr>
            <a:ln w="3175">
              <a:solidFill>
                <a:srgbClr val="000000"/>
              </a:solidFill>
              <a:prstDash val="solid"/>
            </a:ln>
          </c:spPr>
          <c:marker>
            <c:symbol val="none"/>
          </c:marker>
          <c:xVal>
            <c:numLit>
              <c:formatCode>General</c:formatCode>
              <c:ptCount val="2"/>
              <c:pt idx="0">
                <c:v>-0.82836544769946818</c:v>
              </c:pt>
              <c:pt idx="1">
                <c:v>-0.68439362963568395</c:v>
              </c:pt>
            </c:numLit>
          </c:xVal>
          <c:yVal>
            <c:numLit>
              <c:formatCode>General</c:formatCode>
              <c:ptCount val="2"/>
              <c:pt idx="0">
                <c:v>3.2220951129550625E-2</c:v>
              </c:pt>
              <c:pt idx="1">
                <c:v>3.2026279558351474E-2</c:v>
              </c:pt>
            </c:numLit>
          </c:yVal>
          <c:smooth val="0"/>
          <c:extLst>
            <c:ext xmlns:c16="http://schemas.microsoft.com/office/drawing/2014/chart" uri="{C3380CC4-5D6E-409C-BE32-E72D297353CC}">
              <c16:uniqueId val="{00000028-98E7-4814-B79B-4796DEC62FAC}"/>
            </c:ext>
          </c:extLst>
        </c:ser>
        <c:ser>
          <c:idx val="41"/>
          <c:order val="41"/>
          <c:spPr>
            <a:ln w="3175">
              <a:solidFill>
                <a:srgbClr val="000000"/>
              </a:solidFill>
              <a:prstDash val="solid"/>
            </a:ln>
          </c:spPr>
          <c:marker>
            <c:symbol val="none"/>
          </c:marker>
          <c:xVal>
            <c:numLit>
              <c:formatCode>General</c:formatCode>
              <c:ptCount val="2"/>
              <c:pt idx="0">
                <c:v>-1.2503123116501493</c:v>
              </c:pt>
              <c:pt idx="1">
                <c:v>-0.94781878366221239</c:v>
              </c:pt>
            </c:numLit>
          </c:xVal>
          <c:yVal>
            <c:numLit>
              <c:formatCode>General</c:formatCode>
              <c:ptCount val="2"/>
              <c:pt idx="0">
                <c:v>3.2044541795365311E-2</c:v>
              </c:pt>
              <c:pt idx="1">
                <c:v>3.1661281733456156E-2</c:v>
              </c:pt>
            </c:numLit>
          </c:yVal>
          <c:smooth val="0"/>
          <c:extLst>
            <c:ext xmlns:c16="http://schemas.microsoft.com/office/drawing/2014/chart" uri="{C3380CC4-5D6E-409C-BE32-E72D297353CC}">
              <c16:uniqueId val="{00000029-98E7-4814-B79B-4796DEC62FAC}"/>
            </c:ext>
          </c:extLst>
        </c:ser>
        <c:ser>
          <c:idx val="42"/>
          <c:order val="42"/>
          <c:spPr>
            <a:ln w="3175">
              <a:solidFill>
                <a:srgbClr val="000000"/>
              </a:solidFill>
              <a:prstDash val="solid"/>
            </a:ln>
          </c:spPr>
          <c:marker>
            <c:symbol val="none"/>
          </c:marker>
          <c:xVal>
            <c:numLit>
              <c:formatCode>General</c:formatCode>
              <c:ptCount val="2"/>
              <c:pt idx="0">
                <c:v>-1.6524858712974235</c:v>
              </c:pt>
              <c:pt idx="1">
                <c:v>-1.4943050804129847</c:v>
              </c:pt>
            </c:numLit>
          </c:xVal>
          <c:yVal>
            <c:numLit>
              <c:formatCode>General</c:formatCode>
              <c:ptCount val="2"/>
              <c:pt idx="0">
                <c:v>3.1865465386878213E-2</c:v>
              </c:pt>
              <c:pt idx="1">
                <c:v>3.1676922880207896E-2</c:v>
              </c:pt>
            </c:numLit>
          </c:yVal>
          <c:smooth val="0"/>
          <c:extLst>
            <c:ext xmlns:c16="http://schemas.microsoft.com/office/drawing/2014/chart" uri="{C3380CC4-5D6E-409C-BE32-E72D297353CC}">
              <c16:uniqueId val="{0000002A-98E7-4814-B79B-4796DEC62FAC}"/>
            </c:ext>
          </c:extLst>
        </c:ser>
        <c:ser>
          <c:idx val="43"/>
          <c:order val="43"/>
          <c:spPr>
            <a:ln w="3175">
              <a:solidFill>
                <a:srgbClr val="000000"/>
              </a:solidFill>
              <a:prstDash val="solid"/>
            </a:ln>
          </c:spPr>
          <c:marker>
            <c:symbol val="none"/>
          </c:marker>
          <c:xVal>
            <c:numLit>
              <c:formatCode>General</c:formatCode>
              <c:ptCount val="2"/>
              <c:pt idx="0">
                <c:v>-2.0352788721065513</c:v>
              </c:pt>
              <c:pt idx="1">
                <c:v>-1.7057175316890834</c:v>
              </c:pt>
            </c:numLit>
          </c:xVal>
          <c:yVal>
            <c:numLit>
              <c:formatCode>General</c:formatCode>
              <c:ptCount val="2"/>
              <c:pt idx="0">
                <c:v>3.1684611348254135E-2</c:v>
              </c:pt>
              <c:pt idx="1">
                <c:v>3.1313762681072957E-2</c:v>
              </c:pt>
            </c:numLit>
          </c:yVal>
          <c:smooth val="0"/>
          <c:extLst>
            <c:ext xmlns:c16="http://schemas.microsoft.com/office/drawing/2014/chart" uri="{C3380CC4-5D6E-409C-BE32-E72D297353CC}">
              <c16:uniqueId val="{0000002B-98E7-4814-B79B-4796DEC62FAC}"/>
            </c:ext>
          </c:extLst>
        </c:ser>
        <c:ser>
          <c:idx val="44"/>
          <c:order val="44"/>
          <c:spPr>
            <a:ln w="3175">
              <a:solidFill>
                <a:srgbClr val="000000"/>
              </a:solidFill>
              <a:prstDash val="solid"/>
            </a:ln>
          </c:spPr>
          <c:marker>
            <c:symbol val="none"/>
          </c:marker>
          <c:xVal>
            <c:numLit>
              <c:formatCode>General</c:formatCode>
              <c:ptCount val="2"/>
              <c:pt idx="0">
                <c:v>-2.3991840012325829</c:v>
              </c:pt>
              <c:pt idx="1">
                <c:v>-2.2281291046596068</c:v>
              </c:pt>
            </c:numLit>
          </c:xVal>
          <c:yVal>
            <c:numLit>
              <c:formatCode>General</c:formatCode>
              <c:ptCount val="2"/>
              <c:pt idx="0">
                <c:v>3.1502787187754219E-2</c:v>
              </c:pt>
              <c:pt idx="1">
                <c:v>3.1320497753482592E-2</c:v>
              </c:pt>
            </c:numLit>
          </c:yVal>
          <c:smooth val="0"/>
          <c:extLst>
            <c:ext xmlns:c16="http://schemas.microsoft.com/office/drawing/2014/chart" uri="{C3380CC4-5D6E-409C-BE32-E72D297353CC}">
              <c16:uniqueId val="{0000002C-98E7-4814-B79B-4796DEC62FAC}"/>
            </c:ext>
          </c:extLst>
        </c:ser>
        <c:ser>
          <c:idx val="45"/>
          <c:order val="45"/>
          <c:spPr>
            <a:ln w="3175">
              <a:solidFill>
                <a:srgbClr val="000000"/>
              </a:solidFill>
              <a:prstDash val="solid"/>
            </a:ln>
          </c:spPr>
          <c:marker>
            <c:symbol val="none"/>
          </c:marker>
          <c:xVal>
            <c:numLit>
              <c:formatCode>General</c:formatCode>
              <c:ptCount val="2"/>
              <c:pt idx="0">
                <c:v>-2.7447734321668316</c:v>
              </c:pt>
              <c:pt idx="1">
                <c:v>-2.3907467620921121</c:v>
              </c:pt>
            </c:numLit>
          </c:xVal>
          <c:yVal>
            <c:numLit>
              <c:formatCode>General</c:formatCode>
              <c:ptCount val="2"/>
              <c:pt idx="0">
                <c:v>3.1320718383058194E-2</c:v>
              </c:pt>
              <c:pt idx="1">
                <c:v>3.0962417749159633E-2</c:v>
              </c:pt>
            </c:numLit>
          </c:yVal>
          <c:smooth val="0"/>
          <c:extLst>
            <c:ext xmlns:c16="http://schemas.microsoft.com/office/drawing/2014/chart" uri="{C3380CC4-5D6E-409C-BE32-E72D297353CC}">
              <c16:uniqueId val="{0000002D-98E7-4814-B79B-4796DEC62FAC}"/>
            </c:ext>
          </c:extLst>
        </c:ser>
        <c:ser>
          <c:idx val="46"/>
          <c:order val="46"/>
          <c:spPr>
            <a:ln w="3175">
              <a:solidFill>
                <a:srgbClr val="000000"/>
              </a:solidFill>
              <a:prstDash val="solid"/>
            </a:ln>
          </c:spPr>
          <c:marker>
            <c:symbol val="none"/>
          </c:marker>
          <c:xVal>
            <c:numLit>
              <c:formatCode>General</c:formatCode>
              <c:ptCount val="2"/>
              <c:pt idx="0">
                <c:v>-3.072680183386634</c:v>
              </c:pt>
              <c:pt idx="1">
                <c:v>-2.890013283673071</c:v>
              </c:pt>
            </c:numLit>
          </c:xVal>
          <c:yVal>
            <c:numLit>
              <c:formatCode>General</c:formatCode>
              <c:ptCount val="2"/>
              <c:pt idx="0">
                <c:v>3.1139050061769116E-2</c:v>
              </c:pt>
              <c:pt idx="1">
                <c:v>3.0963031957255856E-2</c:v>
              </c:pt>
            </c:numLit>
          </c:yVal>
          <c:smooth val="0"/>
          <c:extLst>
            <c:ext xmlns:c16="http://schemas.microsoft.com/office/drawing/2014/chart" uri="{C3380CC4-5D6E-409C-BE32-E72D297353CC}">
              <c16:uniqueId val="{0000002E-98E7-4814-B79B-4796DEC62FAC}"/>
            </c:ext>
          </c:extLst>
        </c:ser>
        <c:ser>
          <c:idx val="47"/>
          <c:order val="47"/>
          <c:spPr>
            <a:ln w="3175">
              <a:solidFill>
                <a:srgbClr val="000000"/>
              </a:solidFill>
              <a:prstDash val="solid"/>
            </a:ln>
          </c:spPr>
          <c:marker>
            <c:symbol val="none"/>
          </c:marker>
          <c:xVal>
            <c:numLit>
              <c:formatCode>General</c:formatCode>
              <c:ptCount val="2"/>
              <c:pt idx="0">
                <c:v>-3.3835814724217705</c:v>
              </c:pt>
              <c:pt idx="1">
                <c:v>-3.0075269388899843</c:v>
              </c:pt>
            </c:numLit>
          </c:xVal>
          <c:yVal>
            <c:numLit>
              <c:formatCode>General</c:formatCode>
              <c:ptCount val="2"/>
              <c:pt idx="0">
                <c:v>3.0958350055992959E-2</c:v>
              </c:pt>
              <c:pt idx="1">
                <c:v>3.0612544881648374E-2</c:v>
              </c:pt>
            </c:numLit>
          </c:yVal>
          <c:smooth val="0"/>
          <c:extLst>
            <c:ext xmlns:c16="http://schemas.microsoft.com/office/drawing/2014/chart" uri="{C3380CC4-5D6E-409C-BE32-E72D297353CC}">
              <c16:uniqueId val="{0000002F-98E7-4814-B79B-4796DEC62FAC}"/>
            </c:ext>
          </c:extLst>
        </c:ser>
        <c:ser>
          <c:idx val="48"/>
          <c:order val="48"/>
          <c:spPr>
            <a:ln w="3175">
              <a:solidFill>
                <a:srgbClr val="000000"/>
              </a:solidFill>
              <a:prstDash val="solid"/>
            </a:ln>
          </c:spPr>
          <c:marker>
            <c:symbol val="none"/>
          </c:marker>
          <c:xVal>
            <c:numLit>
              <c:formatCode>General</c:formatCode>
              <c:ptCount val="2"/>
              <c:pt idx="0">
                <c:v>-3.6781841292440793</c:v>
              </c:pt>
              <c:pt idx="1">
                <c:v>-3.4850775063260775</c:v>
              </c:pt>
            </c:numLit>
          </c:xVal>
          <c:yVal>
            <c:numLit>
              <c:formatCode>General</c:formatCode>
              <c:ptCount val="2"/>
              <c:pt idx="0">
                <c:v>3.0779112966800307E-2</c:v>
              </c:pt>
              <c:pt idx="1">
                <c:v>3.0609300674269268E-2</c:v>
              </c:pt>
            </c:numLit>
          </c:yVal>
          <c:smooth val="0"/>
          <c:extLst>
            <c:ext xmlns:c16="http://schemas.microsoft.com/office/drawing/2014/chart" uri="{C3380CC4-5D6E-409C-BE32-E72D297353CC}">
              <c16:uniqueId val="{00000030-98E7-4814-B79B-4796DEC62FAC}"/>
            </c:ext>
          </c:extLst>
        </c:ser>
        <c:ser>
          <c:idx val="49"/>
          <c:order val="49"/>
          <c:spPr>
            <a:ln w="3175">
              <a:solidFill>
                <a:srgbClr val="000000"/>
              </a:solidFill>
              <a:prstDash val="solid"/>
            </a:ln>
          </c:spPr>
          <c:marker>
            <c:symbol val="none"/>
          </c:marker>
          <c:xVal>
            <c:numLit>
              <c:formatCode>General</c:formatCode>
              <c:ptCount val="2"/>
              <c:pt idx="0">
                <c:v>-3.9572120420841821</c:v>
              </c:pt>
              <c:pt idx="1">
                <c:v>-3.5613771440812783</c:v>
              </c:pt>
            </c:numLit>
          </c:xVal>
          <c:yVal>
            <c:numLit>
              <c:formatCode>General</c:formatCode>
              <c:ptCount val="2"/>
              <c:pt idx="0">
                <c:v>3.0601764919879974E-2</c:v>
              </c:pt>
              <c:pt idx="1">
                <c:v>3.0268255784711699E-2</c:v>
              </c:pt>
            </c:numLit>
          </c:yVal>
          <c:smooth val="0"/>
          <c:extLst>
            <c:ext xmlns:c16="http://schemas.microsoft.com/office/drawing/2014/chart" uri="{C3380CC4-5D6E-409C-BE32-E72D297353CC}">
              <c16:uniqueId val="{00000031-98E7-4814-B79B-4796DEC62FAC}"/>
            </c:ext>
          </c:extLst>
        </c:ser>
        <c:ser>
          <c:idx val="50"/>
          <c:order val="50"/>
          <c:spPr>
            <a:ln w="3175">
              <a:solidFill>
                <a:srgbClr val="000000"/>
              </a:solidFill>
              <a:prstDash val="solid"/>
            </a:ln>
          </c:spPr>
          <c:marker>
            <c:symbol val="none"/>
          </c:marker>
          <c:xVal>
            <c:numLit>
              <c:formatCode>General</c:formatCode>
              <c:ptCount val="2"/>
              <c:pt idx="0">
                <c:v>-4.221395542588029</c:v>
              </c:pt>
              <c:pt idx="1">
                <c:v>-4.018923205646856</c:v>
              </c:pt>
            </c:numLit>
          </c:xVal>
          <c:yVal>
            <c:numLit>
              <c:formatCode>General</c:formatCode>
              <c:ptCount val="2"/>
              <c:pt idx="0">
                <c:v>3.0426668742639516E-2</c:v>
              </c:pt>
              <c:pt idx="1">
                <c:v>3.0262933074662973E-2</c:v>
              </c:pt>
            </c:numLit>
          </c:yVal>
          <c:smooth val="0"/>
          <c:extLst>
            <c:ext xmlns:c16="http://schemas.microsoft.com/office/drawing/2014/chart" uri="{C3380CC4-5D6E-409C-BE32-E72D297353CC}">
              <c16:uniqueId val="{00000032-98E7-4814-B79B-4796DEC62FAC}"/>
            </c:ext>
          </c:extLst>
        </c:ser>
        <c:ser>
          <c:idx val="51"/>
          <c:order val="51"/>
          <c:spPr>
            <a:ln w="3175">
              <a:solidFill>
                <a:srgbClr val="000000"/>
              </a:solidFill>
              <a:prstDash val="solid"/>
            </a:ln>
          </c:spPr>
          <c:marker>
            <c:symbol val="none"/>
          </c:marker>
          <c:xVal>
            <c:numLit>
              <c:formatCode>General</c:formatCode>
              <c:ptCount val="2"/>
              <c:pt idx="0">
                <c:v>-4.4714625924504272</c:v>
              </c:pt>
              <c:pt idx="1">
                <c:v>-4.0578949168486877</c:v>
              </c:pt>
            </c:numLit>
          </c:xVal>
          <c:yVal>
            <c:numLit>
              <c:formatCode>General</c:formatCode>
              <c:ptCount val="2"/>
              <c:pt idx="0">
                <c:v>3.0254129341580477E-2</c:v>
              </c:pt>
              <c:pt idx="1">
                <c:v>2.9932607640146668E-2</c:v>
              </c:pt>
            </c:numLit>
          </c:yVal>
          <c:smooth val="0"/>
          <c:extLst>
            <c:ext xmlns:c16="http://schemas.microsoft.com/office/drawing/2014/chart" uri="{C3380CC4-5D6E-409C-BE32-E72D297353CC}">
              <c16:uniqueId val="{00000033-98E7-4814-B79B-4796DEC62FAC}"/>
            </c:ext>
          </c:extLst>
        </c:ser>
        <c:ser>
          <c:idx val="52"/>
          <c:order val="52"/>
          <c:spPr>
            <a:ln w="3175">
              <a:solidFill>
                <a:srgbClr val="000000"/>
              </a:solidFill>
              <a:prstDash val="solid"/>
            </a:ln>
          </c:spPr>
          <c:marker>
            <c:symbol val="none"/>
          </c:marker>
          <c:xVal>
            <c:numLit>
              <c:formatCode>General</c:formatCode>
              <c:ptCount val="2"/>
              <c:pt idx="0">
                <c:v>-4.7081316066320262</c:v>
              </c:pt>
              <c:pt idx="1">
                <c:v>-4.4972672685866462</c:v>
              </c:pt>
            </c:numLit>
          </c:xVal>
          <c:yVal>
            <c:numLit>
              <c:formatCode>General</c:formatCode>
              <c:ptCount val="2"/>
              <c:pt idx="0">
                <c:v>3.0084399104368914E-2</c:v>
              </c:pt>
              <c:pt idx="1">
                <c:v>2.9926564637052209E-2</c:v>
              </c:pt>
            </c:numLit>
          </c:yVal>
          <c:smooth val="0"/>
          <c:extLst>
            <c:ext xmlns:c16="http://schemas.microsoft.com/office/drawing/2014/chart" uri="{C3380CC4-5D6E-409C-BE32-E72D297353CC}">
              <c16:uniqueId val="{00000034-98E7-4814-B79B-4796DEC62FAC}"/>
            </c:ext>
          </c:extLst>
        </c:ser>
        <c:ser>
          <c:idx val="53"/>
          <c:order val="53"/>
          <c:spPr>
            <a:ln w="3175">
              <a:solidFill>
                <a:srgbClr val="000000"/>
              </a:solidFill>
              <a:prstDash val="solid"/>
            </a:ln>
          </c:spPr>
          <c:marker>
            <c:symbol val="none"/>
          </c:marker>
          <c:xVal>
            <c:numLit>
              <c:formatCode>General</c:formatCode>
              <c:ptCount val="2"/>
              <c:pt idx="0">
                <c:v>-4.9321057352905999</c:v>
              </c:pt>
              <c:pt idx="1">
                <c:v>-4.5026538133840264</c:v>
              </c:pt>
            </c:numLit>
          </c:xVal>
          <c:yVal>
            <c:numLit>
              <c:formatCode>General</c:formatCode>
              <c:ptCount val="2"/>
              <c:pt idx="0">
                <c:v>2.9917683192038989E-2</c:v>
              </c:pt>
              <c:pt idx="1">
                <c:v>2.9607763081968677E-2</c:v>
              </c:pt>
            </c:numLit>
          </c:yVal>
          <c:smooth val="0"/>
          <c:extLst>
            <c:ext xmlns:c16="http://schemas.microsoft.com/office/drawing/2014/chart" uri="{C3380CC4-5D6E-409C-BE32-E72D297353CC}">
              <c16:uniqueId val="{00000035-98E7-4814-B79B-4796DEC62FAC}"/>
            </c:ext>
          </c:extLst>
        </c:ser>
        <c:ser>
          <c:idx val="54"/>
          <c:order val="54"/>
          <c:spPr>
            <a:ln w="3175">
              <a:solidFill>
                <a:srgbClr val="000000"/>
              </a:solidFill>
              <a:prstDash val="solid"/>
            </a:ln>
          </c:spPr>
          <c:marker>
            <c:symbol val="none"/>
          </c:marker>
          <c:xVal>
            <c:numLit>
              <c:formatCode>General</c:formatCode>
              <c:ptCount val="2"/>
              <c:pt idx="0">
                <c:v>-5.1440684242141916</c:v>
              </c:pt>
              <c:pt idx="1">
                <c:v>-4.9256879341415329</c:v>
              </c:pt>
            </c:numLit>
          </c:xVal>
          <c:yVal>
            <c:numLit>
              <c:formatCode>General</c:formatCode>
              <c:ptCount val="2"/>
              <c:pt idx="0">
                <c:v>2.9754144622409617E-2</c:v>
              </c:pt>
              <c:pt idx="1">
                <c:v>2.9602004197885314E-2</c:v>
              </c:pt>
            </c:numLit>
          </c:yVal>
          <c:smooth val="0"/>
          <c:extLst>
            <c:ext xmlns:c16="http://schemas.microsoft.com/office/drawing/2014/chart" uri="{C3380CC4-5D6E-409C-BE32-E72D297353CC}">
              <c16:uniqueId val="{00000036-98E7-4814-B79B-4796DEC62FAC}"/>
            </c:ext>
          </c:extLst>
        </c:ser>
        <c:ser>
          <c:idx val="55"/>
          <c:order val="55"/>
          <c:spPr>
            <a:ln w="3175">
              <a:solidFill>
                <a:srgbClr val="000000"/>
              </a:solidFill>
              <a:prstDash val="solid"/>
            </a:ln>
          </c:spPr>
          <c:marker>
            <c:symbol val="none"/>
          </c:marker>
          <c:xVal>
            <c:numLit>
              <c:formatCode>General</c:formatCode>
              <c:ptCount val="2"/>
              <c:pt idx="0">
                <c:v>-5.3446800788427877</c:v>
              </c:pt>
              <c:pt idx="1">
                <c:v>-4.9010014554344146</c:v>
              </c:pt>
            </c:numLit>
          </c:xVal>
          <c:yVal>
            <c:numLit>
              <c:formatCode>General</c:formatCode>
              <c:ptCount val="2"/>
              <c:pt idx="0">
                <c:v>2.9593909075847288E-2</c:v>
              </c:pt>
              <c:pt idx="1">
                <c:v>2.9295153590473244E-2</c:v>
              </c:pt>
            </c:numLit>
          </c:yVal>
          <c:smooth val="0"/>
          <c:extLst>
            <c:ext xmlns:c16="http://schemas.microsoft.com/office/drawing/2014/chart" uri="{C3380CC4-5D6E-409C-BE32-E72D297353CC}">
              <c16:uniqueId val="{00000037-98E7-4814-B79B-4796DEC62FAC}"/>
            </c:ext>
          </c:extLst>
        </c:ser>
        <c:ser>
          <c:idx val="56"/>
          <c:order val="56"/>
          <c:spPr>
            <a:ln w="3175">
              <a:solidFill>
                <a:srgbClr val="000000"/>
              </a:solidFill>
              <a:prstDash val="solid"/>
            </a:ln>
          </c:spPr>
          <c:marker>
            <c:symbol val="none"/>
          </c:marker>
          <c:xVal>
            <c:numLit>
              <c:formatCode>General</c:formatCode>
              <c:ptCount val="2"/>
              <c:pt idx="0">
                <c:v>-5.5345756674157736</c:v>
              </c:pt>
              <c:pt idx="1">
                <c:v>-5.3094622938396387</c:v>
              </c:pt>
            </c:numLit>
          </c:xVal>
          <c:yVal>
            <c:numLit>
              <c:formatCode>General</c:formatCode>
              <c:ptCount val="2"/>
              <c:pt idx="0">
                <c:v>2.9437069379158205E-2</c:v>
              </c:pt>
              <c:pt idx="1">
                <c:v>2.9290395769172719E-2</c:v>
              </c:pt>
            </c:numLit>
          </c:yVal>
          <c:smooth val="0"/>
          <c:extLst>
            <c:ext xmlns:c16="http://schemas.microsoft.com/office/drawing/2014/chart" uri="{C3380CC4-5D6E-409C-BE32-E72D297353CC}">
              <c16:uniqueId val="{00000038-98E7-4814-B79B-4796DEC62FAC}"/>
            </c:ext>
          </c:extLst>
        </c:ser>
        <c:ser>
          <c:idx val="57"/>
          <c:order val="57"/>
          <c:spPr>
            <a:ln w="3175">
              <a:solidFill>
                <a:srgbClr val="000000"/>
              </a:solidFill>
              <a:prstDash val="solid"/>
            </a:ln>
          </c:spPr>
          <c:marker>
            <c:symbol val="none"/>
          </c:marker>
          <c:xVal>
            <c:numLit>
              <c:formatCode>General</c:formatCode>
              <c:ptCount val="2"/>
              <c:pt idx="0">
                <c:v>-5.714363112392145</c:v>
              </c:pt>
              <c:pt idx="1">
                <c:v>-5.2579367981717251</c:v>
              </c:pt>
            </c:numLit>
          </c:xVal>
          <c:yVal>
            <c:numLit>
              <c:formatCode>General</c:formatCode>
              <c:ptCount val="2"/>
              <c:pt idx="0">
                <c:v>2.9283689643078106E-2</c:v>
              </c:pt>
              <c:pt idx="1">
                <c:v>2.8995631379523688E-2</c:v>
              </c:pt>
            </c:numLit>
          </c:yVal>
          <c:smooth val="0"/>
          <c:extLst>
            <c:ext xmlns:c16="http://schemas.microsoft.com/office/drawing/2014/chart" uri="{C3380CC4-5D6E-409C-BE32-E72D297353CC}">
              <c16:uniqueId val="{00000039-98E7-4814-B79B-4796DEC62FAC}"/>
            </c:ext>
          </c:extLst>
        </c:ser>
        <c:ser>
          <c:idx val="58"/>
          <c:order val="58"/>
          <c:spPr>
            <a:ln w="3175">
              <a:solidFill>
                <a:srgbClr val="000000"/>
              </a:solidFill>
              <a:prstDash val="solid"/>
            </a:ln>
          </c:spPr>
          <c:marker>
            <c:symbol val="none"/>
          </c:marker>
          <c:xVal>
            <c:numLit>
              <c:formatCode>General</c:formatCode>
              <c:ptCount val="2"/>
              <c:pt idx="0">
                <c:v>-6.0459048297431641</c:v>
              </c:pt>
              <c:pt idx="1">
                <c:v>-5.811975436126902</c:v>
              </c:pt>
            </c:numLit>
          </c:xVal>
          <c:yVal>
            <c:numLit>
              <c:formatCode>General</c:formatCode>
              <c:ptCount val="2"/>
              <c:pt idx="0">
                <c:v>2.8987445253082427E-2</c:v>
              </c:pt>
              <c:pt idx="1">
                <c:v>2.8848523783201695E-2</c:v>
              </c:pt>
            </c:numLit>
          </c:yVal>
          <c:smooth val="0"/>
          <c:extLst>
            <c:ext xmlns:c16="http://schemas.microsoft.com/office/drawing/2014/chart" uri="{C3380CC4-5D6E-409C-BE32-E72D297353CC}">
              <c16:uniqueId val="{0000003A-98E7-4814-B79B-4796DEC62FAC}"/>
            </c:ext>
          </c:extLst>
        </c:ser>
        <c:ser>
          <c:idx val="59"/>
          <c:order val="59"/>
          <c:spPr>
            <a:ln w="3175">
              <a:solidFill>
                <a:srgbClr val="000000"/>
              </a:solidFill>
              <a:prstDash val="solid"/>
            </a:ln>
          </c:spPr>
          <c:marker>
            <c:symbol val="none"/>
          </c:marker>
          <c:xVal>
            <c:numLit>
              <c:formatCode>General</c:formatCode>
              <c:ptCount val="2"/>
              <c:pt idx="0">
                <c:v>-6.3436038686490521</c:v>
              </c:pt>
              <c:pt idx="1">
                <c:v>-6.1045417329826881</c:v>
              </c:pt>
            </c:numLit>
          </c:xVal>
          <c:yVal>
            <c:numLit>
              <c:formatCode>General</c:formatCode>
              <c:ptCount val="2"/>
              <c:pt idx="0">
                <c:v>2.8705249438049581E-2</c:v>
              </c:pt>
              <c:pt idx="1">
                <c:v>2.8571193413255622E-2</c:v>
              </c:pt>
            </c:numLit>
          </c:yVal>
          <c:smooth val="0"/>
          <c:extLst>
            <c:ext xmlns:c16="http://schemas.microsoft.com/office/drawing/2014/chart" uri="{C3380CC4-5D6E-409C-BE32-E72D297353CC}">
              <c16:uniqueId val="{0000003B-98E7-4814-B79B-4796DEC62FAC}"/>
            </c:ext>
          </c:extLst>
        </c:ser>
        <c:ser>
          <c:idx val="60"/>
          <c:order val="60"/>
          <c:spPr>
            <a:ln w="3175">
              <a:solidFill>
                <a:srgbClr val="000000"/>
              </a:solidFill>
              <a:prstDash val="solid"/>
            </a:ln>
          </c:spPr>
          <c:marker>
            <c:symbol val="none"/>
          </c:marker>
          <c:xVal>
            <c:numLit>
              <c:formatCode>General</c:formatCode>
              <c:ptCount val="2"/>
              <c:pt idx="0">
                <c:v>-6.6113117622552888</c:v>
              </c:pt>
              <c:pt idx="1">
                <c:v>-6.3676339732508866</c:v>
              </c:pt>
            </c:numLit>
          </c:xVal>
          <c:yVal>
            <c:numLit>
              <c:formatCode>General</c:formatCode>
              <c:ptCount val="2"/>
              <c:pt idx="0">
                <c:v>2.843692272060656E-2</c:v>
              </c:pt>
              <c:pt idx="1">
                <c:v>2.8307493018527138E-2</c:v>
              </c:pt>
            </c:numLit>
          </c:yVal>
          <c:smooth val="0"/>
          <c:extLst>
            <c:ext xmlns:c16="http://schemas.microsoft.com/office/drawing/2014/chart" uri="{C3380CC4-5D6E-409C-BE32-E72D297353CC}">
              <c16:uniqueId val="{0000003C-98E7-4814-B79B-4796DEC62FAC}"/>
            </c:ext>
          </c:extLst>
        </c:ser>
        <c:ser>
          <c:idx val="61"/>
          <c:order val="61"/>
          <c:spPr>
            <a:ln w="3175">
              <a:solidFill>
                <a:srgbClr val="000000"/>
              </a:solidFill>
              <a:prstDash val="solid"/>
            </a:ln>
          </c:spPr>
          <c:marker>
            <c:symbol val="none"/>
          </c:marker>
          <c:xVal>
            <c:numLit>
              <c:formatCode>General</c:formatCode>
              <c:ptCount val="2"/>
              <c:pt idx="0">
                <c:v>-6.8524545533004888</c:v>
              </c:pt>
              <c:pt idx="1">
                <c:v>-6.6046191299677215</c:v>
              </c:pt>
            </c:numLit>
          </c:xVal>
          <c:yVal>
            <c:numLit>
              <c:formatCode>General</c:formatCode>
              <c:ptCount val="2"/>
              <c:pt idx="0">
                <c:v>2.8182106961193734E-2</c:v>
              </c:pt>
              <c:pt idx="1">
                <c:v>2.80570706342766E-2</c:v>
              </c:pt>
            </c:numLit>
          </c:yVal>
          <c:smooth val="0"/>
          <c:extLst>
            <c:ext xmlns:c16="http://schemas.microsoft.com/office/drawing/2014/chart" uri="{C3380CC4-5D6E-409C-BE32-E72D297353CC}">
              <c16:uniqueId val="{0000003D-98E7-4814-B79B-4796DEC62FAC}"/>
            </c:ext>
          </c:extLst>
        </c:ser>
        <c:ser>
          <c:idx val="62"/>
          <c:order val="62"/>
          <c:spPr>
            <a:ln w="3175">
              <a:solidFill>
                <a:srgbClr val="000000"/>
              </a:solidFill>
              <a:prstDash val="solid"/>
            </a:ln>
          </c:spPr>
          <c:marker>
            <c:symbol val="none"/>
          </c:marker>
          <c:xVal>
            <c:numLit>
              <c:formatCode>General</c:formatCode>
              <c:ptCount val="2"/>
              <c:pt idx="0">
                <c:v>-7.0700641161397257</c:v>
              </c:pt>
              <c:pt idx="1">
                <c:v>-6.5668894914452514</c:v>
              </c:pt>
            </c:numLit>
          </c:xVal>
          <c:yVal>
            <c:numLit>
              <c:formatCode>General</c:formatCode>
              <c:ptCount val="2"/>
              <c:pt idx="0">
                <c:v>2.7940323066302088E-2</c:v>
              </c:pt>
              <c:pt idx="1">
                <c:v>2.769858778815374E-2</c:v>
              </c:pt>
            </c:numLit>
          </c:yVal>
          <c:smooth val="0"/>
          <c:extLst>
            <c:ext xmlns:c16="http://schemas.microsoft.com/office/drawing/2014/chart" uri="{C3380CC4-5D6E-409C-BE32-E72D297353CC}">
              <c16:uniqueId val="{0000003E-98E7-4814-B79B-4796DEC62FAC}"/>
            </c:ext>
          </c:extLst>
        </c:ser>
        <c:ser>
          <c:idx val="63"/>
          <c:order val="63"/>
          <c:spPr>
            <a:ln w="3175">
              <a:solidFill>
                <a:srgbClr val="000000"/>
              </a:solidFill>
              <a:prstDash val="solid"/>
            </a:ln>
          </c:spPr>
          <c:marker>
            <c:symbol val="none"/>
          </c:marker>
          <c:xVal>
            <c:numLit>
              <c:formatCode>General</c:formatCode>
              <c:ptCount val="2"/>
              <c:pt idx="0">
                <c:v>-7.2668139627913737</c:v>
              </c:pt>
              <c:pt idx="1">
                <c:v>-7.0118344117087634</c:v>
              </c:pt>
            </c:numLit>
          </c:xVal>
          <c:yVal>
            <c:numLit>
              <c:formatCode>General</c:formatCode>
              <c:ptCount val="2"/>
              <c:pt idx="0">
                <c:v>2.771101497108848E-2</c:v>
              </c:pt>
              <c:pt idx="1">
                <c:v>2.7594100919862818E-2</c:v>
              </c:pt>
            </c:numLit>
          </c:yVal>
          <c:smooth val="0"/>
          <c:extLst>
            <c:ext xmlns:c16="http://schemas.microsoft.com/office/drawing/2014/chart" uri="{C3380CC4-5D6E-409C-BE32-E72D297353CC}">
              <c16:uniqueId val="{0000003F-98E7-4814-B79B-4796DEC62FAC}"/>
            </c:ext>
          </c:extLst>
        </c:ser>
        <c:ser>
          <c:idx val="64"/>
          <c:order val="64"/>
          <c:spPr>
            <a:ln w="3175">
              <a:solidFill>
                <a:srgbClr val="000000"/>
              </a:solidFill>
              <a:prstDash val="solid"/>
            </a:ln>
          </c:spPr>
          <c:marker>
            <c:symbol val="none"/>
          </c:marker>
          <c:xVal>
            <c:numLit>
              <c:formatCode>General</c:formatCode>
              <c:ptCount val="2"/>
              <c:pt idx="0">
                <c:v>-7.4450561220153224</c:v>
              </c:pt>
              <c:pt idx="1">
                <c:v>-7.1870034302564365</c:v>
              </c:pt>
            </c:numLit>
          </c:xVal>
          <c:yVal>
            <c:numLit>
              <c:formatCode>General</c:formatCode>
              <c:ptCount val="2"/>
              <c:pt idx="0">
                <c:v>2.7493582588817535E-2</c:v>
              </c:pt>
              <c:pt idx="1">
                <c:v>2.7380417371768957E-2</c:v>
              </c:pt>
            </c:numLit>
          </c:yVal>
          <c:smooth val="0"/>
          <c:extLst>
            <c:ext xmlns:c16="http://schemas.microsoft.com/office/drawing/2014/chart" uri="{C3380CC4-5D6E-409C-BE32-E72D297353CC}">
              <c16:uniqueId val="{00000040-98E7-4814-B79B-4796DEC62FAC}"/>
            </c:ext>
          </c:extLst>
        </c:ser>
        <c:ser>
          <c:idx val="65"/>
          <c:order val="65"/>
          <c:spPr>
            <a:ln w="3175">
              <a:solidFill>
                <a:srgbClr val="000000"/>
              </a:solidFill>
              <a:prstDash val="solid"/>
            </a:ln>
          </c:spPr>
          <c:marker>
            <c:symbol val="none"/>
          </c:marker>
          <c:xVal>
            <c:numLit>
              <c:formatCode>General</c:formatCode>
              <c:ptCount val="2"/>
              <c:pt idx="0">
                <c:v>-7.6068569785848918</c:v>
              </c:pt>
              <c:pt idx="1">
                <c:v>-7.3460146168851512</c:v>
              </c:pt>
            </c:numLit>
          </c:xVal>
          <c:yVal>
            <c:numLit>
              <c:formatCode>General</c:formatCode>
              <c:ptCount val="2"/>
              <c:pt idx="0">
                <c:v>2.7287406065353549E-2</c:v>
              </c:pt>
              <c:pt idx="1">
                <c:v>2.7177795615950903E-2</c:v>
              </c:pt>
            </c:numLit>
          </c:yVal>
          <c:smooth val="0"/>
          <c:extLst>
            <c:ext xmlns:c16="http://schemas.microsoft.com/office/drawing/2014/chart" uri="{C3380CC4-5D6E-409C-BE32-E72D297353CC}">
              <c16:uniqueId val="{00000041-98E7-4814-B79B-4796DEC62FAC}"/>
            </c:ext>
          </c:extLst>
        </c:ser>
        <c:ser>
          <c:idx val="66"/>
          <c:order val="66"/>
          <c:spPr>
            <a:ln w="3175">
              <a:solidFill>
                <a:srgbClr val="000000"/>
              </a:solidFill>
              <a:prstDash val="solid"/>
            </a:ln>
          </c:spPr>
          <c:marker>
            <c:symbol val="none"/>
          </c:marker>
          <c:xVal>
            <c:numLit>
              <c:formatCode>General</c:formatCode>
              <c:ptCount val="2"/>
              <c:pt idx="0">
                <c:v>-7.7540308580023209</c:v>
              </c:pt>
              <c:pt idx="1">
                <c:v>-7.4906510156229702</c:v>
              </c:pt>
            </c:numLit>
          </c:xVal>
          <c:yVal>
            <c:numLit>
              <c:formatCode>General</c:formatCode>
              <c:ptCount val="2"/>
              <c:pt idx="0">
                <c:v>2.7091863289154108E-2</c:v>
              </c:pt>
              <c:pt idx="1">
                <c:v>2.6985624266927313E-2</c:v>
              </c:pt>
            </c:numLit>
          </c:yVal>
          <c:smooth val="0"/>
          <c:extLst>
            <c:ext xmlns:c16="http://schemas.microsoft.com/office/drawing/2014/chart" uri="{C3380CC4-5D6E-409C-BE32-E72D297353CC}">
              <c16:uniqueId val="{00000042-98E7-4814-B79B-4796DEC62FAC}"/>
            </c:ext>
          </c:extLst>
        </c:ser>
        <c:ser>
          <c:idx val="67"/>
          <c:order val="67"/>
          <c:spPr>
            <a:ln w="3175">
              <a:solidFill>
                <a:srgbClr val="000000"/>
              </a:solidFill>
              <a:prstDash val="solid"/>
            </a:ln>
          </c:spPr>
          <c:marker>
            <c:symbol val="none"/>
          </c:marker>
          <c:xVal>
            <c:numLit>
              <c:formatCode>General</c:formatCode>
              <c:ptCount val="2"/>
              <c:pt idx="0">
                <c:v>-7.8881707432153219</c:v>
              </c:pt>
              <c:pt idx="1">
                <c:v>-7.3567855451734125</c:v>
              </c:pt>
            </c:numLit>
          </c:xVal>
          <c:yVal>
            <c:numLit>
              <c:formatCode>General</c:formatCode>
              <c:ptCount val="2"/>
              <c:pt idx="0">
                <c:v>2.690634223888767E-2</c:v>
              </c:pt>
              <c:pt idx="1">
                <c:v>2.6700261472029474E-2</c:v>
              </c:pt>
            </c:numLit>
          </c:yVal>
          <c:smooth val="0"/>
          <c:extLst>
            <c:ext xmlns:c16="http://schemas.microsoft.com/office/drawing/2014/chart" uri="{C3380CC4-5D6E-409C-BE32-E72D297353CC}">
              <c16:uniqueId val="{00000043-98E7-4814-B79B-4796DEC62FAC}"/>
            </c:ext>
          </c:extLst>
        </c:ser>
        <c:ser>
          <c:idx val="68"/>
          <c:order val="68"/>
          <c:spPr>
            <a:ln w="3175">
              <a:solidFill>
                <a:srgbClr val="000000"/>
              </a:solidFill>
              <a:prstDash val="solid"/>
            </a:ln>
          </c:spPr>
          <c:marker>
            <c:symbol val="none"/>
          </c:marker>
          <c:xVal>
            <c:numLit>
              <c:formatCode>General</c:formatCode>
              <c:ptCount val="2"/>
              <c:pt idx="0">
                <c:v>-8.0106758986490121</c:v>
              </c:pt>
              <c:pt idx="1">
                <c:v>-7.742871141775753</c:v>
              </c:pt>
            </c:numLit>
          </c:xVal>
          <c:yVal>
            <c:numLit>
              <c:formatCode>General</c:formatCode>
              <c:ptCount val="2"/>
              <c:pt idx="0">
                <c:v>2.673024942614733E-2</c:v>
              </c:pt>
              <c:pt idx="1">
                <c:v>2.6630245125696513E-2</c:v>
              </c:pt>
            </c:numLit>
          </c:yVal>
          <c:smooth val="0"/>
          <c:extLst>
            <c:ext xmlns:c16="http://schemas.microsoft.com/office/drawing/2014/chart" uri="{C3380CC4-5D6E-409C-BE32-E72D297353CC}">
              <c16:uniqueId val="{00000044-98E7-4814-B79B-4796DEC62FAC}"/>
            </c:ext>
          </c:extLst>
        </c:ser>
        <c:ser>
          <c:idx val="69"/>
          <c:order val="69"/>
          <c:spPr>
            <a:ln w="3175">
              <a:solidFill>
                <a:srgbClr val="000000"/>
              </a:solidFill>
              <a:prstDash val="solid"/>
            </a:ln>
          </c:spPr>
          <c:marker>
            <c:symbol val="none"/>
          </c:marker>
          <c:xVal>
            <c:numLit>
              <c:formatCode>General</c:formatCode>
              <c:ptCount val="2"/>
              <c:pt idx="0">
                <c:v>-8.1227764177225303</c:v>
              </c:pt>
              <c:pt idx="1">
                <c:v>-7.853038893279038</c:v>
              </c:pt>
            </c:numLit>
          </c:xVal>
          <c:yVal>
            <c:numLit>
              <c:formatCode>General</c:formatCode>
              <c:ptCount val="2"/>
              <c:pt idx="0">
                <c:v>2.6563015417404752E-2</c:v>
              </c:pt>
              <c:pt idx="1">
                <c:v>2.6465894461932257E-2</c:v>
              </c:pt>
            </c:numLit>
          </c:yVal>
          <c:smooth val="0"/>
          <c:extLst>
            <c:ext xmlns:c16="http://schemas.microsoft.com/office/drawing/2014/chart" uri="{C3380CC4-5D6E-409C-BE32-E72D297353CC}">
              <c16:uniqueId val="{00000045-98E7-4814-B79B-4796DEC62FAC}"/>
            </c:ext>
          </c:extLst>
        </c:ser>
        <c:ser>
          <c:idx val="70"/>
          <c:order val="70"/>
          <c:spPr>
            <a:ln w="3175">
              <a:solidFill>
                <a:srgbClr val="000000"/>
              </a:solidFill>
              <a:prstDash val="solid"/>
            </a:ln>
          </c:spPr>
          <c:marker>
            <c:symbol val="none"/>
          </c:marker>
          <c:xVal>
            <c:numLit>
              <c:formatCode>General</c:formatCode>
              <c:ptCount val="2"/>
              <c:pt idx="0">
                <c:v>-8.2255548505858034</c:v>
              </c:pt>
              <c:pt idx="1">
                <c:v>-7.9540452841963916</c:v>
              </c:pt>
            </c:numLit>
          </c:xVal>
          <c:yVal>
            <c:numLit>
              <c:formatCode>General</c:formatCode>
              <c:ptCount val="2"/>
              <c:pt idx="0">
                <c:v>2.640409819616079E-2</c:v>
              </c:pt>
              <c:pt idx="1">
                <c:v>2.6309717192778709E-2</c:v>
              </c:pt>
            </c:numLit>
          </c:yVal>
          <c:smooth val="0"/>
          <c:extLst>
            <c:ext xmlns:c16="http://schemas.microsoft.com/office/drawing/2014/chart" uri="{C3380CC4-5D6E-409C-BE32-E72D297353CC}">
              <c16:uniqueId val="{00000046-98E7-4814-B79B-4796DEC62FAC}"/>
            </c:ext>
          </c:extLst>
        </c:ser>
        <c:ser>
          <c:idx val="71"/>
          <c:order val="71"/>
          <c:spPr>
            <a:ln w="3175">
              <a:solidFill>
                <a:srgbClr val="000000"/>
              </a:solidFill>
              <a:prstDash val="solid"/>
            </a:ln>
          </c:spPr>
          <c:marker>
            <c:symbol val="none"/>
          </c:marker>
          <c:xVal>
            <c:numLit>
              <c:formatCode>General</c:formatCode>
              <c:ptCount val="2"/>
              <c:pt idx="0">
                <c:v>-8.3199651431045574</c:v>
              </c:pt>
              <c:pt idx="1">
                <c:v>-8.0468278130510296</c:v>
              </c:pt>
            </c:numLit>
          </c:xVal>
          <c:yVal>
            <c:numLit>
              <c:formatCode>General</c:formatCode>
              <c:ptCount val="2"/>
              <c:pt idx="0">
                <c:v>2.6252984947883497E-2</c:v>
              </c:pt>
              <c:pt idx="1">
                <c:v>2.616120934533378E-2</c:v>
              </c:pt>
            </c:numLit>
          </c:yVal>
          <c:smooth val="0"/>
          <c:extLst>
            <c:ext xmlns:c16="http://schemas.microsoft.com/office/drawing/2014/chart" uri="{C3380CC4-5D6E-409C-BE32-E72D297353CC}">
              <c16:uniqueId val="{00000047-98E7-4814-B79B-4796DEC62FAC}"/>
            </c:ext>
          </c:extLst>
        </c:ser>
        <c:ser>
          <c:idx val="72"/>
          <c:order val="72"/>
          <c:spPr>
            <a:ln w="3175">
              <a:solidFill>
                <a:srgbClr val="000000"/>
              </a:solidFill>
              <a:prstDash val="solid"/>
            </a:ln>
          </c:spPr>
          <c:marker>
            <c:symbol val="none"/>
          </c:marker>
          <c:xVal>
            <c:numLit>
              <c:formatCode>General</c:formatCode>
              <c:ptCount val="2"/>
              <c:pt idx="0">
                <c:v>-8.4068491498525173</c:v>
              </c:pt>
              <c:pt idx="1">
                <c:v>-7.8575784895127745</c:v>
              </c:pt>
            </c:numLit>
          </c:xVal>
          <c:yVal>
            <c:numLit>
              <c:formatCode>General</c:formatCode>
              <c:ptCount val="2"/>
              <c:pt idx="0">
                <c:v>2.610919271000376E-2</c:v>
              </c:pt>
              <c:pt idx="1">
                <c:v>2.5930599857934666E-2</c:v>
              </c:pt>
            </c:numLit>
          </c:yVal>
          <c:smooth val="0"/>
          <c:extLst>
            <c:ext xmlns:c16="http://schemas.microsoft.com/office/drawing/2014/chart" uri="{C3380CC4-5D6E-409C-BE32-E72D297353CC}">
              <c16:uniqueId val="{00000048-98E7-4814-B79B-4796DEC62FAC}"/>
            </c:ext>
          </c:extLst>
        </c:ser>
        <c:ser>
          <c:idx val="73"/>
          <c:order val="73"/>
          <c:spPr>
            <a:ln w="3175">
              <a:solidFill>
                <a:srgbClr val="000000"/>
              </a:solidFill>
              <a:prstDash val="solid"/>
            </a:ln>
          </c:spPr>
          <c:marker>
            <c:symbol val="none"/>
          </c:marker>
          <c:xVal>
            <c:numLit>
              <c:formatCode>General</c:formatCode>
              <c:ptCount val="2"/>
              <c:pt idx="0">
                <c:v>-8.486950989224928</c:v>
              </c:pt>
              <c:pt idx="1">
                <c:v>-8.2109345928589796</c:v>
              </c:pt>
            </c:numLit>
          </c:xVal>
          <c:yVal>
            <c:numLit>
              <c:formatCode>General</c:formatCode>
              <c:ptCount val="2"/>
              <c:pt idx="0">
                <c:v>2.597226822015037E-2</c:v>
              </c:pt>
              <c:pt idx="1">
                <c:v>2.5885332561182261E-2</c:v>
              </c:pt>
            </c:numLit>
          </c:yVal>
          <c:smooth val="0"/>
          <c:extLst>
            <c:ext xmlns:c16="http://schemas.microsoft.com/office/drawing/2014/chart" uri="{C3380CC4-5D6E-409C-BE32-E72D297353CC}">
              <c16:uniqueId val="{00000049-98E7-4814-B79B-4796DEC62FAC}"/>
            </c:ext>
          </c:extLst>
        </c:ser>
        <c:ser>
          <c:idx val="74"/>
          <c:order val="74"/>
          <c:spPr>
            <a:ln w="3175">
              <a:solidFill>
                <a:srgbClr val="000000"/>
              </a:solidFill>
              <a:prstDash val="solid"/>
            </a:ln>
          </c:spPr>
          <c:marker>
            <c:symbol val="none"/>
          </c:marker>
          <c:xVal>
            <c:numLit>
              <c:formatCode>General</c:formatCode>
              <c:ptCount val="2"/>
              <c:pt idx="0">
                <c:v>-8.5609294985956481</c:v>
              </c:pt>
              <c:pt idx="1">
                <c:v>-8.2836376106888263</c:v>
              </c:pt>
            </c:numLit>
          </c:xVal>
          <c:yVal>
            <c:numLit>
              <c:formatCode>General</c:formatCode>
              <c:ptCount val="2"/>
              <c:pt idx="0">
                <c:v>2.5841787211775113E-2</c:v>
              </c:pt>
              <c:pt idx="1">
                <c:v>2.57571012253652E-2</c:v>
              </c:pt>
            </c:numLit>
          </c:yVal>
          <c:smooth val="0"/>
          <c:extLst>
            <c:ext xmlns:c16="http://schemas.microsoft.com/office/drawing/2014/chart" uri="{C3380CC4-5D6E-409C-BE32-E72D297353CC}">
              <c16:uniqueId val="{0000004A-98E7-4814-B79B-4796DEC62FAC}"/>
            </c:ext>
          </c:extLst>
        </c:ser>
        <c:ser>
          <c:idx val="75"/>
          <c:order val="75"/>
          <c:spPr>
            <a:ln w="3175">
              <a:solidFill>
                <a:srgbClr val="000000"/>
              </a:solidFill>
              <a:prstDash val="solid"/>
            </a:ln>
          </c:spPr>
          <c:marker>
            <c:symbol val="none"/>
          </c:marker>
          <c:xVal>
            <c:numLit>
              <c:formatCode>General</c:formatCode>
              <c:ptCount val="2"/>
              <c:pt idx="0">
                <c:v>-8.6293690287967184</c:v>
              </c:pt>
              <c:pt idx="1">
                <c:v>-8.350897148989878</c:v>
              </c:pt>
            </c:numLit>
          </c:xVal>
          <c:yVal>
            <c:numLit>
              <c:formatCode>General</c:formatCode>
              <c:ptCount val="2"/>
              <c:pt idx="0">
                <c:v>2.5717353342065267E-2</c:v>
              </c:pt>
              <c:pt idx="1">
                <c:v>2.5634812767202073E-2</c:v>
              </c:pt>
            </c:numLit>
          </c:yVal>
          <c:smooth val="0"/>
          <c:extLst>
            <c:ext xmlns:c16="http://schemas.microsoft.com/office/drawing/2014/chart" uri="{C3380CC4-5D6E-409C-BE32-E72D297353CC}">
              <c16:uniqueId val="{0000004B-98E7-4814-B79B-4796DEC62FAC}"/>
            </c:ext>
          </c:extLst>
        </c:ser>
        <c:ser>
          <c:idx val="76"/>
          <c:order val="76"/>
          <c:spPr>
            <a:ln w="3175">
              <a:solidFill>
                <a:srgbClr val="000000"/>
              </a:solidFill>
              <a:prstDash val="solid"/>
            </a:ln>
          </c:spPr>
          <c:marker>
            <c:symbol val="none"/>
          </c:marker>
          <c:xVal>
            <c:numLit>
              <c:formatCode>General</c:formatCode>
              <c:ptCount val="2"/>
              <c:pt idx="0">
                <c:v>-8.6927887946424995</c:v>
              </c:pt>
              <c:pt idx="1">
                <c:v>-8.4132234705969378</c:v>
              </c:pt>
            </c:numLit>
          </c:xVal>
          <c:yVal>
            <c:numLit>
              <c:formatCode>General</c:formatCode>
              <c:ptCount val="2"/>
              <c:pt idx="0">
                <c:v>2.5598596888211325E-2</c:v>
              </c:pt>
              <c:pt idx="1">
                <c:v>2.5518103838414578E-2</c:v>
              </c:pt>
            </c:numLit>
          </c:yVal>
          <c:smooth val="0"/>
          <c:extLst>
            <c:ext xmlns:c16="http://schemas.microsoft.com/office/drawing/2014/chart" uri="{C3380CC4-5D6E-409C-BE32-E72D297353CC}">
              <c16:uniqueId val="{0000004C-98E7-4814-B79B-4796DEC62FAC}"/>
            </c:ext>
          </c:extLst>
        </c:ser>
        <c:ser>
          <c:idx val="77"/>
          <c:order val="77"/>
          <c:spPr>
            <a:ln w="3175">
              <a:solidFill>
                <a:srgbClr val="000000"/>
              </a:solidFill>
              <a:prstDash val="solid"/>
            </a:ln>
          </c:spPr>
          <c:marker>
            <c:symbol val="none"/>
          </c:marker>
          <c:xVal>
            <c:numLit>
              <c:formatCode>General</c:formatCode>
              <c:ptCount val="2"/>
              <c:pt idx="0">
                <c:v>-8.7516509745654023</c:v>
              </c:pt>
              <c:pt idx="1">
                <c:v>-8.4710707853487577</c:v>
              </c:pt>
            </c:numLit>
          </c:xVal>
          <c:yVal>
            <c:numLit>
              <c:formatCode>General</c:formatCode>
              <c:ptCount val="2"/>
              <c:pt idx="0">
                <c:v>2.5485173311188873E-2</c:v>
              </c:pt>
              <c:pt idx="1">
                <c:v>2.5406635840306308E-2</c:v>
              </c:pt>
            </c:numLit>
          </c:yVal>
          <c:smooth val="0"/>
          <c:extLst>
            <c:ext xmlns:c16="http://schemas.microsoft.com/office/drawing/2014/chart" uri="{C3380CC4-5D6E-409C-BE32-E72D297353CC}">
              <c16:uniqueId val="{0000004D-98E7-4814-B79B-4796DEC62FAC}"/>
            </c:ext>
          </c:extLst>
        </c:ser>
        <c:ser>
          <c:idx val="78"/>
          <c:order val="78"/>
          <c:spPr>
            <a:ln w="3175">
              <a:solidFill>
                <a:srgbClr val="000000"/>
              </a:solidFill>
              <a:prstDash val="solid"/>
            </a:ln>
          </c:spPr>
          <c:marker>
            <c:symbol val="none"/>
          </c:marker>
          <c:xVal>
            <c:numLit>
              <c:formatCode>General</c:formatCode>
              <c:ptCount val="2"/>
              <c:pt idx="0">
                <c:v>-8.8573072883626267</c:v>
              </c:pt>
              <c:pt idx="1">
                <c:v>-8.5749054385632704</c:v>
              </c:pt>
            </c:numLit>
          </c:xVal>
          <c:yVal>
            <c:numLit>
              <c:formatCode>General</c:formatCode>
              <c:ptCount val="2"/>
              <c:pt idx="0">
                <c:v>2.5273063556165737E-2</c:v>
              </c:pt>
              <c:pt idx="1">
                <c:v>2.519818315002495E-2</c:v>
              </c:pt>
            </c:numLit>
          </c:yVal>
          <c:smooth val="0"/>
          <c:extLst>
            <c:ext xmlns:c16="http://schemas.microsoft.com/office/drawing/2014/chart" uri="{C3380CC4-5D6E-409C-BE32-E72D297353CC}">
              <c16:uniqueId val="{0000004E-98E7-4814-B79B-4796DEC62FAC}"/>
            </c:ext>
          </c:extLst>
        </c:ser>
        <c:ser>
          <c:idx val="79"/>
          <c:order val="79"/>
          <c:spPr>
            <a:ln w="3175">
              <a:solidFill>
                <a:srgbClr val="000000"/>
              </a:solidFill>
              <a:prstDash val="solid"/>
            </a:ln>
          </c:spPr>
          <c:marker>
            <c:symbol val="none"/>
          </c:marker>
          <c:xVal>
            <c:numLit>
              <c:formatCode>General</c:formatCode>
              <c:ptCount val="2"/>
              <c:pt idx="0">
                <c:v>-8.9491390821074628</c:v>
              </c:pt>
              <c:pt idx="1">
                <c:v>-8.6651539255194017</c:v>
              </c:pt>
            </c:numLit>
          </c:xVal>
          <c:yVal>
            <c:numLit>
              <c:formatCode>General</c:formatCode>
              <c:ptCount val="2"/>
              <c:pt idx="0">
                <c:v>2.5078714550976496E-2</c:v>
              </c:pt>
              <c:pt idx="1">
                <c:v>2.5007184989752764E-2</c:v>
              </c:pt>
            </c:numLit>
          </c:yVal>
          <c:smooth val="0"/>
          <c:extLst>
            <c:ext xmlns:c16="http://schemas.microsoft.com/office/drawing/2014/chart" uri="{C3380CC4-5D6E-409C-BE32-E72D297353CC}">
              <c16:uniqueId val="{0000004F-98E7-4814-B79B-4796DEC62FAC}"/>
            </c:ext>
          </c:extLst>
        </c:ser>
        <c:ser>
          <c:idx val="80"/>
          <c:order val="80"/>
          <c:spPr>
            <a:ln w="3175">
              <a:solidFill>
                <a:srgbClr val="000000"/>
              </a:solidFill>
              <a:prstDash val="solid"/>
            </a:ln>
          </c:spPr>
          <c:marker>
            <c:symbol val="none"/>
          </c:marker>
          <c:xVal>
            <c:numLit>
              <c:formatCode>General</c:formatCode>
              <c:ptCount val="2"/>
              <c:pt idx="0">
                <c:v>-9.0293977395002667</c:v>
              </c:pt>
              <c:pt idx="1">
                <c:v>-8.7440288129571595</c:v>
              </c:pt>
            </c:numLit>
          </c:xVal>
          <c:yVal>
            <c:numLit>
              <c:formatCode>General</c:formatCode>
              <c:ptCount val="2"/>
              <c:pt idx="0">
                <c:v>2.4900125447290717E-2</c:v>
              </c:pt>
              <c:pt idx="1">
                <c:v>2.4831675008544326E-2</c:v>
              </c:pt>
            </c:numLit>
          </c:yVal>
          <c:smooth val="0"/>
          <c:extLst>
            <c:ext xmlns:c16="http://schemas.microsoft.com/office/drawing/2014/chart" uri="{C3380CC4-5D6E-409C-BE32-E72D297353CC}">
              <c16:uniqueId val="{00000050-98E7-4814-B79B-4796DEC62FAC}"/>
            </c:ext>
          </c:extLst>
        </c:ser>
        <c:ser>
          <c:idx val="81"/>
          <c:order val="81"/>
          <c:spPr>
            <a:ln w="3175">
              <a:solidFill>
                <a:srgbClr val="000000"/>
              </a:solidFill>
              <a:prstDash val="solid"/>
            </a:ln>
          </c:spPr>
          <c:marker>
            <c:symbol val="none"/>
          </c:marker>
          <c:xVal>
            <c:numLit>
              <c:formatCode>General</c:formatCode>
              <c:ptCount val="2"/>
              <c:pt idx="0">
                <c:v>-9.0999057043833709</c:v>
              </c:pt>
              <c:pt idx="1">
                <c:v>-8.8133211232733135</c:v>
              </c:pt>
            </c:numLit>
          </c:xVal>
          <c:yVal>
            <c:numLit>
              <c:formatCode>General</c:formatCode>
              <c:ptCount val="2"/>
              <c:pt idx="0">
                <c:v>2.4735561478973527E-2</c:v>
              </c:pt>
              <c:pt idx="1">
                <c:v>2.466994835002571E-2</c:v>
              </c:pt>
            </c:numLit>
          </c:yVal>
          <c:smooth val="0"/>
          <c:extLst>
            <c:ext xmlns:c16="http://schemas.microsoft.com/office/drawing/2014/chart" uri="{C3380CC4-5D6E-409C-BE32-E72D297353CC}">
              <c16:uniqueId val="{00000051-98E7-4814-B79B-4796DEC62FAC}"/>
            </c:ext>
          </c:extLst>
        </c:ser>
        <c:ser>
          <c:idx val="82"/>
          <c:order val="82"/>
          <c:spPr>
            <a:ln w="3175">
              <a:solidFill>
                <a:srgbClr val="000000"/>
              </a:solidFill>
              <a:prstDash val="solid"/>
            </a:ln>
          </c:spPr>
          <c:marker>
            <c:symbol val="none"/>
          </c:marker>
          <c:xVal>
            <c:numLit>
              <c:formatCode>General</c:formatCode>
              <c:ptCount val="2"/>
              <c:pt idx="0">
                <c:v>-9.1621483944066782</c:v>
              </c:pt>
              <c:pt idx="1">
                <c:v>-8.5868329325305854</c:v>
              </c:pt>
            </c:numLit>
          </c:xVal>
          <c:yVal>
            <c:numLit>
              <c:formatCode>General</c:formatCode>
              <c:ptCount val="2"/>
              <c:pt idx="0">
                <c:v>2.4583516169954973E-2</c:v>
              </c:pt>
              <c:pt idx="1">
                <c:v>2.4457532853749627E-2</c:v>
              </c:pt>
            </c:numLit>
          </c:yVal>
          <c:smooth val="0"/>
          <c:extLst>
            <c:ext xmlns:c16="http://schemas.microsoft.com/office/drawing/2014/chart" uri="{C3380CC4-5D6E-409C-BE32-E72D297353CC}">
              <c16:uniqueId val="{00000052-98E7-4814-B79B-4796DEC62FAC}"/>
            </c:ext>
          </c:extLst>
        </c:ser>
        <c:ser>
          <c:idx val="83"/>
          <c:order val="83"/>
          <c:spPr>
            <a:ln w="3175">
              <a:solidFill>
                <a:srgbClr val="000000"/>
              </a:solidFill>
              <a:prstDash val="solid"/>
            </a:ln>
          </c:spPr>
          <c:marker>
            <c:symbol val="none"/>
          </c:marker>
          <c:xVal>
            <c:numLit>
              <c:formatCode>General</c:formatCode>
              <c:ptCount val="2"/>
              <c:pt idx="0">
                <c:v>-9.2890805085034174</c:v>
              </c:pt>
              <c:pt idx="1">
                <c:v>-8.9992342928395654</c:v>
              </c:pt>
            </c:numLit>
          </c:xVal>
          <c:yVal>
            <c:numLit>
              <c:formatCode>General</c:formatCode>
              <c:ptCount val="2"/>
              <c:pt idx="0">
                <c:v>2.4249973889194042E-2</c:v>
              </c:pt>
              <c:pt idx="1">
                <c:v>2.4192732960070008E-2</c:v>
              </c:pt>
            </c:numLit>
          </c:yVal>
          <c:smooth val="0"/>
          <c:extLst>
            <c:ext xmlns:c16="http://schemas.microsoft.com/office/drawing/2014/chart" uri="{C3380CC4-5D6E-409C-BE32-E72D297353CC}">
              <c16:uniqueId val="{00000053-98E7-4814-B79B-4796DEC62FAC}"/>
            </c:ext>
          </c:extLst>
        </c:ser>
        <c:ser>
          <c:idx val="84"/>
          <c:order val="84"/>
          <c:spPr>
            <a:ln w="3175">
              <a:solidFill>
                <a:srgbClr val="000000"/>
              </a:solidFill>
              <a:prstDash val="solid"/>
            </a:ln>
          </c:spPr>
          <c:marker>
            <c:symbol val="none"/>
          </c:marker>
          <c:xVal>
            <c:numLit>
              <c:formatCode>General</c:formatCode>
              <c:ptCount val="2"/>
              <c:pt idx="0">
                <c:v>-9.3854262264463078</c:v>
              </c:pt>
              <c:pt idx="1">
                <c:v>-8.8024115289826401</c:v>
              </c:pt>
            </c:numLit>
          </c:xVal>
          <c:yVal>
            <c:numLit>
              <c:formatCode>General</c:formatCode>
              <c:ptCount val="2"/>
              <c:pt idx="0">
                <c:v>2.3970556092921879E-2</c:v>
              </c:pt>
              <c:pt idx="1">
                <c:v>2.3865709331096985E-2</c:v>
              </c:pt>
            </c:numLit>
          </c:yVal>
          <c:smooth val="0"/>
          <c:extLst>
            <c:ext xmlns:c16="http://schemas.microsoft.com/office/drawing/2014/chart" uri="{C3380CC4-5D6E-409C-BE32-E72D297353CC}">
              <c16:uniqueId val="{00000054-98E7-4814-B79B-4796DEC62FAC}"/>
            </c:ext>
          </c:extLst>
        </c:ser>
        <c:ser>
          <c:idx val="85"/>
          <c:order val="85"/>
          <c:spPr>
            <a:ln w="3175">
              <a:solidFill>
                <a:srgbClr val="000000"/>
              </a:solidFill>
              <a:prstDash val="solid"/>
            </a:ln>
          </c:spPr>
          <c:marker>
            <c:symbol val="none"/>
          </c:marker>
          <c:xVal>
            <c:numLit>
              <c:formatCode>General</c:formatCode>
              <c:ptCount val="2"/>
              <c:pt idx="0">
                <c:v>-9.4601719381821585</c:v>
              </c:pt>
              <c:pt idx="1">
                <c:v>-9.1673758702824664</c:v>
              </c:pt>
            </c:numLit>
          </c:xVal>
          <c:yVal>
            <c:numLit>
              <c:formatCode>General</c:formatCode>
              <c:ptCount val="2"/>
              <c:pt idx="0">
                <c:v>2.3733423854580125E-2</c:v>
              </c:pt>
              <c:pt idx="1">
                <c:v>2.3685088960535641E-2</c:v>
              </c:pt>
            </c:numLit>
          </c:yVal>
          <c:smooth val="0"/>
          <c:extLst>
            <c:ext xmlns:c16="http://schemas.microsoft.com/office/drawing/2014/chart" uri="{C3380CC4-5D6E-409C-BE32-E72D297353CC}">
              <c16:uniqueId val="{00000055-98E7-4814-B79B-4796DEC62FAC}"/>
            </c:ext>
          </c:extLst>
        </c:ser>
        <c:ser>
          <c:idx val="86"/>
          <c:order val="86"/>
          <c:spPr>
            <a:ln w="3175">
              <a:solidFill>
                <a:srgbClr val="000000"/>
              </a:solidFill>
              <a:prstDash val="solid"/>
            </a:ln>
          </c:spPr>
          <c:marker>
            <c:symbol val="none"/>
          </c:marker>
          <c:xVal>
            <c:numLit>
              <c:formatCode>General</c:formatCode>
              <c:ptCount val="2"/>
              <c:pt idx="0">
                <c:v>-9.5192631793601503</c:v>
              </c:pt>
              <c:pt idx="1">
                <c:v>-8.9316334145546268</c:v>
              </c:pt>
            </c:numLit>
          </c:xVal>
          <c:yVal>
            <c:numLit>
              <c:formatCode>General</c:formatCode>
              <c:ptCount val="2"/>
              <c:pt idx="0">
                <c:v>2.3529865143833231E-2</c:v>
              </c:pt>
              <c:pt idx="1">
                <c:v>2.3440214621632083E-2</c:v>
              </c:pt>
            </c:numLit>
          </c:yVal>
          <c:smooth val="0"/>
          <c:extLst>
            <c:ext xmlns:c16="http://schemas.microsoft.com/office/drawing/2014/chart" uri="{C3380CC4-5D6E-409C-BE32-E72D297353CC}">
              <c16:uniqueId val="{00000056-98E7-4814-B79B-4796DEC62FAC}"/>
            </c:ext>
          </c:extLst>
        </c:ser>
        <c:ser>
          <c:idx val="87"/>
          <c:order val="87"/>
          <c:spPr>
            <a:ln w="3175">
              <a:solidFill>
                <a:srgbClr val="000000"/>
              </a:solidFill>
              <a:prstDash val="solid"/>
            </a:ln>
          </c:spPr>
          <c:marker>
            <c:symbol val="none"/>
          </c:marker>
          <c:xVal>
            <c:numLit>
              <c:formatCode>General</c:formatCode>
              <c:ptCount val="2"/>
              <c:pt idx="0">
                <c:v>-9.5667494735594438</c:v>
              </c:pt>
              <c:pt idx="1">
                <c:v>-9.2721158619463502</c:v>
              </c:pt>
            </c:numLit>
          </c:xVal>
          <c:yVal>
            <c:numLit>
              <c:formatCode>General</c:formatCode>
              <c:ptCount val="2"/>
              <c:pt idx="0">
                <c:v>2.3353355225599216E-2</c:v>
              </c:pt>
              <c:pt idx="1">
                <c:v>2.3311573238950951E-2</c:v>
              </c:pt>
            </c:numLit>
          </c:yVal>
          <c:smooth val="0"/>
          <c:extLst>
            <c:ext xmlns:c16="http://schemas.microsoft.com/office/drawing/2014/chart" uri="{C3380CC4-5D6E-409C-BE32-E72D297353CC}">
              <c16:uniqueId val="{00000057-98E7-4814-B79B-4796DEC62FAC}"/>
            </c:ext>
          </c:extLst>
        </c:ser>
        <c:ser>
          <c:idx val="88"/>
          <c:order val="88"/>
          <c:spPr>
            <a:ln w="3175">
              <a:solidFill>
                <a:srgbClr val="000000"/>
              </a:solidFill>
              <a:prstDash val="solid"/>
            </a:ln>
          </c:spPr>
          <c:marker>
            <c:symbol val="none"/>
          </c:marker>
          <c:xVal>
            <c:numLit>
              <c:formatCode>General</c:formatCode>
              <c:ptCount val="2"/>
              <c:pt idx="0">
                <c:v>-9.6054604899925025</c:v>
              </c:pt>
              <c:pt idx="1">
                <c:v>-9.0148584041306901</c:v>
              </c:pt>
            </c:numLit>
          </c:xVal>
          <c:yVal>
            <c:numLit>
              <c:formatCode>General</c:formatCode>
              <c:ptCount val="2"/>
              <c:pt idx="0">
                <c:v>2.3198926159195745E-2</c:v>
              </c:pt>
              <c:pt idx="1">
                <c:v>2.3120687326120031E-2</c:v>
              </c:pt>
            </c:numLit>
          </c:yVal>
          <c:smooth val="0"/>
          <c:extLst>
            <c:ext xmlns:c16="http://schemas.microsoft.com/office/drawing/2014/chart" uri="{C3380CC4-5D6E-409C-BE32-E72D297353CC}">
              <c16:uniqueId val="{00000058-98E7-4814-B79B-4796DEC62FAC}"/>
            </c:ext>
          </c:extLst>
        </c:ser>
        <c:ser>
          <c:idx val="89"/>
          <c:order val="89"/>
          <c:spPr>
            <a:ln w="3175">
              <a:solidFill>
                <a:srgbClr val="000000"/>
              </a:solidFill>
              <a:prstDash val="solid"/>
            </a:ln>
          </c:spPr>
          <c:marker>
            <c:symbol val="none"/>
          </c:marker>
          <c:xVal>
            <c:numLit>
              <c:formatCode>General</c:formatCode>
              <c:ptCount val="2"/>
              <c:pt idx="0">
                <c:v>-9.6640995467395676</c:v>
              </c:pt>
              <c:pt idx="1">
                <c:v>-9.3677874855888845</c:v>
              </c:pt>
            </c:numLit>
          </c:xVal>
          <c:yVal>
            <c:numLit>
              <c:formatCode>General</c:formatCode>
              <c:ptCount val="2"/>
              <c:pt idx="0">
                <c:v>2.294177753595765E-2</c:v>
              </c:pt>
              <c:pt idx="1">
                <c:v>2.2907091716372171E-2</c:v>
              </c:pt>
            </c:numLit>
          </c:yVal>
          <c:smooth val="0"/>
          <c:extLst>
            <c:ext xmlns:c16="http://schemas.microsoft.com/office/drawing/2014/chart" uri="{C3380CC4-5D6E-409C-BE32-E72D297353CC}">
              <c16:uniqueId val="{00000059-98E7-4814-B79B-4796DEC62FAC}"/>
            </c:ext>
          </c:extLst>
        </c:ser>
        <c:ser>
          <c:idx val="90"/>
          <c:order val="90"/>
          <c:spPr>
            <a:ln w="3175">
              <a:solidFill>
                <a:srgbClr val="000000"/>
              </a:solidFill>
              <a:prstDash val="solid"/>
            </a:ln>
          </c:spPr>
          <c:marker>
            <c:symbol val="none"/>
          </c:marker>
          <c:xVal>
            <c:numLit>
              <c:formatCode>General</c:formatCode>
              <c:ptCount val="2"/>
              <c:pt idx="0">
                <c:v>-9.7057408037734945</c:v>
              </c:pt>
              <c:pt idx="1">
                <c:v>-9.4087107899153306</c:v>
              </c:pt>
            </c:numLit>
          </c:xVal>
          <c:yVal>
            <c:numLit>
              <c:formatCode>General</c:formatCode>
              <c:ptCount val="2"/>
              <c:pt idx="0">
                <c:v>2.2736452704669185E-2</c:v>
              </c:pt>
              <c:pt idx="1">
                <c:v>2.2705306968381786E-2</c:v>
              </c:pt>
            </c:numLit>
          </c:yVal>
          <c:smooth val="0"/>
          <c:extLst>
            <c:ext xmlns:c16="http://schemas.microsoft.com/office/drawing/2014/chart" uri="{C3380CC4-5D6E-409C-BE32-E72D297353CC}">
              <c16:uniqueId val="{0000005A-98E7-4814-B79B-4796DEC62FAC}"/>
            </c:ext>
          </c:extLst>
        </c:ser>
        <c:ser>
          <c:idx val="91"/>
          <c:order val="91"/>
          <c:spPr>
            <a:ln w="3175">
              <a:solidFill>
                <a:srgbClr val="000000"/>
              </a:solidFill>
              <a:prstDash val="solid"/>
            </a:ln>
          </c:spPr>
          <c:marker>
            <c:symbol val="none"/>
          </c:marker>
          <c:xVal>
            <c:numLit>
              <c:formatCode>General</c:formatCode>
              <c:ptCount val="2"/>
              <c:pt idx="0">
                <c:v>-9.7363488755763594</c:v>
              </c:pt>
              <c:pt idx="1">
                <c:v>-9.4387911363422834</c:v>
              </c:pt>
            </c:numLit>
          </c:xVal>
          <c:yVal>
            <c:numLit>
              <c:formatCode>General</c:formatCode>
              <c:ptCount val="2"/>
              <c:pt idx="0">
                <c:v>2.2568842643838953E-2</c:v>
              </c:pt>
              <c:pt idx="1">
                <c:v>2.2540586736186558E-2</c:v>
              </c:pt>
            </c:numLit>
          </c:yVal>
          <c:smooth val="0"/>
          <c:extLst>
            <c:ext xmlns:c16="http://schemas.microsoft.com/office/drawing/2014/chart" uri="{C3380CC4-5D6E-409C-BE32-E72D297353CC}">
              <c16:uniqueId val="{0000005B-98E7-4814-B79B-4796DEC62FAC}"/>
            </c:ext>
          </c:extLst>
        </c:ser>
        <c:ser>
          <c:idx val="92"/>
          <c:order val="92"/>
          <c:spPr>
            <a:ln w="3175">
              <a:solidFill>
                <a:srgbClr val="000000"/>
              </a:solidFill>
              <a:prstDash val="solid"/>
            </a:ln>
          </c:spPr>
          <c:marker>
            <c:symbol val="none"/>
          </c:marker>
          <c:xVal>
            <c:numLit>
              <c:formatCode>General</c:formatCode>
              <c:ptCount val="2"/>
              <c:pt idx="0">
                <c:v>-9.7594920592975569</c:v>
              </c:pt>
              <c:pt idx="1">
                <c:v>-9.4615352996544964</c:v>
              </c:pt>
            </c:numLit>
          </c:xVal>
          <c:yVal>
            <c:numLit>
              <c:formatCode>General</c:formatCode>
              <c:ptCount val="2"/>
              <c:pt idx="0">
                <c:v>2.2429498103471914E-2</c:v>
              </c:pt>
              <c:pt idx="1">
                <c:v>2.2403644687894811E-2</c:v>
              </c:pt>
            </c:numLit>
          </c:yVal>
          <c:smooth val="0"/>
          <c:extLst>
            <c:ext xmlns:c16="http://schemas.microsoft.com/office/drawing/2014/chart" uri="{C3380CC4-5D6E-409C-BE32-E72D297353CC}">
              <c16:uniqueId val="{0000005C-98E7-4814-B79B-4796DEC62FAC}"/>
            </c:ext>
          </c:extLst>
        </c:ser>
        <c:ser>
          <c:idx val="93"/>
          <c:order val="93"/>
          <c:spPr>
            <a:ln w="3175">
              <a:solidFill>
                <a:srgbClr val="000000"/>
              </a:solidFill>
              <a:prstDash val="solid"/>
            </a:ln>
          </c:spPr>
          <c:marker>
            <c:symbol val="none"/>
          </c:marker>
          <c:xVal>
            <c:numLit>
              <c:formatCode>General</c:formatCode>
              <c:ptCount val="2"/>
              <c:pt idx="0">
                <c:v>-9.7774082431157812</c:v>
              </c:pt>
              <c:pt idx="1">
                <c:v>-9.1808769243876487</c:v>
              </c:pt>
            </c:numLit>
          </c:xVal>
          <c:yVal>
            <c:numLit>
              <c:formatCode>General</c:formatCode>
              <c:ptCount val="2"/>
              <c:pt idx="0">
                <c:v>2.2311864752467405E-2</c:v>
              </c:pt>
              <c:pt idx="1">
                <c:v>2.2264214243761633E-2</c:v>
              </c:pt>
            </c:numLit>
          </c:yVal>
          <c:smooth val="0"/>
          <c:extLst>
            <c:ext xmlns:c16="http://schemas.microsoft.com/office/drawing/2014/chart" uri="{C3380CC4-5D6E-409C-BE32-E72D297353CC}">
              <c16:uniqueId val="{0000005D-98E7-4814-B79B-4796DEC62FAC}"/>
            </c:ext>
          </c:extLst>
        </c:ser>
        <c:ser>
          <c:idx val="94"/>
          <c:order val="94"/>
          <c:spPr>
            <a:ln w="3175">
              <a:solidFill>
                <a:srgbClr val="000000"/>
              </a:solidFill>
              <a:prstDash val="solid"/>
            </a:ln>
          </c:spPr>
          <c:marker>
            <c:symbol val="none"/>
          </c:marker>
          <c:xVal>
            <c:numLit>
              <c:formatCode>General</c:formatCode>
              <c:ptCount val="2"/>
              <c:pt idx="0">
                <c:v>-9.826239533393677</c:v>
              </c:pt>
              <c:pt idx="1">
                <c:v>-9.5271319552317166</c:v>
              </c:pt>
            </c:numLit>
          </c:xVal>
          <c:yVal>
            <c:numLit>
              <c:formatCode>General</c:formatCode>
              <c:ptCount val="2"/>
              <c:pt idx="0">
                <c:v>2.19219477646126E-2</c:v>
              </c:pt>
              <c:pt idx="1">
                <c:v>2.1904845216946866E-2</c:v>
              </c:pt>
            </c:numLit>
          </c:yVal>
          <c:smooth val="0"/>
          <c:extLst>
            <c:ext xmlns:c16="http://schemas.microsoft.com/office/drawing/2014/chart" uri="{C3380CC4-5D6E-409C-BE32-E72D297353CC}">
              <c16:uniqueId val="{0000005E-98E7-4814-B79B-4796DEC62FAC}"/>
            </c:ext>
          </c:extLst>
        </c:ser>
        <c:ser>
          <c:idx val="95"/>
          <c:order val="95"/>
          <c:spPr>
            <a:ln w="3175">
              <a:solidFill>
                <a:srgbClr val="000000"/>
              </a:solidFill>
              <a:prstDash val="solid"/>
            </a:ln>
          </c:spPr>
          <c:marker>
            <c:symbol val="none"/>
          </c:marker>
          <c:xVal>
            <c:numLit>
              <c:formatCode>General</c:formatCode>
              <c:ptCount val="2"/>
              <c:pt idx="0">
                <c:v>-9.8465584490956477</c:v>
              </c:pt>
              <c:pt idx="1">
                <c:v>-9.2476426405061414</c:v>
              </c:pt>
            </c:numLit>
          </c:xVal>
          <c:yVal>
            <c:numLit>
              <c:formatCode>General</c:formatCode>
              <c:ptCount val="2"/>
              <c:pt idx="0">
                <c:v>2.1703336717703383E-2</c:v>
              </c:pt>
              <c:pt idx="1">
                <c:v>2.16766699343343E-2</c:v>
              </c:pt>
            </c:numLit>
          </c:yVal>
          <c:smooth val="0"/>
          <c:extLst>
            <c:ext xmlns:c16="http://schemas.microsoft.com/office/drawing/2014/chart" uri="{C3380CC4-5D6E-409C-BE32-E72D297353CC}">
              <c16:uniqueId val="{0000005F-98E7-4814-B79B-4796DEC62FAC}"/>
            </c:ext>
          </c:extLst>
        </c:ser>
        <c:ser>
          <c:idx val="96"/>
          <c:order val="96"/>
          <c:spPr>
            <a:ln w="3175">
              <a:solidFill>
                <a:srgbClr val="000000"/>
              </a:solidFill>
              <a:prstDash val="solid"/>
            </a:ln>
          </c:spPr>
          <c:marker>
            <c:symbol val="none"/>
          </c:marker>
          <c:xVal>
            <c:numLit>
              <c:formatCode>General</c:formatCode>
              <c:ptCount val="2"/>
              <c:pt idx="0">
                <c:v>-9.862870431265371</c:v>
              </c:pt>
              <c:pt idx="1">
                <c:v>-9.5631312858987254</c:v>
              </c:pt>
            </c:numLit>
          </c:xVal>
          <c:yVal>
            <c:numLit>
              <c:formatCode>General</c:formatCode>
              <c:ptCount val="2"/>
              <c:pt idx="0">
                <c:v>2.1466576659932901E-2</c:v>
              </c:pt>
              <c:pt idx="1">
                <c:v>2.1457325338209921E-2</c:v>
              </c:pt>
            </c:numLit>
          </c:yVal>
          <c:smooth val="0"/>
          <c:extLst>
            <c:ext xmlns:c16="http://schemas.microsoft.com/office/drawing/2014/chart" uri="{C3380CC4-5D6E-409C-BE32-E72D297353CC}">
              <c16:uniqueId val="{00000060-98E7-4814-B79B-4796DEC62FAC}"/>
            </c:ext>
          </c:extLst>
        </c:ser>
        <c:ser>
          <c:idx val="97"/>
          <c:order val="97"/>
          <c:spPr>
            <a:ln w="3175">
              <a:solidFill>
                <a:srgbClr val="000000"/>
              </a:solidFill>
              <a:prstDash val="solid"/>
            </a:ln>
          </c:spPr>
          <c:marker>
            <c:symbol val="none"/>
          </c:marker>
          <c:xVal>
            <c:numLit>
              <c:formatCode>General</c:formatCode>
              <c:ptCount val="2"/>
              <c:pt idx="0">
                <c:v>-9.8691357952931487</c:v>
              </c:pt>
              <c:pt idx="1">
                <c:v>-9.2694414575244188</c:v>
              </c:pt>
            </c:numLit>
          </c:xVal>
          <c:yVal>
            <c:numLit>
              <c:formatCode>General</c:formatCode>
              <c:ptCount val="2"/>
              <c:pt idx="0">
                <c:v>2.1340749932151591E-2</c:v>
              </c:pt>
              <c:pt idx="1">
                <c:v>2.1326586141387743E-2</c:v>
              </c:pt>
            </c:numLit>
          </c:yVal>
          <c:smooth val="0"/>
          <c:extLst>
            <c:ext xmlns:c16="http://schemas.microsoft.com/office/drawing/2014/chart" uri="{C3380CC4-5D6E-409C-BE32-E72D297353CC}">
              <c16:uniqueId val="{00000061-98E7-4814-B79B-4796DEC62FAC}"/>
            </c:ext>
          </c:extLst>
        </c:ser>
        <c:ser>
          <c:idx val="98"/>
          <c:order val="98"/>
          <c:spPr>
            <a:ln w="3175">
              <a:solidFill>
                <a:srgbClr val="000000"/>
              </a:solidFill>
              <a:prstDash val="solid"/>
            </a:ln>
          </c:spPr>
          <c:marker>
            <c:symbol val="none"/>
          </c:marker>
          <c:xVal>
            <c:numLit>
              <c:formatCode>General</c:formatCode>
              <c:ptCount val="2"/>
              <c:pt idx="0">
                <c:v>-9.8780000000000001</c:v>
              </c:pt>
              <c:pt idx="1">
                <c:v>-9.2779999999999987</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62-98E7-4814-B79B-4796DEC62FAC}"/>
            </c:ext>
          </c:extLst>
        </c:ser>
        <c:ser>
          <c:idx val="99"/>
          <c:order val="99"/>
          <c:spPr>
            <a:ln w="3175">
              <a:solidFill>
                <a:srgbClr val="000000"/>
              </a:solidFill>
              <a:prstDash val="solid"/>
            </a:ln>
          </c:spPr>
          <c:marker>
            <c:symbol val="none"/>
          </c:marker>
          <c:xVal>
            <c:numLit>
              <c:formatCode>General</c:formatCode>
              <c:ptCount val="2"/>
              <c:pt idx="0">
                <c:v>-9.8665090567206697</c:v>
              </c:pt>
              <c:pt idx="1">
                <c:v>-9.2669052961440936</c:v>
              </c:pt>
            </c:numLit>
          </c:xVal>
          <c:yVal>
            <c:numLit>
              <c:formatCode>General</c:formatCode>
              <c:ptCount val="2"/>
              <c:pt idx="0">
                <c:v>2.0462352026117177E-2</c:v>
              </c:pt>
              <c:pt idx="1">
                <c:v>2.0478477818320035E-2</c:v>
              </c:pt>
            </c:numLit>
          </c:yVal>
          <c:smooth val="0"/>
          <c:extLst>
            <c:ext xmlns:c16="http://schemas.microsoft.com/office/drawing/2014/chart" uri="{C3380CC4-5D6E-409C-BE32-E72D297353CC}">
              <c16:uniqueId val="{00000063-98E7-4814-B79B-4796DEC62FAC}"/>
            </c:ext>
          </c:extLst>
        </c:ser>
        <c:ser>
          <c:idx val="100"/>
          <c:order val="100"/>
          <c:spPr>
            <a:ln w="3175">
              <a:solidFill>
                <a:srgbClr val="000000"/>
              </a:solidFill>
              <a:prstDash val="solid"/>
            </a:ln>
          </c:spPr>
          <c:marker>
            <c:symbol val="none"/>
          </c:marker>
          <c:xVal>
            <c:numLit>
              <c:formatCode>General</c:formatCode>
              <c:ptCount val="2"/>
              <c:pt idx="0">
                <c:v>-9.8566117153194046</c:v>
              </c:pt>
              <c:pt idx="1">
                <c:v>-9.5569804788483808</c:v>
              </c:pt>
            </c:numLit>
          </c:xVal>
          <c:yVal>
            <c:numLit>
              <c:formatCode>General</c:formatCode>
              <c:ptCount val="2"/>
              <c:pt idx="0">
                <c:v>2.0292078253462336E-2</c:v>
              </c:pt>
              <c:pt idx="1">
                <c:v>2.0303076904264708E-2</c:v>
              </c:pt>
            </c:numLit>
          </c:yVal>
          <c:smooth val="0"/>
          <c:extLst>
            <c:ext xmlns:c16="http://schemas.microsoft.com/office/drawing/2014/chart" uri="{C3380CC4-5D6E-409C-BE32-E72D297353CC}">
              <c16:uniqueId val="{00000064-98E7-4814-B79B-4796DEC62FAC}"/>
            </c:ext>
          </c:extLst>
        </c:ser>
        <c:ser>
          <c:idx val="101"/>
          <c:order val="101"/>
          <c:spPr>
            <a:ln w="3175">
              <a:solidFill>
                <a:srgbClr val="000000"/>
              </a:solidFill>
              <a:prstDash val="solid"/>
            </a:ln>
          </c:spPr>
          <c:marker>
            <c:symbol val="none"/>
          </c:marker>
          <c:xVal>
            <c:numLit>
              <c:formatCode>General</c:formatCode>
              <c:ptCount val="2"/>
              <c:pt idx="0">
                <c:v>-9.825120498007605</c:v>
              </c:pt>
              <c:pt idx="1">
                <c:v>-9.2269439291107886</c:v>
              </c:pt>
            </c:numLit>
          </c:xVal>
          <c:yVal>
            <c:numLit>
              <c:formatCode>General</c:formatCode>
              <c:ptCount val="2"/>
              <c:pt idx="0">
                <c:v>1.9927403009249937E-2</c:v>
              </c:pt>
              <c:pt idx="1">
                <c:v>1.9961975319275804E-2</c:v>
              </c:pt>
            </c:numLit>
          </c:yVal>
          <c:smooth val="0"/>
          <c:extLst>
            <c:ext xmlns:c16="http://schemas.microsoft.com/office/drawing/2014/chart" uri="{C3380CC4-5D6E-409C-BE32-E72D297353CC}">
              <c16:uniqueId val="{00000065-98E7-4814-B79B-4796DEC62FAC}"/>
            </c:ext>
          </c:extLst>
        </c:ser>
        <c:ser>
          <c:idx val="102"/>
          <c:order val="102"/>
          <c:spPr>
            <a:ln w="3175">
              <a:solidFill>
                <a:srgbClr val="000000"/>
              </a:solidFill>
              <a:prstDash val="solid"/>
            </a:ln>
          </c:spPr>
          <c:marker>
            <c:symbol val="none"/>
          </c:marker>
          <c:xVal>
            <c:numLit>
              <c:formatCode>General</c:formatCode>
              <c:ptCount val="2"/>
              <c:pt idx="0">
                <c:v>-9.7743638069967425</c:v>
              </c:pt>
              <c:pt idx="1">
                <c:v>-9.1779374688244388</c:v>
              </c:pt>
            </c:numLit>
          </c:xVal>
          <c:yVal>
            <c:numLit>
              <c:formatCode>General</c:formatCode>
              <c:ptCount val="2"/>
              <c:pt idx="0">
                <c:v>1.9527441400141971E-2</c:v>
              </c:pt>
              <c:pt idx="1">
                <c:v>1.957580548979225E-2</c:v>
              </c:pt>
            </c:numLit>
          </c:yVal>
          <c:smooth val="0"/>
          <c:extLst>
            <c:ext xmlns:c16="http://schemas.microsoft.com/office/drawing/2014/chart" uri="{C3380CC4-5D6E-409C-BE32-E72D297353CC}">
              <c16:uniqueId val="{00000066-98E7-4814-B79B-4796DEC62FAC}"/>
            </c:ext>
          </c:extLst>
        </c:ser>
        <c:ser>
          <c:idx val="103"/>
          <c:order val="103"/>
          <c:spPr>
            <a:ln w="3175">
              <a:solidFill>
                <a:srgbClr val="000000"/>
              </a:solidFill>
              <a:prstDash val="solid"/>
            </a:ln>
          </c:spPr>
          <c:marker>
            <c:symbol val="none"/>
          </c:marker>
          <c:xVal>
            <c:numLit>
              <c:formatCode>General</c:formatCode>
              <c:ptCount val="2"/>
              <c:pt idx="0">
                <c:v>-9.7555947041230944</c:v>
              </c:pt>
              <c:pt idx="1">
                <c:v>-9.4577051402589021</c:v>
              </c:pt>
            </c:numLit>
          </c:xVal>
          <c:yVal>
            <c:numLit>
              <c:formatCode>General</c:formatCode>
              <c:ptCount val="2"/>
              <c:pt idx="0">
                <c:v>1.9406130083083659E-2</c:v>
              </c:pt>
              <c:pt idx="1">
                <c:v>1.9432403702340839E-2</c:v>
              </c:pt>
            </c:numLit>
          </c:yVal>
          <c:smooth val="0"/>
          <c:extLst>
            <c:ext xmlns:c16="http://schemas.microsoft.com/office/drawing/2014/chart" uri="{C3380CC4-5D6E-409C-BE32-E72D297353CC}">
              <c16:uniqueId val="{00000067-98E7-4814-B79B-4796DEC62FAC}"/>
            </c:ext>
          </c:extLst>
        </c:ser>
        <c:ser>
          <c:idx val="104"/>
          <c:order val="104"/>
          <c:spPr>
            <a:ln w="3175">
              <a:solidFill>
                <a:srgbClr val="000000"/>
              </a:solidFill>
              <a:prstDash val="solid"/>
            </a:ln>
          </c:spPr>
          <c:marker>
            <c:symbol val="none"/>
          </c:marker>
          <c:xVal>
            <c:numLit>
              <c:formatCode>General</c:formatCode>
              <c:ptCount val="2"/>
              <c:pt idx="0">
                <c:v>-9.7312495160578543</c:v>
              </c:pt>
              <c:pt idx="1">
                <c:v>-9.4337796968154759</c:v>
              </c:pt>
            </c:numLit>
          </c:xVal>
          <c:yVal>
            <c:numLit>
              <c:formatCode>General</c:formatCode>
              <c:ptCount val="2"/>
              <c:pt idx="0">
                <c:v>1.9262042185935597E-2</c:v>
              </c:pt>
              <c:pt idx="1">
                <c:v>1.9290800079281533E-2</c:v>
              </c:pt>
            </c:numLit>
          </c:yVal>
          <c:smooth val="0"/>
          <c:extLst>
            <c:ext xmlns:c16="http://schemas.microsoft.com/office/drawing/2014/chart" uri="{C3380CC4-5D6E-409C-BE32-E72D297353CC}">
              <c16:uniqueId val="{00000068-98E7-4814-B79B-4796DEC62FAC}"/>
            </c:ext>
          </c:extLst>
        </c:ser>
        <c:ser>
          <c:idx val="105"/>
          <c:order val="105"/>
          <c:spPr>
            <a:ln w="3175">
              <a:solidFill>
                <a:srgbClr val="000000"/>
              </a:solidFill>
              <a:prstDash val="solid"/>
            </a:ln>
          </c:spPr>
          <c:marker>
            <c:symbol val="none"/>
          </c:marker>
          <c:xVal>
            <c:numLit>
              <c:formatCode>General</c:formatCode>
              <c:ptCount val="2"/>
              <c:pt idx="0">
                <c:v>-9.6988930377242379</c:v>
              </c:pt>
              <c:pt idx="1">
                <c:v>-9.1050691398716754</c:v>
              </c:pt>
            </c:numLit>
          </c:xVal>
          <c:yVal>
            <c:numLit>
              <c:formatCode>General</c:formatCode>
              <c:ptCount val="2"/>
              <c:pt idx="0">
                <c:v>1.9088173676807301E-2</c:v>
              </c:pt>
              <c:pt idx="1">
                <c:v>1.9151684929331187E-2</c:v>
              </c:pt>
            </c:numLit>
          </c:yVal>
          <c:smooth val="0"/>
          <c:extLst>
            <c:ext xmlns:c16="http://schemas.microsoft.com/office/drawing/2014/chart" uri="{C3380CC4-5D6E-409C-BE32-E72D297353CC}">
              <c16:uniqueId val="{00000069-98E7-4814-B79B-4796DEC62FAC}"/>
            </c:ext>
          </c:extLst>
        </c:ser>
        <c:ser>
          <c:idx val="106"/>
          <c:order val="106"/>
          <c:spPr>
            <a:ln w="3175">
              <a:solidFill>
                <a:srgbClr val="000000"/>
              </a:solidFill>
              <a:prstDash val="solid"/>
            </a:ln>
          </c:spPr>
          <c:marker>
            <c:symbol val="none"/>
          </c:marker>
          <c:xVal>
            <c:numLit>
              <c:formatCode>General</c:formatCode>
              <c:ptCount val="2"/>
              <c:pt idx="0">
                <c:v>-9.6546103310984979</c:v>
              </c:pt>
              <c:pt idx="1">
                <c:v>-9.3584618771140402</c:v>
              </c:pt>
            </c:numLit>
          </c:xVal>
          <c:yVal>
            <c:numLit>
              <c:formatCode>General</c:formatCode>
              <c:ptCount val="2"/>
              <c:pt idx="0">
                <c:v>1.8874364740294421E-2</c:v>
              </c:pt>
              <c:pt idx="1">
                <c:v>1.8909806727530724E-2</c:v>
              </c:pt>
            </c:numLit>
          </c:yVal>
          <c:smooth val="0"/>
          <c:extLst>
            <c:ext xmlns:c16="http://schemas.microsoft.com/office/drawing/2014/chart" uri="{C3380CC4-5D6E-409C-BE32-E72D297353CC}">
              <c16:uniqueId val="{0000006A-98E7-4814-B79B-4796DEC62FAC}"/>
            </c:ext>
          </c:extLst>
        </c:ser>
        <c:ser>
          <c:idx val="107"/>
          <c:order val="107"/>
          <c:spPr>
            <a:ln w="3175">
              <a:solidFill>
                <a:srgbClr val="000000"/>
              </a:solidFill>
              <a:prstDash val="solid"/>
            </a:ln>
          </c:spPr>
          <c:marker>
            <c:symbol val="none"/>
          </c:marker>
          <c:xVal>
            <c:numLit>
              <c:formatCode>General</c:formatCode>
              <c:ptCount val="2"/>
              <c:pt idx="0">
                <c:v>-9.5917920119000488</c:v>
              </c:pt>
              <c:pt idx="1">
                <c:v>-9.0016612528690114</c:v>
              </c:pt>
            </c:numLit>
          </c:xVal>
          <c:yVal>
            <c:numLit>
              <c:formatCode>General</c:formatCode>
              <c:ptCount val="2"/>
              <c:pt idx="0">
                <c:v>1.8605334220365727E-2</c:v>
              </c:pt>
              <c:pt idx="1">
                <c:v>1.8685495109318634E-2</c:v>
              </c:pt>
            </c:numLit>
          </c:yVal>
          <c:smooth val="0"/>
          <c:extLst>
            <c:ext xmlns:c16="http://schemas.microsoft.com/office/drawing/2014/chart" uri="{C3380CC4-5D6E-409C-BE32-E72D297353CC}">
              <c16:uniqueId val="{0000006B-98E7-4814-B79B-4796DEC62FAC}"/>
            </c:ext>
          </c:extLst>
        </c:ser>
        <c:ser>
          <c:idx val="108"/>
          <c:order val="108"/>
          <c:spPr>
            <a:ln w="3175">
              <a:solidFill>
                <a:srgbClr val="000000"/>
              </a:solidFill>
              <a:prstDash val="solid"/>
            </a:ln>
          </c:spPr>
          <c:marker>
            <c:symbol val="none"/>
          </c:marker>
          <c:xVal>
            <c:numLit>
              <c:formatCode>General</c:formatCode>
              <c:ptCount val="2"/>
              <c:pt idx="0">
                <c:v>-9.5500552853147749</c:v>
              </c:pt>
              <c:pt idx="1">
                <c:v>-9.2557095045334847</c:v>
              </c:pt>
            </c:numLit>
          </c:xVal>
          <c:yVal>
            <c:numLit>
              <c:formatCode>General</c:formatCode>
              <c:ptCount val="2"/>
              <c:pt idx="0">
                <c:v>1.8443106339845548E-2</c:v>
              </c:pt>
              <c:pt idx="1">
                <c:v>1.8485983816744763E-2</c:v>
              </c:pt>
            </c:numLit>
          </c:yVal>
          <c:smooth val="0"/>
          <c:extLst>
            <c:ext xmlns:c16="http://schemas.microsoft.com/office/drawing/2014/chart" uri="{C3380CC4-5D6E-409C-BE32-E72D297353CC}">
              <c16:uniqueId val="{0000006C-98E7-4814-B79B-4796DEC62FAC}"/>
            </c:ext>
          </c:extLst>
        </c:ser>
        <c:ser>
          <c:idx val="109"/>
          <c:order val="109"/>
          <c:spPr>
            <a:ln w="3175">
              <a:solidFill>
                <a:srgbClr val="000000"/>
              </a:solidFill>
              <a:prstDash val="solid"/>
            </a:ln>
          </c:spPr>
          <c:marker>
            <c:symbol val="none"/>
          </c:marker>
          <c:xVal>
            <c:numLit>
              <c:formatCode>General</c:formatCode>
              <c:ptCount val="2"/>
              <c:pt idx="0">
                <c:v>-9.4985920174877663</c:v>
              </c:pt>
              <c:pt idx="1">
                <c:v>-8.9116750513674958</c:v>
              </c:pt>
            </c:numLit>
          </c:xVal>
          <c:yVal>
            <c:numLit>
              <c:formatCode>General</c:formatCode>
              <c:ptCount val="2"/>
              <c:pt idx="0">
                <c:v>1.8257081553294929E-2</c:v>
              </c:pt>
              <c:pt idx="1">
                <c:v>1.8349251154905447E-2</c:v>
              </c:pt>
            </c:numLit>
          </c:yVal>
          <c:smooth val="0"/>
          <c:extLst>
            <c:ext xmlns:c16="http://schemas.microsoft.com/office/drawing/2014/chart" uri="{C3380CC4-5D6E-409C-BE32-E72D297353CC}">
              <c16:uniqueId val="{0000006D-98E7-4814-B79B-4796DEC62FAC}"/>
            </c:ext>
          </c:extLst>
        </c:ser>
        <c:ser>
          <c:idx val="110"/>
          <c:order val="110"/>
          <c:spPr>
            <a:ln w="3175">
              <a:solidFill>
                <a:srgbClr val="000000"/>
              </a:solidFill>
              <a:prstDash val="solid"/>
            </a:ln>
          </c:spPr>
          <c:marker>
            <c:symbol val="none"/>
          </c:marker>
          <c:xVal>
            <c:numLit>
              <c:formatCode>General</c:formatCode>
              <c:ptCount val="2"/>
              <c:pt idx="0">
                <c:v>-9.4341733564072943</c:v>
              </c:pt>
              <c:pt idx="1">
                <c:v>-9.1418255399175123</c:v>
              </c:pt>
            </c:numLit>
          </c:xVal>
          <c:yVal>
            <c:numLit>
              <c:formatCode>General</c:formatCode>
              <c:ptCount val="2"/>
              <c:pt idx="0">
                <c:v>1.8041765933534418E-2</c:v>
              </c:pt>
              <c:pt idx="1">
                <c:v>1.8091563072611408E-2</c:v>
              </c:pt>
            </c:numLit>
          </c:yVal>
          <c:smooth val="0"/>
          <c:extLst>
            <c:ext xmlns:c16="http://schemas.microsoft.com/office/drawing/2014/chart" uri="{C3380CC4-5D6E-409C-BE32-E72D297353CC}">
              <c16:uniqueId val="{0000006E-98E7-4814-B79B-4796DEC62FAC}"/>
            </c:ext>
          </c:extLst>
        </c:ser>
        <c:ser>
          <c:idx val="111"/>
          <c:order val="111"/>
          <c:spPr>
            <a:ln w="3175">
              <a:solidFill>
                <a:srgbClr val="000000"/>
              </a:solidFill>
              <a:prstDash val="solid"/>
            </a:ln>
          </c:spPr>
          <c:marker>
            <c:symbol val="none"/>
          </c:marker>
          <c:xVal>
            <c:numLit>
              <c:formatCode>General</c:formatCode>
              <c:ptCount val="2"/>
              <c:pt idx="0">
                <c:v>-9.3521355422659074</c:v>
              </c:pt>
              <c:pt idx="1">
                <c:v>-8.7702687994291519</c:v>
              </c:pt>
            </c:numLit>
          </c:xVal>
          <c:yVal>
            <c:numLit>
              <c:formatCode>General</c:formatCode>
              <c:ptCount val="2"/>
              <c:pt idx="0">
                <c:v>1.7789900045223919E-2</c:v>
              </c:pt>
              <c:pt idx="1">
                <c:v>1.7898179354009301E-2</c:v>
              </c:pt>
            </c:numLit>
          </c:yVal>
          <c:smooth val="0"/>
          <c:extLst>
            <c:ext xmlns:c16="http://schemas.microsoft.com/office/drawing/2014/chart" uri="{C3380CC4-5D6E-409C-BE32-E72D297353CC}">
              <c16:uniqueId val="{0000006F-98E7-4814-B79B-4796DEC62FAC}"/>
            </c:ext>
          </c:extLst>
        </c:ser>
        <c:ser>
          <c:idx val="112"/>
          <c:order val="112"/>
          <c:spPr>
            <a:ln w="3175">
              <a:solidFill>
                <a:srgbClr val="000000"/>
              </a:solidFill>
              <a:prstDash val="solid"/>
            </a:ln>
          </c:spPr>
          <c:marker>
            <c:symbol val="none"/>
          </c:marker>
          <c:xVal>
            <c:numLit>
              <c:formatCode>General</c:formatCode>
              <c:ptCount val="2"/>
              <c:pt idx="0">
                <c:v>-9.2455590364770597</c:v>
              </c:pt>
              <c:pt idx="1">
                <c:v>-8.9564631910205588</c:v>
              </c:pt>
            </c:numLit>
          </c:xVal>
          <c:yVal>
            <c:numLit>
              <c:formatCode>General</c:formatCode>
              <c:ptCount val="2"/>
              <c:pt idx="0">
                <c:v>1.7491727600755014E-2</c:v>
              </c:pt>
              <c:pt idx="1">
                <c:v>1.7551008159362686E-2</c:v>
              </c:pt>
            </c:numLit>
          </c:yVal>
          <c:smooth val="0"/>
          <c:extLst>
            <c:ext xmlns:c16="http://schemas.microsoft.com/office/drawing/2014/chart" uri="{C3380CC4-5D6E-409C-BE32-E72D297353CC}">
              <c16:uniqueId val="{00000070-98E7-4814-B79B-4796DEC62FAC}"/>
            </c:ext>
          </c:extLst>
        </c:ser>
        <c:ser>
          <c:idx val="113"/>
          <c:order val="113"/>
          <c:spPr>
            <a:ln w="3175">
              <a:solidFill>
                <a:srgbClr val="000000"/>
              </a:solidFill>
              <a:prstDash val="solid"/>
            </a:ln>
          </c:spPr>
          <c:marker>
            <c:symbol val="none"/>
          </c:marker>
          <c:xVal>
            <c:numLit>
              <c:formatCode>General</c:formatCode>
              <c:ptCount val="2"/>
              <c:pt idx="0">
                <c:v>-9.1038600359190358</c:v>
              </c:pt>
              <c:pt idx="1">
                <c:v>-8.530554517439068</c:v>
              </c:pt>
            </c:numLit>
          </c:xVal>
          <c:yVal>
            <c:numLit>
              <c:formatCode>General</c:formatCode>
              <c:ptCount val="2"/>
              <c:pt idx="0">
                <c:v>1.7133900318625845E-2</c:v>
              </c:pt>
              <c:pt idx="1">
                <c:v>1.7264800307638748E-2</c:v>
              </c:pt>
            </c:numLit>
          </c:yVal>
          <c:smooth val="0"/>
          <c:extLst>
            <c:ext xmlns:c16="http://schemas.microsoft.com/office/drawing/2014/chart" uri="{C3380CC4-5D6E-409C-BE32-E72D297353CC}">
              <c16:uniqueId val="{00000071-98E7-4814-B79B-4796DEC62FAC}"/>
            </c:ext>
          </c:extLst>
        </c:ser>
        <c:ser>
          <c:idx val="114"/>
          <c:order val="114"/>
          <c:spPr>
            <a:ln w="3175">
              <a:solidFill>
                <a:srgbClr val="000000"/>
              </a:solidFill>
              <a:prstDash val="solid"/>
            </a:ln>
          </c:spPr>
          <c:marker>
            <c:symbol val="none"/>
          </c:marker>
          <c:xVal>
            <c:numLit>
              <c:formatCode>General</c:formatCode>
              <c:ptCount val="2"/>
              <c:pt idx="0">
                <c:v>-9.033886916005148</c:v>
              </c:pt>
              <c:pt idx="1">
                <c:v>-8.748440589867128</c:v>
              </c:pt>
            </c:numLit>
          </c:xVal>
          <c:yVal>
            <c:numLit>
              <c:formatCode>General</c:formatCode>
              <c:ptCount val="2"/>
              <c:pt idx="0">
                <c:v>1.6970127856038714E-2</c:v>
              </c:pt>
              <c:pt idx="1">
                <c:v>1.7038401513693218E-2</c:v>
              </c:pt>
            </c:numLit>
          </c:yVal>
          <c:smooth val="0"/>
          <c:extLst>
            <c:ext xmlns:c16="http://schemas.microsoft.com/office/drawing/2014/chart" uri="{C3380CC4-5D6E-409C-BE32-E72D297353CC}">
              <c16:uniqueId val="{00000072-98E7-4814-B79B-4796DEC62FAC}"/>
            </c:ext>
          </c:extLst>
        </c:ser>
        <c:ser>
          <c:idx val="115"/>
          <c:order val="115"/>
          <c:spPr>
            <a:ln w="3175">
              <a:solidFill>
                <a:srgbClr val="000000"/>
              </a:solidFill>
              <a:prstDash val="solid"/>
            </a:ln>
          </c:spPr>
          <c:marker>
            <c:symbol val="none"/>
          </c:marker>
          <c:xVal>
            <c:numLit>
              <c:formatCode>General</c:formatCode>
              <c:ptCount val="2"/>
              <c:pt idx="0">
                <c:v>-8.954260939861248</c:v>
              </c:pt>
              <c:pt idx="1">
                <c:v>-8.6701874753808799</c:v>
              </c:pt>
            </c:numLit>
          </c:xVal>
          <c:yVal>
            <c:numLit>
              <c:formatCode>General</c:formatCode>
              <c:ptCount val="2"/>
              <c:pt idx="0">
                <c:v>1.6792426733524612E-2</c:v>
              </c:pt>
              <c:pt idx="1">
                <c:v>1.6863764203636257E-2</c:v>
              </c:pt>
            </c:numLit>
          </c:yVal>
          <c:smooth val="0"/>
          <c:extLst>
            <c:ext xmlns:c16="http://schemas.microsoft.com/office/drawing/2014/chart" uri="{C3380CC4-5D6E-409C-BE32-E72D297353CC}">
              <c16:uniqueId val="{00000073-98E7-4814-B79B-4796DEC62FAC}"/>
            </c:ext>
          </c:extLst>
        </c:ser>
        <c:ser>
          <c:idx val="116"/>
          <c:order val="116"/>
          <c:spPr>
            <a:ln w="3175">
              <a:solidFill>
                <a:srgbClr val="000000"/>
              </a:solidFill>
              <a:prstDash val="solid"/>
            </a:ln>
          </c:spPr>
          <c:marker>
            <c:symbol val="none"/>
          </c:marker>
          <c:xVal>
            <c:numLit>
              <c:formatCode>General</c:formatCode>
              <c:ptCount val="2"/>
              <c:pt idx="0">
                <c:v>-8.8631822315685405</c:v>
              </c:pt>
              <c:pt idx="1">
                <c:v>-8.5806790896449439</c:v>
              </c:pt>
            </c:numLit>
          </c:xVal>
          <c:yVal>
            <c:numLit>
              <c:formatCode>General</c:formatCode>
              <c:ptCount val="2"/>
              <c:pt idx="0">
                <c:v>1.6599076898329495E-2</c:v>
              </c:pt>
              <c:pt idx="1">
                <c:v>1.6673747986289334E-2</c:v>
              </c:pt>
            </c:numLit>
          </c:yVal>
          <c:smooth val="0"/>
          <c:extLst>
            <c:ext xmlns:c16="http://schemas.microsoft.com/office/drawing/2014/chart" uri="{C3380CC4-5D6E-409C-BE32-E72D297353CC}">
              <c16:uniqueId val="{00000074-98E7-4814-B79B-4796DEC62FAC}"/>
            </c:ext>
          </c:extLst>
        </c:ser>
        <c:ser>
          <c:idx val="117"/>
          <c:order val="117"/>
          <c:spPr>
            <a:ln w="3175">
              <a:solidFill>
                <a:srgbClr val="000000"/>
              </a:solidFill>
              <a:prstDash val="solid"/>
            </a:ln>
          </c:spPr>
          <c:marker>
            <c:symbol val="none"/>
          </c:marker>
          <c:xVal>
            <c:numLit>
              <c:formatCode>General</c:formatCode>
              <c:ptCount val="2"/>
              <c:pt idx="0">
                <c:v>-8.7584282202067296</c:v>
              </c:pt>
              <c:pt idx="1">
                <c:v>-8.477731181927302</c:v>
              </c:pt>
            </c:numLit>
          </c:xVal>
          <c:yVal>
            <c:numLit>
              <c:formatCode>General</c:formatCode>
              <c:ptCount val="2"/>
              <c:pt idx="0">
                <c:v>1.6388094622981707E-2</c:v>
              </c:pt>
              <c:pt idx="1">
                <c:v>1.6466403336378575E-2</c:v>
              </c:pt>
            </c:numLit>
          </c:yVal>
          <c:smooth val="0"/>
          <c:extLst>
            <c:ext xmlns:c16="http://schemas.microsoft.com/office/drawing/2014/chart" uri="{C3380CC4-5D6E-409C-BE32-E72D297353CC}">
              <c16:uniqueId val="{00000075-98E7-4814-B79B-4796DEC62FAC}"/>
            </c:ext>
          </c:extLst>
        </c:ser>
        <c:ser>
          <c:idx val="118"/>
          <c:order val="118"/>
          <c:spPr>
            <a:ln w="3175">
              <a:solidFill>
                <a:srgbClr val="000000"/>
              </a:solidFill>
              <a:prstDash val="solid"/>
            </a:ln>
          </c:spPr>
          <c:marker>
            <c:symbol val="none"/>
          </c:marker>
          <c:xVal>
            <c:numLit>
              <c:formatCode>General</c:formatCode>
              <c:ptCount val="2"/>
              <c:pt idx="0">
                <c:v>-8.6372348348493126</c:v>
              </c:pt>
              <c:pt idx="1">
                <c:v>-8.0800198405441641</c:v>
              </c:pt>
            </c:numLit>
          </c:xVal>
          <c:yVal>
            <c:numLit>
              <c:formatCode>General</c:formatCode>
              <c:ptCount val="2"/>
              <c:pt idx="0">
                <c:v>1.6157190180898885E-2</c:v>
              </c:pt>
              <c:pt idx="1">
                <c:v>1.6321769829833407E-2</c:v>
              </c:pt>
            </c:numLit>
          </c:yVal>
          <c:smooth val="0"/>
          <c:extLst>
            <c:ext xmlns:c16="http://schemas.microsoft.com/office/drawing/2014/chart" uri="{C3380CC4-5D6E-409C-BE32-E72D297353CC}">
              <c16:uniqueId val="{00000076-98E7-4814-B79B-4796DEC62FAC}"/>
            </c:ext>
          </c:extLst>
        </c:ser>
        <c:ser>
          <c:idx val="119"/>
          <c:order val="119"/>
          <c:spPr>
            <a:ln w="3175">
              <a:solidFill>
                <a:srgbClr val="000000"/>
              </a:solidFill>
              <a:prstDash val="solid"/>
            </a:ln>
          </c:spPr>
          <c:marker>
            <c:symbol val="none"/>
          </c:marker>
          <c:xVal>
            <c:numLit>
              <c:formatCode>General</c:formatCode>
              <c:ptCount val="2"/>
              <c:pt idx="0">
                <c:v>-8.5694238961193641</c:v>
              </c:pt>
              <c:pt idx="1">
                <c:v>-8.2919855530828226</c:v>
              </c:pt>
            </c:numLit>
          </c:xVal>
          <c:yVal>
            <c:numLit>
              <c:formatCode>General</c:formatCode>
              <c:ptCount val="2"/>
              <c:pt idx="0">
                <c:v>1.6033456612372633E-2</c:v>
              </c:pt>
              <c:pt idx="1">
                <c:v>1.611787977422828E-2</c:v>
              </c:pt>
            </c:numLit>
          </c:yVal>
          <c:smooth val="0"/>
          <c:extLst>
            <c:ext xmlns:c16="http://schemas.microsoft.com/office/drawing/2014/chart" uri="{C3380CC4-5D6E-409C-BE32-E72D297353CC}">
              <c16:uniqueId val="{00000077-98E7-4814-B79B-4796DEC62FAC}"/>
            </c:ext>
          </c:extLst>
        </c:ser>
        <c:ser>
          <c:idx val="120"/>
          <c:order val="120"/>
          <c:spPr>
            <a:ln w="3175">
              <a:solidFill>
                <a:srgbClr val="000000"/>
              </a:solidFill>
              <a:prstDash val="solid"/>
            </a:ln>
          </c:spPr>
          <c:marker>
            <c:symbol val="none"/>
          </c:marker>
          <c:xVal>
            <c:numLit>
              <c:formatCode>General</c:formatCode>
              <c:ptCount val="2"/>
              <c:pt idx="0">
                <c:v>-8.496139552640436</c:v>
              </c:pt>
              <c:pt idx="1">
                <c:v>-8.2199647327673251</c:v>
              </c:pt>
            </c:numLit>
          </c:xVal>
          <c:yVal>
            <c:numLit>
              <c:formatCode>General</c:formatCode>
              <c:ptCount val="2"/>
              <c:pt idx="0">
                <c:v>1.590372165004483E-2</c:v>
              </c:pt>
              <c:pt idx="1">
                <c:v>1.599038162159578E-2</c:v>
              </c:pt>
            </c:numLit>
          </c:yVal>
          <c:smooth val="0"/>
          <c:extLst>
            <c:ext xmlns:c16="http://schemas.microsoft.com/office/drawing/2014/chart" uri="{C3380CC4-5D6E-409C-BE32-E72D297353CC}">
              <c16:uniqueId val="{00000078-98E7-4814-B79B-4796DEC62FAC}"/>
            </c:ext>
          </c:extLst>
        </c:ser>
        <c:ser>
          <c:idx val="121"/>
          <c:order val="121"/>
          <c:spPr>
            <a:ln w="3175">
              <a:solidFill>
                <a:srgbClr val="000000"/>
              </a:solidFill>
              <a:prstDash val="solid"/>
            </a:ln>
          </c:spPr>
          <c:marker>
            <c:symbol val="none"/>
          </c:marker>
          <c:xVal>
            <c:numLit>
              <c:formatCode>General</c:formatCode>
              <c:ptCount val="2"/>
              <c:pt idx="0">
                <c:v>-8.4168057372568565</c:v>
              </c:pt>
              <c:pt idx="1">
                <c:v>-8.1419987417869102</c:v>
              </c:pt>
            </c:numLit>
          </c:xVal>
          <c:yVal>
            <c:numLit>
              <c:formatCode>General</c:formatCode>
              <c:ptCount val="2"/>
              <c:pt idx="0">
                <c:v>1.5767592217746176E-2</c:v>
              </c:pt>
              <c:pt idx="1">
                <c:v>1.5856599248474688E-2</c:v>
              </c:pt>
            </c:numLit>
          </c:yVal>
          <c:smooth val="0"/>
          <c:extLst>
            <c:ext xmlns:c16="http://schemas.microsoft.com/office/drawing/2014/chart" uri="{C3380CC4-5D6E-409C-BE32-E72D297353CC}">
              <c16:uniqueId val="{00000079-98E7-4814-B79B-4796DEC62FAC}"/>
            </c:ext>
          </c:extLst>
        </c:ser>
        <c:ser>
          <c:idx val="122"/>
          <c:order val="122"/>
          <c:spPr>
            <a:ln w="3175">
              <a:solidFill>
                <a:srgbClr val="000000"/>
              </a:solidFill>
              <a:prstDash val="solid"/>
            </a:ln>
          </c:spPr>
          <c:marker>
            <c:symbol val="none"/>
          </c:marker>
          <c:xVal>
            <c:numLit>
              <c:formatCode>General</c:formatCode>
              <c:ptCount val="2"/>
              <c:pt idx="0">
                <c:v>-8.3307730905498314</c:v>
              </c:pt>
              <c:pt idx="1">
                <c:v>-8.0574494165748334</c:v>
              </c:pt>
            </c:numLit>
          </c:xVal>
          <c:yVal>
            <c:numLit>
              <c:formatCode>General</c:formatCode>
              <c:ptCount val="2"/>
              <c:pt idx="0">
                <c:v>1.5624647462044871E-2</c:v>
              </c:pt>
              <c:pt idx="1">
                <c:v>1.5716119057526855E-2</c:v>
              </c:pt>
            </c:numLit>
          </c:yVal>
          <c:smooth val="0"/>
          <c:extLst>
            <c:ext xmlns:c16="http://schemas.microsoft.com/office/drawing/2014/chart" uri="{C3380CC4-5D6E-409C-BE32-E72D297353CC}">
              <c16:uniqueId val="{0000007A-98E7-4814-B79B-4796DEC62FAC}"/>
            </c:ext>
          </c:extLst>
        </c:ser>
        <c:ser>
          <c:idx val="123"/>
          <c:order val="123"/>
          <c:spPr>
            <a:ln w="3175">
              <a:solidFill>
                <a:srgbClr val="000000"/>
              </a:solidFill>
              <a:prstDash val="solid"/>
            </a:ln>
          </c:spPr>
          <c:marker>
            <c:symbol val="none"/>
          </c:marker>
          <c:xVal>
            <c:numLit>
              <c:formatCode>General</c:formatCode>
              <c:ptCount val="2"/>
              <c:pt idx="0">
                <c:v>-8.2373083506110412</c:v>
              </c:pt>
              <c:pt idx="1">
                <c:v>-7.6938839247279001</c:v>
              </c:pt>
            </c:numLit>
          </c:xVal>
          <c:yVal>
            <c:numLit>
              <c:formatCode>General</c:formatCode>
              <c:ptCount val="2"/>
              <c:pt idx="0">
                <c:v>1.5474437646003199E-2</c:v>
              </c:pt>
              <c:pt idx="1">
                <c:v>1.5662560485796194E-2</c:v>
              </c:pt>
            </c:numLit>
          </c:yVal>
          <c:smooth val="0"/>
          <c:extLst>
            <c:ext xmlns:c16="http://schemas.microsoft.com/office/drawing/2014/chart" uri="{C3380CC4-5D6E-409C-BE32-E72D297353CC}">
              <c16:uniqueId val="{0000007B-98E7-4814-B79B-4796DEC62FAC}"/>
            </c:ext>
          </c:extLst>
        </c:ser>
        <c:ser>
          <c:idx val="124"/>
          <c:order val="124"/>
          <c:spPr>
            <a:ln w="3175">
              <a:solidFill>
                <a:srgbClr val="000000"/>
              </a:solidFill>
              <a:prstDash val="solid"/>
            </a:ln>
          </c:spPr>
          <c:marker>
            <c:symbol val="none"/>
          </c:marker>
          <c:xVal>
            <c:numLit>
              <c:formatCode>General</c:formatCode>
              <c:ptCount val="2"/>
              <c:pt idx="0">
                <c:v>-8.135582109378646</c:v>
              </c:pt>
              <c:pt idx="1">
                <c:v>-7.865623797147979</c:v>
              </c:pt>
            </c:numLit>
          </c:xVal>
          <c:yVal>
            <c:numLit>
              <c:formatCode>General</c:formatCode>
              <c:ptCount val="2"/>
              <c:pt idx="0">
                <c:v>1.5316483392004664E-2</c:v>
              </c:pt>
              <c:pt idx="1">
                <c:v>1.5413268161108032E-2</c:v>
              </c:pt>
            </c:numLit>
          </c:yVal>
          <c:smooth val="0"/>
          <c:extLst>
            <c:ext xmlns:c16="http://schemas.microsoft.com/office/drawing/2014/chart" uri="{C3380CC4-5D6E-409C-BE32-E72D297353CC}">
              <c16:uniqueId val="{0000007C-98E7-4814-B79B-4796DEC62FAC}"/>
            </c:ext>
          </c:extLst>
        </c:ser>
        <c:ser>
          <c:idx val="125"/>
          <c:order val="125"/>
          <c:spPr>
            <a:ln w="3175">
              <a:solidFill>
                <a:srgbClr val="000000"/>
              </a:solidFill>
              <a:prstDash val="solid"/>
            </a:ln>
          </c:spPr>
          <c:marker>
            <c:symbol val="none"/>
          </c:marker>
          <c:xVal>
            <c:numLit>
              <c:formatCode>General</c:formatCode>
              <c:ptCount val="2"/>
              <c:pt idx="0">
                <c:v>-8.0246546988258096</c:v>
              </c:pt>
              <c:pt idx="1">
                <c:v>-7.7566089281563979</c:v>
              </c:pt>
            </c:numLit>
          </c:xVal>
          <c:yVal>
            <c:numLit>
              <c:formatCode>General</c:formatCode>
              <c:ptCount val="2"/>
              <c:pt idx="0">
                <c:v>1.5150275451951677E-2</c:v>
              </c:pt>
              <c:pt idx="1">
                <c:v>1.5249925875193889E-2</c:v>
              </c:pt>
            </c:numLit>
          </c:yVal>
          <c:smooth val="0"/>
          <c:extLst>
            <c:ext xmlns:c16="http://schemas.microsoft.com/office/drawing/2014/chart" uri="{C3380CC4-5D6E-409C-BE32-E72D297353CC}">
              <c16:uniqueId val="{0000007D-98E7-4814-B79B-4796DEC62FAC}"/>
            </c:ext>
          </c:extLst>
        </c:ser>
        <c:ser>
          <c:idx val="126"/>
          <c:order val="126"/>
          <c:spPr>
            <a:ln w="3175">
              <a:solidFill>
                <a:srgbClr val="000000"/>
              </a:solidFill>
              <a:prstDash val="solid"/>
            </a:ln>
          </c:spPr>
          <c:marker>
            <c:symbol val="none"/>
          </c:marker>
          <c:xVal>
            <c:numLit>
              <c:formatCode>General</c:formatCode>
              <c:ptCount val="2"/>
              <c:pt idx="0">
                <c:v>-7.9034599509797507</c:v>
              </c:pt>
              <c:pt idx="1">
                <c:v>-7.6375037449283747</c:v>
              </c:pt>
            </c:numLit>
          </c:xVal>
          <c:yVal>
            <c:numLit>
              <c:formatCode>General</c:formatCode>
              <c:ptCount val="2"/>
              <c:pt idx="0">
                <c:v>1.4975275245324009E-2</c:v>
              </c:pt>
              <c:pt idx="1">
                <c:v>1.5077942913508079E-2</c:v>
              </c:pt>
            </c:numLit>
          </c:yVal>
          <c:smooth val="0"/>
          <c:extLst>
            <c:ext xmlns:c16="http://schemas.microsoft.com/office/drawing/2014/chart" uri="{C3380CC4-5D6E-409C-BE32-E72D297353CC}">
              <c16:uniqueId val="{0000007E-98E7-4814-B79B-4796DEC62FAC}"/>
            </c:ext>
          </c:extLst>
        </c:ser>
        <c:ser>
          <c:idx val="127"/>
          <c:order val="127"/>
          <c:spPr>
            <a:ln w="3175">
              <a:solidFill>
                <a:srgbClr val="000000"/>
              </a:solidFill>
              <a:prstDash val="solid"/>
            </a:ln>
          </c:spPr>
          <c:marker>
            <c:symbol val="none"/>
          </c:marker>
          <c:xVal>
            <c:numLit>
              <c:formatCode>General</c:formatCode>
              <c:ptCount val="2"/>
              <c:pt idx="0">
                <c:v>-7.7707865642283949</c:v>
              </c:pt>
              <c:pt idx="1">
                <c:v>-7.5071178303623878</c:v>
              </c:pt>
            </c:numLit>
          </c:xVal>
          <c:yVal>
            <c:numLit>
              <c:formatCode>General</c:formatCode>
              <c:ptCount val="2"/>
              <c:pt idx="0">
                <c:v>1.4790916486985731E-2</c:v>
              </c:pt>
              <c:pt idx="1">
                <c:v>1.4896762754451495E-2</c:v>
              </c:pt>
            </c:numLit>
          </c:yVal>
          <c:smooth val="0"/>
          <c:extLst>
            <c:ext xmlns:c16="http://schemas.microsoft.com/office/drawing/2014/chart" uri="{C3380CC4-5D6E-409C-BE32-E72D297353CC}">
              <c16:uniqueId val="{0000007F-98E7-4814-B79B-4796DEC62FAC}"/>
            </c:ext>
          </c:extLst>
        </c:ser>
        <c:ser>
          <c:idx val="128"/>
          <c:order val="128"/>
          <c:spPr>
            <a:ln w="3175">
              <a:solidFill>
                <a:srgbClr val="000000"/>
              </a:solidFill>
              <a:prstDash val="solid"/>
            </a:ln>
          </c:spPr>
          <c:marker>
            <c:symbol val="none"/>
          </c:marker>
          <c:xVal>
            <c:numLit>
              <c:formatCode>General</c:formatCode>
              <c:ptCount val="2"/>
              <c:pt idx="0">
                <c:v>-7.6252568113761559</c:v>
              </c:pt>
              <c:pt idx="1">
                <c:v>-7.1029376109838731</c:v>
              </c:pt>
            </c:numLit>
          </c:xVal>
          <c:yVal>
            <c:numLit>
              <c:formatCode>General</c:formatCode>
              <c:ptCount val="2"/>
              <c:pt idx="0">
                <c:v>1.4596608332400495E-2</c:v>
              </c:pt>
              <c:pt idx="1">
                <c:v>1.4815001148524616E-2</c:v>
              </c:pt>
            </c:numLit>
          </c:yVal>
          <c:smooth val="0"/>
          <c:extLst>
            <c:ext xmlns:c16="http://schemas.microsoft.com/office/drawing/2014/chart" uri="{C3380CC4-5D6E-409C-BE32-E72D297353CC}">
              <c16:uniqueId val="{00000080-98E7-4814-B79B-4796DEC62FAC}"/>
            </c:ext>
          </c:extLst>
        </c:ser>
        <c:ser>
          <c:idx val="129"/>
          <c:order val="129"/>
          <c:spPr>
            <a:ln w="3175">
              <a:solidFill>
                <a:srgbClr val="000000"/>
              </a:solidFill>
              <a:prstDash val="solid"/>
            </a:ln>
          </c:spPr>
          <c:marker>
            <c:symbol val="none"/>
          </c:marker>
          <c:xVal>
            <c:numLit>
              <c:formatCode>General</c:formatCode>
              <c:ptCount val="2"/>
              <c:pt idx="0">
                <c:v>-7.4653023527450681</c:v>
              </c:pt>
              <c:pt idx="1">
                <c:v>-7.2069005880425658</c:v>
              </c:pt>
            </c:numLit>
          </c:xVal>
          <c:yVal>
            <c:numLit>
              <c:formatCode>General</c:formatCode>
              <c:ptCount val="2"/>
              <c:pt idx="0">
                <c:v>1.4391740604136366E-2</c:v>
              </c:pt>
              <c:pt idx="1">
                <c:v>1.4504469214409878E-2</c:v>
              </c:pt>
            </c:numLit>
          </c:yVal>
          <c:smooth val="0"/>
          <c:extLst>
            <c:ext xmlns:c16="http://schemas.microsoft.com/office/drawing/2014/chart" uri="{C3380CC4-5D6E-409C-BE32-E72D297353CC}">
              <c16:uniqueId val="{00000081-98E7-4814-B79B-4796DEC62FAC}"/>
            </c:ext>
          </c:extLst>
        </c:ser>
        <c:ser>
          <c:idx val="130"/>
          <c:order val="130"/>
          <c:spPr>
            <a:ln w="3175">
              <a:solidFill>
                <a:srgbClr val="000000"/>
              </a:solidFill>
              <a:prstDash val="solid"/>
            </a:ln>
          </c:spPr>
          <c:marker>
            <c:symbol val="none"/>
          </c:marker>
          <c:xVal>
            <c:numLit>
              <c:formatCode>General</c:formatCode>
              <c:ptCount val="2"/>
              <c:pt idx="0">
                <c:v>-7.2891369857220321</c:v>
              </c:pt>
              <c:pt idx="1">
                <c:v>-7.0337725549337202</c:v>
              </c:pt>
            </c:numLit>
          </c:xVal>
          <c:yVal>
            <c:numLit>
              <c:formatCode>General</c:formatCode>
              <c:ptCount val="2"/>
              <c:pt idx="0">
                <c:v>1.4175691836973547E-2</c:v>
              </c:pt>
              <c:pt idx="1">
                <c:v>1.4292145425991245E-2</c:v>
              </c:pt>
            </c:numLit>
          </c:yVal>
          <c:smooth val="0"/>
          <c:extLst>
            <c:ext xmlns:c16="http://schemas.microsoft.com/office/drawing/2014/chart" uri="{C3380CC4-5D6E-409C-BE32-E72D297353CC}">
              <c16:uniqueId val="{00000082-98E7-4814-B79B-4796DEC62FAC}"/>
            </c:ext>
          </c:extLst>
        </c:ser>
        <c:ser>
          <c:idx val="131"/>
          <c:order val="131"/>
          <c:spPr>
            <a:ln w="3175">
              <a:solidFill>
                <a:srgbClr val="000000"/>
              </a:solidFill>
              <a:prstDash val="solid"/>
            </a:ln>
          </c:spPr>
          <c:marker>
            <c:symbol val="none"/>
          </c:marker>
          <c:xVal>
            <c:numLit>
              <c:formatCode>General</c:formatCode>
              <c:ptCount val="2"/>
              <c:pt idx="0">
                <c:v>-7.0947262932026645</c:v>
              </c:pt>
              <c:pt idx="1">
                <c:v>-6.8427137709060659</c:v>
              </c:pt>
            </c:numLit>
          </c:xVal>
          <c:yVal>
            <c:numLit>
              <c:formatCode>General</c:formatCode>
              <c:ptCount val="2"/>
              <c:pt idx="0">
                <c:v>1.3947841096409371E-2</c:v>
              </c:pt>
              <c:pt idx="1">
                <c:v>1.4068223146471279E-2</c:v>
              </c:pt>
            </c:numLit>
          </c:yVal>
          <c:smooth val="0"/>
          <c:extLst>
            <c:ext xmlns:c16="http://schemas.microsoft.com/office/drawing/2014/chart" uri="{C3380CC4-5D6E-409C-BE32-E72D297353CC}">
              <c16:uniqueId val="{00000083-98E7-4814-B79B-4796DEC62FAC}"/>
            </c:ext>
          </c:extLst>
        </c:ser>
        <c:ser>
          <c:idx val="132"/>
          <c:order val="132"/>
          <c:spPr>
            <a:ln w="3175">
              <a:solidFill>
                <a:srgbClr val="000000"/>
              </a:solidFill>
              <a:prstDash val="solid"/>
            </a:ln>
          </c:spPr>
          <c:marker>
            <c:symbol val="none"/>
          </c:marker>
          <c:xVal>
            <c:numLit>
              <c:formatCode>General</c:formatCode>
              <c:ptCount val="2"/>
              <c:pt idx="0">
                <c:v>-6.8797543799888556</c:v>
              </c:pt>
              <c:pt idx="1">
                <c:v>-6.6314482699890469</c:v>
              </c:pt>
            </c:numLit>
          </c:xVal>
          <c:yVal>
            <c:numLit>
              <c:formatCode>General</c:formatCode>
              <c:ptCount val="2"/>
              <c:pt idx="0">
                <c:v>1.3707584792488141E-2</c:v>
              </c:pt>
              <c:pt idx="1">
                <c:v>1.3832109192617657E-2</c:v>
              </c:pt>
            </c:numLit>
          </c:yVal>
          <c:smooth val="0"/>
          <c:extLst>
            <c:ext xmlns:c16="http://schemas.microsoft.com/office/drawing/2014/chart" uri="{C3380CC4-5D6E-409C-BE32-E72D297353CC}">
              <c16:uniqueId val="{00000084-98E7-4814-B79B-4796DEC62FAC}"/>
            </c:ext>
          </c:extLst>
        </c:ser>
        <c:ser>
          <c:idx val="133"/>
          <c:order val="133"/>
          <c:spPr>
            <a:ln w="3175">
              <a:solidFill>
                <a:srgbClr val="000000"/>
              </a:solidFill>
              <a:prstDash val="solid"/>
            </a:ln>
          </c:spPr>
          <c:marker>
            <c:symbol val="none"/>
          </c:marker>
          <c:xVal>
            <c:numLit>
              <c:formatCode>General</c:formatCode>
              <c:ptCount val="2"/>
              <c:pt idx="0">
                <c:v>-6.6415882541581794</c:v>
              </c:pt>
              <c:pt idx="1">
                <c:v>-6.1531886591872063</c:v>
              </c:pt>
            </c:numLit>
          </c:xVal>
          <c:yVal>
            <c:numLit>
              <c:formatCode>General</c:formatCode>
              <c:ptCount val="2"/>
              <c:pt idx="0">
                <c:v>1.3454360029547155E-2</c:v>
              </c:pt>
              <c:pt idx="1">
                <c:v>1.3712140718183462E-2</c:v>
              </c:pt>
            </c:numLit>
          </c:yVal>
          <c:smooth val="0"/>
          <c:extLst>
            <c:ext xmlns:c16="http://schemas.microsoft.com/office/drawing/2014/chart" uri="{C3380CC4-5D6E-409C-BE32-E72D297353CC}">
              <c16:uniqueId val="{00000085-98E7-4814-B79B-4796DEC62FAC}"/>
            </c:ext>
          </c:extLst>
        </c:ser>
        <c:ser>
          <c:idx val="134"/>
          <c:order val="134"/>
          <c:spPr>
            <a:ln w="3175">
              <a:solidFill>
                <a:srgbClr val="000000"/>
              </a:solidFill>
              <a:prstDash val="solid"/>
            </a:ln>
          </c:spPr>
          <c:marker>
            <c:symbol val="none"/>
          </c:marker>
          <c:xVal>
            <c:numLit>
              <c:formatCode>General</c:formatCode>
              <c:ptCount val="2"/>
              <c:pt idx="0">
                <c:v>-6.5128887746212865</c:v>
              </c:pt>
              <c:pt idx="1">
                <c:v>-6.2709079336795401</c:v>
              </c:pt>
            </c:numLit>
          </c:xVal>
          <c:yVal>
            <c:numLit>
              <c:formatCode>General</c:formatCode>
              <c:ptCount val="2"/>
              <c:pt idx="0">
                <c:v>1.3322727312893847E-2</c:v>
              </c:pt>
              <c:pt idx="1">
                <c:v>1.3453887186809472E-2</c:v>
              </c:pt>
            </c:numLit>
          </c:yVal>
          <c:smooth val="0"/>
          <c:extLst>
            <c:ext xmlns:c16="http://schemas.microsoft.com/office/drawing/2014/chart" uri="{C3380CC4-5D6E-409C-BE32-E72D297353CC}">
              <c16:uniqueId val="{00000086-98E7-4814-B79B-4796DEC62FAC}"/>
            </c:ext>
          </c:extLst>
        </c:ser>
        <c:ser>
          <c:idx val="135"/>
          <c:order val="135"/>
          <c:spPr>
            <a:ln w="3175">
              <a:solidFill>
                <a:srgbClr val="000000"/>
              </a:solidFill>
              <a:prstDash val="solid"/>
            </a:ln>
          </c:spPr>
          <c:marker>
            <c:symbol val="none"/>
          </c:marker>
          <c:xVal>
            <c:numLit>
              <c:formatCode>General</c:formatCode>
              <c:ptCount val="2"/>
              <c:pt idx="0">
                <c:v>-6.377240982176394</c:v>
              </c:pt>
              <c:pt idx="1">
                <c:v>-5.8979568103772069</c:v>
              </c:pt>
            </c:numLit>
          </c:xVal>
          <c:yVal>
            <c:numLit>
              <c:formatCode>General</c:formatCode>
              <c:ptCount val="2"/>
              <c:pt idx="0">
                <c:v>1.3187676396417802E-2</c:v>
              </c:pt>
              <c:pt idx="1">
                <c:v>1.3454653072403396E-2</c:v>
              </c:pt>
            </c:numLit>
          </c:yVal>
          <c:smooth val="0"/>
          <c:extLst>
            <c:ext xmlns:c16="http://schemas.microsoft.com/office/drawing/2014/chart" uri="{C3380CC4-5D6E-409C-BE32-E72D297353CC}">
              <c16:uniqueId val="{00000087-98E7-4814-B79B-4796DEC62FAC}"/>
            </c:ext>
          </c:extLst>
        </c:ser>
        <c:ser>
          <c:idx val="136"/>
          <c:order val="136"/>
          <c:spPr>
            <a:ln w="3175">
              <a:solidFill>
                <a:srgbClr val="000000"/>
              </a:solidFill>
              <a:prstDash val="solid"/>
            </a:ln>
          </c:spPr>
          <c:marker>
            <c:symbol val="none"/>
          </c:marker>
          <c:xVal>
            <c:numLit>
              <c:formatCode>General</c:formatCode>
              <c:ptCount val="2"/>
              <c:pt idx="0">
                <c:v>-6.2342102755987439</c:v>
              </c:pt>
              <c:pt idx="1">
                <c:v>-5.9970342363642821</c:v>
              </c:pt>
            </c:numLit>
          </c:xVal>
          <c:yVal>
            <c:numLit>
              <c:formatCode>General</c:formatCode>
              <c:ptCount val="2"/>
              <c:pt idx="0">
                <c:v>1.304916427263535E-2</c:v>
              </c:pt>
              <c:pt idx="1">
                <c:v>1.3185040750693362E-2</c:v>
              </c:pt>
            </c:numLit>
          </c:yVal>
          <c:smooth val="0"/>
          <c:extLst>
            <c:ext xmlns:c16="http://schemas.microsoft.com/office/drawing/2014/chart" uri="{C3380CC4-5D6E-409C-BE32-E72D297353CC}">
              <c16:uniqueId val="{00000088-98E7-4814-B79B-4796DEC62FAC}"/>
            </c:ext>
          </c:extLst>
        </c:ser>
        <c:ser>
          <c:idx val="137"/>
          <c:order val="137"/>
          <c:spPr>
            <a:ln w="3175">
              <a:solidFill>
                <a:srgbClr val="000000"/>
              </a:solidFill>
              <a:prstDash val="solid"/>
            </a:ln>
          </c:spPr>
          <c:marker>
            <c:symbol val="none"/>
          </c:marker>
          <c:xVal>
            <c:numLit>
              <c:formatCode>General</c:formatCode>
              <c:ptCount val="2"/>
              <c:pt idx="0">
                <c:v>-6.0833356038875808</c:v>
              </c:pt>
              <c:pt idx="1">
                <c:v>-5.6141861003052496</c:v>
              </c:pt>
            </c:numLit>
          </c:xVal>
          <c:yVal>
            <c:numLit>
              <c:formatCode>General</c:formatCode>
              <c:ptCount val="2"/>
              <c:pt idx="0">
                <c:v>1.2907158489149532E-2</c:v>
              </c:pt>
              <c:pt idx="1">
                <c:v>1.3183808196420238E-2</c:v>
              </c:pt>
            </c:numLit>
          </c:yVal>
          <c:smooth val="0"/>
          <c:extLst>
            <c:ext xmlns:c16="http://schemas.microsoft.com/office/drawing/2014/chart" uri="{C3380CC4-5D6E-409C-BE32-E72D297353CC}">
              <c16:uniqueId val="{00000089-98E7-4814-B79B-4796DEC62FAC}"/>
            </c:ext>
          </c:extLst>
        </c:ser>
        <c:ser>
          <c:idx val="138"/>
          <c:order val="138"/>
          <c:spPr>
            <a:ln w="3175">
              <a:solidFill>
                <a:srgbClr val="000000"/>
              </a:solidFill>
              <a:prstDash val="solid"/>
            </a:ln>
          </c:spPr>
          <c:marker>
            <c:symbol val="none"/>
          </c:marker>
          <c:xVal>
            <c:numLit>
              <c:formatCode>General</c:formatCode>
              <c:ptCount val="2"/>
              <c:pt idx="0">
                <c:v>-5.9241286231448873</c:v>
              </c:pt>
              <c:pt idx="1">
                <c:v>-5.6922988192975605</c:v>
              </c:pt>
            </c:numLit>
          </c:xVal>
          <c:yVal>
            <c:numLit>
              <c:formatCode>General</c:formatCode>
              <c:ptCount val="2"/>
              <c:pt idx="0">
                <c:v>1.2761639254297252E-2</c:v>
              </c:pt>
              <c:pt idx="1">
                <c:v>1.2902473060257644E-2</c:v>
              </c:pt>
            </c:numLit>
          </c:yVal>
          <c:smooth val="0"/>
          <c:extLst>
            <c:ext xmlns:c16="http://schemas.microsoft.com/office/drawing/2014/chart" uri="{C3380CC4-5D6E-409C-BE32-E72D297353CC}">
              <c16:uniqueId val="{0000008A-98E7-4814-B79B-4796DEC62FAC}"/>
            </c:ext>
          </c:extLst>
        </c:ser>
        <c:ser>
          <c:idx val="139"/>
          <c:order val="139"/>
          <c:spPr>
            <a:ln w="3175">
              <a:solidFill>
                <a:srgbClr val="000000"/>
              </a:solidFill>
              <a:prstDash val="solid"/>
            </a:ln>
          </c:spPr>
          <c:marker>
            <c:symbol val="none"/>
          </c:marker>
          <c:xVal>
            <c:numLit>
              <c:formatCode>General</c:formatCode>
              <c:ptCount val="2"/>
              <c:pt idx="0">
                <c:v>-5.7560730377038629</c:v>
              </c:pt>
              <c:pt idx="1">
                <c:v>-5.2982084501968325</c:v>
              </c:pt>
            </c:numLit>
          </c:xVal>
          <c:yVal>
            <c:numLit>
              <c:formatCode>General</c:formatCode>
              <c:ptCount val="2"/>
              <c:pt idx="0">
                <c:v>1.2612601820716014E-2</c:v>
              </c:pt>
              <c:pt idx="1">
                <c:v>1.2899408654484428E-2</c:v>
              </c:pt>
            </c:numLit>
          </c:yVal>
          <c:smooth val="0"/>
          <c:extLst>
            <c:ext xmlns:c16="http://schemas.microsoft.com/office/drawing/2014/chart" uri="{C3380CC4-5D6E-409C-BE32-E72D297353CC}">
              <c16:uniqueId val="{0000008B-98E7-4814-B79B-4796DEC62FAC}"/>
            </c:ext>
          </c:extLst>
        </c:ser>
        <c:ser>
          <c:idx val="140"/>
          <c:order val="140"/>
          <c:spPr>
            <a:ln w="3175">
              <a:solidFill>
                <a:srgbClr val="000000"/>
              </a:solidFill>
              <a:prstDash val="solid"/>
            </a:ln>
          </c:spPr>
          <c:marker>
            <c:symbol val="none"/>
          </c:marker>
          <c:xVal>
            <c:numLit>
              <c:formatCode>General</c:formatCode>
              <c:ptCount val="2"/>
              <c:pt idx="0">
                <c:v>-5.578624186981501</c:v>
              </c:pt>
              <c:pt idx="1">
                <c:v>-5.352751356171475</c:v>
              </c:pt>
            </c:numLit>
          </c:xVal>
          <c:yVal>
            <c:numLit>
              <c:formatCode>General</c:formatCode>
              <c:ptCount val="2"/>
              <c:pt idx="0">
                <c:v>1.2460059169599368E-2</c:v>
              </c:pt>
              <c:pt idx="1">
                <c:v>1.2606092632192483E-2</c:v>
              </c:pt>
            </c:numLit>
          </c:yVal>
          <c:smooth val="0"/>
          <c:extLst>
            <c:ext xmlns:c16="http://schemas.microsoft.com/office/drawing/2014/chart" uri="{C3380CC4-5D6E-409C-BE32-E72D297353CC}">
              <c16:uniqueId val="{0000008C-98E7-4814-B79B-4796DEC62FAC}"/>
            </c:ext>
          </c:extLst>
        </c:ser>
        <c:ser>
          <c:idx val="141"/>
          <c:order val="141"/>
          <c:spPr>
            <a:ln w="3175">
              <a:solidFill>
                <a:srgbClr val="000000"/>
              </a:solidFill>
              <a:prstDash val="solid"/>
            </a:ln>
          </c:spPr>
          <c:marker>
            <c:symbol val="none"/>
          </c:marker>
          <c:xVal>
            <c:numLit>
              <c:formatCode>General</c:formatCode>
              <c:ptCount val="2"/>
              <c:pt idx="0">
                <c:v>-5.3912089513591752</c:v>
              </c:pt>
              <c:pt idx="1">
                <c:v>-4.9459258840709275</c:v>
              </c:pt>
            </c:numLit>
          </c:xVal>
          <c:yVal>
            <c:numLit>
              <c:formatCode>General</c:formatCode>
              <c:ptCount val="2"/>
              <c:pt idx="0">
                <c:v>1.2304045016555564E-2</c:v>
              </c:pt>
              <c:pt idx="1">
                <c:v>1.2601491740122614E-2</c:v>
              </c:pt>
            </c:numLit>
          </c:yVal>
          <c:smooth val="0"/>
          <c:extLst>
            <c:ext xmlns:c16="http://schemas.microsoft.com/office/drawing/2014/chart" uri="{C3380CC4-5D6E-409C-BE32-E72D297353CC}">
              <c16:uniqueId val="{0000008D-98E7-4814-B79B-4796DEC62FAC}"/>
            </c:ext>
          </c:extLst>
        </c:ser>
        <c:ser>
          <c:idx val="142"/>
          <c:order val="142"/>
          <c:spPr>
            <a:ln w="3175">
              <a:solidFill>
                <a:srgbClr val="000000"/>
              </a:solidFill>
              <a:prstDash val="solid"/>
            </a:ln>
          </c:spPr>
          <c:marker>
            <c:symbol val="none"/>
          </c:marker>
          <c:xVal>
            <c:numLit>
              <c:formatCode>General</c:formatCode>
              <c:ptCount val="2"/>
              <c:pt idx="0">
                <c:v>-5.1932260635615615</c:v>
              </c:pt>
              <c:pt idx="1">
                <c:v>-4.9739980279829137</c:v>
              </c:pt>
            </c:numLit>
          </c:xVal>
          <c:yVal>
            <c:numLit>
              <c:formatCode>General</c:formatCode>
              <c:ptCount val="2"/>
              <c:pt idx="0">
                <c:v>1.214461715663261E-2</c:v>
              </c:pt>
              <c:pt idx="1">
                <c:v>1.2296089274621703E-2</c:v>
              </c:pt>
            </c:numLit>
          </c:yVal>
          <c:smooth val="0"/>
          <c:extLst>
            <c:ext xmlns:c16="http://schemas.microsoft.com/office/drawing/2014/chart" uri="{C3380CC4-5D6E-409C-BE32-E72D297353CC}">
              <c16:uniqueId val="{0000008E-98E7-4814-B79B-4796DEC62FAC}"/>
            </c:ext>
          </c:extLst>
        </c:ser>
        <c:ser>
          <c:idx val="143"/>
          <c:order val="143"/>
          <c:spPr>
            <a:ln w="3175">
              <a:solidFill>
                <a:srgbClr val="000000"/>
              </a:solidFill>
              <a:prstDash val="solid"/>
            </a:ln>
          </c:spPr>
          <c:marker>
            <c:symbol val="none"/>
          </c:marker>
          <c:xVal>
            <c:numLit>
              <c:formatCode>General</c:formatCode>
              <c:ptCount val="2"/>
              <c:pt idx="0">
                <c:v>-4.9840469263693068</c:v>
              </c:pt>
              <c:pt idx="1">
                <c:v>-4.5528039289082951</c:v>
              </c:pt>
            </c:numLit>
          </c:xVal>
          <c:yVal>
            <c:numLit>
              <c:formatCode>General</c:formatCode>
              <c:ptCount val="2"/>
              <c:pt idx="0">
                <c:v>1.1981861160791238E-2</c:v>
              </c:pt>
              <c:pt idx="1">
                <c:v>1.2290417672488093E-2</c:v>
              </c:pt>
            </c:numLit>
          </c:yVal>
          <c:smooth val="0"/>
          <c:extLst>
            <c:ext xmlns:c16="http://schemas.microsoft.com/office/drawing/2014/chart" uri="{C3380CC4-5D6E-409C-BE32-E72D297353CC}">
              <c16:uniqueId val="{0000008F-98E7-4814-B79B-4796DEC62FAC}"/>
            </c:ext>
          </c:extLst>
        </c:ser>
        <c:ser>
          <c:idx val="144"/>
          <c:order val="144"/>
          <c:spPr>
            <a:ln w="3175">
              <a:solidFill>
                <a:srgbClr val="000000"/>
              </a:solidFill>
              <a:prstDash val="solid"/>
            </a:ln>
          </c:spPr>
          <c:marker>
            <c:symbol val="none"/>
          </c:marker>
          <c:xVal>
            <c:numLit>
              <c:formatCode>General</c:formatCode>
              <c:ptCount val="2"/>
              <c:pt idx="0">
                <c:v>-4.763017052784714</c:v>
              </c:pt>
              <c:pt idx="1">
                <c:v>-4.5512064139435973</c:v>
              </c:pt>
            </c:numLit>
          </c:xVal>
          <c:yVal>
            <c:numLit>
              <c:formatCode>General</c:formatCode>
              <c:ptCount val="2"/>
              <c:pt idx="0">
                <c:v>1.1815894428391283E-2</c:v>
              </c:pt>
              <c:pt idx="1">
                <c:v>1.1973034179625917E-2</c:v>
              </c:pt>
            </c:numLit>
          </c:yVal>
          <c:smooth val="0"/>
          <c:extLst>
            <c:ext xmlns:c16="http://schemas.microsoft.com/office/drawing/2014/chart" uri="{C3380CC4-5D6E-409C-BE32-E72D297353CC}">
              <c16:uniqueId val="{00000090-98E7-4814-B79B-4796DEC62FAC}"/>
            </c:ext>
          </c:extLst>
        </c:ser>
        <c:ser>
          <c:idx val="145"/>
          <c:order val="145"/>
          <c:spPr>
            <a:ln w="3175">
              <a:solidFill>
                <a:srgbClr val="000000"/>
              </a:solidFill>
              <a:prstDash val="solid"/>
            </a:ln>
          </c:spPr>
          <c:marker>
            <c:symbol val="none"/>
          </c:marker>
          <c:xVal>
            <c:numLit>
              <c:formatCode>General</c:formatCode>
              <c:ptCount val="2"/>
              <c:pt idx="0">
                <c:v>-4.5294582604980791</c:v>
              </c:pt>
              <c:pt idx="1">
                <c:v>-4.1138907342740056</c:v>
              </c:pt>
            </c:numLit>
          </c:xVal>
          <c:yVal>
            <c:numLit>
              <c:formatCode>General</c:formatCode>
              <c:ptCount val="2"/>
              <c:pt idx="0">
                <c:v>1.1646870589539764E-2</c:v>
              </c:pt>
              <c:pt idx="1">
                <c:v>1.1966978500245291E-2</c:v>
              </c:pt>
            </c:numLit>
          </c:yVal>
          <c:smooth val="0"/>
          <c:extLst>
            <c:ext xmlns:c16="http://schemas.microsoft.com/office/drawing/2014/chart" uri="{C3380CC4-5D6E-409C-BE32-E72D297353CC}">
              <c16:uniqueId val="{00000091-98E7-4814-B79B-4796DEC62FAC}"/>
            </c:ext>
          </c:extLst>
        </c:ser>
        <c:ser>
          <c:idx val="146"/>
          <c:order val="146"/>
          <c:spPr>
            <a:ln w="3175">
              <a:solidFill>
                <a:srgbClr val="000000"/>
              </a:solidFill>
              <a:prstDash val="solid"/>
            </a:ln>
          </c:spPr>
          <c:marker>
            <c:symbol val="none"/>
          </c:marker>
          <c:xVal>
            <c:numLit>
              <c:formatCode>General</c:formatCode>
              <c:ptCount val="2"/>
              <c:pt idx="0">
                <c:v>-4.2826717679503306</c:v>
              </c:pt>
              <c:pt idx="1">
                <c:v>-4.07914294436498</c:v>
              </c:pt>
            </c:numLit>
          </c:xVal>
          <c:yVal>
            <c:numLit>
              <c:formatCode>General</c:formatCode>
              <c:ptCount val="2"/>
              <c:pt idx="0">
                <c:v>1.1474984236816857E-2</c:v>
              </c:pt>
              <c:pt idx="1">
                <c:v>1.1638001749975188E-2</c:v>
              </c:pt>
            </c:numLit>
          </c:yVal>
          <c:smooth val="0"/>
          <c:extLst>
            <c:ext xmlns:c16="http://schemas.microsoft.com/office/drawing/2014/chart" uri="{C3380CC4-5D6E-409C-BE32-E72D297353CC}">
              <c16:uniqueId val="{00000092-98E7-4814-B79B-4796DEC62FAC}"/>
            </c:ext>
          </c:extLst>
        </c:ser>
        <c:ser>
          <c:idx val="147"/>
          <c:order val="147"/>
          <c:spPr>
            <a:ln w="3175">
              <a:solidFill>
                <a:srgbClr val="000000"/>
              </a:solidFill>
              <a:prstDash val="solid"/>
            </a:ln>
          </c:spPr>
          <c:marker>
            <c:symbol val="none"/>
          </c:marker>
          <c:xVal>
            <c:numLit>
              <c:formatCode>General</c:formatCode>
              <c:ptCount val="2"/>
              <c:pt idx="0">
                <c:v>-4.021942353411518</c:v>
              </c:pt>
              <c:pt idx="1">
                <c:v>-3.6238753757076712</c:v>
              </c:pt>
            </c:numLit>
          </c:xVal>
          <c:yVal>
            <c:numLit>
              <c:formatCode>General</c:formatCode>
              <c:ptCount val="2"/>
              <c:pt idx="0">
                <c:v>1.1300475947320083E-2</c:v>
              </c:pt>
              <c:pt idx="1">
                <c:v>1.1632528500860769E-2</c:v>
              </c:pt>
            </c:numLit>
          </c:yVal>
          <c:smooth val="0"/>
          <c:extLst>
            <c:ext xmlns:c16="http://schemas.microsoft.com/office/drawing/2014/chart" uri="{C3380CC4-5D6E-409C-BE32-E72D297353CC}">
              <c16:uniqueId val="{00000093-98E7-4814-B79B-4796DEC62FAC}"/>
            </c:ext>
          </c:extLst>
        </c:ser>
        <c:ser>
          <c:idx val="148"/>
          <c:order val="148"/>
          <c:spPr>
            <a:ln w="3175">
              <a:solidFill>
                <a:srgbClr val="000000"/>
              </a:solidFill>
              <a:prstDash val="solid"/>
            </a:ln>
          </c:spPr>
          <c:marker>
            <c:symbol val="none"/>
          </c:marker>
          <c:xVal>
            <c:numLit>
              <c:formatCode>General</c:formatCode>
              <c:ptCount val="147"/>
              <c:pt idx="0">
                <c:v>19.065942353411515</c:v>
              </c:pt>
              <c:pt idx="1">
                <c:v>18.790543749866966</c:v>
              </c:pt>
              <c:pt idx="2">
                <c:v>18.499745455246352</c:v>
              </c:pt>
              <c:pt idx="3">
                <c:v>18.192821137276322</c:v>
              </c:pt>
              <c:pt idx="4">
                <c:v>17.869058802111013</c:v>
              </c:pt>
              <c:pt idx="5">
                <c:v>17.527772872567621</c:v>
              </c:pt>
              <c:pt idx="6">
                <c:v>17.168318281619168</c:v>
              </c:pt>
              <c:pt idx="7">
                <c:v>16.790106626063352</c:v>
              </c:pt>
              <c:pt idx="8">
                <c:v>16.392624340635372</c:v>
              </c:pt>
              <c:pt idx="9">
                <c:v>15.9754527418382</c:v>
              </c:pt>
              <c:pt idx="10">
                <c:v>15.538289652700842</c:v>
              </c:pt>
              <c:pt idx="11">
                <c:v>15.08097215642557</c:v>
              </c:pt>
              <c:pt idx="12">
                <c:v>14.603499843901423</c:v>
              </c:pt>
              <c:pt idx="13">
                <c:v>14.106057727229052</c:v>
              </c:pt>
              <c:pt idx="14">
                <c:v>13.589037803579986</c:v>
              </c:pt>
              <c:pt idx="15">
                <c:v>13.053058090665036</c:v>
              </c:pt>
              <c:pt idx="16">
                <c:v>12.498977840522226</c:v>
              </c:pt>
              <c:pt idx="17">
                <c:v>11.927907597824111</c:v>
              </c:pt>
              <c:pt idx="18">
                <c:v>11.341212826619152</c:v>
              </c:pt>
              <c:pt idx="19">
                <c:v>10.740510003894533</c:v>
              </c:pt>
              <c:pt idx="20">
                <c:v>10.127654377823859</c:v>
              </c:pt>
              <c:pt idx="21">
                <c:v>9.5047190068155949</c:v>
              </c:pt>
              <c:pt idx="22">
                <c:v>8.8739652091894179</c:v>
              </c:pt>
              <c:pt idx="23">
                <c:v>8.2378051220730821</c:v>
              </c:pt>
              <c:pt idx="24">
                <c:v>7.5987576377376911</c:v>
              </c:pt>
              <c:pt idx="25">
                <c:v>6.9593994946761999</c:v>
              </c:pt>
              <c:pt idx="26">
                <c:v>6.3223136896666619</c:v>
              </c:pt>
              <c:pt idx="27">
                <c:v>5.690037597761866</c:v>
              </c:pt>
              <c:pt idx="28">
                <c:v>5.0650132114445139</c:v>
              </c:pt>
              <c:pt idx="29">
                <c:v>4.4495417349447202</c:v>
              </c:pt>
              <c:pt idx="30">
                <c:v>3.8457444174013791</c:v>
              </c:pt>
              <c:pt idx="31">
                <c:v>3.255531023136959</c:v>
              </c:pt>
              <c:pt idx="32">
                <c:v>2.6805767765256308</c:v>
              </c:pt>
              <c:pt idx="33">
                <c:v>2.1223080446173976</c:v>
              </c:pt>
              <c:pt idx="34">
                <c:v>1.5818964894711631</c:v>
              </c:pt>
              <c:pt idx="35">
                <c:v>1.0602609781934789</c:v>
              </c:pt>
              <c:pt idx="36">
                <c:v>0.55807620951249115</c:v>
              </c:pt>
              <c:pt idx="37">
                <c:v>7.5786811510906382E-2</c:v>
              </c:pt>
              <c:pt idx="38">
                <c:v>-0.38637441921499299</c:v>
              </c:pt>
              <c:pt idx="39">
                <c:v>-0.82836544769946818</c:v>
              </c:pt>
              <c:pt idx="40">
                <c:v>-1.2503123116501493</c:v>
              </c:pt>
              <c:pt idx="41">
                <c:v>-1.6524858712974235</c:v>
              </c:pt>
              <c:pt idx="42">
                <c:v>-2.0352788721065513</c:v>
              </c:pt>
              <c:pt idx="43">
                <c:v>-2.3991840012325829</c:v>
              </c:pt>
              <c:pt idx="44">
                <c:v>-2.7447734321668316</c:v>
              </c:pt>
              <c:pt idx="45">
                <c:v>-3.072680183386634</c:v>
              </c:pt>
              <c:pt idx="46">
                <c:v>-3.3835814724217705</c:v>
              </c:pt>
              <c:pt idx="47">
                <c:v>-3.6781841292440793</c:v>
              </c:pt>
              <c:pt idx="48">
                <c:v>-3.9572120420841821</c:v>
              </c:pt>
              <c:pt idx="49">
                <c:v>-4.221395542588029</c:v>
              </c:pt>
              <c:pt idx="50">
                <c:v>-4.4714625924504272</c:v>
              </c:pt>
              <c:pt idx="51">
                <c:v>-4.7081316066320262</c:v>
              </c:pt>
              <c:pt idx="52">
                <c:v>-4.9321057352905999</c:v>
              </c:pt>
              <c:pt idx="53">
                <c:v>-5.1440684242141916</c:v>
              </c:pt>
              <c:pt idx="54">
                <c:v>-5.3446800788427877</c:v>
              </c:pt>
              <c:pt idx="55">
                <c:v>-5.5345756674157736</c:v>
              </c:pt>
              <c:pt idx="56">
                <c:v>-5.714363112392145</c:v>
              </c:pt>
              <c:pt idx="57">
                <c:v>-6.0459048297431641</c:v>
              </c:pt>
              <c:pt idx="58">
                <c:v>-6.3436038686490521</c:v>
              </c:pt>
              <c:pt idx="59">
                <c:v>-6.6113117622552888</c:v>
              </c:pt>
              <c:pt idx="60">
                <c:v>-6.8524545533004888</c:v>
              </c:pt>
              <c:pt idx="61">
                <c:v>-7.0700641161397257</c:v>
              </c:pt>
              <c:pt idx="62">
                <c:v>-7.2668139627913737</c:v>
              </c:pt>
              <c:pt idx="63">
                <c:v>-7.4450561220153224</c:v>
              </c:pt>
              <c:pt idx="64">
                <c:v>-7.6068569785848918</c:v>
              </c:pt>
              <c:pt idx="65">
                <c:v>-7.7540308580023209</c:v>
              </c:pt>
              <c:pt idx="66">
                <c:v>-7.8881707432153219</c:v>
              </c:pt>
              <c:pt idx="67">
                <c:v>-8.0106758986490121</c:v>
              </c:pt>
              <c:pt idx="68">
                <c:v>-8.1227764177225303</c:v>
              </c:pt>
              <c:pt idx="69">
                <c:v>-8.2255548505858034</c:v>
              </c:pt>
              <c:pt idx="70">
                <c:v>-8.3199651431045574</c:v>
              </c:pt>
              <c:pt idx="71">
                <c:v>-8.4068491498525173</c:v>
              </c:pt>
              <c:pt idx="72">
                <c:v>-8.486950989224928</c:v>
              </c:pt>
              <c:pt idx="73">
                <c:v>-8.5609294985956481</c:v>
              </c:pt>
              <c:pt idx="74">
                <c:v>-8.6293690287967184</c:v>
              </c:pt>
              <c:pt idx="75">
                <c:v>-8.6927887946424995</c:v>
              </c:pt>
              <c:pt idx="76">
                <c:v>-8.7516509745654023</c:v>
              </c:pt>
              <c:pt idx="77">
                <c:v>-8.8573072883626267</c:v>
              </c:pt>
              <c:pt idx="78">
                <c:v>-8.9491390821074628</c:v>
              </c:pt>
              <c:pt idx="79">
                <c:v>-9.0293977395002667</c:v>
              </c:pt>
              <c:pt idx="80">
                <c:v>-9.0999057043833709</c:v>
              </c:pt>
              <c:pt idx="81">
                <c:v>-9.1621483944066782</c:v>
              </c:pt>
              <c:pt idx="82">
                <c:v>-9.2890805085034174</c:v>
              </c:pt>
              <c:pt idx="83">
                <c:v>-9.3854262264463078</c:v>
              </c:pt>
              <c:pt idx="84">
                <c:v>-9.4601719381821585</c:v>
              </c:pt>
              <c:pt idx="85">
                <c:v>-9.5192631793601503</c:v>
              </c:pt>
              <c:pt idx="86">
                <c:v>-9.5667494735594438</c:v>
              </c:pt>
              <c:pt idx="87">
                <c:v>-9.6054604899925025</c:v>
              </c:pt>
              <c:pt idx="88">
                <c:v>-9.6640995467395676</c:v>
              </c:pt>
              <c:pt idx="89">
                <c:v>-9.7057408037734945</c:v>
              </c:pt>
              <c:pt idx="90">
                <c:v>-9.7363488755763594</c:v>
              </c:pt>
              <c:pt idx="91">
                <c:v>-9.7594920592975569</c:v>
              </c:pt>
              <c:pt idx="92">
                <c:v>-9.7774082431157812</c:v>
              </c:pt>
              <c:pt idx="93">
                <c:v>-9.826239533393677</c:v>
              </c:pt>
              <c:pt idx="94">
                <c:v>-9.8465584490956477</c:v>
              </c:pt>
              <c:pt idx="95">
                <c:v>-9.862870431265371</c:v>
              </c:pt>
              <c:pt idx="96">
                <c:v>-9.8691357952931487</c:v>
              </c:pt>
              <c:pt idx="97">
                <c:v>-9.8780000000000001</c:v>
              </c:pt>
              <c:pt idx="98">
                <c:v>-9.8665090567206697</c:v>
              </c:pt>
              <c:pt idx="99">
                <c:v>-9.8566117153194046</c:v>
              </c:pt>
              <c:pt idx="100">
                <c:v>-9.825120498007605</c:v>
              </c:pt>
              <c:pt idx="101">
                <c:v>-9.7743638069967425</c:v>
              </c:pt>
              <c:pt idx="102">
                <c:v>-9.7555947041230944</c:v>
              </c:pt>
              <c:pt idx="103">
                <c:v>-9.7312495160578543</c:v>
              </c:pt>
              <c:pt idx="104">
                <c:v>-9.6988930377242379</c:v>
              </c:pt>
              <c:pt idx="105">
                <c:v>-9.6546103310984979</c:v>
              </c:pt>
              <c:pt idx="106">
                <c:v>-9.5917920119000488</c:v>
              </c:pt>
              <c:pt idx="107">
                <c:v>-9.5500552853147749</c:v>
              </c:pt>
              <c:pt idx="108">
                <c:v>-9.4985920174877663</c:v>
              </c:pt>
              <c:pt idx="109">
                <c:v>-9.4341733564072943</c:v>
              </c:pt>
              <c:pt idx="110">
                <c:v>-9.3521355422659074</c:v>
              </c:pt>
              <c:pt idx="111">
                <c:v>-9.2455590364770597</c:v>
              </c:pt>
              <c:pt idx="112">
                <c:v>-9.1038600359190358</c:v>
              </c:pt>
              <c:pt idx="113">
                <c:v>-9.033886916005148</c:v>
              </c:pt>
              <c:pt idx="114">
                <c:v>-8.954260939861248</c:v>
              </c:pt>
              <c:pt idx="115">
                <c:v>-8.8631822315685405</c:v>
              </c:pt>
              <c:pt idx="116">
                <c:v>-8.7584282202067296</c:v>
              </c:pt>
              <c:pt idx="117">
                <c:v>-8.6372348348493126</c:v>
              </c:pt>
              <c:pt idx="118">
                <c:v>-8.5694238961193641</c:v>
              </c:pt>
              <c:pt idx="119">
                <c:v>-8.496139552640436</c:v>
              </c:pt>
              <c:pt idx="120">
                <c:v>-8.4168057372568565</c:v>
              </c:pt>
              <c:pt idx="121">
                <c:v>-8.3307730905498314</c:v>
              </c:pt>
              <c:pt idx="122">
                <c:v>-8.2373083506110412</c:v>
              </c:pt>
              <c:pt idx="123">
                <c:v>-8.135582109378646</c:v>
              </c:pt>
              <c:pt idx="124">
                <c:v>-8.0246546988258096</c:v>
              </c:pt>
              <c:pt idx="125">
                <c:v>-7.9034599509797507</c:v>
              </c:pt>
              <c:pt idx="126">
                <c:v>-7.7707865642283949</c:v>
              </c:pt>
              <c:pt idx="127">
                <c:v>-7.6252568113761559</c:v>
              </c:pt>
              <c:pt idx="128">
                <c:v>-7.4653023527450681</c:v>
              </c:pt>
              <c:pt idx="129">
                <c:v>-7.2891369857220321</c:v>
              </c:pt>
              <c:pt idx="130">
                <c:v>-7.0947262932026645</c:v>
              </c:pt>
              <c:pt idx="131">
                <c:v>-6.8797543799888556</c:v>
              </c:pt>
              <c:pt idx="132">
                <c:v>-6.6415882541581794</c:v>
              </c:pt>
              <c:pt idx="133">
                <c:v>-6.5128887746212865</c:v>
              </c:pt>
              <c:pt idx="134">
                <c:v>-6.377240982176394</c:v>
              </c:pt>
              <c:pt idx="135">
                <c:v>-6.2342102755987439</c:v>
              </c:pt>
              <c:pt idx="136">
                <c:v>-6.0833356038875808</c:v>
              </c:pt>
              <c:pt idx="137">
                <c:v>-5.9241286231448873</c:v>
              </c:pt>
              <c:pt idx="138">
                <c:v>-5.7560730377038629</c:v>
              </c:pt>
              <c:pt idx="139">
                <c:v>-5.578624186981501</c:v>
              </c:pt>
              <c:pt idx="140">
                <c:v>-5.3912089513591752</c:v>
              </c:pt>
              <c:pt idx="141">
                <c:v>-5.1932260635615615</c:v>
              </c:pt>
              <c:pt idx="142">
                <c:v>-4.9840469263693068</c:v>
              </c:pt>
              <c:pt idx="143">
                <c:v>-4.763017052784714</c:v>
              </c:pt>
              <c:pt idx="144">
                <c:v>-4.5294582604980791</c:v>
              </c:pt>
              <c:pt idx="145">
                <c:v>-4.2826717679503306</c:v>
              </c:pt>
              <c:pt idx="146">
                <c:v>-4.021942353411518</c:v>
              </c:pt>
            </c:numLit>
          </c:xVal>
          <c:yVal>
            <c:numLit>
              <c:formatCode>General</c:formatCode>
              <c:ptCount val="147"/>
              <c:pt idx="0">
                <c:v>3.0559524052679921E-2</c:v>
              </c:pt>
              <c:pt idx="1">
                <c:v>3.0736362467444784E-2</c:v>
              </c:pt>
              <c:pt idx="2">
                <c:v>3.0915182575025162E-2</c:v>
              </c:pt>
              <c:pt idx="3">
                <c:v>3.1095573924337105E-2</c:v>
              </c:pt>
              <c:pt idx="4">
                <c:v>3.1277058802111013E-2</c:v>
              </c:pt>
              <c:pt idx="5">
                <c:v>3.145908735335045E-2</c:v>
              </c:pt>
              <c:pt idx="6">
                <c:v>3.1641033323740492E-2</c:v>
              </c:pt>
              <c:pt idx="7">
                <c:v>3.1822190731097821E-2</c:v>
              </c:pt>
              <c:pt idx="8">
                <c:v>3.2001771819701222E-2</c:v>
              </c:pt>
              <c:pt idx="9">
                <c:v>3.2178906690858773E-2</c:v>
              </c:pt>
              <c:pt idx="10">
                <c:v>3.2352645029202619E-2</c:v>
              </c:pt>
              <c:pt idx="11">
                <c:v>3.2521960349640437E-2</c:v>
              </c:pt>
              <c:pt idx="12">
                <c:v>3.2685757166608632E-2</c:v>
              </c:pt>
              <c:pt idx="13">
                <c:v>3.2842881427324513E-2</c:v>
              </c:pt>
              <c:pt idx="14">
                <c:v>3.2992134447433728E-2</c:v>
              </c:pt>
              <c:pt idx="15">
                <c:v>3.3132290436861909E-2</c:v>
              </c:pt>
              <c:pt idx="16">
                <c:v>3.3262117506318627E-2</c:v>
              </c:pt>
              <c:pt idx="17">
                <c:v>3.3380401807334426E-2</c:v>
              </c:pt>
              <c:pt idx="18">
                <c:v>3.348597419470218E-2</c:v>
              </c:pt>
              <c:pt idx="19">
                <c:v>3.3577738530929296E-2</c:v>
              </c:pt>
              <c:pt idx="20">
                <c:v>3.3654700505295149E-2</c:v>
              </c:pt>
              <c:pt idx="21">
                <c:v>3.3715995646515944E-2</c:v>
              </c:pt>
              <c:pt idx="22">
                <c:v>3.3760915098533552E-2</c:v>
              </c:pt>
              <c:pt idx="23">
                <c:v>3.378892772867001E-2</c:v>
              </c:pt>
              <c:pt idx="24">
                <c:v>3.3799697260686282E-2</c:v>
              </c:pt>
              <c:pt idx="25">
                <c:v>3.3793093371721462E-2</c:v>
              </c:pt>
              <c:pt idx="26">
                <c:v>3.3769196044631293E-2</c:v>
              </c:pt>
              <c:pt idx="27">
                <c:v>3.3728292893413635E-2</c:v>
              </c:pt>
              <c:pt idx="28">
                <c:v>3.3670869635499083E-2</c:v>
              </c:pt>
              <c:pt idx="29">
                <c:v>3.3597594322318097E-2</c:v>
              </c:pt>
              <c:pt idx="30">
                <c:v>3.3509296313245625E-2</c:v>
              </c:pt>
              <c:pt idx="31">
                <c:v>3.3406941252105297E-2</c:v>
              </c:pt>
              <c:pt idx="32">
                <c:v>3.3291603458921876E-2</c:v>
              </c:pt>
              <c:pt idx="33">
                <c:v>3.3164437178186706E-2</c:v>
              </c:pt>
              <c:pt idx="34">
                <c:v>3.3026648039659948E-2</c:v>
              </c:pt>
              <c:pt idx="35">
                <c:v>3.2879465911649565E-2</c:v>
              </c:pt>
              <c:pt idx="36">
                <c:v>3.2724120089613527E-2</c:v>
              </c:pt>
              <c:pt idx="37">
                <c:v>3.2561817496304393E-2</c:v>
              </c:pt>
              <c:pt idx="38">
                <c:v>3.2393724302205024E-2</c:v>
              </c:pt>
              <c:pt idx="39">
                <c:v>3.2220951129550625E-2</c:v>
              </c:pt>
              <c:pt idx="40">
                <c:v>3.2044541795365311E-2</c:v>
              </c:pt>
              <c:pt idx="41">
                <c:v>3.1865465386878213E-2</c:v>
              </c:pt>
              <c:pt idx="42">
                <c:v>3.1684611348254135E-2</c:v>
              </c:pt>
              <c:pt idx="43">
                <c:v>3.1502787187754219E-2</c:v>
              </c:pt>
              <c:pt idx="44">
                <c:v>3.1320718383058194E-2</c:v>
              </c:pt>
              <c:pt idx="45">
                <c:v>3.1139050061769116E-2</c:v>
              </c:pt>
              <c:pt idx="46">
                <c:v>3.0958350055992959E-2</c:v>
              </c:pt>
              <c:pt idx="47">
                <c:v>3.0779112966800307E-2</c:v>
              </c:pt>
              <c:pt idx="48">
                <c:v>3.0601764919879974E-2</c:v>
              </c:pt>
              <c:pt idx="49">
                <c:v>3.0426668742639516E-2</c:v>
              </c:pt>
              <c:pt idx="50">
                <c:v>3.0254129341580477E-2</c:v>
              </c:pt>
              <c:pt idx="51">
                <c:v>3.0084399104368914E-2</c:v>
              </c:pt>
              <c:pt idx="52">
                <c:v>2.9917683192038989E-2</c:v>
              </c:pt>
              <c:pt idx="53">
                <c:v>2.9754144622409617E-2</c:v>
              </c:pt>
              <c:pt idx="54">
                <c:v>2.9593909075847288E-2</c:v>
              </c:pt>
              <c:pt idx="55">
                <c:v>2.9437069379158205E-2</c:v>
              </c:pt>
              <c:pt idx="56">
                <c:v>2.9283689643078106E-2</c:v>
              </c:pt>
              <c:pt idx="57">
                <c:v>2.8987445253082427E-2</c:v>
              </c:pt>
              <c:pt idx="58">
                <c:v>2.8705249438049581E-2</c:v>
              </c:pt>
              <c:pt idx="59">
                <c:v>2.843692272060656E-2</c:v>
              </c:pt>
              <c:pt idx="60">
                <c:v>2.8182106961193734E-2</c:v>
              </c:pt>
              <c:pt idx="61">
                <c:v>2.7940323066302088E-2</c:v>
              </c:pt>
              <c:pt idx="62">
                <c:v>2.771101497108848E-2</c:v>
              </c:pt>
              <c:pt idx="63">
                <c:v>2.7493582588817535E-2</c:v>
              </c:pt>
              <c:pt idx="64">
                <c:v>2.7287406065353549E-2</c:v>
              </c:pt>
              <c:pt idx="65">
                <c:v>2.7091863289154108E-2</c:v>
              </c:pt>
              <c:pt idx="66">
                <c:v>2.690634223888767E-2</c:v>
              </c:pt>
              <c:pt idx="67">
                <c:v>2.673024942614733E-2</c:v>
              </c:pt>
              <c:pt idx="68">
                <c:v>2.6563015417404752E-2</c:v>
              </c:pt>
              <c:pt idx="69">
                <c:v>2.640409819616079E-2</c:v>
              </c:pt>
              <c:pt idx="70">
                <c:v>2.6252984947883497E-2</c:v>
              </c:pt>
              <c:pt idx="71">
                <c:v>2.610919271000376E-2</c:v>
              </c:pt>
              <c:pt idx="72">
                <c:v>2.597226822015037E-2</c:v>
              </c:pt>
              <c:pt idx="73">
                <c:v>2.5841787211775113E-2</c:v>
              </c:pt>
              <c:pt idx="74">
                <c:v>2.5717353342065267E-2</c:v>
              </c:pt>
              <c:pt idx="75">
                <c:v>2.5598596888211325E-2</c:v>
              </c:pt>
              <c:pt idx="76">
                <c:v>2.5485173311188873E-2</c:v>
              </c:pt>
              <c:pt idx="77">
                <c:v>2.5273063556165737E-2</c:v>
              </c:pt>
              <c:pt idx="78">
                <c:v>2.5078714550976496E-2</c:v>
              </c:pt>
              <c:pt idx="79">
                <c:v>2.4900125447290717E-2</c:v>
              </c:pt>
              <c:pt idx="80">
                <c:v>2.4735561478973527E-2</c:v>
              </c:pt>
              <c:pt idx="81">
                <c:v>2.4583516169954973E-2</c:v>
              </c:pt>
              <c:pt idx="82">
                <c:v>2.4249973889194042E-2</c:v>
              </c:pt>
              <c:pt idx="83">
                <c:v>2.3970556092921879E-2</c:v>
              </c:pt>
              <c:pt idx="84">
                <c:v>2.3733423854580125E-2</c:v>
              </c:pt>
              <c:pt idx="85">
                <c:v>2.3529865143833231E-2</c:v>
              </c:pt>
              <c:pt idx="86">
                <c:v>2.3353355225599216E-2</c:v>
              </c:pt>
              <c:pt idx="87">
                <c:v>2.3198926159195745E-2</c:v>
              </c:pt>
              <c:pt idx="88">
                <c:v>2.294177753595765E-2</c:v>
              </c:pt>
              <c:pt idx="89">
                <c:v>2.2736452704669185E-2</c:v>
              </c:pt>
              <c:pt idx="90">
                <c:v>2.2568842643838953E-2</c:v>
              </c:pt>
              <c:pt idx="91">
                <c:v>2.2429498103471914E-2</c:v>
              </c:pt>
              <c:pt idx="92">
                <c:v>2.2311864752467405E-2</c:v>
              </c:pt>
              <c:pt idx="93">
                <c:v>2.19219477646126E-2</c:v>
              </c:pt>
              <c:pt idx="94">
                <c:v>2.1703336717703383E-2</c:v>
              </c:pt>
              <c:pt idx="95">
                <c:v>2.1466576659932901E-2</c:v>
              </c:pt>
              <c:pt idx="96">
                <c:v>2.1340749932151591E-2</c:v>
              </c:pt>
              <c:pt idx="97">
                <c:v>2.0930000000000001E-2</c:v>
              </c:pt>
              <c:pt idx="98">
                <c:v>2.0462352026117177E-2</c:v>
              </c:pt>
              <c:pt idx="99">
                <c:v>2.0292078253462336E-2</c:v>
              </c:pt>
              <c:pt idx="100">
                <c:v>1.9927403009249937E-2</c:v>
              </c:pt>
              <c:pt idx="101">
                <c:v>1.9527441400141971E-2</c:v>
              </c:pt>
              <c:pt idx="102">
                <c:v>1.9406130083083659E-2</c:v>
              </c:pt>
              <c:pt idx="103">
                <c:v>1.9262042185935597E-2</c:v>
              </c:pt>
              <c:pt idx="104">
                <c:v>1.9088173676807301E-2</c:v>
              </c:pt>
              <c:pt idx="105">
                <c:v>1.8874364740294421E-2</c:v>
              </c:pt>
              <c:pt idx="106">
                <c:v>1.8605334220365727E-2</c:v>
              </c:pt>
              <c:pt idx="107">
                <c:v>1.8443106339845548E-2</c:v>
              </c:pt>
              <c:pt idx="108">
                <c:v>1.8257081553294929E-2</c:v>
              </c:pt>
              <c:pt idx="109">
                <c:v>1.8041765933534418E-2</c:v>
              </c:pt>
              <c:pt idx="110">
                <c:v>1.7789900045223919E-2</c:v>
              </c:pt>
              <c:pt idx="111">
                <c:v>1.7491727600755014E-2</c:v>
              </c:pt>
              <c:pt idx="112">
                <c:v>1.7133900318625845E-2</c:v>
              </c:pt>
              <c:pt idx="113">
                <c:v>1.6970127856038714E-2</c:v>
              </c:pt>
              <c:pt idx="114">
                <c:v>1.6792426733524612E-2</c:v>
              </c:pt>
              <c:pt idx="115">
                <c:v>1.6599076898329495E-2</c:v>
              </c:pt>
              <c:pt idx="116">
                <c:v>1.6388094622981707E-2</c:v>
              </c:pt>
              <c:pt idx="117">
                <c:v>1.6157190180898885E-2</c:v>
              </c:pt>
              <c:pt idx="118">
                <c:v>1.6033456612372633E-2</c:v>
              </c:pt>
              <c:pt idx="119">
                <c:v>1.590372165004483E-2</c:v>
              </c:pt>
              <c:pt idx="120">
                <c:v>1.5767592217746176E-2</c:v>
              </c:pt>
              <c:pt idx="121">
                <c:v>1.5624647462044871E-2</c:v>
              </c:pt>
              <c:pt idx="122">
                <c:v>1.5474437646003199E-2</c:v>
              </c:pt>
              <c:pt idx="123">
                <c:v>1.5316483392004664E-2</c:v>
              </c:pt>
              <c:pt idx="124">
                <c:v>1.5150275451951677E-2</c:v>
              </c:pt>
              <c:pt idx="125">
                <c:v>1.4975275245324009E-2</c:v>
              </c:pt>
              <c:pt idx="126">
                <c:v>1.4790916486985731E-2</c:v>
              </c:pt>
              <c:pt idx="127">
                <c:v>1.4596608332400495E-2</c:v>
              </c:pt>
              <c:pt idx="128">
                <c:v>1.4391740604136366E-2</c:v>
              </c:pt>
              <c:pt idx="129">
                <c:v>1.4175691836973547E-2</c:v>
              </c:pt>
              <c:pt idx="130">
                <c:v>1.3947841096409371E-2</c:v>
              </c:pt>
              <c:pt idx="131">
                <c:v>1.3707584792488141E-2</c:v>
              </c:pt>
              <c:pt idx="132">
                <c:v>1.3454360029547155E-2</c:v>
              </c:pt>
              <c:pt idx="133">
                <c:v>1.3322727312893847E-2</c:v>
              </c:pt>
              <c:pt idx="134">
                <c:v>1.3187676396417802E-2</c:v>
              </c:pt>
              <c:pt idx="135">
                <c:v>1.304916427263535E-2</c:v>
              </c:pt>
              <c:pt idx="136">
                <c:v>1.2907158489149532E-2</c:v>
              </c:pt>
              <c:pt idx="137">
                <c:v>1.2761639254297252E-2</c:v>
              </c:pt>
              <c:pt idx="138">
                <c:v>1.2612601820716014E-2</c:v>
              </c:pt>
              <c:pt idx="139">
                <c:v>1.2460059169599368E-2</c:v>
              </c:pt>
              <c:pt idx="140">
                <c:v>1.2304045016555564E-2</c:v>
              </c:pt>
              <c:pt idx="141">
                <c:v>1.214461715663261E-2</c:v>
              </c:pt>
              <c:pt idx="142">
                <c:v>1.1981861160791238E-2</c:v>
              </c:pt>
              <c:pt idx="143">
                <c:v>1.1815894428391283E-2</c:v>
              </c:pt>
              <c:pt idx="144">
                <c:v>1.1646870589539764E-2</c:v>
              </c:pt>
              <c:pt idx="145">
                <c:v>1.1474984236816857E-2</c:v>
              </c:pt>
              <c:pt idx="146">
                <c:v>1.1300475947320083E-2</c:v>
              </c:pt>
            </c:numLit>
          </c:yVal>
          <c:smooth val="1"/>
          <c:extLst>
            <c:ext xmlns:c16="http://schemas.microsoft.com/office/drawing/2014/chart" uri="{C3380CC4-5D6E-409C-BE32-E72D297353CC}">
              <c16:uniqueId val="{00000094-98E7-4814-B79B-4796DEC62FAC}"/>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58C1-425A-958B-04142761B163}"/>
            </c:ext>
          </c:extLst>
        </c:ser>
        <c:ser>
          <c:idx val="1"/>
          <c:order val="1"/>
          <c:spPr>
            <a:ln w="3175">
              <a:solidFill>
                <a:srgbClr val="000000"/>
              </a:solidFill>
              <a:prstDash val="solid"/>
            </a:ln>
          </c:spPr>
          <c:marker>
            <c:symbol val="none"/>
          </c:marker>
          <c:xVal>
            <c:numLit>
              <c:formatCode>General</c:formatCode>
              <c:ptCount val="2"/>
              <c:pt idx="0">
                <c:v>16.810229479756391</c:v>
              </c:pt>
              <c:pt idx="1">
                <c:v>17.208296457460236</c:v>
              </c:pt>
            </c:numLit>
          </c:xVal>
          <c:yVal>
            <c:numLit>
              <c:formatCode>General</c:formatCode>
              <c:ptCount val="2"/>
              <c:pt idx="0">
                <c:v>2.8677892915949361E-2</c:v>
              </c:pt>
              <c:pt idx="1">
                <c:v>2.900994546949005E-2</c:v>
              </c:pt>
            </c:numLit>
          </c:yVal>
          <c:smooth val="0"/>
          <c:extLst>
            <c:ext xmlns:c16="http://schemas.microsoft.com/office/drawing/2014/chart" uri="{C3380CC4-5D6E-409C-BE32-E72D297353CC}">
              <c16:uniqueId val="{00000001-58C1-425A-958B-04142761B163}"/>
            </c:ext>
          </c:extLst>
        </c:ser>
        <c:ser>
          <c:idx val="2"/>
          <c:order val="2"/>
          <c:spPr>
            <a:ln w="3175">
              <a:solidFill>
                <a:srgbClr val="000000"/>
              </a:solidFill>
              <a:prstDash val="solid"/>
            </a:ln>
          </c:spPr>
          <c:marker>
            <c:symbol val="none"/>
          </c:marker>
          <c:dLbls>
            <c:dLbl>
              <c:idx val="0"/>
              <c:tx>
                <c:rich>
                  <a:bodyPr rot="-28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17.938085916583955</c:v>
              </c:pt>
            </c:numLit>
          </c:xVal>
          <c:yVal>
            <c:numLit>
              <c:formatCode>General</c:formatCode>
              <c:ptCount val="1"/>
              <c:pt idx="0">
                <c:v>2.9618708484314641E-2</c:v>
              </c:pt>
            </c:numLit>
          </c:yVal>
          <c:smooth val="0"/>
          <c:extLst>
            <c:ext xmlns:c16="http://schemas.microsoft.com/office/drawing/2014/chart" uri="{C3380CC4-5D6E-409C-BE32-E72D297353CC}">
              <c16:uniqueId val="{00000003-58C1-425A-958B-04142761B163}"/>
            </c:ext>
          </c:extLst>
        </c:ser>
        <c:ser>
          <c:idx val="3"/>
          <c:order val="3"/>
          <c:spPr>
            <a:ln w="3175">
              <a:solidFill>
                <a:srgbClr val="000000"/>
              </a:solidFill>
              <a:prstDash val="solid"/>
            </a:ln>
          </c:spPr>
          <c:marker>
            <c:symbol val="none"/>
          </c:marker>
          <c:xVal>
            <c:numLit>
              <c:formatCode>General</c:formatCode>
              <c:ptCount val="2"/>
              <c:pt idx="0">
                <c:v>16.588644396444685</c:v>
              </c:pt>
              <c:pt idx="1">
                <c:v>16.782929633511358</c:v>
              </c:pt>
            </c:numLit>
          </c:xVal>
          <c:yVal>
            <c:numLit>
              <c:formatCode>General</c:formatCode>
              <c:ptCount val="2"/>
              <c:pt idx="0">
                <c:v>2.882017669794408E-2</c:v>
              </c:pt>
              <c:pt idx="1">
                <c:v>2.8989251912900024E-2</c:v>
              </c:pt>
            </c:numLit>
          </c:yVal>
          <c:smooth val="0"/>
          <c:extLst>
            <c:ext xmlns:c16="http://schemas.microsoft.com/office/drawing/2014/chart" uri="{C3380CC4-5D6E-409C-BE32-E72D297353CC}">
              <c16:uniqueId val="{00000004-58C1-425A-958B-04142761B163}"/>
            </c:ext>
          </c:extLst>
        </c:ser>
        <c:ser>
          <c:idx val="4"/>
          <c:order val="4"/>
          <c:spPr>
            <a:ln w="3175">
              <a:solidFill>
                <a:srgbClr val="000000"/>
              </a:solidFill>
              <a:prstDash val="solid"/>
            </a:ln>
          </c:spPr>
          <c:marker>
            <c:symbol val="none"/>
          </c:marker>
          <c:xVal>
            <c:numLit>
              <c:formatCode>General</c:formatCode>
              <c:ptCount val="2"/>
              <c:pt idx="0">
                <c:v>16.354668757094764</c:v>
              </c:pt>
              <c:pt idx="1">
                <c:v>16.733211703827397</c:v>
              </c:pt>
            </c:numLit>
          </c:xVal>
          <c:yVal>
            <c:numLit>
              <c:formatCode>General</c:formatCode>
              <c:ptCount val="2"/>
              <c:pt idx="0">
                <c:v>2.8964054945422545E-2</c:v>
              </c:pt>
              <c:pt idx="1">
                <c:v>2.9308371585940653E-2</c:v>
              </c:pt>
            </c:numLit>
          </c:yVal>
          <c:smooth val="0"/>
          <c:extLst>
            <c:ext xmlns:c16="http://schemas.microsoft.com/office/drawing/2014/chart" uri="{C3380CC4-5D6E-409C-BE32-E72D297353CC}">
              <c16:uniqueId val="{00000005-58C1-425A-958B-04142761B163}"/>
            </c:ext>
          </c:extLst>
        </c:ser>
        <c:ser>
          <c:idx val="5"/>
          <c:order val="5"/>
          <c:spPr>
            <a:ln w="3175">
              <a:solidFill>
                <a:srgbClr val="000000"/>
              </a:solidFill>
              <a:prstDash val="solid"/>
            </a:ln>
          </c:spPr>
          <c:marker>
            <c:symbol val="none"/>
          </c:marker>
          <c:xVal>
            <c:numLit>
              <c:formatCode>General</c:formatCode>
              <c:ptCount val="2"/>
              <c:pt idx="0">
                <c:v>16.107718156429225</c:v>
              </c:pt>
              <c:pt idx="1">
                <c:v>16.291697831209852</c:v>
              </c:pt>
            </c:numLit>
          </c:xVal>
          <c:yVal>
            <c:numLit>
              <c:formatCode>General</c:formatCode>
              <c:ptCount val="2"/>
              <c:pt idx="0">
                <c:v>2.9109197410386176E-2</c:v>
              </c:pt>
              <c:pt idx="1">
                <c:v>2.9284465926323024E-2</c:v>
              </c:pt>
            </c:numLit>
          </c:yVal>
          <c:smooth val="0"/>
          <c:extLst>
            <c:ext xmlns:c16="http://schemas.microsoft.com/office/drawing/2014/chart" uri="{C3380CC4-5D6E-409C-BE32-E72D297353CC}">
              <c16:uniqueId val="{00000006-58C1-425A-958B-04142761B163}"/>
            </c:ext>
          </c:extLst>
        </c:ser>
        <c:ser>
          <c:idx val="6"/>
          <c:order val="6"/>
          <c:spPr>
            <a:ln w="3175">
              <a:solidFill>
                <a:srgbClr val="000000"/>
              </a:solidFill>
              <a:prstDash val="solid"/>
            </a:ln>
          </c:spPr>
          <c:marker>
            <c:symbol val="none"/>
          </c:marker>
          <c:xVal>
            <c:numLit>
              <c:formatCode>General</c:formatCode>
              <c:ptCount val="2"/>
              <c:pt idx="0">
                <c:v>15.847219725836448</c:v>
              </c:pt>
              <c:pt idx="1">
                <c:v>16.204014856943722</c:v>
              </c:pt>
            </c:numLit>
          </c:xVal>
          <c:yVal>
            <c:numLit>
              <c:formatCode>General</c:formatCode>
              <c:ptCount val="2"/>
              <c:pt idx="0">
                <c:v>2.9255219725836449E-2</c:v>
              </c:pt>
              <c:pt idx="1">
                <c:v>2.9612014856943723E-2</c:v>
              </c:pt>
            </c:numLit>
          </c:yVal>
          <c:smooth val="0"/>
          <c:extLst>
            <c:ext xmlns:c16="http://schemas.microsoft.com/office/drawing/2014/chart" uri="{C3380CC4-5D6E-409C-BE32-E72D297353CC}">
              <c16:uniqueId val="{00000007-58C1-425A-958B-04142761B163}"/>
            </c:ext>
          </c:extLst>
        </c:ser>
        <c:ser>
          <c:idx val="7"/>
          <c:order val="7"/>
          <c:spPr>
            <a:ln w="3175">
              <a:solidFill>
                <a:srgbClr val="000000"/>
              </a:solidFill>
              <a:prstDash val="solid"/>
            </a:ln>
          </c:spPr>
          <c:marker>
            <c:symbol val="none"/>
          </c:marker>
          <c:dLbls>
            <c:dLbl>
              <c:idx val="0"/>
              <c:tx>
                <c:rich>
                  <a:bodyPr rot="-32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16.85813926397373</c:v>
              </c:pt>
            </c:numLit>
          </c:xVal>
          <c:yVal>
            <c:numLit>
              <c:formatCode>General</c:formatCode>
              <c:ptCount val="1"/>
              <c:pt idx="0">
                <c:v>3.0266139263973729E-2</c:v>
              </c:pt>
            </c:numLit>
          </c:yVal>
          <c:smooth val="0"/>
          <c:extLst>
            <c:ext xmlns:c16="http://schemas.microsoft.com/office/drawing/2014/chart" uri="{C3380CC4-5D6E-409C-BE32-E72D297353CC}">
              <c16:uniqueId val="{00000009-58C1-425A-958B-04142761B163}"/>
            </c:ext>
          </c:extLst>
        </c:ser>
        <c:ser>
          <c:idx val="8"/>
          <c:order val="8"/>
          <c:spPr>
            <a:ln w="3175">
              <a:solidFill>
                <a:srgbClr val="000000"/>
              </a:solidFill>
              <a:prstDash val="solid"/>
            </a:ln>
          </c:spPr>
          <c:marker>
            <c:symbol val="none"/>
          </c:marker>
          <c:xVal>
            <c:numLit>
              <c:formatCode>General</c:formatCode>
              <c:ptCount val="2"/>
              <c:pt idx="0">
                <c:v>15.572621851491188</c:v>
              </c:pt>
              <c:pt idx="1">
                <c:v>15.745135176880286</c:v>
              </c:pt>
            </c:numLit>
          </c:xVal>
          <c:yVal>
            <c:numLit>
              <c:formatCode>General</c:formatCode>
              <c:ptCount val="2"/>
              <c:pt idx="0">
                <c:v>2.9401679479707257E-2</c:v>
              </c:pt>
              <c:pt idx="1">
                <c:v>2.9583215468558126E-2</c:v>
              </c:pt>
            </c:numLit>
          </c:yVal>
          <c:smooth val="0"/>
          <c:extLst>
            <c:ext xmlns:c16="http://schemas.microsoft.com/office/drawing/2014/chart" uri="{C3380CC4-5D6E-409C-BE32-E72D297353CC}">
              <c16:uniqueId val="{0000000A-58C1-425A-958B-04142761B163}"/>
            </c:ext>
          </c:extLst>
        </c:ser>
        <c:ser>
          <c:idx val="9"/>
          <c:order val="9"/>
          <c:spPr>
            <a:ln w="3175">
              <a:solidFill>
                <a:srgbClr val="000000"/>
              </a:solidFill>
              <a:prstDash val="solid"/>
            </a:ln>
          </c:spPr>
          <c:marker>
            <c:symbol val="none"/>
          </c:marker>
          <c:xVal>
            <c:numLit>
              <c:formatCode>General</c:formatCode>
              <c:ptCount val="2"/>
              <c:pt idx="0">
                <c:v>15.283405513946459</c:v>
              </c:pt>
              <c:pt idx="1">
                <c:v>15.616037178829878</c:v>
              </c:pt>
            </c:numLit>
          </c:xVal>
          <c:yVal>
            <c:numLit>
              <c:formatCode>General</c:formatCode>
              <c:ptCount val="2"/>
              <c:pt idx="0">
                <c:v>2.9548072789216489E-2</c:v>
              </c:pt>
              <c:pt idx="1">
                <c:v>2.9917418765897194E-2</c:v>
              </c:pt>
            </c:numLit>
          </c:yVal>
          <c:smooth val="0"/>
          <c:extLst>
            <c:ext xmlns:c16="http://schemas.microsoft.com/office/drawing/2014/chart" uri="{C3380CC4-5D6E-409C-BE32-E72D297353CC}">
              <c16:uniqueId val="{0000000B-58C1-425A-958B-04142761B163}"/>
            </c:ext>
          </c:extLst>
        </c:ser>
        <c:ser>
          <c:idx val="10"/>
          <c:order val="10"/>
          <c:spPr>
            <a:ln w="3175">
              <a:solidFill>
                <a:srgbClr val="000000"/>
              </a:solidFill>
              <a:prstDash val="solid"/>
            </a:ln>
          </c:spPr>
          <c:marker>
            <c:symbol val="none"/>
          </c:marker>
          <c:xVal>
            <c:numLit>
              <c:formatCode>General</c:formatCode>
              <c:ptCount val="2"/>
              <c:pt idx="0">
                <c:v>14.97909728533833</c:v>
              </c:pt>
              <c:pt idx="1">
                <c:v>15.138892227167009</c:v>
              </c:pt>
            </c:numLit>
          </c:xVal>
          <c:yVal>
            <c:numLit>
              <c:formatCode>General</c:formatCode>
              <c:ptCount val="2"/>
              <c:pt idx="0">
                <c:v>2.9693831622722384E-2</c:v>
              </c:pt>
              <c:pt idx="1">
                <c:v>2.9881628014637864E-2</c:v>
              </c:pt>
            </c:numLit>
          </c:yVal>
          <c:smooth val="0"/>
          <c:extLst>
            <c:ext xmlns:c16="http://schemas.microsoft.com/office/drawing/2014/chart" uri="{C3380CC4-5D6E-409C-BE32-E72D297353CC}">
              <c16:uniqueId val="{0000000C-58C1-425A-958B-04142761B163}"/>
            </c:ext>
          </c:extLst>
        </c:ser>
        <c:ser>
          <c:idx val="11"/>
          <c:order val="11"/>
          <c:spPr>
            <a:ln w="3175">
              <a:solidFill>
                <a:srgbClr val="000000"/>
              </a:solidFill>
              <a:prstDash val="solid"/>
            </a:ln>
          </c:spPr>
          <c:marker>
            <c:symbol val="none"/>
          </c:marker>
          <c:xVal>
            <c:numLit>
              <c:formatCode>General</c:formatCode>
              <c:ptCount val="2"/>
              <c:pt idx="0">
                <c:v>14.659283952235356</c:v>
              </c:pt>
              <c:pt idx="1">
                <c:v>14.965167550188299</c:v>
              </c:pt>
            </c:numLit>
          </c:xVal>
          <c:yVal>
            <c:numLit>
              <c:formatCode>General</c:formatCode>
              <c:ptCount val="2"/>
              <c:pt idx="0">
                <c:v>2.9838322153782595E-2</c:v>
              </c:pt>
              <c:pt idx="1">
                <c:v>3.0220107388944706E-2</c:v>
              </c:pt>
            </c:numLit>
          </c:yVal>
          <c:smooth val="0"/>
          <c:extLst>
            <c:ext xmlns:c16="http://schemas.microsoft.com/office/drawing/2014/chart" uri="{C3380CC4-5D6E-409C-BE32-E72D297353CC}">
              <c16:uniqueId val="{0000000D-58C1-425A-958B-04142761B163}"/>
            </c:ext>
          </c:extLst>
        </c:ser>
        <c:ser>
          <c:idx val="12"/>
          <c:order val="12"/>
          <c:spPr>
            <a:ln w="3175">
              <a:solidFill>
                <a:srgbClr val="000000"/>
              </a:solidFill>
              <a:prstDash val="solid"/>
            </a:ln>
          </c:spPr>
          <c:marker>
            <c:symbol val="none"/>
          </c:marker>
          <c:dLbls>
            <c:dLbl>
              <c:idx val="0"/>
              <c:tx>
                <c:rich>
                  <a:bodyPr rot="-35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15.525954146435364</c:v>
              </c:pt>
            </c:numLit>
          </c:xVal>
          <c:yVal>
            <c:numLit>
              <c:formatCode>General</c:formatCode>
              <c:ptCount val="1"/>
              <c:pt idx="0">
                <c:v>3.0920046986741907E-2</c:v>
              </c:pt>
            </c:numLit>
          </c:yVal>
          <c:smooth val="0"/>
          <c:extLst>
            <c:ext xmlns:c16="http://schemas.microsoft.com/office/drawing/2014/chart" uri="{C3380CC4-5D6E-409C-BE32-E72D297353CC}">
              <c16:uniqueId val="{0000000F-58C1-425A-958B-04142761B163}"/>
            </c:ext>
          </c:extLst>
        </c:ser>
        <c:ser>
          <c:idx val="13"/>
          <c:order val="13"/>
          <c:spPr>
            <a:ln w="3175">
              <a:solidFill>
                <a:srgbClr val="000000"/>
              </a:solidFill>
              <a:prstDash val="solid"/>
            </a:ln>
          </c:spPr>
          <c:marker>
            <c:symbol val="none"/>
          </c:marker>
          <c:xVal>
            <c:numLit>
              <c:formatCode>General</c:formatCode>
              <c:ptCount val="2"/>
              <c:pt idx="0">
                <c:v>14.323628642858322</c:v>
              </c:pt>
              <c:pt idx="1">
                <c:v>14.469377828062429</c:v>
              </c:pt>
            </c:numLit>
          </c:xVal>
          <c:yVal>
            <c:numLit>
              <c:formatCode>General</c:formatCode>
              <c:ptCount val="2"/>
              <c:pt idx="0">
                <c:v>2.9980844463909358E-2</c:v>
              </c:pt>
              <c:pt idx="1">
                <c:v>3.0174791130993129E-2</c:v>
              </c:pt>
            </c:numLit>
          </c:yVal>
          <c:smooth val="0"/>
          <c:extLst>
            <c:ext xmlns:c16="http://schemas.microsoft.com/office/drawing/2014/chart" uri="{C3380CC4-5D6E-409C-BE32-E72D297353CC}">
              <c16:uniqueId val="{00000010-58C1-425A-958B-04142761B163}"/>
            </c:ext>
          </c:extLst>
        </c:ser>
        <c:ser>
          <c:idx val="14"/>
          <c:order val="14"/>
          <c:spPr>
            <a:ln w="3175">
              <a:solidFill>
                <a:srgbClr val="000000"/>
              </a:solidFill>
              <a:prstDash val="solid"/>
            </a:ln>
          </c:spPr>
          <c:marker>
            <c:symbol val="none"/>
          </c:marker>
          <c:xVal>
            <c:numLit>
              <c:formatCode>General</c:formatCode>
              <c:ptCount val="2"/>
              <c:pt idx="0">
                <c:v>13.971888226311023</c:v>
              </c:pt>
              <c:pt idx="1">
                <c:v>14.248312007438637</c:v>
              </c:pt>
            </c:numLit>
          </c:xVal>
          <c:yVal>
            <c:numLit>
              <c:formatCode>General</c:formatCode>
              <c:ptCount val="2"/>
              <c:pt idx="0">
                <c:v>3.0120633931542337E-2</c:v>
              </c:pt>
              <c:pt idx="1">
                <c:v>3.051451824289415E-2</c:v>
              </c:pt>
            </c:numLit>
          </c:yVal>
          <c:smooth val="0"/>
          <c:extLst>
            <c:ext xmlns:c16="http://schemas.microsoft.com/office/drawing/2014/chart" uri="{C3380CC4-5D6E-409C-BE32-E72D297353CC}">
              <c16:uniqueId val="{00000011-58C1-425A-958B-04142761B163}"/>
            </c:ext>
          </c:extLst>
        </c:ser>
        <c:ser>
          <c:idx val="15"/>
          <c:order val="15"/>
          <c:spPr>
            <a:ln w="3175">
              <a:solidFill>
                <a:srgbClr val="000000"/>
              </a:solidFill>
              <a:prstDash val="solid"/>
            </a:ln>
          </c:spPr>
          <c:marker>
            <c:symbol val="none"/>
          </c:marker>
          <c:xVal>
            <c:numLit>
              <c:formatCode>General</c:formatCode>
              <c:ptCount val="2"/>
              <c:pt idx="0">
                <c:v>13.603931620112528</c:v>
              </c:pt>
              <c:pt idx="1">
                <c:v>13.734258726257798</c:v>
              </c:pt>
            </c:numLit>
          </c:xVal>
          <c:yVal>
            <c:numLit>
              <c:formatCode>General</c:formatCode>
              <c:ptCount val="2"/>
              <c:pt idx="0">
                <c:v>3.0256864649135986E-2</c:v>
              </c:pt>
              <c:pt idx="1">
                <c:v>3.0456726034474614E-2</c:v>
              </c:pt>
            </c:numLit>
          </c:yVal>
          <c:smooth val="0"/>
          <c:extLst>
            <c:ext xmlns:c16="http://schemas.microsoft.com/office/drawing/2014/chart" uri="{C3380CC4-5D6E-409C-BE32-E72D297353CC}">
              <c16:uniqueId val="{00000012-58C1-425A-958B-04142761B163}"/>
            </c:ext>
          </c:extLst>
        </c:ser>
        <c:ser>
          <c:idx val="16"/>
          <c:order val="16"/>
          <c:spPr>
            <a:ln w="3175">
              <a:solidFill>
                <a:srgbClr val="000000"/>
              </a:solidFill>
              <a:prstDash val="solid"/>
            </a:ln>
          </c:spPr>
          <c:marker>
            <c:symbol val="none"/>
          </c:marker>
          <c:xVal>
            <c:numLit>
              <c:formatCode>General</c:formatCode>
              <c:ptCount val="2"/>
              <c:pt idx="0">
                <c:v>13.2197584950931</c:v>
              </c:pt>
              <c:pt idx="1">
                <c:v>13.463948144882803</c:v>
              </c:pt>
            </c:numLit>
          </c:xVal>
          <c:yVal>
            <c:numLit>
              <c:formatCode>General</c:formatCode>
              <c:ptCount val="2"/>
              <c:pt idx="0">
                <c:v>3.0388655191524186E-2</c:v>
              </c:pt>
              <c:pt idx="1">
                <c:v>3.0794026128303793E-2</c:v>
              </c:pt>
            </c:numLit>
          </c:yVal>
          <c:smooth val="0"/>
          <c:extLst>
            <c:ext xmlns:c16="http://schemas.microsoft.com/office/drawing/2014/chart" uri="{C3380CC4-5D6E-409C-BE32-E72D297353CC}">
              <c16:uniqueId val="{00000013-58C1-425A-958B-04142761B163}"/>
            </c:ext>
          </c:extLst>
        </c:ser>
        <c:ser>
          <c:idx val="17"/>
          <c:order val="17"/>
          <c:spPr>
            <a:ln w="3175">
              <a:solidFill>
                <a:srgbClr val="000000"/>
              </a:solidFill>
              <a:prstDash val="solid"/>
            </a:ln>
          </c:spPr>
          <c:marker>
            <c:symbol val="none"/>
          </c:marker>
          <c:dLbls>
            <c:dLbl>
              <c:idx val="0"/>
              <c:tx>
                <c:rich>
                  <a:bodyPr rot="-3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13.91162916949726</c:v>
              </c:pt>
            </c:numLit>
          </c:xVal>
          <c:yVal>
            <c:numLit>
              <c:formatCode>General</c:formatCode>
              <c:ptCount val="1"/>
              <c:pt idx="0">
                <c:v>3.1537206179066406E-2</c:v>
              </c:pt>
            </c:numLit>
          </c:yVal>
          <c:smooth val="0"/>
          <c:extLst>
            <c:ext xmlns:c16="http://schemas.microsoft.com/office/drawing/2014/chart" uri="{C3380CC4-5D6E-409C-BE32-E72D297353CC}">
              <c16:uniqueId val="{00000015-58C1-425A-958B-04142761B163}"/>
            </c:ext>
          </c:extLst>
        </c:ser>
        <c:ser>
          <c:idx val="18"/>
          <c:order val="18"/>
          <c:spPr>
            <a:ln w="3175">
              <a:solidFill>
                <a:srgbClr val="000000"/>
              </a:solidFill>
              <a:prstDash val="solid"/>
            </a:ln>
          </c:spPr>
          <c:marker>
            <c:symbol val="none"/>
          </c:marker>
          <c:xVal>
            <c:numLit>
              <c:formatCode>General</c:formatCode>
              <c:ptCount val="2"/>
              <c:pt idx="0">
                <c:v>12.819517711563606</c:v>
              </c:pt>
              <c:pt idx="1">
                <c:v>12.933035948239969</c:v>
              </c:pt>
            </c:numLit>
          </c:xVal>
          <c:yVal>
            <c:numLit>
              <c:formatCode>General</c:formatCode>
              <c:ptCount val="2"/>
              <c:pt idx="0">
                <c:v>3.0515077010490988E-2</c:v>
              </c:pt>
              <c:pt idx="1">
                <c:v>3.0720471517858654E-2</c:v>
              </c:pt>
            </c:numLit>
          </c:yVal>
          <c:smooth val="0"/>
          <c:extLst>
            <c:ext xmlns:c16="http://schemas.microsoft.com/office/drawing/2014/chart" uri="{C3380CC4-5D6E-409C-BE32-E72D297353CC}">
              <c16:uniqueId val="{00000016-58C1-425A-958B-04142761B163}"/>
            </c:ext>
          </c:extLst>
        </c:ser>
        <c:ser>
          <c:idx val="19"/>
          <c:order val="19"/>
          <c:spPr>
            <a:ln w="3175">
              <a:solidFill>
                <a:srgbClr val="000000"/>
              </a:solidFill>
              <a:prstDash val="solid"/>
            </a:ln>
          </c:spPr>
          <c:marker>
            <c:symbol val="none"/>
          </c:marker>
          <c:xVal>
            <c:numLit>
              <c:formatCode>General</c:formatCode>
              <c:ptCount val="2"/>
              <c:pt idx="0">
                <c:v>12.403524669547116</c:v>
              </c:pt>
              <c:pt idx="1">
                <c:v>12.612732869670563</c:v>
              </c:pt>
            </c:numLit>
          </c:xVal>
          <c:yVal>
            <c:numLit>
              <c:formatCode>General</c:formatCode>
              <c:ptCount val="2"/>
              <c:pt idx="0">
                <c:v>3.0635165647360473E-2</c:v>
              </c:pt>
              <c:pt idx="1">
                <c:v>3.1051101317961634E-2</c:v>
              </c:pt>
            </c:numLit>
          </c:yVal>
          <c:smooth val="0"/>
          <c:extLst>
            <c:ext xmlns:c16="http://schemas.microsoft.com/office/drawing/2014/chart" uri="{C3380CC4-5D6E-409C-BE32-E72D297353CC}">
              <c16:uniqueId val="{00000017-58C1-425A-958B-04142761B163}"/>
            </c:ext>
          </c:extLst>
        </c:ser>
        <c:ser>
          <c:idx val="20"/>
          <c:order val="20"/>
          <c:spPr>
            <a:ln w="3175">
              <a:solidFill>
                <a:srgbClr val="000000"/>
              </a:solidFill>
              <a:prstDash val="solid"/>
            </a:ln>
          </c:spPr>
          <c:marker>
            <c:symbol val="none"/>
          </c:marker>
          <c:xVal>
            <c:numLit>
              <c:formatCode>General</c:formatCode>
              <c:ptCount val="2"/>
              <c:pt idx="0">
                <c:v>11.972276624673018</c:v>
              </c:pt>
              <c:pt idx="1">
                <c:v>12.067639695201725</c:v>
              </c:pt>
            </c:numLit>
          </c:xVal>
          <c:yVal>
            <c:numLit>
              <c:formatCode>General</c:formatCode>
              <c:ptCount val="2"/>
              <c:pt idx="0">
                <c:v>3.0747934834256706E-2</c:v>
              </c:pt>
              <c:pt idx="1">
                <c:v>3.0958319152133637E-2</c:v>
              </c:pt>
            </c:numLit>
          </c:yVal>
          <c:smooth val="0"/>
          <c:extLst>
            <c:ext xmlns:c16="http://schemas.microsoft.com/office/drawing/2014/chart" uri="{C3380CC4-5D6E-409C-BE32-E72D297353CC}">
              <c16:uniqueId val="{00000018-58C1-425A-958B-04142761B163}"/>
            </c:ext>
          </c:extLst>
        </c:ser>
        <c:ser>
          <c:idx val="21"/>
          <c:order val="21"/>
          <c:spPr>
            <a:ln w="3175">
              <a:solidFill>
                <a:srgbClr val="000000"/>
              </a:solidFill>
              <a:prstDash val="solid"/>
            </a:ln>
          </c:spPr>
          <c:marker>
            <c:symbol val="none"/>
          </c:marker>
          <c:xVal>
            <c:numLit>
              <c:formatCode>General</c:formatCode>
              <c:ptCount val="2"/>
              <c:pt idx="0">
                <c:v>11.526464929155814</c:v>
              </c:pt>
              <c:pt idx="1">
                <c:v>11.698084854691064</c:v>
              </c:pt>
            </c:numLit>
          </c:xVal>
          <c:yVal>
            <c:numLit>
              <c:formatCode>General</c:formatCode>
              <c:ptCount val="2"/>
              <c:pt idx="0">
                <c:v>3.085239339588855E-2</c:v>
              </c:pt>
              <c:pt idx="1">
                <c:v>3.1277638827140915E-2</c:v>
              </c:pt>
            </c:numLit>
          </c:yVal>
          <c:smooth val="0"/>
          <c:extLst>
            <c:ext xmlns:c16="http://schemas.microsoft.com/office/drawing/2014/chart" uri="{C3380CC4-5D6E-409C-BE32-E72D297353CC}">
              <c16:uniqueId val="{00000019-58C1-425A-958B-04142761B163}"/>
            </c:ext>
          </c:extLst>
        </c:ser>
        <c:ser>
          <c:idx val="22"/>
          <c:order val="22"/>
          <c:spPr>
            <a:ln w="3175">
              <a:solidFill>
                <a:srgbClr val="000000"/>
              </a:solidFill>
              <a:prstDash val="solid"/>
            </a:ln>
          </c:spPr>
          <c:marker>
            <c:symbol val="none"/>
          </c:marker>
          <c:dLbls>
            <c:dLbl>
              <c:idx val="0"/>
              <c:tx>
                <c:rich>
                  <a:bodyPr rot="-43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12.01272138483902</c:v>
              </c:pt>
            </c:numLit>
          </c:xVal>
          <c:yVal>
            <c:numLit>
              <c:formatCode>General</c:formatCode>
              <c:ptCount val="1"/>
              <c:pt idx="0">
                <c:v>3.2057255451103592E-2</c:v>
              </c:pt>
            </c:numLit>
          </c:yVal>
          <c:smooth val="0"/>
          <c:extLst>
            <c:ext xmlns:c16="http://schemas.microsoft.com/office/drawing/2014/chart" uri="{C3380CC4-5D6E-409C-BE32-E72D297353CC}">
              <c16:uniqueId val="{0000001B-58C1-425A-958B-04142761B163}"/>
            </c:ext>
          </c:extLst>
        </c:ser>
        <c:ser>
          <c:idx val="23"/>
          <c:order val="23"/>
          <c:spPr>
            <a:ln w="3175">
              <a:solidFill>
                <a:srgbClr val="000000"/>
              </a:solidFill>
              <a:prstDash val="solid"/>
            </a:ln>
          </c:spPr>
          <c:marker>
            <c:symbol val="none"/>
          </c:marker>
          <c:xVal>
            <c:numLit>
              <c:formatCode>General</c:formatCode>
              <c:ptCount val="2"/>
              <c:pt idx="0">
                <c:v>11.066983124686066</c:v>
              </c:pt>
              <c:pt idx="1">
                <c:v>11.142947048786482</c:v>
              </c:pt>
            </c:numLit>
          </c:xVal>
          <c:yVal>
            <c:numLit>
              <c:formatCode>General</c:formatCode>
              <c:ptCount val="2"/>
              <c:pt idx="0">
                <c:v>3.0947564672567929E-2</c:v>
              </c:pt>
              <c:pt idx="1">
                <c:v>3.1162226772694385E-2</c:v>
              </c:pt>
            </c:numLit>
          </c:yVal>
          <c:smooth val="0"/>
          <c:extLst>
            <c:ext xmlns:c16="http://schemas.microsoft.com/office/drawing/2014/chart" uri="{C3380CC4-5D6E-409C-BE32-E72D297353CC}">
              <c16:uniqueId val="{0000001C-58C1-425A-958B-04142761B163}"/>
            </c:ext>
          </c:extLst>
        </c:ser>
        <c:ser>
          <c:idx val="24"/>
          <c:order val="24"/>
          <c:spPr>
            <a:ln w="3175">
              <a:solidFill>
                <a:srgbClr val="000000"/>
              </a:solidFill>
              <a:prstDash val="solid"/>
            </a:ln>
          </c:spPr>
          <c:marker>
            <c:symbol val="none"/>
          </c:marker>
          <c:xVal>
            <c:numLit>
              <c:formatCode>General</c:formatCode>
              <c:ptCount val="2"/>
              <c:pt idx="0">
                <c:v>10.594929860498169</c:v>
              </c:pt>
              <c:pt idx="1">
                <c:v>10.72662685451952</c:v>
              </c:pt>
            </c:numLit>
          </c:xVal>
          <c:yVal>
            <c:numLit>
              <c:formatCode>General</c:formatCode>
              <c:ptCount val="2"/>
              <c:pt idx="0">
                <c:v>3.1032507972748882E-2</c:v>
              </c:pt>
              <c:pt idx="1">
                <c:v>3.1465472600152408E-2</c:v>
              </c:pt>
            </c:numLit>
          </c:yVal>
          <c:smooth val="0"/>
          <c:extLst>
            <c:ext xmlns:c16="http://schemas.microsoft.com/office/drawing/2014/chart" uri="{C3380CC4-5D6E-409C-BE32-E72D297353CC}">
              <c16:uniqueId val="{0000001D-58C1-425A-958B-04142761B163}"/>
            </c:ext>
          </c:extLst>
        </c:ser>
        <c:ser>
          <c:idx val="25"/>
          <c:order val="25"/>
          <c:spPr>
            <a:ln w="3175">
              <a:solidFill>
                <a:srgbClr val="000000"/>
              </a:solidFill>
              <a:prstDash val="solid"/>
            </a:ln>
          </c:spPr>
          <c:marker>
            <c:symbol val="none"/>
          </c:marker>
          <c:xVal>
            <c:numLit>
              <c:formatCode>General</c:formatCode>
              <c:ptCount val="2"/>
              <c:pt idx="0">
                <c:v>10.111605750259969</c:v>
              </c:pt>
              <c:pt idx="1">
                <c:v>10.167097302051253</c:v>
              </c:pt>
            </c:numLit>
          </c:xVal>
          <c:yVal>
            <c:numLit>
              <c:formatCode>General</c:formatCode>
              <c:ptCount val="2"/>
              <c:pt idx="0">
                <c:v>3.1106341346724724E-2</c:v>
              </c:pt>
              <c:pt idx="1">
                <c:v>3.1324405804154541E-2</c:v>
              </c:pt>
            </c:numLit>
          </c:yVal>
          <c:smooth val="0"/>
          <c:extLst>
            <c:ext xmlns:c16="http://schemas.microsoft.com/office/drawing/2014/chart" uri="{C3380CC4-5D6E-409C-BE32-E72D297353CC}">
              <c16:uniqueId val="{0000001E-58C1-425A-958B-04142761B163}"/>
            </c:ext>
          </c:extLst>
        </c:ser>
        <c:ser>
          <c:idx val="26"/>
          <c:order val="26"/>
          <c:spPr>
            <a:ln w="3175">
              <a:solidFill>
                <a:srgbClr val="000000"/>
              </a:solidFill>
              <a:prstDash val="solid"/>
            </a:ln>
          </c:spPr>
          <c:marker>
            <c:symbol val="none"/>
          </c:marker>
          <c:xVal>
            <c:numLit>
              <c:formatCode>General</c:formatCode>
              <c:ptCount val="2"/>
              <c:pt idx="0">
                <c:v>9.6185035223870123</c:v>
              </c:pt>
              <c:pt idx="1">
                <c:v>9.7083536733464566</c:v>
              </c:pt>
            </c:numLit>
          </c:xVal>
          <c:yVal>
            <c:numLit>
              <c:formatCode>General</c:formatCode>
              <c:ptCount val="2"/>
              <c:pt idx="0">
                <c:v>3.1168264774375409E-2</c:v>
              </c:pt>
              <c:pt idx="1">
                <c:v>3.160704755042007E-2</c:v>
              </c:pt>
            </c:numLit>
          </c:yVal>
          <c:smooth val="0"/>
          <c:extLst>
            <c:ext xmlns:c16="http://schemas.microsoft.com/office/drawing/2014/chart" uri="{C3380CC4-5D6E-409C-BE32-E72D297353CC}">
              <c16:uniqueId val="{0000001F-58C1-425A-958B-04142761B163}"/>
            </c:ext>
          </c:extLst>
        </c:ser>
        <c:ser>
          <c:idx val="27"/>
          <c:order val="27"/>
          <c:spPr>
            <a:ln w="3175">
              <a:solidFill>
                <a:srgbClr val="000000"/>
              </a:solidFill>
              <a:prstDash val="solid"/>
            </a:ln>
          </c:spPr>
          <c:marker>
            <c:symbol val="none"/>
          </c:marker>
          <c:dLbls>
            <c:dLbl>
              <c:idx val="0"/>
              <c:tx>
                <c:rich>
                  <a:bodyPr rot="-48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9.8730789501054357</c:v>
              </c:pt>
            </c:numLit>
          </c:xVal>
          <c:yVal>
            <c:numLit>
              <c:formatCode>General</c:formatCode>
              <c:ptCount val="1"/>
              <c:pt idx="0">
                <c:v>3.241148263983528E-2</c:v>
              </c:pt>
            </c:numLit>
          </c:yVal>
          <c:smooth val="0"/>
          <c:extLst>
            <c:ext xmlns:c16="http://schemas.microsoft.com/office/drawing/2014/chart" uri="{C3380CC4-5D6E-409C-BE32-E72D297353CC}">
              <c16:uniqueId val="{00000021-58C1-425A-958B-04142761B163}"/>
            </c:ext>
          </c:extLst>
        </c:ser>
        <c:ser>
          <c:idx val="28"/>
          <c:order val="28"/>
          <c:spPr>
            <a:ln w="3175">
              <a:solidFill>
                <a:srgbClr val="000000"/>
              </a:solidFill>
              <a:prstDash val="solid"/>
            </a:ln>
          </c:spPr>
          <c:marker>
            <c:symbol val="none"/>
          </c:marker>
          <c:xVal>
            <c:numLit>
              <c:formatCode>General</c:formatCode>
              <c:ptCount val="2"/>
              <c:pt idx="0">
                <c:v>9.1172911549090987</c:v>
              </c:pt>
              <c:pt idx="1">
                <c:v>9.1514759653714375</c:v>
              </c:pt>
            </c:numLit>
          </c:xVal>
          <c:yVal>
            <c:numLit>
              <c:formatCode>General</c:formatCode>
              <c:ptCount val="2"/>
              <c:pt idx="0">
                <c:v>3.1217582704093288E-2</c:v>
              </c:pt>
              <c:pt idx="1">
                <c:v>3.1438030904895289E-2</c:v>
              </c:pt>
            </c:numLit>
          </c:yVal>
          <c:smooth val="0"/>
          <c:extLst>
            <c:ext xmlns:c16="http://schemas.microsoft.com/office/drawing/2014/chart" uri="{C3380CC4-5D6E-409C-BE32-E72D297353CC}">
              <c16:uniqueId val="{00000022-58C1-425A-958B-04142761B163}"/>
            </c:ext>
          </c:extLst>
        </c:ser>
        <c:ser>
          <c:idx val="29"/>
          <c:order val="29"/>
          <c:spPr>
            <a:ln w="3175">
              <a:solidFill>
                <a:srgbClr val="000000"/>
              </a:solidFill>
              <a:prstDash val="solid"/>
            </a:ln>
          </c:spPr>
          <c:marker>
            <c:symbol val="none"/>
          </c:marker>
          <c:xVal>
            <c:numLit>
              <c:formatCode>General</c:formatCode>
              <c:ptCount val="2"/>
              <c:pt idx="0">
                <c:v>8.6097880993478064</c:v>
              </c:pt>
              <c:pt idx="1">
                <c:v>8.6564075893198567</c:v>
              </c:pt>
            </c:numLit>
          </c:xVal>
          <c:yVal>
            <c:numLit>
              <c:formatCode>General</c:formatCode>
              <c:ptCount val="2"/>
              <c:pt idx="0">
                <c:v>3.1253724791923544E-2</c:v>
              </c:pt>
              <c:pt idx="1">
                <c:v>3.169617014014884E-2</c:v>
              </c:pt>
            </c:numLit>
          </c:yVal>
          <c:smooth val="0"/>
          <c:extLst>
            <c:ext xmlns:c16="http://schemas.microsoft.com/office/drawing/2014/chart" uri="{C3380CC4-5D6E-409C-BE32-E72D297353CC}">
              <c16:uniqueId val="{00000023-58C1-425A-958B-04142761B163}"/>
            </c:ext>
          </c:extLst>
        </c:ser>
        <c:ser>
          <c:idx val="30"/>
          <c:order val="30"/>
          <c:spPr>
            <a:ln w="3175">
              <a:solidFill>
                <a:srgbClr val="000000"/>
              </a:solidFill>
              <a:prstDash val="solid"/>
            </a:ln>
          </c:spPr>
          <c:marker>
            <c:symbol val="none"/>
          </c:marker>
          <c:xVal>
            <c:numLit>
              <c:formatCode>General</c:formatCode>
              <c:ptCount val="2"/>
              <c:pt idx="0">
                <c:v>8.0979351556909851</c:v>
              </c:pt>
              <c:pt idx="1">
                <c:v>8.1102766233129344</c:v>
              </c:pt>
            </c:numLit>
          </c:xVal>
          <c:yVal>
            <c:numLit>
              <c:formatCode>General</c:formatCode>
              <c:ptCount val="2"/>
              <c:pt idx="0">
                <c:v>3.127626368973449E-2</c:v>
              </c:pt>
              <c:pt idx="1">
                <c:v>3.1497969340228804E-2</c:v>
              </c:pt>
            </c:numLit>
          </c:yVal>
          <c:smooth val="0"/>
          <c:extLst>
            <c:ext xmlns:c16="http://schemas.microsoft.com/office/drawing/2014/chart" uri="{C3380CC4-5D6E-409C-BE32-E72D297353CC}">
              <c16:uniqueId val="{00000024-58C1-425A-958B-04142761B163}"/>
            </c:ext>
          </c:extLst>
        </c:ser>
        <c:ser>
          <c:idx val="31"/>
          <c:order val="31"/>
          <c:spPr>
            <a:ln w="3175">
              <a:solidFill>
                <a:srgbClr val="000000"/>
              </a:solidFill>
              <a:prstDash val="solid"/>
            </a:ln>
          </c:spPr>
          <c:marker>
            <c:symbol val="none"/>
          </c:marker>
          <c:xVal>
            <c:numLit>
              <c:formatCode>General</c:formatCode>
              <c:ptCount val="2"/>
              <c:pt idx="0">
                <c:v>7.5837590188694071</c:v>
              </c:pt>
              <c:pt idx="1">
                <c:v>7.5864058339638101</c:v>
              </c:pt>
            </c:numLit>
          </c:xVal>
          <c:yVal>
            <c:numLit>
              <c:formatCode>General</c:formatCode>
              <c:ptCount val="2"/>
              <c:pt idx="0">
                <c:v>3.1284928830437236E-2</c:v>
              </c:pt>
              <c:pt idx="1">
                <c:v>3.1728711494598834E-2</c:v>
              </c:pt>
            </c:numLit>
          </c:yVal>
          <c:smooth val="0"/>
          <c:extLst>
            <c:ext xmlns:c16="http://schemas.microsoft.com/office/drawing/2014/chart" uri="{C3380CC4-5D6E-409C-BE32-E72D297353CC}">
              <c16:uniqueId val="{00000025-58C1-425A-958B-04142761B163}"/>
            </c:ext>
          </c:extLst>
        </c:ser>
        <c:ser>
          <c:idx val="32"/>
          <c:order val="32"/>
          <c:spPr>
            <a:ln w="3175">
              <a:solidFill>
                <a:srgbClr val="000000"/>
              </a:solidFill>
              <a:prstDash val="solid"/>
            </a:ln>
          </c:spPr>
          <c:marker>
            <c:symbol val="none"/>
          </c:marker>
          <c:dLbls>
            <c:dLbl>
              <c:idx val="0"/>
              <c:tx>
                <c:rich>
                  <a:bodyPr rot="-5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7.5912583283035486</c:v>
              </c:pt>
            </c:numLit>
          </c:xVal>
          <c:yVal>
            <c:numLit>
              <c:formatCode>General</c:formatCode>
              <c:ptCount val="1"/>
              <c:pt idx="0">
                <c:v>3.2542313045561759E-2</c:v>
              </c:pt>
            </c:numLit>
          </c:yVal>
          <c:smooth val="0"/>
          <c:extLst>
            <c:ext xmlns:c16="http://schemas.microsoft.com/office/drawing/2014/chart" uri="{C3380CC4-5D6E-409C-BE32-E72D297353CC}">
              <c16:uniqueId val="{00000027-58C1-425A-958B-04142761B163}"/>
            </c:ext>
          </c:extLst>
        </c:ser>
        <c:ser>
          <c:idx val="33"/>
          <c:order val="33"/>
          <c:spPr>
            <a:ln w="3175">
              <a:solidFill>
                <a:srgbClr val="000000"/>
              </a:solidFill>
              <a:prstDash val="solid"/>
            </a:ln>
          </c:spPr>
          <c:marker>
            <c:symbol val="none"/>
          </c:marker>
          <c:xVal>
            <c:numLit>
              <c:formatCode>General</c:formatCode>
              <c:ptCount val="2"/>
              <c:pt idx="0">
                <c:v>7.069332926750965</c:v>
              </c:pt>
              <c:pt idx="1">
                <c:v>7.0596329180384858</c:v>
              </c:pt>
            </c:numLit>
          </c:xVal>
          <c:yVal>
            <c:numLit>
              <c:formatCode>General</c:formatCode>
              <c:ptCount val="2"/>
              <c:pt idx="0">
                <c:v>3.1279615356557502E-2</c:v>
              </c:pt>
              <c:pt idx="1">
                <c:v>3.1501392828483736E-2</c:v>
              </c:pt>
            </c:numLit>
          </c:yVal>
          <c:smooth val="0"/>
          <c:extLst>
            <c:ext xmlns:c16="http://schemas.microsoft.com/office/drawing/2014/chart" uri="{C3380CC4-5D6E-409C-BE32-E72D297353CC}">
              <c16:uniqueId val="{00000028-58C1-425A-958B-04142761B163}"/>
            </c:ext>
          </c:extLst>
        </c:ser>
        <c:ser>
          <c:idx val="34"/>
          <c:order val="34"/>
          <c:spPr>
            <a:ln w="3175">
              <a:solidFill>
                <a:srgbClr val="000000"/>
              </a:solidFill>
              <a:prstDash val="solid"/>
            </a:ln>
          </c:spPr>
          <c:marker>
            <c:symbol val="none"/>
          </c:marker>
          <c:xVal>
            <c:numLit>
              <c:formatCode>General</c:formatCode>
              <c:ptCount val="2"/>
              <c:pt idx="0">
                <c:v>6.5567351526053601</c:v>
              </c:pt>
              <c:pt idx="1">
                <c:v>6.5153666591455899</c:v>
              </c:pt>
            </c:numLit>
          </c:xVal>
          <c:yVal>
            <c:numLit>
              <c:formatCode>General</c:formatCode>
              <c:ptCount val="2"/>
              <c:pt idx="0">
                <c:v>3.1260387622117129E-2</c:v>
              </c:pt>
              <c:pt idx="1">
                <c:v>3.1703118520207865E-2</c:v>
              </c:pt>
            </c:numLit>
          </c:yVal>
          <c:smooth val="0"/>
          <c:extLst>
            <c:ext xmlns:c16="http://schemas.microsoft.com/office/drawing/2014/chart" uri="{C3380CC4-5D6E-409C-BE32-E72D297353CC}">
              <c16:uniqueId val="{00000029-58C1-425A-958B-04142761B163}"/>
            </c:ext>
          </c:extLst>
        </c:ser>
        <c:ser>
          <c:idx val="35"/>
          <c:order val="35"/>
          <c:spPr>
            <a:ln w="3175">
              <a:solidFill>
                <a:srgbClr val="000000"/>
              </a:solidFill>
              <a:prstDash val="solid"/>
            </a:ln>
          </c:spPr>
          <c:marker>
            <c:symbol val="none"/>
          </c:marker>
          <c:xVal>
            <c:numLit>
              <c:formatCode>General</c:formatCode>
              <c:ptCount val="2"/>
              <c:pt idx="0">
                <c:v>6.048007262567018</c:v>
              </c:pt>
              <c:pt idx="1">
                <c:v>6.0164217039077394</c:v>
              </c:pt>
            </c:numLit>
          </c:xVal>
          <c:yVal>
            <c:numLit>
              <c:formatCode>General</c:formatCode>
              <c:ptCount val="2"/>
              <c:pt idx="0">
                <c:v>3.1227477040677638E-2</c:v>
              </c:pt>
              <c:pt idx="1">
                <c:v>3.1448137262977877E-2</c:v>
              </c:pt>
            </c:numLit>
          </c:yVal>
          <c:smooth val="0"/>
          <c:extLst>
            <c:ext xmlns:c16="http://schemas.microsoft.com/office/drawing/2014/chart" uri="{C3380CC4-5D6E-409C-BE32-E72D297353CC}">
              <c16:uniqueId val="{0000002A-58C1-425A-958B-04142761B163}"/>
            </c:ext>
          </c:extLst>
        </c:ser>
        <c:ser>
          <c:idx val="36"/>
          <c:order val="36"/>
          <c:spPr>
            <a:ln w="3175">
              <a:solidFill>
                <a:srgbClr val="000000"/>
              </a:solidFill>
              <a:prstDash val="solid"/>
            </a:ln>
          </c:spPr>
          <c:marker>
            <c:symbol val="none"/>
          </c:marker>
          <c:xVal>
            <c:numLit>
              <c:formatCode>General</c:formatCode>
              <c:ptCount val="2"/>
              <c:pt idx="0">
                <c:v>5.5451140781737465</c:v>
              </c:pt>
              <c:pt idx="1">
                <c:v>5.4603903958097648</c:v>
              </c:pt>
            </c:numLit>
          </c:xVal>
          <c:yVal>
            <c:numLit>
              <c:formatCode>General</c:formatCode>
              <c:ptCount val="2"/>
              <c:pt idx="0">
                <c:v>3.1181274419367078E-2</c:v>
              </c:pt>
              <c:pt idx="1">
                <c:v>3.1620614751625663E-2</c:v>
              </c:pt>
            </c:numLit>
          </c:yVal>
          <c:smooth val="0"/>
          <c:extLst>
            <c:ext xmlns:c16="http://schemas.microsoft.com/office/drawing/2014/chart" uri="{C3380CC4-5D6E-409C-BE32-E72D297353CC}">
              <c16:uniqueId val="{0000002B-58C1-425A-958B-04142761B163}"/>
            </c:ext>
          </c:extLst>
        </c:ser>
        <c:ser>
          <c:idx val="37"/>
          <c:order val="37"/>
          <c:spPr>
            <a:ln w="3175">
              <a:solidFill>
                <a:srgbClr val="000000"/>
              </a:solidFill>
              <a:prstDash val="solid"/>
            </a:ln>
          </c:spPr>
          <c:marker>
            <c:symbol val="none"/>
          </c:marker>
          <c:dLbls>
            <c:dLbl>
              <c:idx val="0"/>
              <c:tx>
                <c:rich>
                  <a:bodyPr rot="49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5.3050636448091302</c:v>
              </c:pt>
            </c:numLit>
          </c:xVal>
          <c:yVal>
            <c:numLit>
              <c:formatCode>General</c:formatCode>
              <c:ptCount val="1"/>
              <c:pt idx="0">
                <c:v>3.2426072027433077E-2</c:v>
              </c:pt>
            </c:numLit>
          </c:yVal>
          <c:smooth val="0"/>
          <c:extLst>
            <c:ext xmlns:c16="http://schemas.microsoft.com/office/drawing/2014/chart" uri="{C3380CC4-5D6E-409C-BE32-E72D297353CC}">
              <c16:uniqueId val="{0000002D-58C1-425A-958B-04142761B163}"/>
            </c:ext>
          </c:extLst>
        </c:ser>
        <c:ser>
          <c:idx val="38"/>
          <c:order val="38"/>
          <c:spPr>
            <a:ln w="3175">
              <a:solidFill>
                <a:srgbClr val="000000"/>
              </a:solidFill>
              <a:prstDash val="solid"/>
            </a:ln>
          </c:spPr>
          <c:marker>
            <c:symbol val="none"/>
          </c:marker>
          <c:xVal>
            <c:numLit>
              <c:formatCode>General</c:formatCode>
              <c:ptCount val="2"/>
              <c:pt idx="0">
                <c:v>5.0499071430589693</c:v>
              </c:pt>
              <c:pt idx="1">
                <c:v>4.9969337246959471</c:v>
              </c:pt>
            </c:numLit>
          </c:xVal>
          <c:yVal>
            <c:numLit>
              <c:formatCode>General</c:formatCode>
              <c:ptCount val="2"/>
              <c:pt idx="0">
                <c:v>3.1122317270830653E-2</c:v>
              </c:pt>
              <c:pt idx="1">
                <c:v>3.1340724069491309E-2</c:v>
              </c:pt>
            </c:numLit>
          </c:yVal>
          <c:smooth val="0"/>
          <c:extLst>
            <c:ext xmlns:c16="http://schemas.microsoft.com/office/drawing/2014/chart" uri="{C3380CC4-5D6E-409C-BE32-E72D297353CC}">
              <c16:uniqueId val="{0000002E-58C1-425A-958B-04142761B163}"/>
            </c:ext>
          </c:extLst>
        </c:ser>
        <c:ser>
          <c:idx val="39"/>
          <c:order val="39"/>
          <c:spPr>
            <a:ln w="3175">
              <a:solidFill>
                <a:srgbClr val="000000"/>
              </a:solidFill>
              <a:prstDash val="solid"/>
            </a:ln>
          </c:spPr>
          <c:marker>
            <c:symbol val="none"/>
          </c:marker>
          <c:xVal>
            <c:numLit>
              <c:formatCode>General</c:formatCode>
              <c:ptCount val="2"/>
              <c:pt idx="0">
                <c:v>4.5640932094034081</c:v>
              </c:pt>
              <c:pt idx="1">
                <c:v>4.437325775520697</c:v>
              </c:pt>
            </c:numLit>
          </c:xVal>
          <c:yVal>
            <c:numLit>
              <c:formatCode>General</c:formatCode>
              <c:ptCount val="2"/>
              <c:pt idx="0">
                <c:v>3.1051272895714872E-2</c:v>
              </c:pt>
              <c:pt idx="1">
                <c:v>3.1485041734102652E-2</c:v>
              </c:pt>
            </c:numLit>
          </c:yVal>
          <c:smooth val="0"/>
          <c:extLst>
            <c:ext xmlns:c16="http://schemas.microsoft.com/office/drawing/2014/chart" uri="{C3380CC4-5D6E-409C-BE32-E72D297353CC}">
              <c16:uniqueId val="{0000002F-58C1-425A-958B-04142761B163}"/>
            </c:ext>
          </c:extLst>
        </c:ser>
        <c:ser>
          <c:idx val="40"/>
          <c:order val="40"/>
          <c:spPr>
            <a:ln w="3175">
              <a:solidFill>
                <a:srgbClr val="000000"/>
              </a:solidFill>
              <a:prstDash val="solid"/>
            </a:ln>
          </c:spPr>
          <c:marker>
            <c:symbol val="none"/>
          </c:marker>
          <c:xVal>
            <c:numLit>
              <c:formatCode>General</c:formatCode>
              <c:ptCount val="2"/>
              <c:pt idx="0">
                <c:v>4.0892088691906565</c:v>
              </c:pt>
              <c:pt idx="1">
                <c:v>4.0156490592447414</c:v>
              </c:pt>
            </c:numLit>
          </c:xVal>
          <c:yVal>
            <c:numLit>
              <c:formatCode>General</c:formatCode>
              <c:ptCount val="2"/>
              <c:pt idx="0">
                <c:v>3.0968918248820355E-2</c:v>
              </c:pt>
              <c:pt idx="1">
                <c:v>3.118403792558079E-2</c:v>
              </c:pt>
            </c:numLit>
          </c:yVal>
          <c:smooth val="0"/>
          <c:extLst>
            <c:ext xmlns:c16="http://schemas.microsoft.com/office/drawing/2014/chart" uri="{C3380CC4-5D6E-409C-BE32-E72D297353CC}">
              <c16:uniqueId val="{00000030-58C1-425A-958B-04142761B163}"/>
            </c:ext>
          </c:extLst>
        </c:ser>
        <c:ser>
          <c:idx val="41"/>
          <c:order val="41"/>
          <c:spPr>
            <a:ln w="3175">
              <a:solidFill>
                <a:srgbClr val="000000"/>
              </a:solidFill>
              <a:prstDash val="solid"/>
            </a:ln>
          </c:spPr>
          <c:marker>
            <c:symbol val="none"/>
          </c:marker>
          <c:xVal>
            <c:numLit>
              <c:formatCode>General</c:formatCode>
              <c:ptCount val="2"/>
              <c:pt idx="0">
                <c:v>3.6266020041010818</c:v>
              </c:pt>
              <c:pt idx="1">
                <c:v>3.4596563757054137</c:v>
              </c:pt>
            </c:numLit>
          </c:xVal>
          <c:yVal>
            <c:numLit>
              <c:formatCode>General</c:formatCode>
              <c:ptCount val="2"/>
              <c:pt idx="0">
                <c:v>3.0876117725569325E-2</c:v>
              </c:pt>
              <c:pt idx="1">
                <c:v>3.1302379913808007E-2</c:v>
              </c:pt>
            </c:numLit>
          </c:yVal>
          <c:smooth val="0"/>
          <c:extLst>
            <c:ext xmlns:c16="http://schemas.microsoft.com/office/drawing/2014/chart" uri="{C3380CC4-5D6E-409C-BE32-E72D297353CC}">
              <c16:uniqueId val="{00000031-58C1-425A-958B-04142761B163}"/>
            </c:ext>
          </c:extLst>
        </c:ser>
        <c:ser>
          <c:idx val="42"/>
          <c:order val="42"/>
          <c:spPr>
            <a:ln w="3175">
              <a:solidFill>
                <a:srgbClr val="000000"/>
              </a:solidFill>
              <a:prstDash val="solid"/>
            </a:ln>
          </c:spPr>
          <c:marker>
            <c:symbol val="none"/>
          </c:marker>
          <c:dLbls>
            <c:dLbl>
              <c:idx val="0"/>
              <c:tx>
                <c:rich>
                  <a:bodyPr rot="44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3.1535893903133561</c:v>
              </c:pt>
            </c:numLit>
          </c:xVal>
          <c:yVal>
            <c:numLit>
              <c:formatCode>General</c:formatCode>
              <c:ptCount val="1"/>
              <c:pt idx="0">
                <c:v>3.2083860592245599E-2</c:v>
              </c:pt>
            </c:numLit>
          </c:yVal>
          <c:smooth val="0"/>
          <c:extLst>
            <c:ext xmlns:c16="http://schemas.microsoft.com/office/drawing/2014/chart" uri="{C3380CC4-5D6E-409C-BE32-E72D297353CC}">
              <c16:uniqueId val="{00000033-58C1-425A-958B-04142761B163}"/>
            </c:ext>
          </c:extLst>
        </c:ser>
        <c:ser>
          <c:idx val="43"/>
          <c:order val="43"/>
          <c:spPr>
            <a:ln w="3175">
              <a:solidFill>
                <a:srgbClr val="000000"/>
              </a:solidFill>
              <a:prstDash val="solid"/>
            </a:ln>
          </c:spPr>
          <c:marker>
            <c:symbol val="none"/>
          </c:marker>
          <c:xVal>
            <c:numLit>
              <c:formatCode>General</c:formatCode>
              <c:ptCount val="2"/>
              <c:pt idx="0">
                <c:v>3.1774202657841126</c:v>
              </c:pt>
              <c:pt idx="1">
                <c:v>3.0843221286223432</c:v>
              </c:pt>
            </c:numLit>
          </c:xVal>
          <c:yVal>
            <c:numLit>
              <c:formatCode>General</c:formatCode>
              <c:ptCount val="2"/>
              <c:pt idx="0">
                <c:v>3.0773800028426088E-2</c:v>
              </c:pt>
              <c:pt idx="1">
                <c:v>3.0984738600463791E-2</c:v>
              </c:pt>
            </c:numLit>
          </c:yVal>
          <c:smooth val="0"/>
          <c:extLst>
            <c:ext xmlns:c16="http://schemas.microsoft.com/office/drawing/2014/chart" uri="{C3380CC4-5D6E-409C-BE32-E72D297353CC}">
              <c16:uniqueId val="{00000034-58C1-425A-958B-04142761B163}"/>
            </c:ext>
          </c:extLst>
        </c:ser>
        <c:ser>
          <c:idx val="44"/>
          <c:order val="44"/>
          <c:spPr>
            <a:ln w="3175">
              <a:solidFill>
                <a:srgbClr val="000000"/>
              </a:solidFill>
              <a:prstDash val="solid"/>
            </a:ln>
          </c:spPr>
          <c:marker>
            <c:symbol val="none"/>
          </c:marker>
          <c:xVal>
            <c:numLit>
              <c:formatCode>General</c:formatCode>
              <c:ptCount val="2"/>
              <c:pt idx="0">
                <c:v>2.7426063708388666</c:v>
              </c:pt>
              <c:pt idx="1">
                <c:v>2.5377752153033892</c:v>
              </c:pt>
            </c:numLit>
          </c:xVal>
          <c:yVal>
            <c:numLit>
              <c:formatCode>General</c:formatCode>
              <c:ptCount val="2"/>
              <c:pt idx="0">
                <c:v>3.0662935204324095E-2</c:v>
              </c:pt>
              <c:pt idx="1">
                <c:v>3.1080060998795126E-2</c:v>
              </c:pt>
            </c:numLit>
          </c:yVal>
          <c:smooth val="0"/>
          <c:extLst>
            <c:ext xmlns:c16="http://schemas.microsoft.com/office/drawing/2014/chart" uri="{C3380CC4-5D6E-409C-BE32-E72D297353CC}">
              <c16:uniqueId val="{00000035-58C1-425A-958B-04142761B163}"/>
            </c:ext>
          </c:extLst>
        </c:ser>
        <c:ser>
          <c:idx val="45"/>
          <c:order val="45"/>
          <c:spPr>
            <a:ln w="3175">
              <a:solidFill>
                <a:srgbClr val="000000"/>
              </a:solidFill>
              <a:prstDash val="solid"/>
            </a:ln>
          </c:spPr>
          <c:marker>
            <c:symbol val="none"/>
          </c:marker>
          <c:xVal>
            <c:numLit>
              <c:formatCode>General</c:formatCode>
              <c:ptCount val="2"/>
              <c:pt idx="0">
                <c:v>2.3228996376269366</c:v>
              </c:pt>
              <c:pt idx="1">
                <c:v>2.2114903441475136</c:v>
              </c:pt>
            </c:numLit>
          </c:xVal>
          <c:yVal>
            <c:numLit>
              <c:formatCode>General</c:formatCode>
              <c:ptCount val="2"/>
              <c:pt idx="0">
                <c:v>3.0544512802476664E-2</c:v>
              </c:pt>
              <c:pt idx="1">
                <c:v>3.0750538076815451E-2</c:v>
              </c:pt>
            </c:numLit>
          </c:yVal>
          <c:smooth val="0"/>
          <c:extLst>
            <c:ext xmlns:c16="http://schemas.microsoft.com/office/drawing/2014/chart" uri="{C3380CC4-5D6E-409C-BE32-E72D297353CC}">
              <c16:uniqueId val="{00000036-58C1-425A-958B-04142761B163}"/>
            </c:ext>
          </c:extLst>
        </c:ser>
        <c:ser>
          <c:idx val="46"/>
          <c:order val="46"/>
          <c:spPr>
            <a:ln w="3175">
              <a:solidFill>
                <a:srgbClr val="000000"/>
              </a:solidFill>
              <a:prstDash val="solid"/>
            </a:ln>
          </c:spPr>
          <c:marker>
            <c:symbol val="none"/>
          </c:marker>
          <c:xVal>
            <c:numLit>
              <c:formatCode>General</c:formatCode>
              <c:ptCount val="2"/>
              <c:pt idx="0">
                <c:v>1.9188429271939578</c:v>
              </c:pt>
              <c:pt idx="1">
                <c:v>1.6787076240736989</c:v>
              </c:pt>
            </c:numLit>
          </c:xVal>
          <c:yVal>
            <c:numLit>
              <c:formatCode>General</c:formatCode>
              <c:ptCount val="2"/>
              <c:pt idx="0">
                <c:v>3.04195219111833E-2</c:v>
              </c:pt>
              <c:pt idx="1">
                <c:v>3.0826215707376869E-2</c:v>
              </c:pt>
            </c:numLit>
          </c:yVal>
          <c:smooth val="0"/>
          <c:extLst>
            <c:ext xmlns:c16="http://schemas.microsoft.com/office/drawing/2014/chart" uri="{C3380CC4-5D6E-409C-BE32-E72D297353CC}">
              <c16:uniqueId val="{00000037-58C1-425A-958B-04142761B163}"/>
            </c:ext>
          </c:extLst>
        </c:ser>
        <c:ser>
          <c:idx val="47"/>
          <c:order val="47"/>
          <c:spPr>
            <a:ln w="3175">
              <a:solidFill>
                <a:srgbClr val="000000"/>
              </a:solidFill>
              <a:prstDash val="solid"/>
            </a:ln>
          </c:spPr>
          <c:marker>
            <c:symbol val="none"/>
          </c:marker>
          <c:dLbls>
            <c:dLbl>
              <c:idx val="0"/>
              <c:tx>
                <c:rich>
                  <a:bodyPr rot="3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1.2384595683532245</c:v>
              </c:pt>
            </c:numLit>
          </c:xVal>
          <c:yVal>
            <c:numLit>
              <c:formatCode>General</c:formatCode>
              <c:ptCount val="1"/>
              <c:pt idx="0">
                <c:v>3.1571821000398417E-2</c:v>
              </c:pt>
            </c:numLit>
          </c:yVal>
          <c:smooth val="0"/>
          <c:extLst>
            <c:ext xmlns:c16="http://schemas.microsoft.com/office/drawing/2014/chart" uri="{C3380CC4-5D6E-409C-BE32-E72D297353CC}">
              <c16:uniqueId val="{00000039-58C1-425A-958B-04142761B163}"/>
            </c:ext>
          </c:extLst>
        </c:ser>
        <c:ser>
          <c:idx val="48"/>
          <c:order val="48"/>
          <c:spPr>
            <a:ln w="3175">
              <a:solidFill>
                <a:srgbClr val="000000"/>
              </a:solidFill>
              <a:prstDash val="solid"/>
            </a:ln>
          </c:spPr>
          <c:marker>
            <c:symbol val="none"/>
          </c:marker>
          <c:xVal>
            <c:numLit>
              <c:formatCode>General</c:formatCode>
              <c:ptCount val="2"/>
              <c:pt idx="0">
                <c:v>1.5307939862731423</c:v>
              </c:pt>
              <c:pt idx="1">
                <c:v>1.4024110002647094</c:v>
              </c:pt>
            </c:numLit>
          </c:xVal>
          <c:yVal>
            <c:numLit>
              <c:formatCode>General</c:formatCode>
              <c:ptCount val="2"/>
              <c:pt idx="0">
                <c:v>3.0288933617716181E-2</c:v>
              </c:pt>
              <c:pt idx="1">
                <c:v>3.0489482195238671E-2</c:v>
              </c:pt>
            </c:numLit>
          </c:yVal>
          <c:smooth val="0"/>
          <c:extLst>
            <c:ext xmlns:c16="http://schemas.microsoft.com/office/drawing/2014/chart" uri="{C3380CC4-5D6E-409C-BE32-E72D297353CC}">
              <c16:uniqueId val="{0000003A-58C1-425A-958B-04142761B163}"/>
            </c:ext>
          </c:extLst>
        </c:ser>
        <c:ser>
          <c:idx val="49"/>
          <c:order val="49"/>
          <c:spPr>
            <a:ln w="3175">
              <a:solidFill>
                <a:srgbClr val="000000"/>
              </a:solidFill>
              <a:prstDash val="solid"/>
            </a:ln>
          </c:spPr>
          <c:marker>
            <c:symbol val="none"/>
          </c:marker>
          <c:xVal>
            <c:numLit>
              <c:formatCode>General</c:formatCode>
              <c:ptCount val="2"/>
              <c:pt idx="0">
                <c:v>1.1589401224706948</c:v>
              </c:pt>
              <c:pt idx="1">
                <c:v>0.88623755629086753</c:v>
              </c:pt>
            </c:numLit>
          </c:xVal>
          <c:yVal>
            <c:numLit>
              <c:formatCode>General</c:formatCode>
              <c:ptCount val="2"/>
              <c:pt idx="0">
                <c:v>3.0153686220164965E-2</c:v>
              </c:pt>
              <c:pt idx="1">
                <c:v>3.0548987058172033E-2</c:v>
              </c:pt>
            </c:numLit>
          </c:yVal>
          <c:smooth val="0"/>
          <c:extLst>
            <c:ext xmlns:c16="http://schemas.microsoft.com/office/drawing/2014/chart" uri="{C3380CC4-5D6E-409C-BE32-E72D297353CC}">
              <c16:uniqueId val="{0000003B-58C1-425A-958B-04142761B163}"/>
            </c:ext>
          </c:extLst>
        </c:ser>
        <c:ser>
          <c:idx val="50"/>
          <c:order val="50"/>
          <c:spPr>
            <a:ln w="3175">
              <a:solidFill>
                <a:srgbClr val="000000"/>
              </a:solidFill>
              <a:prstDash val="solid"/>
            </a:ln>
          </c:spPr>
          <c:marker>
            <c:symbol val="none"/>
          </c:marker>
          <c:xVal>
            <c:numLit>
              <c:formatCode>General</c:formatCode>
              <c:ptCount val="2"/>
              <c:pt idx="0">
                <c:v>0.80331515702341572</c:v>
              </c:pt>
              <c:pt idx="1">
                <c:v>0.65934333895963149</c:v>
              </c:pt>
            </c:numLit>
          </c:xVal>
          <c:yVal>
            <c:numLit>
              <c:formatCode>General</c:formatCode>
              <c:ptCount val="2"/>
              <c:pt idx="0">
                <c:v>3.0014673322626941E-2</c:v>
              </c:pt>
              <c:pt idx="1">
                <c:v>3.0209344893826089E-2</c:v>
              </c:pt>
            </c:numLit>
          </c:yVal>
          <c:smooth val="0"/>
          <c:extLst>
            <c:ext xmlns:c16="http://schemas.microsoft.com/office/drawing/2014/chart" uri="{C3380CC4-5D6E-409C-BE32-E72D297353CC}">
              <c16:uniqueId val="{0000003C-58C1-425A-958B-04142761B163}"/>
            </c:ext>
          </c:extLst>
        </c:ser>
        <c:ser>
          <c:idx val="51"/>
          <c:order val="51"/>
          <c:spPr>
            <a:ln w="3175">
              <a:solidFill>
                <a:srgbClr val="000000"/>
              </a:solidFill>
              <a:prstDash val="solid"/>
            </a:ln>
          </c:spPr>
          <c:marker>
            <c:symbol val="none"/>
          </c:marker>
          <c:xVal>
            <c:numLit>
              <c:formatCode>General</c:formatCode>
              <c:ptCount val="2"/>
              <c:pt idx="0">
                <c:v>0.4638176802814884</c:v>
              </c:pt>
              <c:pt idx="1">
                <c:v>0.1613241522935524</c:v>
              </c:pt>
            </c:numLit>
          </c:xVal>
          <c:yVal>
            <c:numLit>
              <c:formatCode>General</c:formatCode>
              <c:ptCount val="2"/>
              <c:pt idx="0">
                <c:v>2.9872734777880133E-2</c:v>
              </c:pt>
              <c:pt idx="1">
                <c:v>3.0255994839789281E-2</c:v>
              </c:pt>
            </c:numLit>
          </c:yVal>
          <c:smooth val="0"/>
          <c:extLst>
            <c:ext xmlns:c16="http://schemas.microsoft.com/office/drawing/2014/chart" uri="{C3380CC4-5D6E-409C-BE32-E72D297353CC}">
              <c16:uniqueId val="{0000003D-58C1-425A-958B-04142761B163}"/>
            </c:ext>
          </c:extLst>
        </c:ser>
        <c:ser>
          <c:idx val="52"/>
          <c:order val="52"/>
          <c:spPr>
            <a:ln w="3175">
              <a:solidFill>
                <a:srgbClr val="000000"/>
              </a:solidFill>
              <a:prstDash val="solid"/>
            </a:ln>
          </c:spPr>
          <c:marker>
            <c:symbol val="none"/>
          </c:marker>
          <c:dLbls>
            <c:dLbl>
              <c:idx val="0"/>
              <c:tx>
                <c:rich>
                  <a:bodyPr rot="3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-0.39324731568433041</c:v>
              </c:pt>
            </c:numLit>
          </c:xVal>
          <c:yVal>
            <c:numLit>
              <c:formatCode>General</c:formatCode>
              <c:ptCount val="1"/>
              <c:pt idx="0">
                <c:v>3.0958638286622722E-2</c:v>
              </c:pt>
            </c:numLit>
          </c:yVal>
          <c:smooth val="0"/>
          <c:extLst>
            <c:ext xmlns:c16="http://schemas.microsoft.com/office/drawing/2014/chart" uri="{C3380CC4-5D6E-409C-BE32-E72D297353CC}">
              <c16:uniqueId val="{0000003F-58C1-425A-958B-04142761B163}"/>
            </c:ext>
          </c:extLst>
        </c:ser>
        <c:ser>
          <c:idx val="53"/>
          <c:order val="53"/>
          <c:spPr>
            <a:ln w="3175">
              <a:solidFill>
                <a:srgbClr val="000000"/>
              </a:solidFill>
              <a:prstDash val="solid"/>
            </a:ln>
          </c:spPr>
          <c:marker>
            <c:symbol val="none"/>
          </c:marker>
          <c:xVal>
            <c:numLit>
              <c:formatCode>General</c:formatCode>
              <c:ptCount val="2"/>
              <c:pt idx="0">
                <c:v>0.14022975872621024</c:v>
              </c:pt>
              <c:pt idx="1">
                <c:v>-1.7951032158228471E-2</c:v>
              </c:pt>
            </c:numLit>
          </c:xVal>
          <c:yVal>
            <c:numLit>
              <c:formatCode>General</c:formatCode>
              <c:ptCount val="2"/>
              <c:pt idx="0">
                <c:v>2.9728650311281322E-2</c:v>
              </c:pt>
              <c:pt idx="1">
                <c:v>2.9917192817951636E-2</c:v>
              </c:pt>
            </c:numLit>
          </c:yVal>
          <c:smooth val="0"/>
          <c:extLst>
            <c:ext xmlns:c16="http://schemas.microsoft.com/office/drawing/2014/chart" uri="{C3380CC4-5D6E-409C-BE32-E72D297353CC}">
              <c16:uniqueId val="{00000040-58C1-425A-958B-04142761B163}"/>
            </c:ext>
          </c:extLst>
        </c:ser>
        <c:ser>
          <c:idx val="54"/>
          <c:order val="54"/>
          <c:spPr>
            <a:ln w="3175">
              <a:solidFill>
                <a:srgbClr val="000000"/>
              </a:solidFill>
              <a:prstDash val="solid"/>
            </a:ln>
          </c:spPr>
          <c:marker>
            <c:symbol val="none"/>
          </c:marker>
          <c:xVal>
            <c:numLit>
              <c:formatCode>General</c:formatCode>
              <c:ptCount val="2"/>
              <c:pt idx="0">
                <c:v>-0.16776460974090424</c:v>
              </c:pt>
              <c:pt idx="1">
                <c:v>-0.49732595015837133</c:v>
              </c:pt>
            </c:numLit>
          </c:xVal>
          <c:yVal>
            <c:numLit>
              <c:formatCode>General</c:formatCode>
              <c:ptCount val="2"/>
              <c:pt idx="0">
                <c:v>2.95831355675608E-2</c:v>
              </c:pt>
              <c:pt idx="1">
                <c:v>2.9953984234741979E-2</c:v>
              </c:pt>
            </c:numLit>
          </c:yVal>
          <c:smooth val="0"/>
          <c:extLst>
            <c:ext xmlns:c16="http://schemas.microsoft.com/office/drawing/2014/chart" uri="{C3380CC4-5D6E-409C-BE32-E72D297353CC}">
              <c16:uniqueId val="{00000041-58C1-425A-958B-04142761B163}"/>
            </c:ext>
          </c:extLst>
        </c:ser>
        <c:ser>
          <c:idx val="55"/>
          <c:order val="55"/>
          <c:spPr>
            <a:ln w="3175">
              <a:solidFill>
                <a:srgbClr val="000000"/>
              </a:solidFill>
              <a:prstDash val="solid"/>
            </a:ln>
          </c:spPr>
          <c:marker>
            <c:symbol val="none"/>
          </c:marker>
          <c:xVal>
            <c:numLit>
              <c:formatCode>General</c:formatCode>
              <c:ptCount val="2"/>
              <c:pt idx="0">
                <c:v>-0.46056184007219381</c:v>
              </c:pt>
              <c:pt idx="1">
                <c:v>-0.63161673664516982</c:v>
              </c:pt>
            </c:numLit>
          </c:xVal>
          <c:yVal>
            <c:numLit>
              <c:formatCode>General</c:formatCode>
              <c:ptCount val="2"/>
              <c:pt idx="0">
                <c:v>2.9436840266009144E-2</c:v>
              </c:pt>
              <c:pt idx="1">
                <c:v>2.9619129700280768E-2</c:v>
              </c:pt>
            </c:numLit>
          </c:yVal>
          <c:smooth val="0"/>
          <c:extLst>
            <c:ext xmlns:c16="http://schemas.microsoft.com/office/drawing/2014/chart" uri="{C3380CC4-5D6E-409C-BE32-E72D297353CC}">
              <c16:uniqueId val="{00000042-58C1-425A-958B-04142761B163}"/>
            </c:ext>
          </c:extLst>
        </c:ser>
        <c:ser>
          <c:idx val="56"/>
          <c:order val="56"/>
          <c:spPr>
            <a:ln w="3175">
              <a:solidFill>
                <a:srgbClr val="000000"/>
              </a:solidFill>
              <a:prstDash val="solid"/>
            </a:ln>
          </c:spPr>
          <c:marker>
            <c:symbol val="none"/>
          </c:marker>
          <c:xVal>
            <c:numLit>
              <c:formatCode>General</c:formatCode>
              <c:ptCount val="2"/>
              <c:pt idx="0">
                <c:v>-0.73862230174342836</c:v>
              </c:pt>
              <c:pt idx="1">
                <c:v>-1.0926489718181465</c:v>
              </c:pt>
            </c:numLit>
          </c:xVal>
          <c:yVal>
            <c:numLit>
              <c:formatCode>General</c:formatCode>
              <c:ptCount val="2"/>
              <c:pt idx="0">
                <c:v>2.9290348124299693E-2</c:v>
              </c:pt>
              <c:pt idx="1">
                <c:v>2.9648648758198254E-2</c:v>
              </c:pt>
            </c:numLit>
          </c:yVal>
          <c:smooth val="0"/>
          <c:extLst>
            <c:ext xmlns:c16="http://schemas.microsoft.com/office/drawing/2014/chart" uri="{C3380CC4-5D6E-409C-BE32-E72D297353CC}">
              <c16:uniqueId val="{00000043-58C1-425A-958B-04142761B163}"/>
            </c:ext>
          </c:extLst>
        </c:ser>
        <c:ser>
          <c:idx val="57"/>
          <c:order val="57"/>
          <c:spPr>
            <a:ln w="3175">
              <a:solidFill>
                <a:srgbClr val="000000"/>
              </a:solidFill>
              <a:prstDash val="solid"/>
            </a:ln>
          </c:spPr>
          <c:marker>
            <c:symbol val="none"/>
          </c:marker>
          <c:dLbls>
            <c:dLbl>
              <c:idx val="0"/>
              <c:tx>
                <c:rich>
                  <a:bodyPr rot="32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4-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-1.74169786695513</c:v>
              </c:pt>
            </c:numLit>
          </c:xVal>
          <c:yVal>
            <c:numLit>
              <c:formatCode>General</c:formatCode>
              <c:ptCount val="1"/>
              <c:pt idx="0">
                <c:v>3.0305533253678942E-2</c:v>
              </c:pt>
            </c:numLit>
          </c:yVal>
          <c:smooth val="0"/>
          <c:extLst>
            <c:ext xmlns:c16="http://schemas.microsoft.com/office/drawing/2014/chart" uri="{C3380CC4-5D6E-409C-BE32-E72D297353CC}">
              <c16:uniqueId val="{00000045-58C1-425A-958B-04142761B163}"/>
            </c:ext>
          </c:extLst>
        </c:ser>
        <c:ser>
          <c:idx val="58"/>
          <c:order val="58"/>
          <c:spPr>
            <a:ln w="3175">
              <a:solidFill>
                <a:srgbClr val="000000"/>
              </a:solidFill>
              <a:prstDash val="solid"/>
            </a:ln>
          </c:spPr>
          <c:marker>
            <c:symbol val="none"/>
          </c:marker>
          <c:xVal>
            <c:numLit>
              <c:formatCode>General</c:formatCode>
              <c:ptCount val="2"/>
              <c:pt idx="0">
                <c:v>-1.002455319966258</c:v>
              </c:pt>
              <c:pt idx="1">
                <c:v>-1.1851222196798212</c:v>
              </c:pt>
            </c:numLit>
          </c:xVal>
          <c:yVal>
            <c:numLit>
              <c:formatCode>General</c:formatCode>
              <c:ptCount val="2"/>
              <c:pt idx="0">
                <c:v>2.9144178210618831E-2</c:v>
              </c:pt>
              <c:pt idx="1">
                <c:v>2.932019631513209E-2</c:v>
              </c:pt>
            </c:numLit>
          </c:yVal>
          <c:smooth val="0"/>
          <c:extLst>
            <c:ext xmlns:c16="http://schemas.microsoft.com/office/drawing/2014/chart" uri="{C3380CC4-5D6E-409C-BE32-E72D297353CC}">
              <c16:uniqueId val="{00000046-58C1-425A-958B-04142761B163}"/>
            </c:ext>
          </c:extLst>
        </c:ser>
        <c:ser>
          <c:idx val="59"/>
          <c:order val="59"/>
          <c:spPr>
            <a:ln w="3175">
              <a:solidFill>
                <a:srgbClr val="000000"/>
              </a:solidFill>
              <a:prstDash val="solid"/>
            </a:ln>
          </c:spPr>
          <c:marker>
            <c:symbol val="none"/>
          </c:marker>
          <c:xVal>
            <c:numLit>
              <c:formatCode>General</c:formatCode>
              <c:ptCount val="2"/>
              <c:pt idx="0">
                <c:v>-1.2526057824083219</c:v>
              </c:pt>
              <c:pt idx="1">
                <c:v>-1.6286603159401067</c:v>
              </c:pt>
            </c:numLit>
          </c:xVal>
          <c:yVal>
            <c:numLit>
              <c:formatCode>General</c:formatCode>
              <c:ptCount val="2"/>
              <c:pt idx="0">
                <c:v>2.8998787401373648E-2</c:v>
              </c:pt>
              <c:pt idx="1">
                <c:v>2.9344592575718233E-2</c:v>
              </c:pt>
            </c:numLit>
          </c:yVal>
          <c:smooth val="0"/>
          <c:extLst>
            <c:ext xmlns:c16="http://schemas.microsoft.com/office/drawing/2014/chart" uri="{C3380CC4-5D6E-409C-BE32-E72D297353CC}">
              <c16:uniqueId val="{00000047-58C1-425A-958B-04142761B163}"/>
            </c:ext>
          </c:extLst>
        </c:ser>
        <c:ser>
          <c:idx val="60"/>
          <c:order val="60"/>
          <c:spPr>
            <a:ln w="3175">
              <a:solidFill>
                <a:srgbClr val="000000"/>
              </a:solidFill>
              <a:prstDash val="solid"/>
            </a:ln>
          </c:spPr>
          <c:marker>
            <c:symbol val="none"/>
          </c:marker>
          <c:xVal>
            <c:numLit>
              <c:formatCode>General</c:formatCode>
              <c:ptCount val="2"/>
              <c:pt idx="0">
                <c:v>-1.4896424028400646</c:v>
              </c:pt>
              <c:pt idx="1">
                <c:v>-1.6827490257580664</c:v>
              </c:pt>
            </c:numLit>
          </c:xVal>
          <c:yVal>
            <c:numLit>
              <c:formatCode>General</c:formatCode>
              <c:ptCount val="2"/>
              <c:pt idx="0">
                <c:v>2.8854573651448525E-2</c:v>
              </c:pt>
              <c:pt idx="1">
                <c:v>2.9024385943979564E-2</c:v>
              </c:pt>
            </c:numLit>
          </c:yVal>
          <c:smooth val="0"/>
          <c:extLst>
            <c:ext xmlns:c16="http://schemas.microsoft.com/office/drawing/2014/chart" uri="{C3380CC4-5D6E-409C-BE32-E72D297353CC}">
              <c16:uniqueId val="{00000048-58C1-425A-958B-04142761B163}"/>
            </c:ext>
          </c:extLst>
        </c:ser>
        <c:ser>
          <c:idx val="61"/>
          <c:order val="61"/>
          <c:spPr>
            <a:ln w="3175">
              <a:solidFill>
                <a:srgbClr val="000000"/>
              </a:solidFill>
              <a:prstDash val="solid"/>
            </a:ln>
          </c:spPr>
          <c:marker>
            <c:symbol val="none"/>
          </c:marker>
          <c:xVal>
            <c:numLit>
              <c:formatCode>General</c:formatCode>
              <c:ptCount val="2"/>
              <c:pt idx="0">
                <c:v>-1.7141476200677335</c:v>
              </c:pt>
              <c:pt idx="1">
                <c:v>-2.1099825180706362</c:v>
              </c:pt>
            </c:numLit>
          </c:xVal>
          <c:yVal>
            <c:numLit>
              <c:formatCode>General</c:formatCode>
              <c:ptCount val="2"/>
              <c:pt idx="0">
                <c:v>2.8711879820593082E-2</c:v>
              </c:pt>
              <c:pt idx="1">
                <c:v>2.9045388955761357E-2</c:v>
              </c:pt>
            </c:numLit>
          </c:yVal>
          <c:smooth val="0"/>
          <c:extLst>
            <c:ext xmlns:c16="http://schemas.microsoft.com/office/drawing/2014/chart" uri="{C3380CC4-5D6E-409C-BE32-E72D297353CC}">
              <c16:uniqueId val="{00000049-58C1-425A-958B-04142761B163}"/>
            </c:ext>
          </c:extLst>
        </c:ser>
        <c:ser>
          <c:idx val="62"/>
          <c:order val="62"/>
          <c:spPr>
            <a:ln w="3175">
              <a:solidFill>
                <a:srgbClr val="000000"/>
              </a:solidFill>
              <a:prstDash val="solid"/>
            </a:ln>
          </c:spPr>
          <c:marker>
            <c:symbol val="none"/>
          </c:marker>
          <c:dLbls>
            <c:dLbl>
              <c:idx val="0"/>
              <c:tx>
                <c:rich>
                  <a:bodyPr rot="29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A-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-2.8356798310759577</c:v>
              </c:pt>
            </c:numLit>
          </c:xVal>
          <c:yVal>
            <c:numLit>
              <c:formatCode>General</c:formatCode>
              <c:ptCount val="1"/>
              <c:pt idx="0">
                <c:v>2.9656822370236528E-2</c:v>
              </c:pt>
            </c:numLit>
          </c:yVal>
          <c:smooth val="0"/>
          <c:extLst>
            <c:ext xmlns:c16="http://schemas.microsoft.com/office/drawing/2014/chart" uri="{C3380CC4-5D6E-409C-BE32-E72D297353CC}">
              <c16:uniqueId val="{0000004B-58C1-425A-958B-04142761B163}"/>
            </c:ext>
          </c:extLst>
        </c:ser>
        <c:ser>
          <c:idx val="63"/>
          <c:order val="63"/>
          <c:spPr>
            <a:ln w="3175">
              <a:solidFill>
                <a:srgbClr val="000000"/>
              </a:solidFill>
              <a:prstDash val="solid"/>
            </a:ln>
          </c:spPr>
          <c:marker>
            <c:symbol val="none"/>
          </c:marker>
          <c:xVal>
            <c:numLit>
              <c:formatCode>General</c:formatCode>
              <c:ptCount val="2"/>
              <c:pt idx="0">
                <c:v>-1.9267090572547372</c:v>
              </c:pt>
              <c:pt idx="1">
                <c:v>-2.1291813941959106</c:v>
              </c:pt>
            </c:numLit>
          </c:xVal>
          <c:yVal>
            <c:numLit>
              <c:formatCode>General</c:formatCode>
              <c:ptCount val="2"/>
              <c:pt idx="0">
                <c:v>2.8570997838905359E-2</c:v>
              </c:pt>
              <c:pt idx="1">
                <c:v>2.8734733506881903E-2</c:v>
              </c:pt>
            </c:numLit>
          </c:yVal>
          <c:smooth val="0"/>
          <c:extLst>
            <c:ext xmlns:c16="http://schemas.microsoft.com/office/drawing/2014/chart" uri="{C3380CC4-5D6E-409C-BE32-E72D297353CC}">
              <c16:uniqueId val="{0000004C-58C1-425A-958B-04142761B163}"/>
            </c:ext>
          </c:extLst>
        </c:ser>
        <c:ser>
          <c:idx val="64"/>
          <c:order val="64"/>
          <c:spPr>
            <a:ln w="3175">
              <a:solidFill>
                <a:srgbClr val="000000"/>
              </a:solidFill>
              <a:prstDash val="solid"/>
            </a:ln>
          </c:spPr>
          <c:marker>
            <c:symbol val="none"/>
          </c:marker>
          <c:xVal>
            <c:numLit>
              <c:formatCode>General</c:formatCode>
              <c:ptCount val="2"/>
              <c:pt idx="0">
                <c:v>-2.1279124307072412</c:v>
              </c:pt>
              <c:pt idx="1">
                <c:v>-2.5414801063089798</c:v>
              </c:pt>
            </c:numLit>
          </c:xVal>
          <c:yVal>
            <c:numLit>
              <c:formatCode>General</c:formatCode>
              <c:ptCount val="2"/>
              <c:pt idx="0">
                <c:v>2.8432173033455556E-2</c:v>
              </c:pt>
              <c:pt idx="1">
                <c:v>2.8753694734889368E-2</c:v>
              </c:pt>
            </c:numLit>
          </c:yVal>
          <c:smooth val="0"/>
          <c:extLst>
            <c:ext xmlns:c16="http://schemas.microsoft.com/office/drawing/2014/chart" uri="{C3380CC4-5D6E-409C-BE32-E72D297353CC}">
              <c16:uniqueId val="{0000004D-58C1-425A-958B-04142761B163}"/>
            </c:ext>
          </c:extLst>
        </c:ser>
        <c:ser>
          <c:idx val="65"/>
          <c:order val="65"/>
          <c:spPr>
            <a:ln w="3175">
              <a:solidFill>
                <a:srgbClr val="000000"/>
              </a:solidFill>
              <a:prstDash val="solid"/>
            </a:ln>
          </c:spPr>
          <c:marker>
            <c:symbol val="none"/>
          </c:marker>
          <c:xVal>
            <c:numLit>
              <c:formatCode>General</c:formatCode>
              <c:ptCount val="2"/>
              <c:pt idx="0">
                <c:v>-2.3183357754510565</c:v>
              </c:pt>
              <c:pt idx="1">
                <c:v>-2.529200113496437</c:v>
              </c:pt>
            </c:numLit>
          </c:xVal>
          <c:yVal>
            <c:numLit>
              <c:formatCode>General</c:formatCode>
              <c:ptCount val="2"/>
              <c:pt idx="0">
                <c:v>2.8295608474779587E-2</c:v>
              </c:pt>
              <c:pt idx="1">
                <c:v>2.8453442942096292E-2</c:v>
              </c:pt>
            </c:numLit>
          </c:yVal>
          <c:smooth val="0"/>
          <c:extLst>
            <c:ext xmlns:c16="http://schemas.microsoft.com/office/drawing/2014/chart" uri="{C3380CC4-5D6E-409C-BE32-E72D297353CC}">
              <c16:uniqueId val="{0000004E-58C1-425A-958B-04142761B163}"/>
            </c:ext>
          </c:extLst>
        </c:ser>
        <c:ser>
          <c:idx val="66"/>
          <c:order val="66"/>
          <c:spPr>
            <a:ln w="3175">
              <a:solidFill>
                <a:srgbClr val="000000"/>
              </a:solidFill>
              <a:prstDash val="solid"/>
            </a:ln>
          </c:spPr>
          <c:marker>
            <c:symbol val="none"/>
          </c:marker>
          <c:xVal>
            <c:numLit>
              <c:formatCode>General</c:formatCode>
              <c:ptCount val="2"/>
              <c:pt idx="0">
                <c:v>-2.4985448444866902</c:v>
              </c:pt>
              <c:pt idx="1">
                <c:v>-2.9279967663932625</c:v>
              </c:pt>
            </c:numLit>
          </c:xVal>
          <c:yVal>
            <c:numLit>
              <c:formatCode>General</c:formatCode>
              <c:ptCount val="2"/>
              <c:pt idx="0">
                <c:v>2.8161469234973899E-2</c:v>
              </c:pt>
              <c:pt idx="1">
                <c:v>2.8471389345044212E-2</c:v>
              </c:pt>
            </c:numLit>
          </c:yVal>
          <c:smooth val="0"/>
          <c:extLst>
            <c:ext xmlns:c16="http://schemas.microsoft.com/office/drawing/2014/chart" uri="{C3380CC4-5D6E-409C-BE32-E72D297353CC}">
              <c16:uniqueId val="{0000004F-58C1-425A-958B-04142761B163}"/>
            </c:ext>
          </c:extLst>
        </c:ser>
        <c:ser>
          <c:idx val="67"/>
          <c:order val="67"/>
          <c:spPr>
            <a:ln w="3175">
              <a:solidFill>
                <a:srgbClr val="000000"/>
              </a:solidFill>
              <a:prstDash val="solid"/>
            </a:ln>
          </c:spPr>
          <c:marker>
            <c:symbol val="none"/>
          </c:marker>
          <c:dLbls>
            <c:dLbl>
              <c:idx val="0"/>
              <c:tx>
                <c:rich>
                  <a:bodyPr rot="26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0-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-3.7153252898886451</c:v>
              </c:pt>
            </c:numLit>
          </c:xVal>
          <c:yVal>
            <c:numLit>
              <c:formatCode>General</c:formatCode>
              <c:ptCount val="1"/>
              <c:pt idx="0">
                <c:v>2.9039576213506446E-2</c:v>
              </c:pt>
            </c:numLit>
          </c:yVal>
          <c:smooth val="0"/>
          <c:extLst>
            <c:ext xmlns:c16="http://schemas.microsoft.com/office/drawing/2014/chart" uri="{C3380CC4-5D6E-409C-BE32-E72D297353CC}">
              <c16:uniqueId val="{00000051-58C1-425A-958B-04142761B163}"/>
            </c:ext>
          </c:extLst>
        </c:ser>
        <c:ser>
          <c:idx val="68"/>
          <c:order val="68"/>
          <c:spPr>
            <a:ln w="3175">
              <a:solidFill>
                <a:srgbClr val="000000"/>
              </a:solidFill>
              <a:prstDash val="solid"/>
            </a:ln>
          </c:spPr>
          <c:marker>
            <c:symbol val="none"/>
          </c:marker>
          <c:xVal>
            <c:numLit>
              <c:formatCode>General</c:formatCode>
              <c:ptCount val="2"/>
              <c:pt idx="0">
                <c:v>-2.669089536724063</c:v>
              </c:pt>
              <c:pt idx="1">
                <c:v>-2.8874700267967222</c:v>
              </c:pt>
            </c:numLit>
          </c:xVal>
          <c:yVal>
            <c:numLit>
              <c:formatCode>General</c:formatCode>
              <c:ptCount val="2"/>
              <c:pt idx="0">
                <c:v>2.8029886477800841E-2</c:v>
              </c:pt>
              <c:pt idx="1">
                <c:v>2.8182026902325148E-2</c:v>
              </c:pt>
            </c:numLit>
          </c:yVal>
          <c:smooth val="0"/>
          <c:extLst>
            <c:ext xmlns:c16="http://schemas.microsoft.com/office/drawing/2014/chart" uri="{C3380CC4-5D6E-409C-BE32-E72D297353CC}">
              <c16:uniqueId val="{00000052-58C1-425A-958B-04142761B163}"/>
            </c:ext>
          </c:extLst>
        </c:ser>
        <c:ser>
          <c:idx val="69"/>
          <c:order val="69"/>
          <c:spPr>
            <a:ln w="3175">
              <a:solidFill>
                <a:srgbClr val="000000"/>
              </a:solidFill>
              <a:prstDash val="solid"/>
            </a:ln>
          </c:spPr>
          <c:marker>
            <c:symbol val="none"/>
          </c:marker>
          <c:xVal>
            <c:numLit>
              <c:formatCode>General</c:formatCode>
              <c:ptCount val="2"/>
              <c:pt idx="0">
                <c:v>-2.8305012128620142</c:v>
              </c:pt>
              <c:pt idx="1">
                <c:v>-3.274179836270386</c:v>
              </c:pt>
            </c:numLit>
          </c:xVal>
          <c:yVal>
            <c:numLit>
              <c:formatCode>General</c:formatCode>
              <c:ptCount val="2"/>
              <c:pt idx="0">
                <c:v>2.7900961325394373E-2</c:v>
              </c:pt>
              <c:pt idx="1">
                <c:v>2.8199716810768417E-2</c:v>
              </c:pt>
            </c:numLit>
          </c:yVal>
          <c:smooth val="0"/>
          <c:extLst>
            <c:ext xmlns:c16="http://schemas.microsoft.com/office/drawing/2014/chart" uri="{C3380CC4-5D6E-409C-BE32-E72D297353CC}">
              <c16:uniqueId val="{00000053-58C1-425A-958B-04142761B163}"/>
            </c:ext>
          </c:extLst>
        </c:ser>
        <c:ser>
          <c:idx val="70"/>
          <c:order val="70"/>
          <c:spPr>
            <a:ln w="3175">
              <a:solidFill>
                <a:srgbClr val="000000"/>
              </a:solidFill>
              <a:prstDash val="solid"/>
            </a:ln>
          </c:spPr>
          <c:marker>
            <c:symbol val="none"/>
          </c:marker>
          <c:xVal>
            <c:numLit>
              <c:formatCode>General</c:formatCode>
              <c:ptCount val="2"/>
              <c:pt idx="0">
                <c:v>-2.9832907668862556</c:v>
              </c:pt>
              <c:pt idx="1">
                <c:v>-3.20840414046239</c:v>
              </c:pt>
            </c:numLit>
          </c:xVal>
          <c:yVal>
            <c:numLit>
              <c:formatCode>General</c:formatCode>
              <c:ptCount val="2"/>
              <c:pt idx="0">
                <c:v>2.777476846598936E-2</c:v>
              </c:pt>
              <c:pt idx="1">
                <c:v>2.7921442075974846E-2</c:v>
              </c:pt>
            </c:numLit>
          </c:yVal>
          <c:smooth val="0"/>
          <c:extLst>
            <c:ext xmlns:c16="http://schemas.microsoft.com/office/drawing/2014/chart" uri="{C3380CC4-5D6E-409C-BE32-E72D297353CC}">
              <c16:uniqueId val="{00000054-58C1-425A-958B-04142761B163}"/>
            </c:ext>
          </c:extLst>
        </c:ser>
        <c:ser>
          <c:idx val="71"/>
          <c:order val="71"/>
          <c:spPr>
            <a:ln w="3175">
              <a:solidFill>
                <a:srgbClr val="000000"/>
              </a:solidFill>
              <a:prstDash val="solid"/>
            </a:ln>
          </c:spPr>
          <c:marker>
            <c:symbol val="none"/>
          </c:marker>
          <c:xVal>
            <c:numLit>
              <c:formatCode>General</c:formatCode>
              <c:ptCount val="2"/>
              <c:pt idx="0">
                <c:v>-3.1279473318097732</c:v>
              </c:pt>
              <c:pt idx="1">
                <c:v>-3.5843736460301914</c:v>
              </c:pt>
            </c:numLit>
          </c:xVal>
          <c:yVal>
            <c:numLit>
              <c:formatCode>General</c:formatCode>
              <c:ptCount val="2"/>
              <c:pt idx="0">
                <c:v>2.765135948293641E-2</c:v>
              </c:pt>
              <c:pt idx="1">
                <c:v>2.7939417746490825E-2</c:v>
              </c:pt>
            </c:numLit>
          </c:yVal>
          <c:smooth val="0"/>
          <c:extLst>
            <c:ext xmlns:c16="http://schemas.microsoft.com/office/drawing/2014/chart" uri="{C3380CC4-5D6E-409C-BE32-E72D297353CC}">
              <c16:uniqueId val="{00000055-58C1-425A-958B-04142761B163}"/>
            </c:ext>
          </c:extLst>
        </c:ser>
        <c:ser>
          <c:idx val="72"/>
          <c:order val="72"/>
          <c:spPr>
            <a:ln w="3175">
              <a:solidFill>
                <a:srgbClr val="000000"/>
              </a:solidFill>
              <a:prstDash val="solid"/>
            </a:ln>
          </c:spPr>
          <c:marker>
            <c:symbol val="none"/>
          </c:marker>
          <c:dLbls>
            <c:dLbl>
              <c:idx val="0"/>
              <c:tx>
                <c:rich>
                  <a:bodyPr rot="2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6-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-4.4211552221009596</c:v>
              </c:pt>
            </c:numLit>
          </c:xVal>
          <c:yVal>
            <c:numLit>
              <c:formatCode>General</c:formatCode>
              <c:ptCount val="1"/>
              <c:pt idx="0">
                <c:v>2.8467524563007256E-2</c:v>
              </c:pt>
            </c:numLit>
          </c:yVal>
          <c:smooth val="0"/>
          <c:extLst>
            <c:ext xmlns:c16="http://schemas.microsoft.com/office/drawing/2014/chart" uri="{C3380CC4-5D6E-409C-BE32-E72D297353CC}">
              <c16:uniqueId val="{00000057-58C1-425A-958B-04142761B163}"/>
            </c:ext>
          </c:extLst>
        </c:ser>
        <c:ser>
          <c:idx val="73"/>
          <c:order val="73"/>
          <c:spPr>
            <a:ln w="3175">
              <a:solidFill>
                <a:srgbClr val="000000"/>
              </a:solidFill>
              <a:prstDash val="solid"/>
            </a:ln>
          </c:spPr>
          <c:marker>
            <c:symbol val="none"/>
          </c:marker>
          <c:xVal>
            <c:numLit>
              <c:formatCode>General</c:formatCode>
              <c:ptCount val="2"/>
              <c:pt idx="0">
                <c:v>-3.3947050354255355</c:v>
              </c:pt>
              <c:pt idx="1">
                <c:v>-3.6286344290417976</c:v>
              </c:pt>
            </c:numLit>
          </c:xVal>
          <c:yVal>
            <c:numLit>
              <c:formatCode>General</c:formatCode>
              <c:ptCount val="2"/>
              <c:pt idx="0">
                <c:v>2.741300192776747E-2</c:v>
              </c:pt>
              <c:pt idx="1">
                <c:v>2.7551923397648202E-2</c:v>
              </c:pt>
            </c:numLit>
          </c:yVal>
          <c:smooth val="0"/>
          <c:extLst>
            <c:ext xmlns:c16="http://schemas.microsoft.com/office/drawing/2014/chart" uri="{C3380CC4-5D6E-409C-BE32-E72D297353CC}">
              <c16:uniqueId val="{00000058-58C1-425A-958B-04142761B163}"/>
            </c:ext>
          </c:extLst>
        </c:ser>
        <c:ser>
          <c:idx val="74"/>
          <c:order val="74"/>
          <c:spPr>
            <a:ln w="3175">
              <a:solidFill>
                <a:srgbClr val="000000"/>
              </a:solidFill>
              <a:prstDash val="solid"/>
            </a:ln>
          </c:spPr>
          <c:marker>
            <c:symbol val="none"/>
          </c:marker>
          <c:xVal>
            <c:numLit>
              <c:formatCode>General</c:formatCode>
              <c:ptCount val="2"/>
              <c:pt idx="0">
                <c:v>-3.6342329977636059</c:v>
              </c:pt>
              <c:pt idx="1">
                <c:v>-3.8732951334299695</c:v>
              </c:pt>
            </c:numLit>
          </c:xVal>
          <c:yVal>
            <c:numLit>
              <c:formatCode>General</c:formatCode>
              <c:ptCount val="2"/>
              <c:pt idx="0">
                <c:v>2.7185947823718054E-2</c:v>
              </c:pt>
              <c:pt idx="1">
                <c:v>2.7320003848512013E-2</c:v>
              </c:pt>
            </c:numLit>
          </c:yVal>
          <c:smooth val="0"/>
          <c:extLst>
            <c:ext xmlns:c16="http://schemas.microsoft.com/office/drawing/2014/chart" uri="{C3380CC4-5D6E-409C-BE32-E72D297353CC}">
              <c16:uniqueId val="{00000059-58C1-425A-958B-04142761B163}"/>
            </c:ext>
          </c:extLst>
        </c:ser>
        <c:ser>
          <c:idx val="75"/>
          <c:order val="75"/>
          <c:spPr>
            <a:ln w="3175">
              <a:solidFill>
                <a:srgbClr val="000000"/>
              </a:solidFill>
              <a:prstDash val="solid"/>
            </a:ln>
          </c:spPr>
          <c:marker>
            <c:symbol val="none"/>
          </c:marker>
          <c:xVal>
            <c:numLit>
              <c:formatCode>General</c:formatCode>
              <c:ptCount val="2"/>
              <c:pt idx="0">
                <c:v>-3.8496301535387389</c:v>
              </c:pt>
              <c:pt idx="1">
                <c:v>-4.0933079425431407</c:v>
              </c:pt>
            </c:numLit>
          </c:xVal>
          <c:yVal>
            <c:numLit>
              <c:formatCode>General</c:formatCode>
              <c:ptCount val="2"/>
              <c:pt idx="0">
                <c:v>2.6970052763706429E-2</c:v>
              </c:pt>
              <c:pt idx="1">
                <c:v>2.7099482465785852E-2</c:v>
              </c:pt>
            </c:numLit>
          </c:yVal>
          <c:smooth val="0"/>
          <c:extLst>
            <c:ext xmlns:c16="http://schemas.microsoft.com/office/drawing/2014/chart" uri="{C3380CC4-5D6E-409C-BE32-E72D297353CC}">
              <c16:uniqueId val="{0000005A-58C1-425A-958B-04142761B163}"/>
            </c:ext>
          </c:extLst>
        </c:ser>
        <c:ser>
          <c:idx val="76"/>
          <c:order val="76"/>
          <c:spPr>
            <a:ln w="3175">
              <a:solidFill>
                <a:srgbClr val="000000"/>
              </a:solidFill>
              <a:prstDash val="solid"/>
            </a:ln>
          </c:spPr>
          <c:marker>
            <c:symbol val="none"/>
          </c:marker>
          <c:xVal>
            <c:numLit>
              <c:formatCode>General</c:formatCode>
              <c:ptCount val="2"/>
              <c:pt idx="0">
                <c:v>-4.0436530888624631</c:v>
              </c:pt>
              <c:pt idx="1">
                <c:v>-4.2914885121952313</c:v>
              </c:pt>
            </c:numLit>
          </c:xVal>
          <c:yVal>
            <c:numLit>
              <c:formatCode>General</c:formatCode>
              <c:ptCount val="2"/>
              <c:pt idx="0">
                <c:v>2.6765028589466222E-2</c:v>
              </c:pt>
              <c:pt idx="1">
                <c:v>2.6890064916383356E-2</c:v>
              </c:pt>
            </c:numLit>
          </c:yVal>
          <c:smooth val="0"/>
          <c:extLst>
            <c:ext xmlns:c16="http://schemas.microsoft.com/office/drawing/2014/chart" uri="{C3380CC4-5D6E-409C-BE32-E72D297353CC}">
              <c16:uniqueId val="{0000005B-58C1-425A-958B-04142761B163}"/>
            </c:ext>
          </c:extLst>
        </c:ser>
        <c:ser>
          <c:idx val="77"/>
          <c:order val="77"/>
          <c:spPr>
            <a:ln w="3175">
              <a:solidFill>
                <a:srgbClr val="000000"/>
              </a:solidFill>
              <a:prstDash val="solid"/>
            </a:ln>
          </c:spPr>
          <c:marker>
            <c:symbol val="none"/>
          </c:marker>
          <c:xVal>
            <c:numLit>
              <c:formatCode>General</c:formatCode>
              <c:ptCount val="2"/>
              <c:pt idx="0">
                <c:v>-4.2187412428710447</c:v>
              </c:pt>
              <c:pt idx="1">
                <c:v>-4.7219158675655173</c:v>
              </c:pt>
            </c:numLit>
          </c:xVal>
          <c:yVal>
            <c:numLit>
              <c:formatCode>General</c:formatCode>
              <c:ptCount val="2"/>
              <c:pt idx="0">
                <c:v>2.6570489823461451E-2</c:v>
              </c:pt>
              <c:pt idx="1">
                <c:v>2.6812225101609799E-2</c:v>
              </c:pt>
            </c:numLit>
          </c:yVal>
          <c:smooth val="0"/>
          <c:extLst>
            <c:ext xmlns:c16="http://schemas.microsoft.com/office/drawing/2014/chart" uri="{C3380CC4-5D6E-409C-BE32-E72D297353CC}">
              <c16:uniqueId val="{0000005C-58C1-425A-958B-04142761B163}"/>
            </c:ext>
          </c:extLst>
        </c:ser>
        <c:ser>
          <c:idx val="78"/>
          <c:order val="78"/>
          <c:spPr>
            <a:ln w="3175">
              <a:solidFill>
                <a:srgbClr val="000000"/>
              </a:solidFill>
              <a:prstDash val="solid"/>
            </a:ln>
          </c:spPr>
          <c:marker>
            <c:symbol val="none"/>
          </c:marker>
          <c:dLbls>
            <c:dLbl>
              <c:idx val="0"/>
              <c:tx>
                <c:rich>
                  <a:bodyPr rot="19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D-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-5.6444026795053848</c:v>
              </c:pt>
            </c:numLit>
          </c:xVal>
          <c:yVal>
            <c:numLit>
              <c:formatCode>General</c:formatCode>
              <c:ptCount val="1"/>
              <c:pt idx="0">
                <c:v>2.725540644488177E-2</c:v>
              </c:pt>
            </c:numLit>
          </c:yVal>
          <c:smooth val="0"/>
          <c:extLst>
            <c:ext xmlns:c16="http://schemas.microsoft.com/office/drawing/2014/chart" uri="{C3380CC4-5D6E-409C-BE32-E72D297353CC}">
              <c16:uniqueId val="{0000005E-58C1-425A-958B-04142761B163}"/>
            </c:ext>
          </c:extLst>
        </c:ser>
        <c:ser>
          <c:idx val="79"/>
          <c:order val="79"/>
          <c:spPr>
            <a:ln w="3175">
              <a:solidFill>
                <a:srgbClr val="000000"/>
              </a:solidFill>
              <a:prstDash val="solid"/>
            </a:ln>
          </c:spPr>
          <c:marker>
            <c:symbol val="none"/>
          </c:marker>
          <c:xVal>
            <c:numLit>
              <c:formatCode>General</c:formatCode>
              <c:ptCount val="2"/>
              <c:pt idx="0">
                <c:v>-4.3770457171884622</c:v>
              </c:pt>
              <c:pt idx="1">
                <c:v>-4.6320252682710734</c:v>
              </c:pt>
            </c:numLit>
          </c:xVal>
          <c:yVal>
            <c:numLit>
              <c:formatCode>General</c:formatCode>
              <c:ptCount val="2"/>
              <c:pt idx="0">
                <c:v>2.6385989057197627E-2</c:v>
              </c:pt>
              <c:pt idx="1">
                <c:v>2.6502903108423292E-2</c:v>
              </c:pt>
            </c:numLit>
          </c:yVal>
          <c:smooth val="0"/>
          <c:extLst>
            <c:ext xmlns:c16="http://schemas.microsoft.com/office/drawing/2014/chart" uri="{C3380CC4-5D6E-409C-BE32-E72D297353CC}">
              <c16:uniqueId val="{0000005F-58C1-425A-958B-04142761B163}"/>
            </c:ext>
          </c:extLst>
        </c:ser>
        <c:ser>
          <c:idx val="80"/>
          <c:order val="80"/>
          <c:spPr>
            <a:ln w="3175">
              <a:solidFill>
                <a:srgbClr val="000000"/>
              </a:solidFill>
              <a:prstDash val="solid"/>
            </a:ln>
          </c:spPr>
          <c:marker>
            <c:symbol val="none"/>
          </c:marker>
          <c:xVal>
            <c:numLit>
              <c:formatCode>General</c:formatCode>
              <c:ptCount val="2"/>
              <c:pt idx="0">
                <c:v>-4.5204589487479616</c:v>
              </c:pt>
              <c:pt idx="1">
                <c:v>-4.7785116405068475</c:v>
              </c:pt>
            </c:numLit>
          </c:xVal>
          <c:yVal>
            <c:numLit>
              <c:formatCode>General</c:formatCode>
              <c:ptCount val="2"/>
              <c:pt idx="0">
                <c:v>2.6211043462266981E-2</c:v>
              </c:pt>
              <c:pt idx="1">
                <c:v>2.632420867931556E-2</c:v>
              </c:pt>
            </c:numLit>
          </c:yVal>
          <c:smooth val="0"/>
          <c:extLst>
            <c:ext xmlns:c16="http://schemas.microsoft.com/office/drawing/2014/chart" uri="{C3380CC4-5D6E-409C-BE32-E72D297353CC}">
              <c16:uniqueId val="{00000060-58C1-425A-958B-04142761B163}"/>
            </c:ext>
          </c:extLst>
        </c:ser>
        <c:ser>
          <c:idx val="81"/>
          <c:order val="81"/>
          <c:spPr>
            <a:ln w="3175">
              <a:solidFill>
                <a:srgbClr val="000000"/>
              </a:solidFill>
              <a:prstDash val="solid"/>
            </a:ln>
          </c:spPr>
          <c:marker>
            <c:symbol val="none"/>
          </c:marker>
          <c:xVal>
            <c:numLit>
              <c:formatCode>General</c:formatCode>
              <c:ptCount val="2"/>
              <c:pt idx="0">
                <c:v>-4.6506435459878448</c:v>
              </c:pt>
              <c:pt idx="1">
                <c:v>-4.9114859076875854</c:v>
              </c:pt>
            </c:numLit>
          </c:xVal>
          <c:yVal>
            <c:numLit>
              <c:formatCode>General</c:formatCode>
              <c:ptCount val="2"/>
              <c:pt idx="0">
                <c:v>2.6045154305456879E-2</c:v>
              </c:pt>
              <c:pt idx="1">
                <c:v>2.615476475485953E-2</c:v>
              </c:pt>
            </c:numLit>
          </c:yVal>
          <c:smooth val="0"/>
          <c:extLst>
            <c:ext xmlns:c16="http://schemas.microsoft.com/office/drawing/2014/chart" uri="{C3380CC4-5D6E-409C-BE32-E72D297353CC}">
              <c16:uniqueId val="{00000061-58C1-425A-958B-04142761B163}"/>
            </c:ext>
          </c:extLst>
        </c:ser>
        <c:ser>
          <c:idx val="82"/>
          <c:order val="82"/>
          <c:spPr>
            <a:ln w="3175">
              <a:solidFill>
                <a:srgbClr val="000000"/>
              </a:solidFill>
              <a:prstDash val="solid"/>
            </a:ln>
          </c:spPr>
          <c:marker>
            <c:symbol val="none"/>
          </c:marker>
          <c:xVal>
            <c:numLit>
              <c:formatCode>General</c:formatCode>
              <c:ptCount val="2"/>
              <c:pt idx="0">
                <c:v>-4.7690593110363508</c:v>
              </c:pt>
              <c:pt idx="1">
                <c:v>-5.0324391534157025</c:v>
              </c:pt>
            </c:numLit>
          </c:xVal>
          <c:yVal>
            <c:numLit>
              <c:formatCode>General</c:formatCode>
              <c:ptCount val="2"/>
              <c:pt idx="0">
                <c:v>2.5887821037250434E-2</c:v>
              </c:pt>
              <c:pt idx="1">
                <c:v>2.5994060059477228E-2</c:v>
              </c:pt>
            </c:numLit>
          </c:yVal>
          <c:smooth val="0"/>
          <c:extLst>
            <c:ext xmlns:c16="http://schemas.microsoft.com/office/drawing/2014/chart" uri="{C3380CC4-5D6E-409C-BE32-E72D297353CC}">
              <c16:uniqueId val="{00000062-58C1-425A-958B-04142761B163}"/>
            </c:ext>
          </c:extLst>
        </c:ser>
        <c:ser>
          <c:idx val="83"/>
          <c:order val="83"/>
          <c:spPr>
            <a:ln w="3175">
              <a:solidFill>
                <a:srgbClr val="000000"/>
              </a:solidFill>
              <a:prstDash val="solid"/>
            </a:ln>
          </c:spPr>
          <c:marker>
            <c:symbol val="none"/>
          </c:marker>
          <c:xVal>
            <c:numLit>
              <c:formatCode>General</c:formatCode>
              <c:ptCount val="2"/>
              <c:pt idx="0">
                <c:v>-4.8769879543111792</c:v>
              </c:pt>
              <c:pt idx="1">
                <c:v>-5.4083731523530867</c:v>
              </c:pt>
            </c:numLit>
          </c:xVal>
          <c:yVal>
            <c:numLit>
              <c:formatCode>General</c:formatCode>
              <c:ptCount val="2"/>
              <c:pt idx="0">
                <c:v>2.573855122669123E-2</c:v>
              </c:pt>
              <c:pt idx="1">
                <c:v>2.5944631993549423E-2</c:v>
              </c:pt>
            </c:numLit>
          </c:yVal>
          <c:smooth val="0"/>
          <c:extLst>
            <c:ext xmlns:c16="http://schemas.microsoft.com/office/drawing/2014/chart" uri="{C3380CC4-5D6E-409C-BE32-E72D297353CC}">
              <c16:uniqueId val="{00000063-58C1-425A-958B-04142761B163}"/>
            </c:ext>
          </c:extLst>
        </c:ser>
        <c:ser>
          <c:idx val="84"/>
          <c:order val="84"/>
          <c:spPr>
            <a:ln w="3175">
              <a:solidFill>
                <a:srgbClr val="000000"/>
              </a:solidFill>
              <a:prstDash val="solid"/>
            </a:ln>
          </c:spPr>
          <c:marker>
            <c:symbol val="none"/>
          </c:marker>
          <c:dLbls>
            <c:dLbl>
              <c:idx val="0"/>
              <c:tx>
                <c:rich>
                  <a:bodyPr rot="16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4-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-6.3825793487632509</c:v>
              </c:pt>
            </c:numLit>
          </c:xVal>
          <c:yVal>
            <c:numLit>
              <c:formatCode>General</c:formatCode>
              <c:ptCount val="1"/>
              <c:pt idx="0">
                <c:v>2.632244673278945E-2</c:v>
              </c:pt>
            </c:numLit>
          </c:yVal>
          <c:smooth val="0"/>
          <c:extLst>
            <c:ext xmlns:c16="http://schemas.microsoft.com/office/drawing/2014/chart" uri="{C3380CC4-5D6E-409C-BE32-E72D297353CC}">
              <c16:uniqueId val="{00000065-58C1-425A-958B-04142761B163}"/>
            </c:ext>
          </c:extLst>
        </c:ser>
        <c:ser>
          <c:idx val="85"/>
          <c:order val="85"/>
          <c:spPr>
            <a:ln w="3175">
              <a:solidFill>
                <a:srgbClr val="000000"/>
              </a:solidFill>
              <a:prstDash val="solid"/>
            </a:ln>
          </c:spPr>
          <c:marker>
            <c:symbol val="none"/>
          </c:marker>
          <c:xVal>
            <c:numLit>
              <c:formatCode>General</c:formatCode>
              <c:ptCount val="2"/>
              <c:pt idx="0">
                <c:v>-4.97555532075208</c:v>
              </c:pt>
              <c:pt idx="1">
                <c:v>-5.2433600776253391</c:v>
              </c:pt>
            </c:numLit>
          </c:xVal>
          <c:yVal>
            <c:numLit>
              <c:formatCode>General</c:formatCode>
              <c:ptCount val="2"/>
              <c:pt idx="0">
                <c:v>2.5596867354371416E-2</c:v>
              </c:pt>
              <c:pt idx="1">
                <c:v>2.5696871654822231E-2</c:v>
              </c:pt>
            </c:numLit>
          </c:yVal>
          <c:smooth val="0"/>
          <c:extLst>
            <c:ext xmlns:c16="http://schemas.microsoft.com/office/drawing/2014/chart" uri="{C3380CC4-5D6E-409C-BE32-E72D297353CC}">
              <c16:uniqueId val="{00000066-58C1-425A-958B-04142761B163}"/>
            </c:ext>
          </c:extLst>
        </c:ser>
        <c:ser>
          <c:idx val="86"/>
          <c:order val="86"/>
          <c:spPr>
            <a:ln w="3175">
              <a:solidFill>
                <a:srgbClr val="000000"/>
              </a:solidFill>
              <a:prstDash val="solid"/>
            </a:ln>
          </c:spPr>
          <c:marker>
            <c:symbol val="none"/>
          </c:marker>
          <c:xVal>
            <c:numLit>
              <c:formatCode>General</c:formatCode>
              <c:ptCount val="2"/>
              <c:pt idx="0">
                <c:v>-5.0657511406962898</c:v>
              </c:pt>
              <c:pt idx="1">
                <c:v>-5.335488665139783</c:v>
              </c:pt>
            </c:numLit>
          </c:xVal>
          <c:yVal>
            <c:numLit>
              <c:formatCode>General</c:formatCode>
              <c:ptCount val="2"/>
              <c:pt idx="0">
                <c:v>2.5462311255383133E-2</c:v>
              </c:pt>
              <c:pt idx="1">
                <c:v>2.5559432210855628E-2</c:v>
              </c:pt>
            </c:numLit>
          </c:yVal>
          <c:smooth val="0"/>
          <c:extLst>
            <c:ext xmlns:c16="http://schemas.microsoft.com/office/drawing/2014/chart" uri="{C3380CC4-5D6E-409C-BE32-E72D297353CC}">
              <c16:uniqueId val="{00000067-58C1-425A-958B-04142761B163}"/>
            </c:ext>
          </c:extLst>
        </c:ser>
        <c:ser>
          <c:idx val="87"/>
          <c:order val="87"/>
          <c:spPr>
            <a:ln w="3175">
              <a:solidFill>
                <a:srgbClr val="000000"/>
              </a:solidFill>
              <a:prstDash val="solid"/>
            </a:ln>
          </c:spPr>
          <c:marker>
            <c:symbol val="none"/>
          </c:marker>
          <c:xVal>
            <c:numLit>
              <c:formatCode>General</c:formatCode>
              <c:ptCount val="2"/>
              <c:pt idx="0">
                <c:v>-5.1484464315058194</c:v>
              </c:pt>
              <c:pt idx="1">
                <c:v>-5.4199559978952303</c:v>
              </c:pt>
            </c:numLit>
          </c:xVal>
          <c:yVal>
            <c:numLit>
              <c:formatCode>General</c:formatCode>
              <c:ptCount val="2"/>
              <c:pt idx="0">
                <c:v>2.5334446824497189E-2</c:v>
              </c:pt>
              <c:pt idx="1">
                <c:v>2.5428827827879273E-2</c:v>
              </c:pt>
            </c:numLit>
          </c:yVal>
          <c:smooth val="0"/>
          <c:extLst>
            <c:ext xmlns:c16="http://schemas.microsoft.com/office/drawing/2014/chart" uri="{C3380CC4-5D6E-409C-BE32-E72D297353CC}">
              <c16:uniqueId val="{00000068-58C1-425A-958B-04142761B163}"/>
            </c:ext>
          </c:extLst>
        </c:ser>
        <c:ser>
          <c:idx val="88"/>
          <c:order val="88"/>
          <c:spPr>
            <a:ln w="3175">
              <a:solidFill>
                <a:srgbClr val="000000"/>
              </a:solidFill>
              <a:prstDash val="solid"/>
            </a:ln>
          </c:spPr>
          <c:marker>
            <c:symbol val="none"/>
          </c:marker>
          <c:xVal>
            <c:numLit>
              <c:formatCode>General</c:formatCode>
              <c:ptCount val="2"/>
              <c:pt idx="0">
                <c:v>-5.2244087358312541</c:v>
              </c:pt>
              <c:pt idx="1">
                <c:v>-5.497546065884781</c:v>
              </c:pt>
            </c:numLit>
          </c:xVal>
          <c:yVal>
            <c:numLit>
              <c:formatCode>General</c:formatCode>
              <c:ptCount val="2"/>
              <c:pt idx="0">
                <c:v>2.5212861452320056E-2</c:v>
              </c:pt>
              <c:pt idx="1">
                <c:v>2.530463705486977E-2</c:v>
              </c:pt>
            </c:numLit>
          </c:yVal>
          <c:smooth val="0"/>
          <c:extLst>
            <c:ext xmlns:c16="http://schemas.microsoft.com/office/drawing/2014/chart" uri="{C3380CC4-5D6E-409C-BE32-E72D297353CC}">
              <c16:uniqueId val="{00000069-58C1-425A-958B-04142761B163}"/>
            </c:ext>
          </c:extLst>
        </c:ser>
        <c:ser>
          <c:idx val="89"/>
          <c:order val="89"/>
          <c:spPr>
            <a:ln w="3175">
              <a:solidFill>
                <a:srgbClr val="000000"/>
              </a:solidFill>
              <a:prstDash val="solid"/>
            </a:ln>
          </c:spPr>
          <c:marker>
            <c:symbol val="none"/>
          </c:marker>
          <c:xVal>
            <c:numLit>
              <c:formatCode>General</c:formatCode>
              <c:ptCount val="2"/>
              <c:pt idx="0">
                <c:v>-5.2943154079273143</c:v>
              </c:pt>
              <c:pt idx="1">
                <c:v>-5.8435860682670562</c:v>
              </c:pt>
            </c:numLit>
          </c:xVal>
          <c:yVal>
            <c:numLit>
              <c:formatCode>General</c:formatCode>
              <c:ptCount val="2"/>
              <c:pt idx="0">
                <c:v>2.5097166548278888E-2</c:v>
              </c:pt>
              <c:pt idx="1">
                <c:v>2.5275759400347982E-2</c:v>
              </c:pt>
            </c:numLit>
          </c:yVal>
          <c:smooth val="0"/>
          <c:extLst>
            <c:ext xmlns:c16="http://schemas.microsoft.com/office/drawing/2014/chart" uri="{C3380CC4-5D6E-409C-BE32-E72D297353CC}">
              <c16:uniqueId val="{0000006A-58C1-425A-958B-04142761B163}"/>
            </c:ext>
          </c:extLst>
        </c:ser>
        <c:ser>
          <c:idx val="90"/>
          <c:order val="90"/>
          <c:spPr>
            <a:ln w="3175">
              <a:solidFill>
                <a:srgbClr val="000000"/>
              </a:solidFill>
              <a:prstDash val="solid"/>
            </a:ln>
          </c:spPr>
          <c:marker>
            <c:symbol val="none"/>
          </c:marker>
          <c:dLbls>
            <c:dLbl>
              <c:idx val="0"/>
              <c:tx>
                <c:rich>
                  <a:bodyPr rot="14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B-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-6.8505822788899158</c:v>
              </c:pt>
            </c:numLit>
          </c:xVal>
          <c:yVal>
            <c:numLit>
              <c:formatCode>General</c:formatCode>
              <c:ptCount val="1"/>
              <c:pt idx="0">
                <c:v>2.5603179629141326E-2</c:v>
              </c:pt>
            </c:numLit>
          </c:yVal>
          <c:smooth val="0"/>
          <c:extLst>
            <c:ext xmlns:c16="http://schemas.microsoft.com/office/drawing/2014/chart" uri="{C3380CC4-5D6E-409C-BE32-E72D297353CC}">
              <c16:uniqueId val="{0000006C-58C1-425A-958B-04142761B163}"/>
            </c:ext>
          </c:extLst>
        </c:ser>
        <c:ser>
          <c:idx val="91"/>
          <c:order val="91"/>
          <c:spPr>
            <a:ln w="3175">
              <a:solidFill>
                <a:srgbClr val="000000"/>
              </a:solidFill>
              <a:prstDash val="solid"/>
            </a:ln>
          </c:spPr>
          <c:marker>
            <c:symbol val="none"/>
          </c:marker>
          <c:xVal>
            <c:numLit>
              <c:formatCode>General</c:formatCode>
              <c:ptCount val="2"/>
              <c:pt idx="0">
                <c:v>-5.358765163744196</c:v>
              </c:pt>
              <c:pt idx="1">
                <c:v>-5.6347815601101443</c:v>
              </c:pt>
            </c:numLit>
          </c:xVal>
          <c:yVal>
            <c:numLit>
              <c:formatCode>General</c:formatCode>
              <c:ptCount val="2"/>
              <c:pt idx="0">
                <c:v>2.4986997418511792E-2</c:v>
              </c:pt>
              <c:pt idx="1">
                <c:v>2.5073933077479904E-2</c:v>
              </c:pt>
            </c:numLit>
          </c:yVal>
          <c:smooth val="0"/>
          <c:extLst>
            <c:ext xmlns:c16="http://schemas.microsoft.com/office/drawing/2014/chart" uri="{C3380CC4-5D6E-409C-BE32-E72D297353CC}">
              <c16:uniqueId val="{0000006D-58C1-425A-958B-04142761B163}"/>
            </c:ext>
          </c:extLst>
        </c:ser>
        <c:ser>
          <c:idx val="92"/>
          <c:order val="92"/>
          <c:spPr>
            <a:ln w="3175">
              <a:solidFill>
                <a:srgbClr val="000000"/>
              </a:solidFill>
              <a:prstDash val="solid"/>
            </a:ln>
          </c:spPr>
          <c:marker>
            <c:symbol val="none"/>
          </c:marker>
          <c:xVal>
            <c:numLit>
              <c:formatCode>General</c:formatCode>
              <c:ptCount val="2"/>
              <c:pt idx="0">
                <c:v>-5.4182881023183391</c:v>
              </c:pt>
              <c:pt idx="1">
                <c:v>-5.6955799902251618</c:v>
              </c:pt>
            </c:numLit>
          </c:xVal>
          <c:yVal>
            <c:numLit>
              <c:formatCode>General</c:formatCode>
              <c:ptCount val="2"/>
              <c:pt idx="0">
                <c:v>2.4882012699129402E-2</c:v>
              </c:pt>
              <c:pt idx="1">
                <c:v>2.4966698685539319E-2</c:v>
              </c:pt>
            </c:numLit>
          </c:yVal>
          <c:smooth val="0"/>
          <c:extLst>
            <c:ext xmlns:c16="http://schemas.microsoft.com/office/drawing/2014/chart" uri="{C3380CC4-5D6E-409C-BE32-E72D297353CC}">
              <c16:uniqueId val="{0000006E-58C1-425A-958B-04142761B163}"/>
            </c:ext>
          </c:extLst>
        </c:ser>
        <c:ser>
          <c:idx val="93"/>
          <c:order val="93"/>
          <c:spPr>
            <a:ln w="3175">
              <a:solidFill>
                <a:srgbClr val="000000"/>
              </a:solidFill>
              <a:prstDash val="solid"/>
            </a:ln>
          </c:spPr>
          <c:marker>
            <c:symbol val="none"/>
          </c:marker>
          <c:xVal>
            <c:numLit>
              <c:formatCode>General</c:formatCode>
              <c:ptCount val="2"/>
              <c:pt idx="0">
                <c:v>-5.4733543909858673</c:v>
              </c:pt>
              <c:pt idx="1">
                <c:v>-5.7518262707927077</c:v>
              </c:pt>
            </c:numLit>
          </c:xVal>
          <c:yVal>
            <c:numLit>
              <c:formatCode>General</c:formatCode>
              <c:ptCount val="2"/>
              <c:pt idx="0">
                <c:v>2.4781893493615731E-2</c:v>
              </c:pt>
              <c:pt idx="1">
                <c:v>2.4864434068478925E-2</c:v>
              </c:pt>
            </c:numLit>
          </c:yVal>
          <c:smooth val="0"/>
          <c:extLst>
            <c:ext xmlns:c16="http://schemas.microsoft.com/office/drawing/2014/chart" uri="{C3380CC4-5D6E-409C-BE32-E72D297353CC}">
              <c16:uniqueId val="{0000006F-58C1-425A-958B-04142761B163}"/>
            </c:ext>
          </c:extLst>
        </c:ser>
        <c:ser>
          <c:idx val="94"/>
          <c:order val="94"/>
          <c:spPr>
            <a:ln w="3175">
              <a:solidFill>
                <a:srgbClr val="000000"/>
              </a:solidFill>
              <a:prstDash val="solid"/>
            </a:ln>
          </c:spPr>
          <c:marker>
            <c:symbol val="none"/>
          </c:marker>
          <c:xVal>
            <c:numLit>
              <c:formatCode>General</c:formatCode>
              <c:ptCount val="2"/>
              <c:pt idx="0">
                <c:v>-5.5243817887928159</c:v>
              </c:pt>
              <c:pt idx="1">
                <c:v>-5.8039471128383777</c:v>
              </c:pt>
            </c:numLit>
          </c:xVal>
          <c:yVal>
            <c:numLit>
              <c:formatCode>General</c:formatCode>
              <c:ptCount val="2"/>
              <c:pt idx="0">
                <c:v>2.4686342323848191E-2</c:v>
              </c:pt>
              <c:pt idx="1">
                <c:v>2.4766835373644939E-2</c:v>
              </c:pt>
            </c:numLit>
          </c:yVal>
          <c:smooth val="0"/>
          <c:extLst>
            <c:ext xmlns:c16="http://schemas.microsoft.com/office/drawing/2014/chart" uri="{C3380CC4-5D6E-409C-BE32-E72D297353CC}">
              <c16:uniqueId val="{00000070-58C1-425A-958B-04142761B163}"/>
            </c:ext>
          </c:extLst>
        </c:ser>
        <c:ser>
          <c:idx val="95"/>
          <c:order val="95"/>
          <c:spPr>
            <a:ln w="3175">
              <a:solidFill>
                <a:srgbClr val="000000"/>
              </a:solidFill>
              <a:prstDash val="solid"/>
            </a:ln>
          </c:spPr>
          <c:marker>
            <c:symbol val="none"/>
          </c:marker>
          <c:xVal>
            <c:numLit>
              <c:formatCode>General</c:formatCode>
              <c:ptCount val="2"/>
              <c:pt idx="0">
                <c:v>-5.571742163443429</c:v>
              </c:pt>
              <c:pt idx="1">
                <c:v>-5.8523223526600745</c:v>
              </c:pt>
            </c:numLit>
          </c:xVal>
          <c:yVal>
            <c:numLit>
              <c:formatCode>General</c:formatCode>
              <c:ptCount val="2"/>
              <c:pt idx="0">
                <c:v>2.4595081974519786E-2</c:v>
              </c:pt>
              <c:pt idx="1">
                <c:v>2.4673619445402351E-2</c:v>
              </c:pt>
            </c:numLit>
          </c:yVal>
          <c:smooth val="0"/>
          <c:extLst>
            <c:ext xmlns:c16="http://schemas.microsoft.com/office/drawing/2014/chart" uri="{C3380CC4-5D6E-409C-BE32-E72D297353CC}">
              <c16:uniqueId val="{00000071-58C1-425A-958B-04142761B163}"/>
            </c:ext>
          </c:extLst>
        </c:ser>
        <c:ser>
          <c:idx val="96"/>
          <c:order val="96"/>
          <c:spPr>
            <a:ln w="3175">
              <a:solidFill>
                <a:srgbClr val="000000"/>
              </a:solidFill>
              <a:prstDash val="solid"/>
            </a:ln>
          </c:spPr>
          <c:marker>
            <c:symbol val="none"/>
          </c:marker>
          <c:dLbls>
            <c:dLbl>
              <c:idx val="0"/>
              <c:tx>
                <c:rich>
                  <a:bodyPr rot="12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2-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-7.1616965690044161</c:v>
              </c:pt>
            </c:numLit>
          </c:xVal>
          <c:yVal>
            <c:numLit>
              <c:formatCode>General</c:formatCode>
              <c:ptCount val="1"/>
              <c:pt idx="0">
                <c:v>2.5040127642854328E-2</c:v>
              </c:pt>
            </c:numLit>
          </c:yVal>
          <c:smooth val="0"/>
          <c:extLst>
            <c:ext xmlns:c16="http://schemas.microsoft.com/office/drawing/2014/chart" uri="{C3380CC4-5D6E-409C-BE32-E72D297353CC}">
              <c16:uniqueId val="{00000073-58C1-425A-958B-04142761B163}"/>
            </c:ext>
          </c:extLst>
        </c:ser>
        <c:ser>
          <c:idx val="97"/>
          <c:order val="97"/>
          <c:spPr>
            <a:ln w="3175">
              <a:solidFill>
                <a:srgbClr val="000000"/>
              </a:solidFill>
              <a:prstDash val="solid"/>
            </a:ln>
          </c:spPr>
          <c:marker>
            <c:symbol val="none"/>
          </c:marker>
          <c:xVal>
            <c:numLit>
              <c:formatCode>General</c:formatCode>
              <c:ptCount val="2"/>
              <c:pt idx="0">
                <c:v>-5.6567529906365968</c:v>
              </c:pt>
              <c:pt idx="1">
                <c:v>-5.9391548404359531</c:v>
              </c:pt>
            </c:numLit>
          </c:xVal>
          <c:yVal>
            <c:numLit>
              <c:formatCode>General</c:formatCode>
              <c:ptCount val="2"/>
              <c:pt idx="0">
                <c:v>2.4424418953236802E-2</c:v>
              </c:pt>
              <c:pt idx="1">
                <c:v>2.4499299359377589E-2</c:v>
              </c:pt>
            </c:numLit>
          </c:yVal>
          <c:smooth val="0"/>
          <c:extLst>
            <c:ext xmlns:c16="http://schemas.microsoft.com/office/drawing/2014/chart" uri="{C3380CC4-5D6E-409C-BE32-E72D297353CC}">
              <c16:uniqueId val="{00000074-58C1-425A-958B-04142761B163}"/>
            </c:ext>
          </c:extLst>
        </c:ser>
        <c:ser>
          <c:idx val="98"/>
          <c:order val="98"/>
          <c:spPr>
            <a:ln w="3175">
              <a:solidFill>
                <a:srgbClr val="000000"/>
              </a:solidFill>
              <a:prstDash val="solid"/>
            </a:ln>
          </c:spPr>
          <c:marker>
            <c:symbol val="none"/>
          </c:marker>
          <c:xVal>
            <c:numLit>
              <c:formatCode>General</c:formatCode>
              <c:ptCount val="2"/>
              <c:pt idx="0">
                <c:v>-5.7306406407761212</c:v>
              </c:pt>
              <c:pt idx="1">
                <c:v>-6.0146257973641815</c:v>
              </c:pt>
            </c:numLit>
          </c:xVal>
          <c:yVal>
            <c:numLit>
              <c:formatCode>General</c:formatCode>
              <c:ptCount val="2"/>
              <c:pt idx="0">
                <c:v>2.4268046190440859E-2</c:v>
              </c:pt>
              <c:pt idx="1">
                <c:v>2.433957575166459E-2</c:v>
              </c:pt>
            </c:numLit>
          </c:yVal>
          <c:smooth val="0"/>
          <c:extLst>
            <c:ext xmlns:c16="http://schemas.microsoft.com/office/drawing/2014/chart" uri="{C3380CC4-5D6E-409C-BE32-E72D297353CC}">
              <c16:uniqueId val="{00000075-58C1-425A-958B-04142761B163}"/>
            </c:ext>
          </c:extLst>
        </c:ser>
        <c:ser>
          <c:idx val="99"/>
          <c:order val="99"/>
          <c:spPr>
            <a:ln w="3175">
              <a:solidFill>
                <a:srgbClr val="000000"/>
              </a:solidFill>
              <a:prstDash val="solid"/>
            </a:ln>
          </c:spPr>
          <c:marker>
            <c:symbol val="none"/>
          </c:marker>
          <c:xVal>
            <c:numLit>
              <c:formatCode>General</c:formatCode>
              <c:ptCount val="2"/>
              <c:pt idx="0">
                <c:v>-5.7952165720117108</c:v>
              </c:pt>
              <c:pt idx="1">
                <c:v>-6.0805854985548189</c:v>
              </c:pt>
            </c:numLit>
          </c:xVal>
          <c:yVal>
            <c:numLit>
              <c:formatCode>General</c:formatCode>
              <c:ptCount val="2"/>
              <c:pt idx="0">
                <c:v>2.4124353808164946E-2</c:v>
              </c:pt>
              <c:pt idx="1">
                <c:v>2.4192804246911337E-2</c:v>
              </c:pt>
            </c:numLit>
          </c:yVal>
          <c:smooth val="0"/>
          <c:extLst>
            <c:ext xmlns:c16="http://schemas.microsoft.com/office/drawing/2014/chart" uri="{C3380CC4-5D6E-409C-BE32-E72D297353CC}">
              <c16:uniqueId val="{00000076-58C1-425A-958B-04142761B163}"/>
            </c:ext>
          </c:extLst>
        </c:ser>
        <c:ser>
          <c:idx val="100"/>
          <c:order val="100"/>
          <c:spPr>
            <a:ln w="3175">
              <a:solidFill>
                <a:srgbClr val="000000"/>
              </a:solidFill>
              <a:prstDash val="solid"/>
            </a:ln>
          </c:spPr>
          <c:marker>
            <c:symbol val="none"/>
          </c:marker>
          <c:xVal>
            <c:numLit>
              <c:formatCode>General</c:formatCode>
              <c:ptCount val="2"/>
              <c:pt idx="0">
                <c:v>-5.851947118469381</c:v>
              </c:pt>
              <c:pt idx="1">
                <c:v>-6.1385316995794392</c:v>
              </c:pt>
            </c:numLit>
          </c:xVal>
          <c:yVal>
            <c:numLit>
              <c:formatCode>General</c:formatCode>
              <c:ptCount val="2"/>
              <c:pt idx="0">
                <c:v>2.3991946017564908E-2</c:v>
              </c:pt>
              <c:pt idx="1">
                <c:v>2.4057559146512728E-2</c:v>
              </c:pt>
            </c:numLit>
          </c:yVal>
          <c:smooth val="0"/>
          <c:extLst>
            <c:ext xmlns:c16="http://schemas.microsoft.com/office/drawing/2014/chart" uri="{C3380CC4-5D6E-409C-BE32-E72D297353CC}">
              <c16:uniqueId val="{00000077-58C1-425A-958B-04142761B163}"/>
            </c:ext>
          </c:extLst>
        </c:ser>
        <c:ser>
          <c:idx val="101"/>
          <c:order val="101"/>
          <c:spPr>
            <a:ln w="3175">
              <a:solidFill>
                <a:srgbClr val="000000"/>
              </a:solidFill>
              <a:prstDash val="solid"/>
            </a:ln>
          </c:spPr>
          <c:marker>
            <c:symbol val="none"/>
          </c:marker>
          <c:xVal>
            <c:numLit>
              <c:formatCode>General</c:formatCode>
              <c:ptCount val="2"/>
              <c:pt idx="0">
                <c:v>-5.9020274437754896</c:v>
              </c:pt>
              <c:pt idx="1">
                <c:v>-6.4773429056515814</c:v>
              </c:pt>
            </c:numLit>
          </c:xVal>
          <c:yVal>
            <c:numLit>
              <c:formatCode>General</c:formatCode>
              <c:ptCount val="2"/>
              <c:pt idx="0">
                <c:v>2.3869610711458024E-2</c:v>
              </c:pt>
              <c:pt idx="1">
                <c:v>2.3995594027663367E-2</c:v>
              </c:pt>
            </c:numLit>
          </c:yVal>
          <c:smooth val="0"/>
          <c:extLst>
            <c:ext xmlns:c16="http://schemas.microsoft.com/office/drawing/2014/chart" uri="{C3380CC4-5D6E-409C-BE32-E72D297353CC}">
              <c16:uniqueId val="{00000078-58C1-425A-958B-04142761B163}"/>
            </c:ext>
          </c:extLst>
        </c:ser>
        <c:ser>
          <c:idx val="102"/>
          <c:order val="102"/>
          <c:spPr>
            <a:ln w="3175">
              <a:solidFill>
                <a:srgbClr val="000000"/>
              </a:solidFill>
              <a:prstDash val="solid"/>
            </a:ln>
          </c:spPr>
          <c:marker>
            <c:symbol val="none"/>
          </c:marker>
          <c:dLbls>
            <c:dLbl>
              <c:idx val="0"/>
              <c:tx>
                <c:rich>
                  <a:bodyPr rot="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9-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-7.5320879190910839</c:v>
              </c:pt>
            </c:numLit>
          </c:xVal>
          <c:yVal>
            <c:numLit>
              <c:formatCode>General</c:formatCode>
              <c:ptCount val="1"/>
              <c:pt idx="0">
                <c:v>2.4226563440706499E-2</c:v>
              </c:pt>
            </c:numLit>
          </c:yVal>
          <c:smooth val="0"/>
          <c:extLst>
            <c:ext xmlns:c16="http://schemas.microsoft.com/office/drawing/2014/chart" uri="{C3380CC4-5D6E-409C-BE32-E72D297353CC}">
              <c16:uniqueId val="{0000007A-58C1-425A-958B-04142761B163}"/>
            </c:ext>
          </c:extLst>
        </c:ser>
        <c:ser>
          <c:idx val="103"/>
          <c:order val="103"/>
          <c:spPr>
            <a:ln w="3175">
              <a:solidFill>
                <a:srgbClr val="000000"/>
              </a:solidFill>
              <a:prstDash val="solid"/>
            </a:ln>
          </c:spPr>
          <c:marker>
            <c:symbol val="none"/>
          </c:marker>
          <c:xVal>
            <c:numLit>
              <c:formatCode>General</c:formatCode>
              <c:ptCount val="2"/>
              <c:pt idx="0">
                <c:v>-6.0041567309797621</c:v>
              </c:pt>
              <c:pt idx="1">
                <c:v>-6.2940029466436149</c:v>
              </c:pt>
            </c:numLit>
          </c:xVal>
          <c:yVal>
            <c:numLit>
              <c:formatCode>General</c:formatCode>
              <c:ptCount val="2"/>
              <c:pt idx="0">
                <c:v>2.3601243359121643E-2</c:v>
              </c:pt>
              <c:pt idx="1">
                <c:v>2.3658484288245678E-2</c:v>
              </c:pt>
            </c:numLit>
          </c:yVal>
          <c:smooth val="0"/>
          <c:extLst>
            <c:ext xmlns:c16="http://schemas.microsoft.com/office/drawing/2014/chart" uri="{C3380CC4-5D6E-409C-BE32-E72D297353CC}">
              <c16:uniqueId val="{0000007B-58C1-425A-958B-04142761B163}"/>
            </c:ext>
          </c:extLst>
        </c:ser>
        <c:ser>
          <c:idx val="104"/>
          <c:order val="104"/>
          <c:spPr>
            <a:ln w="3175">
              <a:solidFill>
                <a:srgbClr val="000000"/>
              </a:solidFill>
              <a:prstDash val="solid"/>
            </a:ln>
          </c:spPr>
          <c:marker>
            <c:symbol val="none"/>
          </c:marker>
          <c:xVal>
            <c:numLit>
              <c:formatCode>General</c:formatCode>
              <c:ptCount val="2"/>
              <c:pt idx="0">
                <c:v>-6.0816762741522021</c:v>
              </c:pt>
              <c:pt idx="1">
                <c:v>-6.664690971615868</c:v>
              </c:pt>
            </c:numLit>
          </c:xVal>
          <c:yVal>
            <c:numLit>
              <c:formatCode>General</c:formatCode>
              <c:ptCount val="2"/>
              <c:pt idx="0">
                <c:v>2.3376424442580822E-2</c:v>
              </c:pt>
              <c:pt idx="1">
                <c:v>2.3481271204405716E-2</c:v>
              </c:pt>
            </c:numLit>
          </c:yVal>
          <c:smooth val="0"/>
          <c:extLst>
            <c:ext xmlns:c16="http://schemas.microsoft.com/office/drawing/2014/chart" uri="{C3380CC4-5D6E-409C-BE32-E72D297353CC}">
              <c16:uniqueId val="{0000007C-58C1-425A-958B-04142761B163}"/>
            </c:ext>
          </c:extLst>
        </c:ser>
        <c:ser>
          <c:idx val="105"/>
          <c:order val="105"/>
          <c:spPr>
            <a:ln w="3175">
              <a:solidFill>
                <a:srgbClr val="000000"/>
              </a:solidFill>
              <a:prstDash val="solid"/>
            </a:ln>
          </c:spPr>
          <c:marker>
            <c:symbol val="none"/>
          </c:marker>
          <c:dLbls>
            <c:dLbl>
              <c:idx val="0"/>
              <c:tx>
                <c:rich>
                  <a:bodyPr rot="8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D-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-7.7335512502992545</c:v>
              </c:pt>
            </c:numLit>
          </c:xVal>
          <c:yVal>
            <c:numLit>
              <c:formatCode>General</c:formatCode>
              <c:ptCount val="1"/>
              <c:pt idx="0">
                <c:v>2.3673490267751351E-2</c:v>
              </c:pt>
            </c:numLit>
          </c:yVal>
          <c:smooth val="0"/>
          <c:extLst>
            <c:ext xmlns:c16="http://schemas.microsoft.com/office/drawing/2014/chart" uri="{C3380CC4-5D6E-409C-BE32-E72D297353CC}">
              <c16:uniqueId val="{0000007E-58C1-425A-958B-04142761B163}"/>
            </c:ext>
          </c:extLst>
        </c:ser>
        <c:ser>
          <c:idx val="106"/>
          <c:order val="106"/>
          <c:spPr>
            <a:ln w="3175">
              <a:solidFill>
                <a:srgbClr val="000000"/>
              </a:solidFill>
              <a:prstDash val="solid"/>
            </a:ln>
          </c:spPr>
          <c:marker>
            <c:symbol val="none"/>
          </c:marker>
          <c:xVal>
            <c:numLit>
              <c:formatCode>General</c:formatCode>
              <c:ptCount val="2"/>
              <c:pt idx="0">
                <c:v>-6.1418165019856463</c:v>
              </c:pt>
              <c:pt idx="1">
                <c:v>-6.4346125698853394</c:v>
              </c:pt>
            </c:numLit>
          </c:xVal>
          <c:yVal>
            <c:numLit>
              <c:formatCode>General</c:formatCode>
              <c:ptCount val="2"/>
              <c:pt idx="0">
                <c:v>2.3185628388742628E-2</c:v>
              </c:pt>
              <c:pt idx="1">
                <c:v>2.3233963282787113E-2</c:v>
              </c:pt>
            </c:numLit>
          </c:yVal>
          <c:smooth val="0"/>
          <c:extLst>
            <c:ext xmlns:c16="http://schemas.microsoft.com/office/drawing/2014/chart" uri="{C3380CC4-5D6E-409C-BE32-E72D297353CC}">
              <c16:uniqueId val="{0000007F-58C1-425A-958B-04142761B163}"/>
            </c:ext>
          </c:extLst>
        </c:ser>
        <c:ser>
          <c:idx val="107"/>
          <c:order val="107"/>
          <c:spPr>
            <a:ln w="3175">
              <a:solidFill>
                <a:srgbClr val="000000"/>
              </a:solidFill>
              <a:prstDash val="solid"/>
            </a:ln>
          </c:spPr>
          <c:marker>
            <c:symbol val="none"/>
          </c:marker>
          <c:xVal>
            <c:numLit>
              <c:formatCode>General</c:formatCode>
              <c:ptCount val="2"/>
              <c:pt idx="0">
                <c:v>-6.1893611787955249</c:v>
              </c:pt>
              <c:pt idx="1">
                <c:v>-6.7769909436010467</c:v>
              </c:pt>
            </c:numLit>
          </c:xVal>
          <c:yVal>
            <c:numLit>
              <c:formatCode>General</c:formatCode>
              <c:ptCount val="2"/>
              <c:pt idx="0">
                <c:v>2.3021845518026735E-2</c:v>
              </c:pt>
              <c:pt idx="1">
                <c:v>2.3111496040227882E-2</c:v>
              </c:pt>
            </c:numLit>
          </c:yVal>
          <c:smooth val="0"/>
          <c:extLst>
            <c:ext xmlns:c16="http://schemas.microsoft.com/office/drawing/2014/chart" uri="{C3380CC4-5D6E-409C-BE32-E72D297353CC}">
              <c16:uniqueId val="{00000080-58C1-425A-958B-04142761B163}"/>
            </c:ext>
          </c:extLst>
        </c:ser>
        <c:ser>
          <c:idx val="108"/>
          <c:order val="108"/>
          <c:spPr>
            <a:ln w="3175">
              <a:solidFill>
                <a:srgbClr val="000000"/>
              </a:solidFill>
              <a:prstDash val="solid"/>
            </a:ln>
          </c:spPr>
          <c:marker>
            <c:symbol val="none"/>
          </c:marker>
          <c:dLbls>
            <c:dLbl>
              <c:idx val="0"/>
              <c:tx>
                <c:rich>
                  <a:bodyPr rot="7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1-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-7.8543121790778381</c:v>
              </c:pt>
            </c:numLit>
          </c:xVal>
          <c:yVal>
            <c:numLit>
              <c:formatCode>General</c:formatCode>
              <c:ptCount val="1"/>
              <c:pt idx="0">
                <c:v>2.3275855330929983E-2</c:v>
              </c:pt>
            </c:numLit>
          </c:yVal>
          <c:smooth val="0"/>
          <c:extLst>
            <c:ext xmlns:c16="http://schemas.microsoft.com/office/drawing/2014/chart" uri="{C3380CC4-5D6E-409C-BE32-E72D297353CC}">
              <c16:uniqueId val="{00000082-58C1-425A-958B-04142761B163}"/>
            </c:ext>
          </c:extLst>
        </c:ser>
        <c:ser>
          <c:idx val="109"/>
          <c:order val="109"/>
          <c:spPr>
            <a:ln w="3175">
              <a:solidFill>
                <a:srgbClr val="000000"/>
              </a:solidFill>
              <a:prstDash val="solid"/>
            </a:ln>
          </c:spPr>
          <c:marker>
            <c:symbol val="none"/>
          </c:marker>
          <c:xVal>
            <c:numLit>
              <c:formatCode>General</c:formatCode>
              <c:ptCount val="2"/>
              <c:pt idx="0">
                <c:v>-6.2275685419443816</c:v>
              </c:pt>
              <c:pt idx="1">
                <c:v>-6.5222021535574761</c:v>
              </c:pt>
            </c:numLit>
          </c:xVal>
          <c:yVal>
            <c:numLit>
              <c:formatCode>General</c:formatCode>
              <c:ptCount val="2"/>
              <c:pt idx="0">
                <c:v>2.2879826043585575E-2</c:v>
              </c:pt>
              <c:pt idx="1">
                <c:v>2.2921608030233839E-2</c:v>
              </c:pt>
            </c:numLit>
          </c:yVal>
          <c:smooth val="0"/>
          <c:extLst>
            <c:ext xmlns:c16="http://schemas.microsoft.com/office/drawing/2014/chart" uri="{C3380CC4-5D6E-409C-BE32-E72D297353CC}">
              <c16:uniqueId val="{00000083-58C1-425A-958B-04142761B163}"/>
            </c:ext>
          </c:extLst>
        </c:ser>
        <c:ser>
          <c:idx val="110"/>
          <c:order val="110"/>
          <c:spPr>
            <a:ln w="3175">
              <a:solidFill>
                <a:srgbClr val="000000"/>
              </a:solidFill>
              <a:prstDash val="solid"/>
            </a:ln>
          </c:spPr>
          <c:marker>
            <c:symbol val="none"/>
          </c:marker>
          <c:xVal>
            <c:numLit>
              <c:formatCode>General</c:formatCode>
              <c:ptCount val="2"/>
              <c:pt idx="0">
                <c:v>-6.2587153367755777</c:v>
              </c:pt>
              <c:pt idx="1">
                <c:v>-6.8493174226373874</c:v>
              </c:pt>
            </c:numLit>
          </c:xVal>
          <c:yVal>
            <c:numLit>
              <c:formatCode>General</c:formatCode>
              <c:ptCount val="2"/>
              <c:pt idx="0">
                <c:v>2.2755572771766694E-2</c:v>
              </c:pt>
              <c:pt idx="1">
                <c:v>2.2833811604842408E-2</c:v>
              </c:pt>
            </c:numLit>
          </c:yVal>
          <c:smooth val="0"/>
          <c:extLst>
            <c:ext xmlns:c16="http://schemas.microsoft.com/office/drawing/2014/chart" uri="{C3380CC4-5D6E-409C-BE32-E72D297353CC}">
              <c16:uniqueId val="{00000084-58C1-425A-958B-04142761B163}"/>
            </c:ext>
          </c:extLst>
        </c:ser>
        <c:ser>
          <c:idx val="111"/>
          <c:order val="111"/>
          <c:spPr>
            <a:ln w="3175">
              <a:solidFill>
                <a:srgbClr val="000000"/>
              </a:solidFill>
              <a:prstDash val="solid"/>
            </a:ln>
          </c:spPr>
          <c:marker>
            <c:symbol val="none"/>
          </c:marker>
          <c:dLbls>
            <c:dLbl>
              <c:idx val="0"/>
              <c:tx>
                <c:rich>
                  <a:bodyPr rot="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5-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-7.9320879133840396</c:v>
              </c:pt>
            </c:numLit>
          </c:xVal>
          <c:yVal>
            <c:numLit>
              <c:formatCode>General</c:formatCode>
              <c:ptCount val="1"/>
              <c:pt idx="0">
                <c:v>2.2977249465481218E-2</c:v>
              </c:pt>
            </c:numLit>
          </c:yVal>
          <c:smooth val="0"/>
          <c:extLst>
            <c:ext xmlns:c16="http://schemas.microsoft.com/office/drawing/2014/chart" uri="{C3380CC4-5D6E-409C-BE32-E72D297353CC}">
              <c16:uniqueId val="{00000086-58C1-425A-958B-04142761B163}"/>
            </c:ext>
          </c:extLst>
        </c:ser>
        <c:ser>
          <c:idx val="112"/>
          <c:order val="112"/>
          <c:spPr>
            <a:ln w="3175">
              <a:solidFill>
                <a:srgbClr val="000000"/>
              </a:solidFill>
              <a:prstDash val="solid"/>
            </a:ln>
          </c:spPr>
          <c:marker>
            <c:symbol val="none"/>
          </c:marker>
          <c:xVal>
            <c:numLit>
              <c:formatCode>General</c:formatCode>
              <c:ptCount val="2"/>
              <c:pt idx="0">
                <c:v>-6.3058961870318369</c:v>
              </c:pt>
              <c:pt idx="1">
                <c:v>-6.6022082481825199</c:v>
              </c:pt>
            </c:numLit>
          </c:xVal>
          <c:yVal>
            <c:numLit>
              <c:formatCode>General</c:formatCode>
              <c:ptCount val="2"/>
              <c:pt idx="0">
                <c:v>2.2548671580655582E-2</c:v>
              </c:pt>
              <c:pt idx="1">
                <c:v>2.2583357400241057E-2</c:v>
              </c:pt>
            </c:numLit>
          </c:yVal>
          <c:smooth val="0"/>
          <c:extLst>
            <c:ext xmlns:c16="http://schemas.microsoft.com/office/drawing/2014/chart" uri="{C3380CC4-5D6E-409C-BE32-E72D297353CC}">
              <c16:uniqueId val="{00000087-58C1-425A-958B-04142761B163}"/>
            </c:ext>
          </c:extLst>
        </c:ser>
        <c:ser>
          <c:idx val="113"/>
          <c:order val="113"/>
          <c:spPr>
            <a:ln w="3175">
              <a:solidFill>
                <a:srgbClr val="000000"/>
              </a:solidFill>
              <a:prstDash val="solid"/>
            </a:ln>
          </c:spPr>
          <c:marker>
            <c:symbol val="none"/>
          </c:marker>
          <c:xVal>
            <c:numLit>
              <c:formatCode>General</c:formatCode>
              <c:ptCount val="2"/>
              <c:pt idx="0">
                <c:v>-6.3394006467143074</c:v>
              </c:pt>
              <c:pt idx="1">
                <c:v>-6.6364306605724712</c:v>
              </c:pt>
            </c:numLit>
          </c:xVal>
          <c:yVal>
            <c:numLit>
              <c:formatCode>General</c:formatCode>
              <c:ptCount val="2"/>
              <c:pt idx="0">
                <c:v>2.2383467693411988E-2</c:v>
              </c:pt>
              <c:pt idx="1">
                <c:v>2.2414613429699387E-2</c:v>
              </c:pt>
            </c:numLit>
          </c:yVal>
          <c:smooth val="0"/>
          <c:extLst>
            <c:ext xmlns:c16="http://schemas.microsoft.com/office/drawing/2014/chart" uri="{C3380CC4-5D6E-409C-BE32-E72D297353CC}">
              <c16:uniqueId val="{00000088-58C1-425A-958B-04142761B163}"/>
            </c:ext>
          </c:extLst>
        </c:ser>
        <c:ser>
          <c:idx val="114"/>
          <c:order val="114"/>
          <c:spPr>
            <a:ln w="3175">
              <a:solidFill>
                <a:srgbClr val="000000"/>
              </a:solidFill>
              <a:prstDash val="solid"/>
            </a:ln>
          </c:spPr>
          <c:marker>
            <c:symbol val="none"/>
          </c:marker>
          <c:xVal>
            <c:numLit>
              <c:formatCode>General</c:formatCode>
              <c:ptCount val="2"/>
              <c:pt idx="0">
                <c:v>-6.3640278309235088</c:v>
              </c:pt>
              <c:pt idx="1">
                <c:v>-6.6615855701575848</c:v>
              </c:pt>
            </c:numLit>
          </c:xVal>
          <c:yVal>
            <c:numLit>
              <c:formatCode>General</c:formatCode>
              <c:ptCount val="2"/>
              <c:pt idx="0">
                <c:v>2.2248609023778468E-2</c:v>
              </c:pt>
              <c:pt idx="1">
                <c:v>2.2276864931430863E-2</c:v>
              </c:pt>
            </c:numLit>
          </c:yVal>
          <c:smooth val="0"/>
          <c:extLst>
            <c:ext xmlns:c16="http://schemas.microsoft.com/office/drawing/2014/chart" uri="{C3380CC4-5D6E-409C-BE32-E72D297353CC}">
              <c16:uniqueId val="{00000089-58C1-425A-958B-04142761B163}"/>
            </c:ext>
          </c:extLst>
        </c:ser>
        <c:ser>
          <c:idx val="115"/>
          <c:order val="115"/>
          <c:spPr>
            <a:ln w="3175">
              <a:solidFill>
                <a:srgbClr val="000000"/>
              </a:solidFill>
              <a:prstDash val="solid"/>
            </a:ln>
          </c:spPr>
          <c:marker>
            <c:symbol val="none"/>
          </c:marker>
          <c:xVal>
            <c:numLit>
              <c:formatCode>General</c:formatCode>
              <c:ptCount val="2"/>
              <c:pt idx="0">
                <c:v>-6.382648783342864</c:v>
              </c:pt>
              <c:pt idx="1">
                <c:v>-6.6806055429859255</c:v>
              </c:pt>
            </c:numLit>
          </c:xVal>
          <c:yVal>
            <c:numLit>
              <c:formatCode>General</c:formatCode>
              <c:ptCount val="2"/>
              <c:pt idx="0">
                <c:v>2.2136492726931425E-2</c:v>
              </c:pt>
              <c:pt idx="1">
                <c:v>2.2162346142508529E-2</c:v>
              </c:pt>
            </c:numLit>
          </c:yVal>
          <c:smooth val="0"/>
          <c:extLst>
            <c:ext xmlns:c16="http://schemas.microsoft.com/office/drawing/2014/chart" uri="{C3380CC4-5D6E-409C-BE32-E72D297353CC}">
              <c16:uniqueId val="{0000008A-58C1-425A-958B-04142761B163}"/>
            </c:ext>
          </c:extLst>
        </c:ser>
        <c:ser>
          <c:idx val="116"/>
          <c:order val="116"/>
          <c:spPr>
            <a:ln w="3175">
              <a:solidFill>
                <a:srgbClr val="000000"/>
              </a:solidFill>
              <a:prstDash val="solid"/>
            </a:ln>
          </c:spPr>
          <c:marker>
            <c:symbol val="none"/>
          </c:marker>
          <c:xVal>
            <c:numLit>
              <c:formatCode>General</c:formatCode>
              <c:ptCount val="2"/>
              <c:pt idx="0">
                <c:v>-6.3970641036563771</c:v>
              </c:pt>
              <c:pt idx="1">
                <c:v>-6.9935954223845069</c:v>
              </c:pt>
            </c:numLit>
          </c:xVal>
          <c:yVal>
            <c:numLit>
              <c:formatCode>General</c:formatCode>
              <c:ptCount val="2"/>
              <c:pt idx="0">
                <c:v>2.2041845203134694E-2</c:v>
              </c:pt>
              <c:pt idx="1">
                <c:v>2.2089495711840466E-2</c:v>
              </c:pt>
            </c:numLit>
          </c:yVal>
          <c:smooth val="0"/>
          <c:extLst>
            <c:ext xmlns:c16="http://schemas.microsoft.com/office/drawing/2014/chart" uri="{C3380CC4-5D6E-409C-BE32-E72D297353CC}">
              <c16:uniqueId val="{0000008B-58C1-425A-958B-04142761B163}"/>
            </c:ext>
          </c:extLst>
        </c:ser>
        <c:ser>
          <c:idx val="117"/>
          <c:order val="117"/>
          <c:spPr>
            <a:ln w="3175">
              <a:solidFill>
                <a:srgbClr val="000000"/>
              </a:solidFill>
              <a:prstDash val="solid"/>
            </a:ln>
          </c:spPr>
          <c:marker>
            <c:symbol val="none"/>
          </c:marker>
          <c:dLbls>
            <c:dLbl>
              <c:idx val="0"/>
              <c:tx>
                <c:rich>
                  <a:bodyPr rot="3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C-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-8.0872361733860796</c:v>
              </c:pt>
            </c:numLit>
          </c:xVal>
          <c:yVal>
            <c:numLit>
              <c:formatCode>General</c:formatCode>
              <c:ptCount val="1"/>
              <c:pt idx="0">
                <c:v>2.2176854977801051E-2</c:v>
              </c:pt>
            </c:numLit>
          </c:yVal>
          <c:smooth val="0"/>
          <c:extLst>
            <c:ext xmlns:c16="http://schemas.microsoft.com/office/drawing/2014/chart" uri="{C3380CC4-5D6E-409C-BE32-E72D297353CC}">
              <c16:uniqueId val="{0000008D-58C1-425A-958B-04142761B163}"/>
            </c:ext>
          </c:extLst>
        </c:ser>
        <c:ser>
          <c:idx val="118"/>
          <c:order val="118"/>
          <c:spPr>
            <a:ln w="3175">
              <a:solidFill>
                <a:srgbClr val="000000"/>
              </a:solidFill>
              <a:prstDash val="solid"/>
            </a:ln>
          </c:spPr>
          <c:marker>
            <c:symbol val="none"/>
          </c:marker>
          <c:xVal>
            <c:numLit>
              <c:formatCode>General</c:formatCode>
              <c:ptCount val="2"/>
              <c:pt idx="0">
                <c:v>-6.436353647558132</c:v>
              </c:pt>
              <c:pt idx="1">
                <c:v>-6.7354612257200923</c:v>
              </c:pt>
            </c:numLit>
          </c:xVal>
          <c:yVal>
            <c:numLit>
              <c:formatCode>General</c:formatCode>
              <c:ptCount val="2"/>
              <c:pt idx="0">
                <c:v>2.172811889106761E-2</c:v>
              </c:pt>
              <c:pt idx="1">
                <c:v>2.1745221438733343E-2</c:v>
              </c:pt>
            </c:numLit>
          </c:yVal>
          <c:smooth val="0"/>
          <c:extLst>
            <c:ext xmlns:c16="http://schemas.microsoft.com/office/drawing/2014/chart" uri="{C3380CC4-5D6E-409C-BE32-E72D297353CC}">
              <c16:uniqueId val="{0000008E-58C1-425A-958B-04142761B163}"/>
            </c:ext>
          </c:extLst>
        </c:ser>
        <c:ser>
          <c:idx val="119"/>
          <c:order val="119"/>
          <c:spPr>
            <a:ln w="3175">
              <a:solidFill>
                <a:srgbClr val="000000"/>
              </a:solidFill>
              <a:prstDash val="solid"/>
            </a:ln>
          </c:spPr>
          <c:marker>
            <c:symbol val="none"/>
          </c:marker>
          <c:xVal>
            <c:numLit>
              <c:formatCode>General</c:formatCode>
              <c:ptCount val="2"/>
              <c:pt idx="0">
                <c:v>-6.4527022004217862</c:v>
              </c:pt>
              <c:pt idx="1">
                <c:v>-7.0516180090112908</c:v>
              </c:pt>
            </c:numLit>
          </c:xVal>
          <c:yVal>
            <c:numLit>
              <c:formatCode>General</c:formatCode>
              <c:ptCount val="2"/>
              <c:pt idx="0">
                <c:v>2.1552224945278583E-2</c:v>
              </c:pt>
              <c:pt idx="1">
                <c:v>2.1578891728647666E-2</c:v>
              </c:pt>
            </c:numLit>
          </c:yVal>
          <c:smooth val="0"/>
          <c:extLst>
            <c:ext xmlns:c16="http://schemas.microsoft.com/office/drawing/2014/chart" uri="{C3380CC4-5D6E-409C-BE32-E72D297353CC}">
              <c16:uniqueId val="{0000008F-58C1-425A-958B-04142761B163}"/>
            </c:ext>
          </c:extLst>
        </c:ser>
        <c:ser>
          <c:idx val="120"/>
          <c:order val="120"/>
          <c:spPr>
            <a:ln w="3175">
              <a:solidFill>
                <a:srgbClr val="000000"/>
              </a:solidFill>
              <a:prstDash val="solid"/>
            </a:ln>
          </c:spPr>
          <c:marker>
            <c:symbol val="none"/>
          </c:marker>
          <c:dLbls>
            <c:dLbl>
              <c:idx val="0"/>
              <c:tx>
                <c:rich>
                  <a:bodyPr rot="1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0-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-8.1496303247587161</c:v>
              </c:pt>
            </c:numLit>
          </c:xVal>
          <c:yVal>
            <c:numLit>
              <c:formatCode>General</c:formatCode>
              <c:ptCount val="1"/>
              <c:pt idx="0">
                <c:v>2.1627780831490983E-2</c:v>
              </c:pt>
            </c:numLit>
          </c:yVal>
          <c:smooth val="0"/>
          <c:extLst>
            <c:ext xmlns:c16="http://schemas.microsoft.com/office/drawing/2014/chart" uri="{C3380CC4-5D6E-409C-BE32-E72D297353CC}">
              <c16:uniqueId val="{00000091-58C1-425A-958B-04142761B163}"/>
            </c:ext>
          </c:extLst>
        </c:ser>
        <c:ser>
          <c:idx val="121"/>
          <c:order val="121"/>
          <c:spPr>
            <a:ln w="3175">
              <a:solidFill>
                <a:srgbClr val="000000"/>
              </a:solidFill>
              <a:prstDash val="solid"/>
            </a:ln>
          </c:spPr>
          <c:marker>
            <c:symbol val="none"/>
          </c:marker>
          <c:xVal>
            <c:numLit>
              <c:formatCode>General</c:formatCode>
              <c:ptCount val="2"/>
              <c:pt idx="0">
                <c:v>-6.4658267837767367</c:v>
              </c:pt>
              <c:pt idx="1">
                <c:v>-6.7655659291433814</c:v>
              </c:pt>
            </c:numLit>
          </c:xVal>
          <c:yVal>
            <c:numLit>
              <c:formatCode>General</c:formatCode>
              <c:ptCount val="2"/>
              <c:pt idx="0">
                <c:v>2.1361728347072451E-2</c:v>
              </c:pt>
              <c:pt idx="1">
                <c:v>2.1370979668795431E-2</c:v>
              </c:pt>
            </c:numLit>
          </c:yVal>
          <c:smooth val="0"/>
          <c:extLst>
            <c:ext xmlns:c16="http://schemas.microsoft.com/office/drawing/2014/chart" uri="{C3380CC4-5D6E-409C-BE32-E72D297353CC}">
              <c16:uniqueId val="{00000092-58C1-425A-958B-04142761B163}"/>
            </c:ext>
          </c:extLst>
        </c:ser>
        <c:ser>
          <c:idx val="122"/>
          <c:order val="122"/>
          <c:spPr>
            <a:ln w="3175">
              <a:solidFill>
                <a:srgbClr val="000000"/>
              </a:solidFill>
              <a:prstDash val="solid"/>
            </a:ln>
          </c:spPr>
          <c:marker>
            <c:symbol val="none"/>
          </c:marker>
          <c:xVal>
            <c:numLit>
              <c:formatCode>General</c:formatCode>
              <c:ptCount val="2"/>
              <c:pt idx="0">
                <c:v>-6.4708678812703511</c:v>
              </c:pt>
              <c:pt idx="1">
                <c:v>-7.07056221903908</c:v>
              </c:pt>
            </c:numLit>
          </c:xVal>
          <c:yVal>
            <c:numLit>
              <c:formatCode>General</c:formatCode>
              <c:ptCount val="2"/>
              <c:pt idx="0">
                <c:v>2.1260488451156453E-2</c:v>
              </c:pt>
              <c:pt idx="1">
                <c:v>2.1274652241920301E-2</c:v>
              </c:pt>
            </c:numLit>
          </c:yVal>
          <c:smooth val="0"/>
          <c:extLst>
            <c:ext xmlns:c16="http://schemas.microsoft.com/office/drawing/2014/chart" uri="{C3380CC4-5D6E-409C-BE32-E72D297353CC}">
              <c16:uniqueId val="{00000093-58C1-425A-958B-04142761B163}"/>
            </c:ext>
          </c:extLst>
        </c:ser>
        <c:ser>
          <c:idx val="123"/>
          <c:order val="123"/>
          <c:spPr>
            <a:ln w="3175">
              <a:solidFill>
                <a:srgbClr val="000000"/>
              </a:solidFill>
              <a:prstDash val="solid"/>
            </a:ln>
          </c:spPr>
          <c:marker>
            <c:symbol val="none"/>
          </c:marker>
          <c:dLbls>
            <c:dLbl>
              <c:idx val="0"/>
              <c:tx>
                <c:rich>
                  <a:bodyPr rot="12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-40000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4-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-8.1700018382817508</c:v>
              </c:pt>
            </c:numLit>
          </c:xVal>
          <c:yVal>
            <c:numLit>
              <c:formatCode>General</c:formatCode>
              <c:ptCount val="1"/>
              <c:pt idx="0">
                <c:v>2.1300619191654022E-2</c:v>
              </c:pt>
            </c:numLit>
          </c:yVal>
          <c:smooth val="0"/>
          <c:extLst>
            <c:ext xmlns:c16="http://schemas.microsoft.com/office/drawing/2014/chart" uri="{C3380CC4-5D6E-409C-BE32-E72D297353CC}">
              <c16:uniqueId val="{00000095-58C1-425A-958B-04142761B163}"/>
            </c:ext>
          </c:extLst>
        </c:ser>
        <c:ser>
          <c:idx val="124"/>
          <c:order val="124"/>
          <c:spPr>
            <a:ln w="3175">
              <a:solidFill>
                <a:srgbClr val="000000"/>
              </a:solidFill>
              <a:prstDash val="solid"/>
            </a:ln>
          </c:spPr>
          <c:marker>
            <c:symbol val="none"/>
          </c:marker>
          <c:xVal>
            <c:numLit>
              <c:formatCode>General</c:formatCode>
              <c:ptCount val="2"/>
              <c:pt idx="0">
                <c:v>-6.4780000000000006</c:v>
              </c:pt>
              <c:pt idx="1">
                <c:v>-7.0780000000000003</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96-58C1-425A-958B-04142761B163}"/>
            </c:ext>
          </c:extLst>
        </c:ser>
        <c:ser>
          <c:idx val="125"/>
          <c:order val="125"/>
          <c:spPr>
            <a:ln w="3175">
              <a:solidFill>
                <a:srgbClr val="000000"/>
              </a:solidFill>
              <a:prstDash val="solid"/>
            </a:ln>
          </c:spPr>
          <c:marker>
            <c:symbol val="none"/>
          </c:marker>
          <c:dLbls>
            <c:dLbl>
              <c:idx val="0"/>
              <c:tx>
                <c:rich>
                  <a:bodyPr rot="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7-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-8.1780000000000008</c:v>
              </c:pt>
            </c:numLit>
          </c:xVal>
          <c:yVal>
            <c:numLit>
              <c:formatCode>General</c:formatCode>
              <c:ptCount val="1"/>
              <c:pt idx="0">
                <c:v>2.0930000000000001E-2</c:v>
              </c:pt>
            </c:numLit>
          </c:yVal>
          <c:smooth val="0"/>
          <c:extLst>
            <c:ext xmlns:c16="http://schemas.microsoft.com/office/drawing/2014/chart" uri="{C3380CC4-5D6E-409C-BE32-E72D297353CC}">
              <c16:uniqueId val="{00000098-58C1-425A-958B-04142761B163}"/>
            </c:ext>
          </c:extLst>
        </c:ser>
        <c:ser>
          <c:idx val="126"/>
          <c:order val="126"/>
          <c:spPr>
            <a:ln w="3175">
              <a:solidFill>
                <a:srgbClr val="000000"/>
              </a:solidFill>
              <a:prstDash val="solid"/>
            </a:ln>
          </c:spPr>
          <c:marker>
            <c:symbol val="none"/>
          </c:marker>
          <c:xVal>
            <c:numLit>
              <c:formatCode>General</c:formatCode>
              <c:ptCount val="2"/>
              <c:pt idx="0">
                <c:v>-6.4687544134534143</c:v>
              </c:pt>
              <c:pt idx="1">
                <c:v>-7.0683581740299886</c:v>
              </c:pt>
            </c:numLit>
          </c:xVal>
          <c:yVal>
            <c:numLit>
              <c:formatCode>General</c:formatCode>
              <c:ptCount val="2"/>
              <c:pt idx="0">
                <c:v>2.0553731515266696E-2</c:v>
              </c:pt>
              <c:pt idx="1">
                <c:v>2.0537605723063838E-2</c:v>
              </c:pt>
            </c:numLit>
          </c:yVal>
          <c:smooth val="0"/>
          <c:extLst>
            <c:ext xmlns:c16="http://schemas.microsoft.com/office/drawing/2014/chart" uri="{C3380CC4-5D6E-409C-BE32-E72D297353CC}">
              <c16:uniqueId val="{00000099-58C1-425A-958B-04142761B163}"/>
            </c:ext>
          </c:extLst>
        </c:ser>
        <c:ser>
          <c:idx val="127"/>
          <c:order val="127"/>
          <c:spPr>
            <a:ln w="3175">
              <a:solidFill>
                <a:srgbClr val="000000"/>
              </a:solidFill>
              <a:prstDash val="solid"/>
            </a:ln>
          </c:spPr>
          <c:marker>
            <c:symbol val="none"/>
          </c:marker>
          <c:dLbls>
            <c:dLbl>
              <c:idx val="0"/>
              <c:tx>
                <c:rich>
                  <a:bodyPr rot="-12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40000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A-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-8.167631735087042</c:v>
              </c:pt>
            </c:numLit>
          </c:xVal>
          <c:yVal>
            <c:numLit>
              <c:formatCode>General</c:formatCode>
              <c:ptCount val="1"/>
              <c:pt idx="0">
                <c:v>2.0508041770691935E-2</c:v>
              </c:pt>
            </c:numLit>
          </c:yVal>
          <c:smooth val="0"/>
          <c:extLst>
            <c:ext xmlns:c16="http://schemas.microsoft.com/office/drawing/2014/chart" uri="{C3380CC4-5D6E-409C-BE32-E72D297353CC}">
              <c16:uniqueId val="{0000009B-58C1-425A-958B-04142761B163}"/>
            </c:ext>
          </c:extLst>
        </c:ser>
        <c:ser>
          <c:idx val="128"/>
          <c:order val="128"/>
          <c:spPr>
            <a:ln w="3175">
              <a:solidFill>
                <a:srgbClr val="000000"/>
              </a:solidFill>
              <a:prstDash val="solid"/>
            </a:ln>
          </c:spPr>
          <c:marker>
            <c:symbol val="none"/>
          </c:marker>
          <c:xVal>
            <c:numLit>
              <c:formatCode>General</c:formatCode>
              <c:ptCount val="2"/>
              <c:pt idx="0">
                <c:v>-6.4607910353144655</c:v>
              </c:pt>
              <c:pt idx="1">
                <c:v>-6.7604222717854903</c:v>
              </c:pt>
            </c:numLit>
          </c:xVal>
          <c:yVal>
            <c:numLit>
              <c:formatCode>General</c:formatCode>
              <c:ptCount val="2"/>
              <c:pt idx="0">
                <c:v>2.0416729629222568E-2</c:v>
              </c:pt>
              <c:pt idx="1">
                <c:v>2.0405730978420196E-2</c:v>
              </c:pt>
            </c:numLit>
          </c:yVal>
          <c:smooth val="0"/>
          <c:extLst>
            <c:ext xmlns:c16="http://schemas.microsoft.com/office/drawing/2014/chart" uri="{C3380CC4-5D6E-409C-BE32-E72D297353CC}">
              <c16:uniqueId val="{0000009C-58C1-425A-958B-04142761B163}"/>
            </c:ext>
          </c:extLst>
        </c:ser>
        <c:ser>
          <c:idx val="129"/>
          <c:order val="129"/>
          <c:spPr>
            <a:ln w="3175">
              <a:solidFill>
                <a:srgbClr val="000000"/>
              </a:solidFill>
              <a:prstDash val="solid"/>
            </a:ln>
          </c:spPr>
          <c:marker>
            <c:symbol val="none"/>
          </c:marker>
          <c:xVal>
            <c:numLit>
              <c:formatCode>General</c:formatCode>
              <c:ptCount val="2"/>
              <c:pt idx="0">
                <c:v>-6.4354532742589932</c:v>
              </c:pt>
              <c:pt idx="1">
                <c:v>-7.0336298431558069</c:v>
              </c:pt>
            </c:numLit>
          </c:xVal>
          <c:yVal>
            <c:numLit>
              <c:formatCode>General</c:formatCode>
              <c:ptCount val="2"/>
              <c:pt idx="0">
                <c:v>2.0123312766063169E-2</c:v>
              </c:pt>
              <c:pt idx="1">
                <c:v>2.0088740456037306E-2</c:v>
              </c:pt>
            </c:numLit>
          </c:yVal>
          <c:smooth val="0"/>
          <c:extLst>
            <c:ext xmlns:c16="http://schemas.microsoft.com/office/drawing/2014/chart" uri="{C3380CC4-5D6E-409C-BE32-E72D297353CC}">
              <c16:uniqueId val="{0000009D-58C1-425A-958B-04142761B163}"/>
            </c:ext>
          </c:extLst>
        </c:ser>
        <c:ser>
          <c:idx val="130"/>
          <c:order val="130"/>
          <c:spPr>
            <a:ln w="3175">
              <a:solidFill>
                <a:srgbClr val="000000"/>
              </a:solidFill>
              <a:prstDash val="solid"/>
            </a:ln>
          </c:spPr>
          <c:marker>
            <c:symbol val="none"/>
          </c:marker>
          <c:dLbls>
            <c:dLbl>
              <c:idx val="0"/>
              <c:tx>
                <c:rich>
                  <a:bodyPr rot="-24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20000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E-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-8.1302868861332982</c:v>
              </c:pt>
            </c:numLit>
          </c:xVal>
          <c:yVal>
            <c:numLit>
              <c:formatCode>General</c:formatCode>
              <c:ptCount val="1"/>
              <c:pt idx="0">
                <c:v>2.0025357887656553E-2</c:v>
              </c:pt>
            </c:numLit>
          </c:yVal>
          <c:smooth val="0"/>
          <c:extLst>
            <c:ext xmlns:c16="http://schemas.microsoft.com/office/drawing/2014/chart" uri="{C3380CC4-5D6E-409C-BE32-E72D297353CC}">
              <c16:uniqueId val="{0000009F-58C1-425A-958B-04142761B163}"/>
            </c:ext>
          </c:extLst>
        </c:ser>
        <c:ser>
          <c:idx val="131"/>
          <c:order val="131"/>
          <c:spPr>
            <a:ln w="3175">
              <a:solidFill>
                <a:srgbClr val="000000"/>
              </a:solidFill>
              <a:prstDash val="solid"/>
            </a:ln>
          </c:spPr>
          <c:marker>
            <c:symbol val="none"/>
          </c:marker>
          <c:xVal>
            <c:numLit>
              <c:formatCode>General</c:formatCode>
              <c:ptCount val="2"/>
              <c:pt idx="0">
                <c:v>-6.3946145573537017</c:v>
              </c:pt>
              <c:pt idx="1">
                <c:v>-6.9910408955260026</c:v>
              </c:pt>
            </c:numLit>
          </c:xVal>
          <c:yVal>
            <c:numLit>
              <c:formatCode>General</c:formatCode>
              <c:ptCount val="2"/>
              <c:pt idx="0">
                <c:v>1.9801504574826875E-2</c:v>
              </c:pt>
              <c:pt idx="1">
                <c:v>1.9753140485176599E-2</c:v>
              </c:pt>
            </c:numLit>
          </c:yVal>
          <c:smooth val="0"/>
          <c:extLst>
            <c:ext xmlns:c16="http://schemas.microsoft.com/office/drawing/2014/chart" uri="{C3380CC4-5D6E-409C-BE32-E72D297353CC}">
              <c16:uniqueId val="{000000A0-58C1-425A-958B-04142761B163}"/>
            </c:ext>
          </c:extLst>
        </c:ser>
        <c:ser>
          <c:idx val="132"/>
          <c:order val="132"/>
          <c:spPr>
            <a:ln w="3175">
              <a:solidFill>
                <a:srgbClr val="000000"/>
              </a:solidFill>
              <a:prstDash val="solid"/>
            </a:ln>
          </c:spPr>
          <c:marker>
            <c:symbol val="none"/>
          </c:marker>
          <c:dLbls>
            <c:dLbl>
              <c:idx val="0"/>
              <c:tx>
                <c:rich>
                  <a:bodyPr rot="-36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15000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1-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-8.0844891821752221</c:v>
              </c:pt>
            </c:numLit>
          </c:xVal>
          <c:yVal>
            <c:numLit>
              <c:formatCode>General</c:formatCode>
              <c:ptCount val="1"/>
              <c:pt idx="0">
                <c:v>1.9664472987484423E-2</c:v>
              </c:pt>
            </c:numLit>
          </c:yVal>
          <c:smooth val="0"/>
          <c:extLst>
            <c:ext xmlns:c16="http://schemas.microsoft.com/office/drawing/2014/chart" uri="{C3380CC4-5D6E-409C-BE32-E72D297353CC}">
              <c16:uniqueId val="{000000A2-58C1-425A-958B-04142761B163}"/>
            </c:ext>
          </c:extLst>
        </c:ser>
        <c:ser>
          <c:idx val="133"/>
          <c:order val="133"/>
          <c:spPr>
            <a:ln w="3175">
              <a:solidFill>
                <a:srgbClr val="000000"/>
              </a:solidFill>
              <a:prstDash val="solid"/>
            </a:ln>
          </c:spPr>
          <c:marker>
            <c:symbol val="none"/>
          </c:marker>
          <c:xVal>
            <c:numLit>
              <c:formatCode>General</c:formatCode>
              <c:ptCount val="2"/>
              <c:pt idx="0">
                <c:v>-6.3795129803289274</c:v>
              </c:pt>
              <c:pt idx="1">
                <c:v>-6.6774025441931197</c:v>
              </c:pt>
            </c:numLit>
          </c:xVal>
          <c:yVal>
            <c:numLit>
              <c:formatCode>General</c:formatCode>
              <c:ptCount val="2"/>
              <c:pt idx="0">
                <c:v>1.9703897767998347E-2</c:v>
              </c:pt>
              <c:pt idx="1">
                <c:v>1.967762414874117E-2</c:v>
              </c:pt>
            </c:numLit>
          </c:yVal>
          <c:smooth val="0"/>
          <c:extLst>
            <c:ext xmlns:c16="http://schemas.microsoft.com/office/drawing/2014/chart" uri="{C3380CC4-5D6E-409C-BE32-E72D297353CC}">
              <c16:uniqueId val="{000000A3-58C1-425A-958B-04142761B163}"/>
            </c:ext>
          </c:extLst>
        </c:ser>
        <c:ser>
          <c:idx val="134"/>
          <c:order val="134"/>
          <c:spPr>
            <a:ln w="3175">
              <a:solidFill>
                <a:srgbClr val="000000"/>
              </a:solidFill>
              <a:prstDash val="solid"/>
            </a:ln>
          </c:spPr>
          <c:marker>
            <c:symbol val="none"/>
          </c:marker>
          <c:xVal>
            <c:numLit>
              <c:formatCode>General</c:formatCode>
              <c:ptCount val="2"/>
              <c:pt idx="0">
                <c:v>-6.3599248979775851</c:v>
              </c:pt>
              <c:pt idx="1">
                <c:v>-6.6573947172199626</c:v>
              </c:pt>
            </c:numLit>
          </c:xVal>
          <c:yVal>
            <c:numLit>
              <c:formatCode>General</c:formatCode>
              <c:ptCount val="2"/>
              <c:pt idx="0">
                <c:v>1.9587964977189561E-2</c:v>
              </c:pt>
              <c:pt idx="1">
                <c:v>1.9559207083843622E-2</c:v>
              </c:pt>
            </c:numLit>
          </c:yVal>
          <c:smooth val="0"/>
          <c:extLst>
            <c:ext xmlns:c16="http://schemas.microsoft.com/office/drawing/2014/chart" uri="{C3380CC4-5D6E-409C-BE32-E72D297353CC}">
              <c16:uniqueId val="{000000A4-58C1-425A-958B-04142761B163}"/>
            </c:ext>
          </c:extLst>
        </c:ser>
        <c:ser>
          <c:idx val="135"/>
          <c:order val="135"/>
          <c:spPr>
            <a:ln w="3175">
              <a:solidFill>
                <a:srgbClr val="000000"/>
              </a:solidFill>
              <a:prstDash val="solid"/>
            </a:ln>
          </c:spPr>
          <c:marker>
            <c:symbol val="none"/>
          </c:marker>
          <c:xVal>
            <c:numLit>
              <c:formatCode>General</c:formatCode>
              <c:ptCount val="2"/>
              <c:pt idx="0">
                <c:v>-6.3338909498930658</c:v>
              </c:pt>
              <c:pt idx="1">
                <c:v>-6.9277148477456256</c:v>
              </c:pt>
            </c:numLit>
          </c:xVal>
          <c:yVal>
            <c:numLit>
              <c:formatCode>General</c:formatCode>
              <c:ptCount val="2"/>
              <c:pt idx="0">
                <c:v>1.9448070774442654E-2</c:v>
              </c:pt>
              <c:pt idx="1">
                <c:v>1.9384559521918768E-2</c:v>
              </c:pt>
            </c:numLit>
          </c:yVal>
          <c:smooth val="0"/>
          <c:extLst>
            <c:ext xmlns:c16="http://schemas.microsoft.com/office/drawing/2014/chart" uri="{C3380CC4-5D6E-409C-BE32-E72D297353CC}">
              <c16:uniqueId val="{000000A5-58C1-425A-958B-04142761B163}"/>
            </c:ext>
          </c:extLst>
        </c:ser>
        <c:ser>
          <c:idx val="136"/>
          <c:order val="136"/>
          <c:spPr>
            <a:ln w="3175">
              <a:solidFill>
                <a:srgbClr val="000000"/>
              </a:solidFill>
              <a:prstDash val="solid"/>
            </a:ln>
          </c:spPr>
          <c:marker>
            <c:symbol val="none"/>
          </c:marker>
          <c:xVal>
            <c:numLit>
              <c:formatCode>General</c:formatCode>
              <c:ptCount val="2"/>
              <c:pt idx="0">
                <c:v>-6.2982611859413211</c:v>
              </c:pt>
              <c:pt idx="1">
                <c:v>-6.5944096399257788</c:v>
              </c:pt>
            </c:numLit>
          </c:xVal>
          <c:yVal>
            <c:numLit>
              <c:formatCode>General</c:formatCode>
              <c:ptCount val="2"/>
              <c:pt idx="0">
                <c:v>1.9276040595639192E-2</c:v>
              </c:pt>
              <c:pt idx="1">
                <c:v>1.9240598608402888E-2</c:v>
              </c:pt>
            </c:numLit>
          </c:yVal>
          <c:smooth val="0"/>
          <c:extLst>
            <c:ext xmlns:c16="http://schemas.microsoft.com/office/drawing/2014/chart" uri="{C3380CC4-5D6E-409C-BE32-E72D297353CC}">
              <c16:uniqueId val="{000000A6-58C1-425A-958B-04142761B163}"/>
            </c:ext>
          </c:extLst>
        </c:ser>
        <c:ser>
          <c:idx val="137"/>
          <c:order val="137"/>
          <c:spPr>
            <a:ln w="3175">
              <a:solidFill>
                <a:srgbClr val="000000"/>
              </a:solidFill>
              <a:prstDash val="solid"/>
            </a:ln>
          </c:spPr>
          <c:marker>
            <c:symbol val="none"/>
          </c:marker>
          <c:xVal>
            <c:numLit>
              <c:formatCode>General</c:formatCode>
              <c:ptCount val="2"/>
              <c:pt idx="0">
                <c:v>-6.2477177107241779</c:v>
              </c:pt>
              <c:pt idx="1">
                <c:v>-6.8378484697552135</c:v>
              </c:pt>
            </c:numLit>
          </c:xVal>
          <c:yVal>
            <c:numLit>
              <c:formatCode>General</c:formatCode>
              <c:ptCount val="2"/>
              <c:pt idx="0">
                <c:v>1.9059579257765528E-2</c:v>
              </c:pt>
              <c:pt idx="1">
                <c:v>1.8979418368812621E-2</c:v>
              </c:pt>
            </c:numLit>
          </c:yVal>
          <c:smooth val="0"/>
          <c:extLst>
            <c:ext xmlns:c16="http://schemas.microsoft.com/office/drawing/2014/chart" uri="{C3380CC4-5D6E-409C-BE32-E72D297353CC}">
              <c16:uniqueId val="{000000A7-58C1-425A-958B-04142761B163}"/>
            </c:ext>
          </c:extLst>
        </c:ser>
        <c:ser>
          <c:idx val="138"/>
          <c:order val="138"/>
          <c:spPr>
            <a:ln w="3175">
              <a:solidFill>
                <a:srgbClr val="000000"/>
              </a:solidFill>
              <a:prstDash val="solid"/>
            </a:ln>
          </c:spPr>
          <c:marker>
            <c:symbol val="none"/>
          </c:marker>
          <c:dLbls>
            <c:dLbl>
              <c:idx val="0"/>
              <c:tx>
                <c:rich>
                  <a:bodyPr rot="-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8-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-7.9197548613121134</c:v>
              </c:pt>
            </c:numLit>
          </c:xVal>
          <c:yVal>
            <c:numLit>
              <c:formatCode>General</c:formatCode>
              <c:ptCount val="1"/>
              <c:pt idx="0">
                <c:v>1.8832456739065626E-2</c:v>
              </c:pt>
            </c:numLit>
          </c:yVal>
          <c:smooth val="0"/>
          <c:extLst>
            <c:ext xmlns:c16="http://schemas.microsoft.com/office/drawing/2014/chart" uri="{C3380CC4-5D6E-409C-BE32-E72D297353CC}">
              <c16:uniqueId val="{000000A9-58C1-425A-958B-04142761B163}"/>
            </c:ext>
          </c:extLst>
        </c:ser>
        <c:ser>
          <c:idx val="139"/>
          <c:order val="139"/>
          <c:spPr>
            <a:ln w="3175">
              <a:solidFill>
                <a:srgbClr val="000000"/>
              </a:solidFill>
              <a:prstDash val="solid"/>
            </a:ln>
          </c:spPr>
          <c:marker>
            <c:symbol val="none"/>
          </c:marker>
          <c:xVal>
            <c:numLit>
              <c:formatCode>General</c:formatCode>
              <c:ptCount val="2"/>
              <c:pt idx="0">
                <c:v>-6.2141364364601657</c:v>
              </c:pt>
              <c:pt idx="1">
                <c:v>-6.5084822172414558</c:v>
              </c:pt>
            </c:numLit>
          </c:xVal>
          <c:yVal>
            <c:numLit>
              <c:formatCode>General</c:formatCode>
              <c:ptCount val="2"/>
              <c:pt idx="0">
                <c:v>1.8929051078036645E-2</c:v>
              </c:pt>
              <c:pt idx="1">
                <c:v>1.8886173601137431E-2</c:v>
              </c:pt>
            </c:numLit>
          </c:yVal>
          <c:smooth val="0"/>
          <c:extLst>
            <c:ext xmlns:c16="http://schemas.microsoft.com/office/drawing/2014/chart" uri="{C3380CC4-5D6E-409C-BE32-E72D297353CC}">
              <c16:uniqueId val="{000000AA-58C1-425A-958B-04142761B163}"/>
            </c:ext>
          </c:extLst>
        </c:ser>
        <c:ser>
          <c:idx val="140"/>
          <c:order val="140"/>
          <c:spPr>
            <a:ln w="3175">
              <a:solidFill>
                <a:srgbClr val="000000"/>
              </a:solidFill>
              <a:prstDash val="solid"/>
            </a:ln>
          </c:spPr>
          <c:marker>
            <c:symbol val="none"/>
          </c:marker>
          <c:xVal>
            <c:numLit>
              <c:formatCode>General</c:formatCode>
              <c:ptCount val="2"/>
              <c:pt idx="0">
                <c:v>-6.1727292094729158</c:v>
              </c:pt>
              <c:pt idx="1">
                <c:v>-6.7596461755931836</c:v>
              </c:pt>
            </c:numLit>
          </c:xVal>
          <c:yVal>
            <c:numLit>
              <c:formatCode>General</c:formatCode>
              <c:ptCount val="2"/>
              <c:pt idx="0">
                <c:v>1.8779375962421206E-2</c:v>
              </c:pt>
              <c:pt idx="1">
                <c:v>1.8687206360810688E-2</c:v>
              </c:pt>
            </c:numLit>
          </c:yVal>
          <c:smooth val="0"/>
          <c:extLst>
            <c:ext xmlns:c16="http://schemas.microsoft.com/office/drawing/2014/chart" uri="{C3380CC4-5D6E-409C-BE32-E72D297353CC}">
              <c16:uniqueId val="{000000AB-58C1-425A-958B-04142761B163}"/>
            </c:ext>
          </c:extLst>
        </c:ser>
        <c:ser>
          <c:idx val="141"/>
          <c:order val="141"/>
          <c:spPr>
            <a:ln w="3175">
              <a:solidFill>
                <a:srgbClr val="000000"/>
              </a:solidFill>
              <a:prstDash val="solid"/>
            </a:ln>
          </c:spPr>
          <c:marker>
            <c:symbol val="none"/>
          </c:marker>
          <c:xVal>
            <c:numLit>
              <c:formatCode>General</c:formatCode>
              <c:ptCount val="2"/>
              <c:pt idx="0">
                <c:v>-6.1208981028564446</c:v>
              </c:pt>
              <c:pt idx="1">
                <c:v>-6.4132459193462266</c:v>
              </c:pt>
            </c:numLit>
          </c:xVal>
          <c:yVal>
            <c:numLit>
              <c:formatCode>General</c:formatCode>
              <c:ptCount val="2"/>
              <c:pt idx="0">
                <c:v>1.8606133509740334E-2</c:v>
              </c:pt>
              <c:pt idx="1">
                <c:v>1.8556336370663343E-2</c:v>
              </c:pt>
            </c:numLit>
          </c:yVal>
          <c:smooth val="0"/>
          <c:extLst>
            <c:ext xmlns:c16="http://schemas.microsoft.com/office/drawing/2014/chart" uri="{C3380CC4-5D6E-409C-BE32-E72D297353CC}">
              <c16:uniqueId val="{000000AC-58C1-425A-958B-04142761B163}"/>
            </c:ext>
          </c:extLst>
        </c:ser>
        <c:ser>
          <c:idx val="142"/>
          <c:order val="142"/>
          <c:spPr>
            <a:ln w="3175">
              <a:solidFill>
                <a:srgbClr val="000000"/>
              </a:solidFill>
              <a:prstDash val="solid"/>
            </a:ln>
          </c:spPr>
          <c:marker>
            <c:symbol val="none"/>
          </c:marker>
          <c:xVal>
            <c:numLit>
              <c:formatCode>General</c:formatCode>
              <c:ptCount val="2"/>
              <c:pt idx="0">
                <c:v>-6.0548906661909623</c:v>
              </c:pt>
              <c:pt idx="1">
                <c:v>-6.6367574090277168</c:v>
              </c:pt>
            </c:numLit>
          </c:xVal>
          <c:yVal>
            <c:numLit>
              <c:formatCode>General</c:formatCode>
              <c:ptCount val="2"/>
              <c:pt idx="0">
                <c:v>1.8403482795007753E-2</c:v>
              </c:pt>
              <c:pt idx="1">
                <c:v>1.8295203486222371E-2</c:v>
              </c:pt>
            </c:numLit>
          </c:yVal>
          <c:smooth val="0"/>
          <c:extLst>
            <c:ext xmlns:c16="http://schemas.microsoft.com/office/drawing/2014/chart" uri="{C3380CC4-5D6E-409C-BE32-E72D297353CC}">
              <c16:uniqueId val="{000000AD-58C1-425A-958B-04142761B163}"/>
            </c:ext>
          </c:extLst>
        </c:ser>
        <c:ser>
          <c:idx val="143"/>
          <c:order val="143"/>
          <c:spPr>
            <a:ln w="3175">
              <a:solidFill>
                <a:srgbClr val="000000"/>
              </a:solidFill>
              <a:prstDash val="solid"/>
            </a:ln>
          </c:spPr>
          <c:marker>
            <c:symbol val="none"/>
          </c:marker>
          <c:xVal>
            <c:numLit>
              <c:formatCode>General</c:formatCode>
              <c:ptCount val="2"/>
              <c:pt idx="0">
                <c:v>-5.969139454636716</c:v>
              </c:pt>
              <c:pt idx="1">
                <c:v>-6.2582353000932178</c:v>
              </c:pt>
            </c:numLit>
          </c:xVal>
          <c:yVal>
            <c:numLit>
              <c:formatCode>General</c:formatCode>
              <c:ptCount val="2"/>
              <c:pt idx="0">
                <c:v>1.8163573931641964E-2</c:v>
              </c:pt>
              <c:pt idx="1">
                <c:v>1.8104293373034291E-2</c:v>
              </c:pt>
            </c:numLit>
          </c:yVal>
          <c:smooth val="0"/>
          <c:extLst>
            <c:ext xmlns:c16="http://schemas.microsoft.com/office/drawing/2014/chart" uri="{C3380CC4-5D6E-409C-BE32-E72D297353CC}">
              <c16:uniqueId val="{000000AE-58C1-425A-958B-04142761B163}"/>
            </c:ext>
          </c:extLst>
        </c:ser>
        <c:ser>
          <c:idx val="144"/>
          <c:order val="144"/>
          <c:spPr>
            <a:ln w="3175">
              <a:solidFill>
                <a:srgbClr val="000000"/>
              </a:solidFill>
              <a:prstDash val="solid"/>
            </a:ln>
          </c:spPr>
          <c:marker>
            <c:symbol val="none"/>
          </c:marker>
          <c:xVal>
            <c:numLit>
              <c:formatCode>General</c:formatCode>
              <c:ptCount val="2"/>
              <c:pt idx="0">
                <c:v>-5.8551287645325596</c:v>
              </c:pt>
              <c:pt idx="1">
                <c:v>-6.4284342830125256</c:v>
              </c:pt>
            </c:numLit>
          </c:xVal>
          <c:yVal>
            <c:numLit>
              <c:formatCode>General</c:formatCode>
              <c:ptCount val="2"/>
              <c:pt idx="0">
                <c:v>1.7875666923032288E-2</c:v>
              </c:pt>
              <c:pt idx="1">
                <c:v>1.7744766934019388E-2</c:v>
              </c:pt>
            </c:numLit>
          </c:yVal>
          <c:smooth val="0"/>
          <c:extLst>
            <c:ext xmlns:c16="http://schemas.microsoft.com/office/drawing/2014/chart" uri="{C3380CC4-5D6E-409C-BE32-E72D297353CC}">
              <c16:uniqueId val="{000000AF-58C1-425A-958B-04142761B163}"/>
            </c:ext>
          </c:extLst>
        </c:ser>
        <c:ser>
          <c:idx val="145"/>
          <c:order val="145"/>
          <c:spPr>
            <a:ln w="3175">
              <a:solidFill>
                <a:srgbClr val="000000"/>
              </a:solidFill>
              <a:prstDash val="solid"/>
            </a:ln>
          </c:spPr>
          <c:marker>
            <c:symbol val="none"/>
          </c:marker>
          <c:dLbls>
            <c:dLbl>
              <c:idx val="0"/>
              <c:tx>
                <c:rich>
                  <a:bodyPr rot="-10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7000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0-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-7.4794944002257981</c:v>
              </c:pt>
            </c:numLit>
          </c:xVal>
          <c:yVal>
            <c:numLit>
              <c:formatCode>General</c:formatCode>
              <c:ptCount val="1"/>
              <c:pt idx="0">
                <c:v>1.7504783620829068E-2</c:v>
              </c:pt>
            </c:numLit>
          </c:yVal>
          <c:smooth val="0"/>
          <c:extLst>
            <c:ext xmlns:c16="http://schemas.microsoft.com/office/drawing/2014/chart" uri="{C3380CC4-5D6E-409C-BE32-E72D297353CC}">
              <c16:uniqueId val="{000000B1-58C1-425A-958B-04142761B163}"/>
            </c:ext>
          </c:extLst>
        </c:ser>
        <c:ser>
          <c:idx val="146"/>
          <c:order val="146"/>
          <c:spPr>
            <a:ln w="3175">
              <a:solidFill>
                <a:srgbClr val="000000"/>
              </a:solidFill>
              <a:prstDash val="solid"/>
            </a:ln>
          </c:spPr>
          <c:marker>
            <c:symbol val="none"/>
          </c:marker>
          <c:xVal>
            <c:numLit>
              <c:formatCode>General</c:formatCode>
              <c:ptCount val="2"/>
              <c:pt idx="0">
                <c:v>-5.7988285531075912</c:v>
              </c:pt>
              <c:pt idx="1">
                <c:v>-6.0842748792456121</c:v>
              </c:pt>
            </c:numLit>
          </c:xVal>
          <c:yVal>
            <c:numLit>
              <c:formatCode>General</c:formatCode>
              <c:ptCount val="2"/>
              <c:pt idx="0">
                <c:v>1.7743895976123102E-2</c:v>
              </c:pt>
              <c:pt idx="1">
                <c:v>1.7675622318468597E-2</c:v>
              </c:pt>
            </c:numLit>
          </c:yVal>
          <c:smooth val="0"/>
          <c:extLst>
            <c:ext xmlns:c16="http://schemas.microsoft.com/office/drawing/2014/chart" uri="{C3380CC4-5D6E-409C-BE32-E72D297353CC}">
              <c16:uniqueId val="{000000B2-58C1-425A-958B-04142761B163}"/>
            </c:ext>
          </c:extLst>
        </c:ser>
        <c:ser>
          <c:idx val="147"/>
          <c:order val="147"/>
          <c:spPr>
            <a:ln w="3175">
              <a:solidFill>
                <a:srgbClr val="000000"/>
              </a:solidFill>
              <a:prstDash val="solid"/>
            </a:ln>
          </c:spPr>
          <c:marker>
            <c:symbol val="none"/>
          </c:marker>
          <c:xVal>
            <c:numLit>
              <c:formatCode>General</c:formatCode>
              <c:ptCount val="2"/>
              <c:pt idx="0">
                <c:v>-5.7347616757504305</c:v>
              </c:pt>
              <c:pt idx="1">
                <c:v>-6.0188351402307969</c:v>
              </c:pt>
            </c:numLit>
          </c:xVal>
          <c:yVal>
            <c:numLit>
              <c:formatCode>General</c:formatCode>
              <c:ptCount val="2"/>
              <c:pt idx="0">
                <c:v>1.7600918061456586E-2</c:v>
              </c:pt>
              <c:pt idx="1">
                <c:v>1.7529580591344941E-2</c:v>
              </c:pt>
            </c:numLit>
          </c:yVal>
          <c:smooth val="0"/>
          <c:extLst>
            <c:ext xmlns:c16="http://schemas.microsoft.com/office/drawing/2014/chart" uri="{C3380CC4-5D6E-409C-BE32-E72D297353CC}">
              <c16:uniqueId val="{000000B3-58C1-425A-958B-04142761B163}"/>
            </c:ext>
          </c:extLst>
        </c:ser>
        <c:ser>
          <c:idx val="148"/>
          <c:order val="148"/>
          <c:spPr>
            <a:ln w="3175">
              <a:solidFill>
                <a:srgbClr val="000000"/>
              </a:solidFill>
              <a:prstDash val="solid"/>
            </a:ln>
          </c:spPr>
          <c:marker>
            <c:symbol val="none"/>
          </c:marker>
          <c:xVal>
            <c:numLit>
              <c:formatCode>General</c:formatCode>
              <c:ptCount val="2"/>
              <c:pt idx="0">
                <c:v>-5.6614799564344587</c:v>
              </c:pt>
              <c:pt idx="1">
                <c:v>-5.9439830983580544</c:v>
              </c:pt>
            </c:numLit>
          </c:xVal>
          <c:yVal>
            <c:numLit>
              <c:formatCode>General</c:formatCode>
              <c:ptCount val="2"/>
              <c:pt idx="0">
                <c:v>1.7445349228540973E-2</c:v>
              </c:pt>
              <c:pt idx="1">
                <c:v>1.7370678140581138E-2</c:v>
              </c:pt>
            </c:numLit>
          </c:yVal>
          <c:smooth val="0"/>
          <c:extLst>
            <c:ext xmlns:c16="http://schemas.microsoft.com/office/drawing/2014/chart" uri="{C3380CC4-5D6E-409C-BE32-E72D297353CC}">
              <c16:uniqueId val="{000000B4-58C1-425A-958B-04142761B163}"/>
            </c:ext>
          </c:extLst>
        </c:ser>
        <c:ser>
          <c:idx val="149"/>
          <c:order val="149"/>
          <c:spPr>
            <a:ln w="3175">
              <a:solidFill>
                <a:srgbClr val="000000"/>
              </a:solidFill>
              <a:prstDash val="solid"/>
            </a:ln>
          </c:spPr>
          <c:marker>
            <c:symbol val="none"/>
          </c:marker>
          <c:xVal>
            <c:numLit>
              <c:formatCode>General</c:formatCode>
              <c:ptCount val="2"/>
              <c:pt idx="0">
                <c:v>-5.5771951197065643</c:v>
              </c:pt>
              <c:pt idx="1">
                <c:v>-5.8578921579859919</c:v>
              </c:pt>
            </c:numLit>
          </c:xVal>
          <c:yVal>
            <c:numLit>
              <c:formatCode>General</c:formatCode>
              <c:ptCount val="2"/>
              <c:pt idx="0">
                <c:v>1.7275593374812867E-2</c:v>
              </c:pt>
              <c:pt idx="1">
                <c:v>1.7197284661415999E-2</c:v>
              </c:pt>
            </c:numLit>
          </c:yVal>
          <c:smooth val="0"/>
          <c:extLst>
            <c:ext xmlns:c16="http://schemas.microsoft.com/office/drawing/2014/chart" uri="{C3380CC4-5D6E-409C-BE32-E72D297353CC}">
              <c16:uniqueId val="{000000B5-58C1-425A-958B-04142761B163}"/>
            </c:ext>
          </c:extLst>
        </c:ser>
        <c:ser>
          <c:idx val="150"/>
          <c:order val="150"/>
          <c:spPr>
            <a:ln w="3175">
              <a:solidFill>
                <a:srgbClr val="000000"/>
              </a:solidFill>
              <a:prstDash val="solid"/>
            </a:ln>
          </c:spPr>
          <c:marker>
            <c:symbol val="none"/>
          </c:marker>
          <c:xVal>
            <c:numLit>
              <c:formatCode>General</c:formatCode>
              <c:ptCount val="2"/>
              <c:pt idx="0">
                <c:v>-5.4796832004534721</c:v>
              </c:pt>
              <c:pt idx="1">
                <c:v>-6.0368981947586198</c:v>
              </c:pt>
            </c:numLit>
          </c:xVal>
          <c:yVal>
            <c:numLit>
              <c:formatCode>General</c:formatCode>
              <c:ptCount val="2"/>
              <c:pt idx="0">
                <c:v>1.7089808191527837E-2</c:v>
              </c:pt>
              <c:pt idx="1">
                <c:v>1.6925228542593318E-2</c:v>
              </c:pt>
            </c:numLit>
          </c:yVal>
          <c:smooth val="0"/>
          <c:extLst>
            <c:ext xmlns:c16="http://schemas.microsoft.com/office/drawing/2014/chart" uri="{C3380CC4-5D6E-409C-BE32-E72D297353CC}">
              <c16:uniqueId val="{000000B6-58C1-425A-958B-04142761B163}"/>
            </c:ext>
          </c:extLst>
        </c:ser>
        <c:ser>
          <c:idx val="151"/>
          <c:order val="151"/>
          <c:spPr>
            <a:ln w="3175">
              <a:solidFill>
                <a:srgbClr val="000000"/>
              </a:solidFill>
              <a:prstDash val="solid"/>
            </a:ln>
          </c:spPr>
          <c:marker>
            <c:symbol val="none"/>
          </c:marker>
          <c:dLbls>
            <c:dLbl>
              <c:idx val="0"/>
              <c:tx>
                <c:rich>
                  <a:bodyPr rot="-13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6000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7-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-7.0584590176513924</c:v>
              </c:pt>
            </c:numLit>
          </c:xVal>
          <c:yVal>
            <c:numLit>
              <c:formatCode>General</c:formatCode>
              <c:ptCount val="1"/>
              <c:pt idx="0">
                <c:v>1.6623499186213361E-2</c:v>
              </c:pt>
            </c:numLit>
          </c:yVal>
          <c:smooth val="0"/>
          <c:extLst>
            <c:ext xmlns:c16="http://schemas.microsoft.com/office/drawing/2014/chart" uri="{C3380CC4-5D6E-409C-BE32-E72D297353CC}">
              <c16:uniqueId val="{000000B8-58C1-425A-958B-04142761B163}"/>
            </c:ext>
          </c:extLst>
        </c:ser>
        <c:ser>
          <c:idx val="152"/>
          <c:order val="152"/>
          <c:spPr>
            <a:ln w="3175">
              <a:solidFill>
                <a:srgbClr val="000000"/>
              </a:solidFill>
              <a:prstDash val="solid"/>
            </a:ln>
          </c:spPr>
          <c:marker>
            <c:symbol val="none"/>
          </c:marker>
          <c:xVal>
            <c:numLit>
              <c:formatCode>General</c:formatCode>
              <c:ptCount val="2"/>
              <c:pt idx="0">
                <c:v>-5.4251226750385708</c:v>
              </c:pt>
              <c:pt idx="1">
                <c:v>-5.7025610180751114</c:v>
              </c:pt>
            </c:numLit>
          </c:xVal>
          <c:yVal>
            <c:numLit>
              <c:formatCode>General</c:formatCode>
              <c:ptCount val="2"/>
              <c:pt idx="0">
                <c:v>1.6990252446736603E-2</c:v>
              </c:pt>
              <c:pt idx="1">
                <c:v>1.6905829284880956E-2</c:v>
              </c:pt>
            </c:numLit>
          </c:yVal>
          <c:smooth val="0"/>
          <c:extLst>
            <c:ext xmlns:c16="http://schemas.microsoft.com/office/drawing/2014/chart" uri="{C3380CC4-5D6E-409C-BE32-E72D297353CC}">
              <c16:uniqueId val="{000000B9-58C1-425A-958B-04142761B163}"/>
            </c:ext>
          </c:extLst>
        </c:ser>
        <c:ser>
          <c:idx val="153"/>
          <c:order val="153"/>
          <c:spPr>
            <a:ln w="3175">
              <a:solidFill>
                <a:srgbClr val="000000"/>
              </a:solidFill>
              <a:prstDash val="solid"/>
            </a:ln>
          </c:spPr>
          <c:marker>
            <c:symbol val="none"/>
          </c:marker>
          <c:xVal>
            <c:numLit>
              <c:formatCode>General</c:formatCode>
              <c:ptCount val="2"/>
              <c:pt idx="0">
                <c:v>-5.3661582607451805</c:v>
              </c:pt>
              <c:pt idx="1">
                <c:v>-5.6423330806182914</c:v>
              </c:pt>
            </c:numLit>
          </c:xVal>
          <c:yVal>
            <c:numLit>
              <c:formatCode>General</c:formatCode>
              <c:ptCount val="2"/>
              <c:pt idx="0">
                <c:v>1.6885867994288942E-2</c:v>
              </c:pt>
              <c:pt idx="1">
                <c:v>1.6799208022737992E-2</c:v>
              </c:pt>
            </c:numLit>
          </c:yVal>
          <c:smooth val="0"/>
          <c:extLst>
            <c:ext xmlns:c16="http://schemas.microsoft.com/office/drawing/2014/chart" uri="{C3380CC4-5D6E-409C-BE32-E72D297353CC}">
              <c16:uniqueId val="{000000BA-58C1-425A-958B-04142761B163}"/>
            </c:ext>
          </c:extLst>
        </c:ser>
        <c:ser>
          <c:idx val="154"/>
          <c:order val="154"/>
          <c:spPr>
            <a:ln w="3175">
              <a:solidFill>
                <a:srgbClr val="000000"/>
              </a:solidFill>
              <a:prstDash val="solid"/>
            </a:ln>
          </c:spPr>
          <c:marker>
            <c:symbol val="none"/>
          </c:marker>
          <c:xVal>
            <c:numLit>
              <c:formatCode>General</c:formatCode>
              <c:ptCount val="2"/>
              <c:pt idx="0">
                <c:v>-5.3023264552641391</c:v>
              </c:pt>
              <c:pt idx="1">
                <c:v>-5.5771334507340855</c:v>
              </c:pt>
            </c:numLit>
          </c:xVal>
          <c:yVal>
            <c:numLit>
              <c:formatCode>General</c:formatCode>
              <c:ptCount val="2"/>
              <c:pt idx="0">
                <c:v>1.677633856600267E-2</c:v>
              </c:pt>
              <c:pt idx="1">
                <c:v>1.6687331535274155E-2</c:v>
              </c:pt>
            </c:numLit>
          </c:yVal>
          <c:smooth val="0"/>
          <c:extLst>
            <c:ext xmlns:c16="http://schemas.microsoft.com/office/drawing/2014/chart" uri="{C3380CC4-5D6E-409C-BE32-E72D297353CC}">
              <c16:uniqueId val="{000000BB-58C1-425A-958B-04142761B163}"/>
            </c:ext>
          </c:extLst>
        </c:ser>
        <c:ser>
          <c:idx val="155"/>
          <c:order val="155"/>
          <c:spPr>
            <a:ln w="3175">
              <a:solidFill>
                <a:srgbClr val="000000"/>
              </a:solidFill>
              <a:prstDash val="solid"/>
            </a:ln>
          </c:spPr>
          <c:marker>
            <c:symbol val="none"/>
          </c:marker>
          <c:xVal>
            <c:numLit>
              <c:formatCode>General</c:formatCode>
              <c:ptCount val="2"/>
              <c:pt idx="0">
                <c:v>-5.2331047854998651</c:v>
              </c:pt>
              <c:pt idx="1">
                <c:v>-5.5064284594748631</c:v>
              </c:pt>
            </c:numLit>
          </c:xVal>
          <c:yVal>
            <c:numLit>
              <c:formatCode>General</c:formatCode>
              <c:ptCount val="2"/>
              <c:pt idx="0">
                <c:v>1.6661325544174033E-2</c:v>
              </c:pt>
              <c:pt idx="1">
                <c:v>1.6569853948692048E-2</c:v>
              </c:pt>
            </c:numLit>
          </c:yVal>
          <c:smooth val="0"/>
          <c:extLst>
            <c:ext xmlns:c16="http://schemas.microsoft.com/office/drawing/2014/chart" uri="{C3380CC4-5D6E-409C-BE32-E72D297353CC}">
              <c16:uniqueId val="{000000BC-58C1-425A-958B-04142761B163}"/>
            </c:ext>
          </c:extLst>
        </c:ser>
        <c:ser>
          <c:idx val="156"/>
          <c:order val="156"/>
          <c:spPr>
            <a:ln w="3175">
              <a:solidFill>
                <a:srgbClr val="000000"/>
              </a:solidFill>
              <a:prstDash val="solid"/>
            </a:ln>
          </c:spPr>
          <c:marker>
            <c:symbol val="none"/>
          </c:marker>
          <c:xVal>
            <c:numLit>
              <c:formatCode>General</c:formatCode>
              <c:ptCount val="2"/>
              <c:pt idx="0">
                <c:v>-5.1579032706065853</c:v>
              </c:pt>
              <c:pt idx="1">
                <c:v>-5.7013276964897246</c:v>
              </c:pt>
            </c:numLit>
          </c:xVal>
          <c:yVal>
            <c:numLit>
              <c:formatCode>General</c:formatCode>
              <c:ptCount val="2"/>
              <c:pt idx="0">
                <c:v>1.6540467071496829E-2</c:v>
              </c:pt>
              <c:pt idx="1">
                <c:v>1.6352344231703834E-2</c:v>
              </c:pt>
            </c:numLit>
          </c:yVal>
          <c:smooth val="0"/>
          <c:extLst>
            <c:ext xmlns:c16="http://schemas.microsoft.com/office/drawing/2014/chart" uri="{C3380CC4-5D6E-409C-BE32-E72D297353CC}">
              <c16:uniqueId val="{000000BD-58C1-425A-958B-04142761B163}"/>
            </c:ext>
          </c:extLst>
        </c:ser>
        <c:ser>
          <c:idx val="157"/>
          <c:order val="157"/>
          <c:spPr>
            <a:ln w="3175">
              <a:solidFill>
                <a:srgbClr val="000000"/>
              </a:solidFill>
              <a:prstDash val="solid"/>
            </a:ln>
          </c:spPr>
          <c:marker>
            <c:symbol val="none"/>
          </c:marker>
          <c:dLbls>
            <c:dLbl>
              <c:idx val="0"/>
              <c:tx>
                <c:rich>
                  <a:bodyPr rot="-15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E-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-6.6976058106088132</c:v>
              </c:pt>
            </c:numLit>
          </c:xVal>
          <c:yVal>
            <c:numLit>
              <c:formatCode>General</c:formatCode>
              <c:ptCount val="1"/>
              <c:pt idx="0">
                <c:v>1.6007452358750014E-2</c:v>
              </c:pt>
            </c:numLit>
          </c:yVal>
          <c:smooth val="0"/>
          <c:extLst>
            <c:ext xmlns:c16="http://schemas.microsoft.com/office/drawing/2014/chart" uri="{C3380CC4-5D6E-409C-BE32-E72D297353CC}">
              <c16:uniqueId val="{000000BF-58C1-425A-958B-04142761B163}"/>
            </c:ext>
          </c:extLst>
        </c:ser>
        <c:ser>
          <c:idx val="158"/>
          <c:order val="158"/>
          <c:spPr>
            <a:ln w="3175">
              <a:solidFill>
                <a:srgbClr val="000000"/>
              </a:solidFill>
              <a:prstDash val="solid"/>
            </a:ln>
          </c:spPr>
          <c:marker>
            <c:symbol val="none"/>
          </c:marker>
          <c:xVal>
            <c:numLit>
              <c:formatCode>General</c:formatCode>
              <c:ptCount val="2"/>
              <c:pt idx="0">
                <c:v>-5.0760545707644287</c:v>
              </c:pt>
              <c:pt idx="1">
                <c:v>-5.3460128829950957</c:v>
              </c:pt>
            </c:numLit>
          </c:xVal>
          <c:yVal>
            <c:numLit>
              <c:formatCode>General</c:formatCode>
              <c:ptCount val="2"/>
              <c:pt idx="0">
                <c:v>1.6413377441842833E-2</c:v>
              </c:pt>
              <c:pt idx="1">
                <c:v>1.6316592672739466E-2</c:v>
              </c:pt>
            </c:numLit>
          </c:yVal>
          <c:smooth val="0"/>
          <c:extLst>
            <c:ext xmlns:c16="http://schemas.microsoft.com/office/drawing/2014/chart" uri="{C3380CC4-5D6E-409C-BE32-E72D297353CC}">
              <c16:uniqueId val="{000000C0-58C1-425A-958B-04142761B163}"/>
            </c:ext>
          </c:extLst>
        </c:ser>
        <c:ser>
          <c:idx val="159"/>
          <c:order val="159"/>
          <c:spPr>
            <a:ln w="3175">
              <a:solidFill>
                <a:srgbClr val="000000"/>
              </a:solidFill>
              <a:prstDash val="solid"/>
            </a:ln>
          </c:spPr>
          <c:marker>
            <c:symbol val="none"/>
          </c:marker>
          <c:xVal>
            <c:numLit>
              <c:formatCode>General</c:formatCode>
              <c:ptCount val="2"/>
              <c:pt idx="0">
                <c:v>-4.9868026312391578</c:v>
              </c:pt>
              <c:pt idx="1">
                <c:v>-5.2548484019085686</c:v>
              </c:pt>
            </c:numLit>
          </c:xVal>
          <c:yVal>
            <c:numLit>
              <c:formatCode>General</c:formatCode>
              <c:ptCount val="2"/>
              <c:pt idx="0">
                <c:v>1.6279646915363419E-2</c:v>
              </c:pt>
              <c:pt idx="1">
                <c:v>1.6179996492121203E-2</c:v>
              </c:pt>
            </c:numLit>
          </c:yVal>
          <c:smooth val="0"/>
          <c:extLst>
            <c:ext xmlns:c16="http://schemas.microsoft.com/office/drawing/2014/chart" uri="{C3380CC4-5D6E-409C-BE32-E72D297353CC}">
              <c16:uniqueId val="{000000C1-58C1-425A-958B-04142761B163}"/>
            </c:ext>
          </c:extLst>
        </c:ser>
        <c:ser>
          <c:idx val="160"/>
          <c:order val="160"/>
          <c:spPr>
            <a:ln w="3175">
              <a:solidFill>
                <a:srgbClr val="000000"/>
              </a:solidFill>
              <a:prstDash val="solid"/>
            </a:ln>
          </c:spPr>
          <c:marker>
            <c:symbol val="none"/>
          </c:marker>
          <c:xVal>
            <c:numLit>
              <c:formatCode>General</c:formatCode>
              <c:ptCount val="2"/>
              <c:pt idx="0">
                <c:v>-4.889289615730835</c:v>
              </c:pt>
              <c:pt idx="1">
                <c:v>-5.155245821782211</c:v>
              </c:pt>
            </c:numLit>
          </c:xVal>
          <c:yVal>
            <c:numLit>
              <c:formatCode>General</c:formatCode>
              <c:ptCount val="2"/>
              <c:pt idx="0">
                <c:v>1.6138842151410121E-2</c:v>
              </c:pt>
              <c:pt idx="1">
                <c:v>1.6036174483226053E-2</c:v>
              </c:pt>
            </c:numLit>
          </c:yVal>
          <c:smooth val="0"/>
          <c:extLst>
            <c:ext xmlns:c16="http://schemas.microsoft.com/office/drawing/2014/chart" uri="{C3380CC4-5D6E-409C-BE32-E72D297353CC}">
              <c16:uniqueId val="{000000C2-58C1-425A-958B-04142761B163}"/>
            </c:ext>
          </c:extLst>
        </c:ser>
        <c:ser>
          <c:idx val="161"/>
          <c:order val="161"/>
          <c:spPr>
            <a:ln w="3175">
              <a:solidFill>
                <a:srgbClr val="000000"/>
              </a:solidFill>
              <a:prstDash val="solid"/>
            </a:ln>
          </c:spPr>
          <c:marker>
            <c:symbol val="none"/>
          </c:marker>
          <c:xVal>
            <c:numLit>
              <c:formatCode>General</c:formatCode>
              <c:ptCount val="2"/>
              <c:pt idx="0">
                <c:v>-4.7825409137469856</c:v>
              </c:pt>
              <c:pt idx="1">
                <c:v>-5.0462096476129927</c:v>
              </c:pt>
            </c:numLit>
          </c:xVal>
          <c:yVal>
            <c:numLit>
              <c:formatCode>General</c:formatCode>
              <c:ptCount val="2"/>
              <c:pt idx="0">
                <c:v>1.599050751826438E-2</c:v>
              </c:pt>
              <c:pt idx="1">
                <c:v>1.5884661250798619E-2</c:v>
              </c:pt>
            </c:numLit>
          </c:yVal>
          <c:smooth val="0"/>
          <c:extLst>
            <c:ext xmlns:c16="http://schemas.microsoft.com/office/drawing/2014/chart" uri="{C3380CC4-5D6E-409C-BE32-E72D297353CC}">
              <c16:uniqueId val="{000000C3-58C1-425A-958B-04142761B163}"/>
            </c:ext>
          </c:extLst>
        </c:ser>
        <c:ser>
          <c:idx val="162"/>
          <c:order val="162"/>
          <c:spPr>
            <a:ln w="3175">
              <a:solidFill>
                <a:srgbClr val="000000"/>
              </a:solidFill>
              <a:prstDash val="solid"/>
            </a:ln>
          </c:spPr>
          <c:marker>
            <c:symbol val="none"/>
          </c:marker>
          <c:xVal>
            <c:numLit>
              <c:formatCode>General</c:formatCode>
              <c:ptCount val="2"/>
              <c:pt idx="0">
                <c:v>-4.6654480091532298</c:v>
              </c:pt>
              <c:pt idx="1">
                <c:v>-5.1877672095455107</c:v>
              </c:pt>
            </c:numLit>
          </c:xVal>
          <c:yVal>
            <c:numLit>
              <c:formatCode>General</c:formatCode>
              <c:ptCount val="2"/>
              <c:pt idx="0">
                <c:v>1.5834167623770514E-2</c:v>
              </c:pt>
              <c:pt idx="1">
                <c:v>1.5615774807646391E-2</c:v>
              </c:pt>
            </c:numLit>
          </c:yVal>
          <c:smooth val="0"/>
          <c:extLst>
            <c:ext xmlns:c16="http://schemas.microsoft.com/office/drawing/2014/chart" uri="{C3380CC4-5D6E-409C-BE32-E72D297353CC}">
              <c16:uniqueId val="{000000C4-58C1-425A-958B-04142761B163}"/>
            </c:ext>
          </c:extLst>
        </c:ser>
        <c:ser>
          <c:idx val="163"/>
          <c:order val="163"/>
          <c:spPr>
            <a:ln w="3175">
              <a:solidFill>
                <a:srgbClr val="000000"/>
              </a:solidFill>
              <a:prstDash val="solid"/>
            </a:ln>
          </c:spPr>
          <c:marker>
            <c:symbol val="none"/>
          </c:marker>
          <c:dLbls>
            <c:dLbl>
              <c:idx val="0"/>
              <c:tx>
                <c:rich>
                  <a:bodyPr rot="-17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5-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-6.1453524102646933</c:v>
              </c:pt>
            </c:numLit>
          </c:xVal>
          <c:yVal>
            <c:numLit>
              <c:formatCode>General</c:formatCode>
              <c:ptCount val="1"/>
              <c:pt idx="0">
                <c:v>1.5215387978085504E-2</c:v>
              </c:pt>
            </c:numLit>
          </c:yVal>
          <c:smooth val="0"/>
          <c:extLst>
            <c:ext xmlns:c16="http://schemas.microsoft.com/office/drawing/2014/chart" uri="{C3380CC4-5D6E-409C-BE32-E72D297353CC}">
              <c16:uniqueId val="{000000C6-58C1-425A-958B-04142761B163}"/>
            </c:ext>
          </c:extLst>
        </c:ser>
        <c:ser>
          <c:idx val="164"/>
          <c:order val="164"/>
          <c:spPr>
            <a:ln w="3175">
              <a:solidFill>
                <a:srgbClr val="000000"/>
              </a:solidFill>
              <a:prstDash val="solid"/>
            </a:ln>
          </c:spPr>
          <c:marker>
            <c:symbol val="none"/>
          </c:marker>
          <c:xVal>
            <c:numLit>
              <c:formatCode>General</c:formatCode>
              <c:ptCount val="2"/>
              <c:pt idx="0">
                <c:v>-4.5367490194500562</c:v>
              </c:pt>
              <c:pt idx="1">
                <c:v>-4.7951507841525576</c:v>
              </c:pt>
            </c:numLit>
          </c:xVal>
          <c:yVal>
            <c:numLit>
              <c:formatCode>General</c:formatCode>
              <c:ptCount val="2"/>
              <c:pt idx="0">
                <c:v>1.5669331520569488E-2</c:v>
              </c:pt>
              <c:pt idx="1">
                <c:v>1.5556602910295978E-2</c:v>
              </c:pt>
            </c:numLit>
          </c:yVal>
          <c:smooth val="0"/>
          <c:extLst>
            <c:ext xmlns:c16="http://schemas.microsoft.com/office/drawing/2014/chart" uri="{C3380CC4-5D6E-409C-BE32-E72D297353CC}">
              <c16:uniqueId val="{000000C7-58C1-425A-958B-04142761B163}"/>
            </c:ext>
          </c:extLst>
        </c:ser>
        <c:ser>
          <c:idx val="165"/>
          <c:order val="165"/>
          <c:spPr>
            <a:ln w="3175">
              <a:solidFill>
                <a:srgbClr val="000000"/>
              </a:solidFill>
              <a:prstDash val="solid"/>
            </a:ln>
          </c:spPr>
          <c:marker>
            <c:symbol val="none"/>
          </c:marker>
          <c:xVal>
            <c:numLit>
              <c:formatCode>General</c:formatCode>
              <c:ptCount val="2"/>
              <c:pt idx="0">
                <c:v>-4.3950067701211761</c:v>
              </c:pt>
              <c:pt idx="1">
                <c:v>-4.650371200909488</c:v>
              </c:pt>
            </c:numLit>
          </c:xVal>
          <c:yVal>
            <c:numLit>
              <c:formatCode>General</c:formatCode>
              <c:ptCount val="2"/>
              <c:pt idx="0">
                <c:v>1.5495499179174118E-2</c:v>
              </c:pt>
              <c:pt idx="1">
                <c:v>1.5379045590156421E-2</c:v>
              </c:pt>
            </c:numLit>
          </c:yVal>
          <c:smooth val="0"/>
          <c:extLst>
            <c:ext xmlns:c16="http://schemas.microsoft.com/office/drawing/2014/chart" uri="{C3380CC4-5D6E-409C-BE32-E72D297353CC}">
              <c16:uniqueId val="{000000C8-58C1-425A-958B-04142761B163}"/>
            </c:ext>
          </c:extLst>
        </c:ser>
        <c:ser>
          <c:idx val="166"/>
          <c:order val="166"/>
          <c:spPr>
            <a:ln w="3175">
              <a:solidFill>
                <a:srgbClr val="000000"/>
              </a:solidFill>
              <a:prstDash val="solid"/>
            </a:ln>
          </c:spPr>
          <c:marker>
            <c:symbol val="none"/>
          </c:marker>
          <c:xVal>
            <c:numLit>
              <c:formatCode>General</c:formatCode>
              <c:ptCount val="2"/>
              <c:pt idx="0">
                <c:v>-4.2385843738412259</c:v>
              </c:pt>
              <c:pt idx="1">
                <c:v>-4.4905968961378235</c:v>
              </c:pt>
            </c:numLit>
          </c:xVal>
          <c:yVal>
            <c:numLit>
              <c:formatCode>General</c:formatCode>
              <c:ptCount val="2"/>
              <c:pt idx="0">
                <c:v>1.5312170997110987E-2</c:v>
              </c:pt>
              <c:pt idx="1">
                <c:v>1.5191788947049081E-2</c:v>
              </c:pt>
            </c:numLit>
          </c:yVal>
          <c:smooth val="0"/>
          <c:extLst>
            <c:ext xmlns:c16="http://schemas.microsoft.com/office/drawing/2014/chart" uri="{C3380CC4-5D6E-409C-BE32-E72D297353CC}">
              <c16:uniqueId val="{000000C9-58C1-425A-958B-04142761B163}"/>
            </c:ext>
          </c:extLst>
        </c:ser>
        <c:ser>
          <c:idx val="167"/>
          <c:order val="167"/>
          <c:spPr>
            <a:ln w="3175">
              <a:solidFill>
                <a:srgbClr val="000000"/>
              </a:solidFill>
              <a:prstDash val="solid"/>
            </a:ln>
          </c:spPr>
          <c:marker>
            <c:symbol val="none"/>
          </c:marker>
          <c:xVal>
            <c:numLit>
              <c:formatCode>General</c:formatCode>
              <c:ptCount val="2"/>
              <c:pt idx="0">
                <c:v>-4.0656184666577015</c:v>
              </c:pt>
              <c:pt idx="1">
                <c:v>-4.3139245766575094</c:v>
              </c:pt>
            </c:numLit>
          </c:xVal>
          <c:yVal>
            <c:numLit>
              <c:formatCode>General</c:formatCode>
              <c:ptCount val="2"/>
              <c:pt idx="0">
                <c:v>1.5118861327289309E-2</c:v>
              </c:pt>
              <c:pt idx="1">
                <c:v>1.4994336927159794E-2</c:v>
              </c:pt>
            </c:numLit>
          </c:yVal>
          <c:smooth val="0"/>
          <c:extLst>
            <c:ext xmlns:c16="http://schemas.microsoft.com/office/drawing/2014/chart" uri="{C3380CC4-5D6E-409C-BE32-E72D297353CC}">
              <c16:uniqueId val="{000000CA-58C1-425A-958B-04142761B163}"/>
            </c:ext>
          </c:extLst>
        </c:ser>
        <c:ser>
          <c:idx val="168"/>
          <c:order val="168"/>
          <c:spPr>
            <a:ln w="3175">
              <a:solidFill>
                <a:srgbClr val="000000"/>
              </a:solidFill>
              <a:prstDash val="solid"/>
            </a:ln>
          </c:spPr>
          <c:marker>
            <c:symbol val="none"/>
          </c:marker>
          <c:xVal>
            <c:numLit>
              <c:formatCode>General</c:formatCode>
              <c:ptCount val="2"/>
              <c:pt idx="0">
                <c:v>-3.8739905493226741</c:v>
              </c:pt>
              <c:pt idx="1">
                <c:v>-4.3623901442936459</c:v>
              </c:pt>
            </c:numLit>
          </c:xVal>
          <c:yVal>
            <c:numLit>
              <c:formatCode>General</c:formatCode>
              <c:ptCount val="2"/>
              <c:pt idx="0">
                <c:v>1.4915117265152884E-2</c:v>
              </c:pt>
              <c:pt idx="1">
                <c:v>1.4657336576516579E-2</c:v>
              </c:pt>
            </c:numLit>
          </c:yVal>
          <c:smooth val="0"/>
          <c:extLst>
            <c:ext xmlns:c16="http://schemas.microsoft.com/office/drawing/2014/chart" uri="{C3380CC4-5D6E-409C-BE32-E72D297353CC}">
              <c16:uniqueId val="{000000CB-58C1-425A-958B-04142761B163}"/>
            </c:ext>
          </c:extLst>
        </c:ser>
        <c:ser>
          <c:idx val="169"/>
          <c:order val="169"/>
          <c:spPr>
            <a:ln w="3175">
              <a:solidFill>
                <a:srgbClr val="000000"/>
              </a:solidFill>
              <a:prstDash val="solid"/>
            </a:ln>
          </c:spPr>
          <c:marker>
            <c:symbol val="none"/>
          </c:marker>
          <c:dLbls>
            <c:dLbl>
              <c:idx val="0"/>
              <c:tx>
                <c:rich>
                  <a:bodyPr rot="-21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C-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-5.2577894017404265</c:v>
              </c:pt>
            </c:numLit>
          </c:xVal>
          <c:yVal>
            <c:numLit>
              <c:formatCode>General</c:formatCode>
              <c:ptCount val="1"/>
              <c:pt idx="0">
                <c:v>1.418473864735002E-2</c:v>
              </c:pt>
            </c:numLit>
          </c:yVal>
          <c:smooth val="0"/>
          <c:extLst>
            <c:ext xmlns:c16="http://schemas.microsoft.com/office/drawing/2014/chart" uri="{C3380CC4-5D6E-409C-BE32-E72D297353CC}">
              <c16:uniqueId val="{000000CD-58C1-425A-958B-04142761B163}"/>
            </c:ext>
          </c:extLst>
        </c:ser>
        <c:ser>
          <c:idx val="170"/>
          <c:order val="170"/>
          <c:spPr>
            <a:ln w="3175">
              <a:solidFill>
                <a:srgbClr val="000000"/>
              </a:solidFill>
              <a:prstDash val="solid"/>
            </a:ln>
          </c:spPr>
          <c:marker>
            <c:symbol val="none"/>
          </c:marker>
          <c:xVal>
            <c:numLit>
              <c:formatCode>General</c:formatCode>
              <c:ptCount val="2"/>
              <c:pt idx="0">
                <c:v>-3.7704392439481627</c:v>
              </c:pt>
              <c:pt idx="1">
                <c:v>-4.0124200848899099</c:v>
              </c:pt>
            </c:numLit>
          </c:xVal>
          <c:yVal>
            <c:numLit>
              <c:formatCode>General</c:formatCode>
              <c:ptCount val="2"/>
              <c:pt idx="0">
                <c:v>1.4809205883937578E-2</c:v>
              </c:pt>
              <c:pt idx="1">
                <c:v>1.4678046010021956E-2</c:v>
              </c:pt>
            </c:numLit>
          </c:yVal>
          <c:smooth val="0"/>
          <c:extLst>
            <c:ext xmlns:c16="http://schemas.microsoft.com/office/drawing/2014/chart" uri="{C3380CC4-5D6E-409C-BE32-E72D297353CC}">
              <c16:uniqueId val="{000000CE-58C1-425A-958B-04142761B163}"/>
            </c:ext>
          </c:extLst>
        </c:ser>
        <c:ser>
          <c:idx val="171"/>
          <c:order val="171"/>
          <c:spPr>
            <a:ln w="3175">
              <a:solidFill>
                <a:srgbClr val="000000"/>
              </a:solidFill>
              <a:prstDash val="solid"/>
            </a:ln>
          </c:spPr>
          <c:marker>
            <c:symbol val="none"/>
          </c:marker>
          <c:xVal>
            <c:numLit>
              <c:formatCode>General</c:formatCode>
              <c:ptCount val="2"/>
              <c:pt idx="0">
                <c:v>-3.6612973419810073</c:v>
              </c:pt>
              <c:pt idx="1">
                <c:v>-4.1405815137801936</c:v>
              </c:pt>
            </c:numLit>
          </c:xVal>
          <c:yVal>
            <c:numLit>
              <c:formatCode>General</c:formatCode>
              <c:ptCount val="2"/>
              <c:pt idx="0">
                <c:v>1.4700544227002829E-2</c:v>
              </c:pt>
              <c:pt idx="1">
                <c:v>1.4433567551017237E-2</c:v>
              </c:pt>
            </c:numLit>
          </c:yVal>
          <c:smooth val="0"/>
          <c:extLst>
            <c:ext xmlns:c16="http://schemas.microsoft.com/office/drawing/2014/chart" uri="{C3380CC4-5D6E-409C-BE32-E72D297353CC}">
              <c16:uniqueId val="{000000CF-58C1-425A-958B-04142761B163}"/>
            </c:ext>
          </c:extLst>
        </c:ser>
        <c:ser>
          <c:idx val="172"/>
          <c:order val="172"/>
          <c:spPr>
            <a:ln w="3175">
              <a:solidFill>
                <a:srgbClr val="000000"/>
              </a:solidFill>
              <a:prstDash val="solid"/>
            </a:ln>
          </c:spPr>
          <c:marker>
            <c:symbol val="none"/>
          </c:marker>
          <c:xVal>
            <c:numLit>
              <c:formatCode>General</c:formatCode>
              <c:ptCount val="2"/>
              <c:pt idx="0">
                <c:v>-3.5462151642748525</c:v>
              </c:pt>
              <c:pt idx="1">
                <c:v>-3.7833912035093142</c:v>
              </c:pt>
            </c:numLit>
          </c:xVal>
          <c:yVal>
            <c:numLit>
              <c:formatCode>General</c:formatCode>
              <c:ptCount val="2"/>
              <c:pt idx="0">
                <c:v>1.4589097690626144E-2</c:v>
              </c:pt>
              <c:pt idx="1">
                <c:v>1.4453221212568132E-2</c:v>
              </c:pt>
            </c:numLit>
          </c:yVal>
          <c:smooth val="0"/>
          <c:extLst>
            <c:ext xmlns:c16="http://schemas.microsoft.com/office/drawing/2014/chart" uri="{C3380CC4-5D6E-409C-BE32-E72D297353CC}">
              <c16:uniqueId val="{000000D0-58C1-425A-958B-04142761B163}"/>
            </c:ext>
          </c:extLst>
        </c:ser>
        <c:ser>
          <c:idx val="173"/>
          <c:order val="173"/>
          <c:spPr>
            <a:ln w="3175">
              <a:solidFill>
                <a:srgbClr val="000000"/>
              </a:solidFill>
              <a:prstDash val="solid"/>
            </a:ln>
          </c:spPr>
          <c:marker>
            <c:symbol val="none"/>
          </c:marker>
          <c:xVal>
            <c:numLit>
              <c:formatCode>General</c:formatCode>
              <c:ptCount val="2"/>
              <c:pt idx="0">
                <c:v>-3.4248217502543765</c:v>
              </c:pt>
              <c:pt idx="1">
                <c:v>-3.8939712538367064</c:v>
              </c:pt>
            </c:numLit>
          </c:xVal>
          <c:yVal>
            <c:numLit>
              <c:formatCode>General</c:formatCode>
              <c:ptCount val="2"/>
              <c:pt idx="0">
                <c:v>1.4474840163683531E-2</c:v>
              </c:pt>
              <c:pt idx="1">
                <c:v>1.4198190456412825E-2</c:v>
              </c:pt>
            </c:numLit>
          </c:yVal>
          <c:smooth val="0"/>
          <c:extLst>
            <c:ext xmlns:c16="http://schemas.microsoft.com/office/drawing/2014/chart" uri="{C3380CC4-5D6E-409C-BE32-E72D297353CC}">
              <c16:uniqueId val="{000000D1-58C1-425A-958B-04142761B163}"/>
            </c:ext>
          </c:extLst>
        </c:ser>
        <c:ser>
          <c:idx val="174"/>
          <c:order val="174"/>
          <c:spPr>
            <a:ln w="3175">
              <a:solidFill>
                <a:srgbClr val="000000"/>
              </a:solidFill>
              <a:prstDash val="solid"/>
            </a:ln>
          </c:spPr>
          <c:marker>
            <c:symbol val="none"/>
          </c:marker>
          <c:xVal>
            <c:numLit>
              <c:formatCode>General</c:formatCode>
              <c:ptCount val="2"/>
              <c:pt idx="0">
                <c:v>-3.2967241795418643</c:v>
              </c:pt>
              <c:pt idx="1">
                <c:v>-3.5285539833891901</c:v>
              </c:pt>
            </c:numLit>
          </c:xVal>
          <c:yVal>
            <c:numLit>
              <c:formatCode>General</c:formatCode>
              <c:ptCount val="2"/>
              <c:pt idx="0">
                <c:v>1.4357755721848364E-2</c:v>
              </c:pt>
              <c:pt idx="1">
                <c:v>1.421692191588797E-2</c:v>
              </c:pt>
            </c:numLit>
          </c:yVal>
          <c:smooth val="0"/>
          <c:extLst>
            <c:ext xmlns:c16="http://schemas.microsoft.com/office/drawing/2014/chart" uri="{C3380CC4-5D6E-409C-BE32-E72D297353CC}">
              <c16:uniqueId val="{000000D2-58C1-425A-958B-04142761B163}"/>
            </c:ext>
          </c:extLst>
        </c:ser>
        <c:ser>
          <c:idx val="175"/>
          <c:order val="175"/>
          <c:spPr>
            <a:ln w="3175">
              <a:solidFill>
                <a:srgbClr val="000000"/>
              </a:solidFill>
              <a:prstDash val="solid"/>
            </a:ln>
          </c:spPr>
          <c:marker>
            <c:symbol val="none"/>
          </c:marker>
          <c:xVal>
            <c:numLit>
              <c:formatCode>General</c:formatCode>
              <c:ptCount val="2"/>
              <c:pt idx="0">
                <c:v>-3.1615070418306956</c:v>
              </c:pt>
              <c:pt idx="1">
                <c:v>-3.6193716293377252</c:v>
              </c:pt>
            </c:numLit>
          </c:xVal>
          <c:yVal>
            <c:numLit>
              <c:formatCode>General</c:formatCode>
              <c:ptCount val="2"/>
              <c:pt idx="0">
                <c:v>1.4237840545403689E-2</c:v>
              </c:pt>
              <c:pt idx="1">
                <c:v>1.3951033711635275E-2</c:v>
              </c:pt>
            </c:numLit>
          </c:yVal>
          <c:smooth val="0"/>
          <c:extLst>
            <c:ext xmlns:c16="http://schemas.microsoft.com/office/drawing/2014/chart" uri="{C3380CC4-5D6E-409C-BE32-E72D297353CC}">
              <c16:uniqueId val="{000000D3-58C1-425A-958B-04142761B163}"/>
            </c:ext>
          </c:extLst>
        </c:ser>
        <c:ser>
          <c:idx val="176"/>
          <c:order val="176"/>
          <c:spPr>
            <a:ln w="3175">
              <a:solidFill>
                <a:srgbClr val="000000"/>
              </a:solidFill>
              <a:prstDash val="solid"/>
            </a:ln>
          </c:spPr>
          <c:marker>
            <c:symbol val="none"/>
          </c:marker>
          <c:dLbls>
            <c:dLbl>
              <c:idx val="0"/>
              <c:tx>
                <c:rich>
                  <a:bodyPr rot="-2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D4-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-4.4587900397672797</c:v>
              </c:pt>
            </c:numLit>
          </c:xVal>
          <c:yVal>
            <c:numLit>
              <c:formatCode>General</c:formatCode>
              <c:ptCount val="1"/>
              <c:pt idx="0">
                <c:v>1.3425221183059851E-2</c:v>
              </c:pt>
            </c:numLit>
          </c:yVal>
          <c:smooth val="0"/>
          <c:extLst>
            <c:ext xmlns:c16="http://schemas.microsoft.com/office/drawing/2014/chart" uri="{C3380CC4-5D6E-409C-BE32-E72D297353CC}">
              <c16:uniqueId val="{000000D5-58C1-425A-958B-04142761B163}"/>
            </c:ext>
          </c:extLst>
        </c:ser>
        <c:ser>
          <c:idx val="177"/>
          <c:order val="177"/>
          <c:spPr>
            <a:ln w="3175">
              <a:solidFill>
                <a:srgbClr val="000000"/>
              </a:solidFill>
              <a:prstDash val="solid"/>
            </a:ln>
          </c:spPr>
          <c:marker>
            <c:symbol val="none"/>
          </c:marker>
          <c:xVal>
            <c:numLit>
              <c:formatCode>General</c:formatCode>
              <c:ptCount val="2"/>
              <c:pt idx="0">
                <c:v>-3.0187321044678757</c:v>
              </c:pt>
              <c:pt idx="1">
                <c:v>-3.2446049352779021</c:v>
              </c:pt>
            </c:numLit>
          </c:xVal>
          <c:yVal>
            <c:numLit>
              <c:formatCode>General</c:formatCode>
              <c:ptCount val="2"/>
              <c:pt idx="0">
                <c:v>1.4115105078987998E-2</c:v>
              </c:pt>
              <c:pt idx="1">
                <c:v>1.3969071616394883E-2</c:v>
              </c:pt>
            </c:numLit>
          </c:yVal>
          <c:smooth val="0"/>
          <c:extLst>
            <c:ext xmlns:c16="http://schemas.microsoft.com/office/drawing/2014/chart" uri="{C3380CC4-5D6E-409C-BE32-E72D297353CC}">
              <c16:uniqueId val="{000000D6-58C1-425A-958B-04142761B163}"/>
            </c:ext>
          </c:extLst>
        </c:ser>
        <c:ser>
          <c:idx val="178"/>
          <c:order val="178"/>
          <c:spPr>
            <a:ln w="3175">
              <a:solidFill>
                <a:srgbClr val="000000"/>
              </a:solidFill>
              <a:prstDash val="solid"/>
            </a:ln>
          </c:spPr>
          <c:marker>
            <c:symbol val="none"/>
          </c:marker>
          <c:xVal>
            <c:numLit>
              <c:formatCode>General</c:formatCode>
              <c:ptCount val="2"/>
              <c:pt idx="0">
                <c:v>-2.8679382367257746</c:v>
              </c:pt>
              <c:pt idx="1">
                <c:v>-3.3132213040140215</c:v>
              </c:pt>
            </c:numLit>
          </c:xVal>
          <c:yVal>
            <c:numLit>
              <c:formatCode>General</c:formatCode>
              <c:ptCount val="2"/>
              <c:pt idx="0">
                <c:v>1.3989576450102176E-2</c:v>
              </c:pt>
              <c:pt idx="1">
                <c:v>1.3692129726535128E-2</c:v>
              </c:pt>
            </c:numLit>
          </c:yVal>
          <c:smooth val="0"/>
          <c:extLst>
            <c:ext xmlns:c16="http://schemas.microsoft.com/office/drawing/2014/chart" uri="{C3380CC4-5D6E-409C-BE32-E72D297353CC}">
              <c16:uniqueId val="{000000D7-58C1-425A-958B-04142761B163}"/>
            </c:ext>
          </c:extLst>
        </c:ser>
        <c:ser>
          <c:idx val="179"/>
          <c:order val="179"/>
          <c:spPr>
            <a:ln w="3175">
              <a:solidFill>
                <a:srgbClr val="000000"/>
              </a:solidFill>
              <a:prstDash val="solid"/>
            </a:ln>
          </c:spPr>
          <c:marker>
            <c:symbol val="none"/>
          </c:marker>
          <c:xVal>
            <c:numLit>
              <c:formatCode>General</c:formatCode>
              <c:ptCount val="2"/>
              <c:pt idx="0">
                <c:v>-2.7086416603368892</c:v>
              </c:pt>
              <c:pt idx="1">
                <c:v>-2.9278696959155375</c:v>
              </c:pt>
            </c:numLit>
          </c:xVal>
          <c:yVal>
            <c:numLit>
              <c:formatCode>General</c:formatCode>
              <c:ptCount val="2"/>
              <c:pt idx="0">
                <c:v>1.3861301160508996E-2</c:v>
              </c:pt>
              <c:pt idx="1">
                <c:v>1.3709829042519902E-2</c:v>
              </c:pt>
            </c:numLit>
          </c:yVal>
          <c:smooth val="0"/>
          <c:extLst>
            <c:ext xmlns:c16="http://schemas.microsoft.com/office/drawing/2014/chart" uri="{C3380CC4-5D6E-409C-BE32-E72D297353CC}">
              <c16:uniqueId val="{000000D8-58C1-425A-958B-04142761B163}"/>
            </c:ext>
          </c:extLst>
        </c:ser>
        <c:ser>
          <c:idx val="180"/>
          <c:order val="180"/>
          <c:spPr>
            <a:ln w="3175">
              <a:solidFill>
                <a:srgbClr val="000000"/>
              </a:solidFill>
              <a:prstDash val="solid"/>
            </a:ln>
          </c:spPr>
          <c:marker>
            <c:symbol val="none"/>
          </c:marker>
          <c:xVal>
            <c:numLit>
              <c:formatCode>General</c:formatCode>
              <c:ptCount val="2"/>
              <c:pt idx="0">
                <c:v>-2.5403366074235816</c:v>
              </c:pt>
              <c:pt idx="1">
                <c:v>-2.9715796048845915</c:v>
              </c:pt>
            </c:numLit>
          </c:xVal>
          <c:yVal>
            <c:numLit>
              <c:formatCode>General</c:formatCode>
              <c:ptCount val="2"/>
              <c:pt idx="0">
                <c:v>1.3730348060406742E-2</c:v>
              </c:pt>
              <c:pt idx="1">
                <c:v>1.3421791548709889E-2</c:v>
              </c:pt>
            </c:numLit>
          </c:yVal>
          <c:smooth val="0"/>
          <c:extLst>
            <c:ext xmlns:c16="http://schemas.microsoft.com/office/drawing/2014/chart" uri="{C3380CC4-5D6E-409C-BE32-E72D297353CC}">
              <c16:uniqueId val="{000000D9-58C1-425A-958B-04142761B163}"/>
            </c:ext>
          </c:extLst>
        </c:ser>
        <c:ser>
          <c:idx val="181"/>
          <c:order val="181"/>
          <c:spPr>
            <a:ln w="3175">
              <a:solidFill>
                <a:srgbClr val="000000"/>
              </a:solidFill>
              <a:prstDash val="solid"/>
            </a:ln>
          </c:spPr>
          <c:marker>
            <c:symbol val="none"/>
          </c:marker>
          <c:dLbls>
            <c:dLbl>
              <c:idx val="0"/>
              <c:tx>
                <c:rich>
                  <a:bodyPr rot="-26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DA-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-3.7621917668964442</c:v>
              </c:pt>
            </c:numLit>
          </c:xVal>
          <c:yVal>
            <c:numLit>
              <c:formatCode>General</c:formatCode>
              <c:ptCount val="1"/>
              <c:pt idx="0">
                <c:v>1.285610461059899E-2</c:v>
              </c:pt>
            </c:numLit>
          </c:yVal>
          <c:smooth val="0"/>
          <c:extLst>
            <c:ext xmlns:c16="http://schemas.microsoft.com/office/drawing/2014/chart" uri="{C3380CC4-5D6E-409C-BE32-E72D297353CC}">
              <c16:uniqueId val="{000000DB-58C1-425A-958B-04142761B163}"/>
            </c:ext>
          </c:extLst>
        </c:ser>
        <c:ser>
          <c:idx val="182"/>
          <c:order val="182"/>
          <c:spPr>
            <a:ln w="3175">
              <a:solidFill>
                <a:srgbClr val="000000"/>
              </a:solidFill>
              <a:prstDash val="solid"/>
            </a:ln>
          </c:spPr>
          <c:marker>
            <c:symbol val="none"/>
          </c:marker>
          <c:xVal>
            <c:numLit>
              <c:formatCode>General</c:formatCode>
              <c:ptCount val="2"/>
              <c:pt idx="0">
                <c:v>-2.3624964792520693</c:v>
              </c:pt>
              <c:pt idx="1">
                <c:v>-2.5743071180931856</c:v>
              </c:pt>
            </c:numLit>
          </c:xVal>
          <c:yVal>
            <c:numLit>
              <c:formatCode>General</c:formatCode>
              <c:ptCount val="2"/>
              <c:pt idx="0">
                <c:v>1.3596811609050458E-2</c:v>
              </c:pt>
              <c:pt idx="1">
                <c:v>1.3439671857815824E-2</c:v>
              </c:pt>
            </c:numLit>
          </c:yVal>
          <c:smooth val="0"/>
          <c:extLst>
            <c:ext xmlns:c16="http://schemas.microsoft.com/office/drawing/2014/chart" uri="{C3380CC4-5D6E-409C-BE32-E72D297353CC}">
              <c16:uniqueId val="{000000DC-58C1-425A-958B-04142761B163}"/>
            </c:ext>
          </c:extLst>
        </c:ser>
        <c:ser>
          <c:idx val="183"/>
          <c:order val="183"/>
          <c:spPr>
            <a:ln w="3175">
              <a:solidFill>
                <a:srgbClr val="000000"/>
              </a:solidFill>
              <a:prstDash val="solid"/>
            </a:ln>
          </c:spPr>
          <c:marker>
            <c:symbol val="none"/>
          </c:marker>
          <c:xVal>
            <c:numLit>
              <c:formatCode>General</c:formatCode>
              <c:ptCount val="2"/>
              <c:pt idx="0">
                <c:v>-2.1745756118950066</c:v>
              </c:pt>
              <c:pt idx="1">
                <c:v>-2.5901431381190783</c:v>
              </c:pt>
            </c:numLit>
          </c:xVal>
          <c:yVal>
            <c:numLit>
              <c:formatCode>General</c:formatCode>
              <c:ptCount val="2"/>
              <c:pt idx="0">
                <c:v>1.3460815416871075E-2</c:v>
              </c:pt>
              <c:pt idx="1">
                <c:v>1.314070750616555E-2</c:v>
              </c:pt>
            </c:numLit>
          </c:yVal>
          <c:smooth val="0"/>
          <c:extLst>
            <c:ext xmlns:c16="http://schemas.microsoft.com/office/drawing/2014/chart" uri="{C3380CC4-5D6E-409C-BE32-E72D297353CC}">
              <c16:uniqueId val="{000000DD-58C1-425A-958B-04142761B163}"/>
            </c:ext>
          </c:extLst>
        </c:ser>
        <c:ser>
          <c:idx val="184"/>
          <c:order val="184"/>
          <c:spPr>
            <a:ln w="3175">
              <a:solidFill>
                <a:srgbClr val="000000"/>
              </a:solidFill>
              <a:prstDash val="solid"/>
            </a:ln>
          </c:spPr>
          <c:marker>
            <c:symbol val="none"/>
          </c:marker>
          <c:xVal>
            <c:numLit>
              <c:formatCode>General</c:formatCode>
              <c:ptCount val="2"/>
              <c:pt idx="0">
                <c:v>-1.9760117673163591</c:v>
              </c:pt>
              <c:pt idx="1">
                <c:v>-2.17954059090171</c:v>
              </c:pt>
            </c:numLit>
          </c:xVal>
          <c:yVal>
            <c:numLit>
              <c:formatCode>General</c:formatCode>
              <c:ptCount val="2"/>
              <c:pt idx="0">
                <c:v>1.3322516052611264E-2</c:v>
              </c:pt>
              <c:pt idx="1">
                <c:v>1.3159498539452934E-2</c:v>
              </c:pt>
            </c:numLit>
          </c:yVal>
          <c:smooth val="0"/>
          <c:extLst>
            <c:ext xmlns:c16="http://schemas.microsoft.com/office/drawing/2014/chart" uri="{C3380CC4-5D6E-409C-BE32-E72D297353CC}">
              <c16:uniqueId val="{000000DE-58C1-425A-958B-04142761B163}"/>
            </c:ext>
          </c:extLst>
        </c:ser>
        <c:ser>
          <c:idx val="185"/>
          <c:order val="185"/>
          <c:spPr>
            <a:ln w="3175">
              <a:solidFill>
                <a:srgbClr val="000000"/>
              </a:solidFill>
              <a:prstDash val="solid"/>
            </a:ln>
          </c:spPr>
          <c:marker>
            <c:symbol val="none"/>
          </c:marker>
          <c:xVal>
            <c:numLit>
              <c:formatCode>General</c:formatCode>
              <c:ptCount val="2"/>
              <c:pt idx="0">
                <c:v>-1.7662294797563944</c:v>
              </c:pt>
              <c:pt idx="1">
                <c:v>-2.1642964574602397</c:v>
              </c:pt>
            </c:numLit>
          </c:xVal>
          <c:yVal>
            <c:numLit>
              <c:formatCode>General</c:formatCode>
              <c:ptCount val="2"/>
              <c:pt idx="0">
                <c:v>1.318210708405064E-2</c:v>
              </c:pt>
              <c:pt idx="1">
                <c:v>1.2850054530509953E-2</c:v>
              </c:pt>
            </c:numLit>
          </c:yVal>
          <c:smooth val="0"/>
          <c:extLst>
            <c:ext xmlns:c16="http://schemas.microsoft.com/office/drawing/2014/chart" uri="{C3380CC4-5D6E-409C-BE32-E72D297353CC}">
              <c16:uniqueId val="{000000DF-58C1-425A-958B-04142761B163}"/>
            </c:ext>
          </c:extLst>
        </c:ser>
        <c:ser>
          <c:idx val="186"/>
          <c:order val="186"/>
          <c:spPr>
            <a:ln w="3175">
              <a:solidFill>
                <a:srgbClr val="000000"/>
              </a:solidFill>
              <a:prstDash val="solid"/>
            </a:ln>
          </c:spPr>
          <c:marker>
            <c:symbol val="none"/>
          </c:marker>
          <c:dLbls>
            <c:dLbl>
              <c:idx val="0"/>
              <c:tx>
                <c:rich>
                  <a:bodyPr rot="-28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E0-58C1-425A-958B-04142761B1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-2.8940859165839559</c:v>
              </c:pt>
            </c:numLit>
          </c:xVal>
          <c:yVal>
            <c:numLit>
              <c:formatCode>General</c:formatCode>
              <c:ptCount val="1"/>
              <c:pt idx="0">
                <c:v>1.2241291515685362E-2</c:v>
              </c:pt>
            </c:numLit>
          </c:yVal>
          <c:smooth val="0"/>
          <c:extLst>
            <c:ext xmlns:c16="http://schemas.microsoft.com/office/drawing/2014/chart" uri="{C3380CC4-5D6E-409C-BE32-E72D297353CC}">
              <c16:uniqueId val="{000000E1-58C1-425A-958B-04142761B163}"/>
            </c:ext>
          </c:extLst>
        </c:ser>
        <c:ser>
          <c:idx val="187"/>
          <c:order val="187"/>
          <c:spPr>
            <a:ln w="3175">
              <a:solidFill>
                <a:srgbClr val="000000"/>
              </a:solidFill>
              <a:prstDash val="solid"/>
            </a:ln>
          </c:spPr>
          <c:marker>
            <c:symbol val="none"/>
          </c:marker>
          <c:xVal>
            <c:numLit>
              <c:formatCode>General</c:formatCode>
              <c:ptCount val="147"/>
              <c:pt idx="0">
                <c:v>16.810229479756391</c:v>
              </c:pt>
              <c:pt idx="1">
                <c:v>16.588644396444685</c:v>
              </c:pt>
              <c:pt idx="2">
                <c:v>16.354668757094764</c:v>
              </c:pt>
              <c:pt idx="3">
                <c:v>16.107718156429225</c:v>
              </c:pt>
              <c:pt idx="4">
                <c:v>15.847219725836448</c:v>
              </c:pt>
              <c:pt idx="5">
                <c:v>15.572621851491188</c:v>
              </c:pt>
              <c:pt idx="6">
                <c:v>15.283405513946459</c:v>
              </c:pt>
              <c:pt idx="7">
                <c:v>14.97909728533833</c:v>
              </c:pt>
              <c:pt idx="8">
                <c:v>14.659283952235356</c:v>
              </c:pt>
              <c:pt idx="9">
                <c:v>14.323628642858322</c:v>
              </c:pt>
              <c:pt idx="10">
                <c:v>13.971888226311023</c:v>
              </c:pt>
              <c:pt idx="11">
                <c:v>13.603931620112528</c:v>
              </c:pt>
              <c:pt idx="12">
                <c:v>13.2197584950931</c:v>
              </c:pt>
              <c:pt idx="13">
                <c:v>12.819517711563606</c:v>
              </c:pt>
              <c:pt idx="14">
                <c:v>12.403524669547116</c:v>
              </c:pt>
              <c:pt idx="15">
                <c:v>11.972276624673018</c:v>
              </c:pt>
              <c:pt idx="16">
                <c:v>11.526464929155814</c:v>
              </c:pt>
              <c:pt idx="17">
                <c:v>11.066983124686066</c:v>
              </c:pt>
              <c:pt idx="18">
                <c:v>10.594929860498169</c:v>
              </c:pt>
              <c:pt idx="19">
                <c:v>10.111605750259969</c:v>
              </c:pt>
              <c:pt idx="20">
                <c:v>9.6185035223870123</c:v>
              </c:pt>
              <c:pt idx="21">
                <c:v>9.1172911549090987</c:v>
              </c:pt>
              <c:pt idx="22">
                <c:v>8.6097880993478064</c:v>
              </c:pt>
              <c:pt idx="23">
                <c:v>8.0979351556909851</c:v>
              </c:pt>
              <c:pt idx="24">
                <c:v>7.5837590188694071</c:v>
              </c:pt>
              <c:pt idx="25">
                <c:v>7.069332926750965</c:v>
              </c:pt>
              <c:pt idx="26">
                <c:v>6.5567351526053601</c:v>
              </c:pt>
              <c:pt idx="27">
                <c:v>6.048007262567018</c:v>
              </c:pt>
              <c:pt idx="28">
                <c:v>5.5451140781737465</c:v>
              </c:pt>
              <c:pt idx="29">
                <c:v>5.0499071430589693</c:v>
              </c:pt>
              <c:pt idx="30">
                <c:v>4.5640932094034081</c:v>
              </c:pt>
              <c:pt idx="31">
                <c:v>4.0892088691906565</c:v>
              </c:pt>
              <c:pt idx="32">
                <c:v>3.6266020041010818</c:v>
              </c:pt>
              <c:pt idx="33">
                <c:v>3.1774202657841126</c:v>
              </c:pt>
              <c:pt idx="34">
                <c:v>2.7426063708388666</c:v>
              </c:pt>
              <c:pt idx="35">
                <c:v>2.3228996376269366</c:v>
              </c:pt>
              <c:pt idx="36">
                <c:v>1.9188429271939578</c:v>
              </c:pt>
              <c:pt idx="37">
                <c:v>1.5307939862731423</c:v>
              </c:pt>
              <c:pt idx="38">
                <c:v>1.1589401224706948</c:v>
              </c:pt>
              <c:pt idx="39">
                <c:v>0.80331515702341572</c:v>
              </c:pt>
              <c:pt idx="40">
                <c:v>0.4638176802814884</c:v>
              </c:pt>
              <c:pt idx="41">
                <c:v>0.14022975872621024</c:v>
              </c:pt>
              <c:pt idx="42">
                <c:v>-0.16776460974090424</c:v>
              </c:pt>
              <c:pt idx="43">
                <c:v>-0.46056184007219381</c:v>
              </c:pt>
              <c:pt idx="44">
                <c:v>-0.73862230174342836</c:v>
              </c:pt>
              <c:pt idx="45">
                <c:v>-1.002455319966258</c:v>
              </c:pt>
              <c:pt idx="46">
                <c:v>-1.2526057824083219</c:v>
              </c:pt>
              <c:pt idx="47">
                <c:v>-1.4896424028400646</c:v>
              </c:pt>
              <c:pt idx="48">
                <c:v>-1.7141476200677335</c:v>
              </c:pt>
              <c:pt idx="49">
                <c:v>-1.9267090572547372</c:v>
              </c:pt>
              <c:pt idx="50">
                <c:v>-2.1279124307072412</c:v>
              </c:pt>
              <c:pt idx="51">
                <c:v>-2.3183357754510565</c:v>
              </c:pt>
              <c:pt idx="52">
                <c:v>-2.4985448444866902</c:v>
              </c:pt>
              <c:pt idx="53">
                <c:v>-2.669089536724063</c:v>
              </c:pt>
              <c:pt idx="54">
                <c:v>-2.8305012128620142</c:v>
              </c:pt>
              <c:pt idx="55">
                <c:v>-2.9832907668862556</c:v>
              </c:pt>
              <c:pt idx="56">
                <c:v>-3.1279473318097732</c:v>
              </c:pt>
              <c:pt idx="57">
                <c:v>-3.3947050354255355</c:v>
              </c:pt>
              <c:pt idx="58">
                <c:v>-3.6342329977636059</c:v>
              </c:pt>
              <c:pt idx="59">
                <c:v>-3.8496301535387389</c:v>
              </c:pt>
              <c:pt idx="60">
                <c:v>-4.0436530888624631</c:v>
              </c:pt>
              <c:pt idx="61">
                <c:v>-4.2187412428710447</c:v>
              </c:pt>
              <c:pt idx="62">
                <c:v>-4.3770457171884622</c:v>
              </c:pt>
              <c:pt idx="63">
                <c:v>-4.5204589487479616</c:v>
              </c:pt>
              <c:pt idx="64">
                <c:v>-4.6506435459878448</c:v>
              </c:pt>
              <c:pt idx="65">
                <c:v>-4.7690593110363508</c:v>
              </c:pt>
              <c:pt idx="66">
                <c:v>-4.8769879543111792</c:v>
              </c:pt>
              <c:pt idx="67">
                <c:v>-4.97555532075208</c:v>
              </c:pt>
              <c:pt idx="68">
                <c:v>-5.0657511406962898</c:v>
              </c:pt>
              <c:pt idx="69">
                <c:v>-5.1484464315058194</c:v>
              </c:pt>
              <c:pt idx="70">
                <c:v>-5.2244087358312541</c:v>
              </c:pt>
              <c:pt idx="71">
                <c:v>-5.2943154079273143</c:v>
              </c:pt>
              <c:pt idx="72">
                <c:v>-5.358765163744196</c:v>
              </c:pt>
              <c:pt idx="73">
                <c:v>-5.4182881023183391</c:v>
              </c:pt>
              <c:pt idx="74">
                <c:v>-5.4733543909858673</c:v>
              </c:pt>
              <c:pt idx="75">
                <c:v>-5.5243817887928159</c:v>
              </c:pt>
              <c:pt idx="76">
                <c:v>-5.571742163443429</c:v>
              </c:pt>
              <c:pt idx="77">
                <c:v>-5.6567529906365968</c:v>
              </c:pt>
              <c:pt idx="78">
                <c:v>-5.7306406407761212</c:v>
              </c:pt>
              <c:pt idx="79">
                <c:v>-5.7952165720117108</c:v>
              </c:pt>
              <c:pt idx="80">
                <c:v>-5.851947118469381</c:v>
              </c:pt>
              <c:pt idx="81">
                <c:v>-5.9020274437754896</c:v>
              </c:pt>
              <c:pt idx="82">
                <c:v>-6.0041567309797621</c:v>
              </c:pt>
              <c:pt idx="83">
                <c:v>-6.0816762741522021</c:v>
              </c:pt>
              <c:pt idx="84">
                <c:v>-6.1418165019856463</c:v>
              </c:pt>
              <c:pt idx="85">
                <c:v>-6.1893611787955249</c:v>
              </c:pt>
              <c:pt idx="86">
                <c:v>-6.2275685419443816</c:v>
              </c:pt>
              <c:pt idx="87">
                <c:v>-6.2587153367755777</c:v>
              </c:pt>
              <c:pt idx="88">
                <c:v>-6.3058961870318369</c:v>
              </c:pt>
              <c:pt idx="89">
                <c:v>-6.3394006467143074</c:v>
              </c:pt>
              <c:pt idx="90">
                <c:v>-6.3640278309235088</c:v>
              </c:pt>
              <c:pt idx="91">
                <c:v>-6.382648783342864</c:v>
              </c:pt>
              <c:pt idx="92">
                <c:v>-6.3970641036563771</c:v>
              </c:pt>
              <c:pt idx="93">
                <c:v>-6.436353647558132</c:v>
              </c:pt>
              <c:pt idx="94">
                <c:v>-6.4527022004217862</c:v>
              </c:pt>
              <c:pt idx="95">
                <c:v>-6.4658267837767367</c:v>
              </c:pt>
              <c:pt idx="96">
                <c:v>-6.4708678812703511</c:v>
              </c:pt>
              <c:pt idx="97">
                <c:v>-6.4780000000000006</c:v>
              </c:pt>
              <c:pt idx="98">
                <c:v>-6.4687544134534143</c:v>
              </c:pt>
              <c:pt idx="99">
                <c:v>-6.4607910353144655</c:v>
              </c:pt>
              <c:pt idx="100">
                <c:v>-6.4354532742589932</c:v>
              </c:pt>
              <c:pt idx="101">
                <c:v>-6.3946145573537017</c:v>
              </c:pt>
              <c:pt idx="102">
                <c:v>-6.3795129803289274</c:v>
              </c:pt>
              <c:pt idx="103">
                <c:v>-6.3599248979775851</c:v>
              </c:pt>
              <c:pt idx="104">
                <c:v>-6.3338909498930658</c:v>
              </c:pt>
              <c:pt idx="105">
                <c:v>-6.2982611859413211</c:v>
              </c:pt>
              <c:pt idx="106">
                <c:v>-6.2477177107241779</c:v>
              </c:pt>
              <c:pt idx="107">
                <c:v>-6.2141364364601657</c:v>
              </c:pt>
              <c:pt idx="108">
                <c:v>-6.1727292094729158</c:v>
              </c:pt>
              <c:pt idx="109">
                <c:v>-6.1208981028564446</c:v>
              </c:pt>
              <c:pt idx="110">
                <c:v>-6.0548906661909623</c:v>
              </c:pt>
              <c:pt idx="111">
                <c:v>-5.969139454636716</c:v>
              </c:pt>
              <c:pt idx="112">
                <c:v>-5.8551287645325596</c:v>
              </c:pt>
              <c:pt idx="113">
                <c:v>-5.7988285531075912</c:v>
              </c:pt>
              <c:pt idx="114">
                <c:v>-5.7347616757504305</c:v>
              </c:pt>
              <c:pt idx="115">
                <c:v>-5.6614799564344587</c:v>
              </c:pt>
              <c:pt idx="116">
                <c:v>-5.5771951197065643</c:v>
              </c:pt>
              <c:pt idx="117">
                <c:v>-5.4796832004534721</c:v>
              </c:pt>
              <c:pt idx="118">
                <c:v>-5.4251226750385708</c:v>
              </c:pt>
              <c:pt idx="119">
                <c:v>-5.3661582607451805</c:v>
              </c:pt>
              <c:pt idx="120">
                <c:v>-5.3023264552641391</c:v>
              </c:pt>
              <c:pt idx="121">
                <c:v>-5.2331047854998651</c:v>
              </c:pt>
              <c:pt idx="122">
                <c:v>-5.1579032706065853</c:v>
              </c:pt>
              <c:pt idx="123">
                <c:v>-5.0760545707644287</c:v>
              </c:pt>
              <c:pt idx="124">
                <c:v>-4.9868026312391578</c:v>
              </c:pt>
              <c:pt idx="125">
                <c:v>-4.889289615730835</c:v>
              </c:pt>
              <c:pt idx="126">
                <c:v>-4.7825409137469856</c:v>
              </c:pt>
              <c:pt idx="127">
                <c:v>-4.6654480091532298</c:v>
              </c:pt>
              <c:pt idx="128">
                <c:v>-4.5367490194500562</c:v>
              </c:pt>
              <c:pt idx="129">
                <c:v>-4.3950067701211761</c:v>
              </c:pt>
              <c:pt idx="130">
                <c:v>-4.2385843738412259</c:v>
              </c:pt>
              <c:pt idx="131">
                <c:v>-4.0656184666577015</c:v>
              </c:pt>
              <c:pt idx="132">
                <c:v>-3.8739905493226741</c:v>
              </c:pt>
              <c:pt idx="133">
                <c:v>-3.7704392439481627</c:v>
              </c:pt>
              <c:pt idx="134">
                <c:v>-3.6612973419810073</c:v>
              </c:pt>
              <c:pt idx="135">
                <c:v>-3.5462151642748525</c:v>
              </c:pt>
              <c:pt idx="136">
                <c:v>-3.4248217502543765</c:v>
              </c:pt>
              <c:pt idx="137">
                <c:v>-3.2967241795418643</c:v>
              </c:pt>
              <c:pt idx="138">
                <c:v>-3.1615070418306956</c:v>
              </c:pt>
              <c:pt idx="139">
                <c:v>-3.0187321044678757</c:v>
              </c:pt>
              <c:pt idx="140">
                <c:v>-2.8679382367257746</c:v>
              </c:pt>
              <c:pt idx="141">
                <c:v>-2.7086416603368892</c:v>
              </c:pt>
              <c:pt idx="142">
                <c:v>-2.5403366074235816</c:v>
              </c:pt>
              <c:pt idx="143">
                <c:v>-2.3624964792520693</c:v>
              </c:pt>
              <c:pt idx="144">
                <c:v>-2.1745756118950066</c:v>
              </c:pt>
              <c:pt idx="145">
                <c:v>-1.9760117673163591</c:v>
              </c:pt>
              <c:pt idx="146">
                <c:v>-1.7662294797563944</c:v>
              </c:pt>
            </c:numLit>
          </c:xVal>
          <c:yVal>
            <c:numLit>
              <c:formatCode>General</c:formatCode>
              <c:ptCount val="147"/>
              <c:pt idx="0">
                <c:v>2.8677892915949361E-2</c:v>
              </c:pt>
              <c:pt idx="1">
                <c:v>2.882017669794408E-2</c:v>
              </c:pt>
              <c:pt idx="2">
                <c:v>2.8964054945422545E-2</c:v>
              </c:pt>
              <c:pt idx="3">
                <c:v>2.9109197410386176E-2</c:v>
              </c:pt>
              <c:pt idx="4">
                <c:v>2.9255219725836449E-2</c:v>
              </c:pt>
              <c:pt idx="5">
                <c:v>2.9401679479707257E-2</c:v>
              </c:pt>
              <c:pt idx="6">
                <c:v>2.9548072789216489E-2</c:v>
              </c:pt>
              <c:pt idx="7">
                <c:v>2.9693831622722384E-2</c:v>
              </c:pt>
              <c:pt idx="8">
                <c:v>2.9838322153782595E-2</c:v>
              </c:pt>
              <c:pt idx="9">
                <c:v>2.9980844463909358E-2</c:v>
              </c:pt>
              <c:pt idx="10">
                <c:v>3.0120633931542337E-2</c:v>
              </c:pt>
              <c:pt idx="11">
                <c:v>3.0256864649135986E-2</c:v>
              </c:pt>
              <c:pt idx="12">
                <c:v>3.0388655191524186E-2</c:v>
              </c:pt>
              <c:pt idx="13">
                <c:v>3.0515077010490988E-2</c:v>
              </c:pt>
              <c:pt idx="14">
                <c:v>3.0635165647360473E-2</c:v>
              </c:pt>
              <c:pt idx="15">
                <c:v>3.0747934834256706E-2</c:v>
              </c:pt>
              <c:pt idx="16">
                <c:v>3.085239339588855E-2</c:v>
              </c:pt>
              <c:pt idx="17">
                <c:v>3.0947564672567929E-2</c:v>
              </c:pt>
              <c:pt idx="18">
                <c:v>3.1032507972748882E-2</c:v>
              </c:pt>
              <c:pt idx="19">
                <c:v>3.1106341346724724E-2</c:v>
              </c:pt>
              <c:pt idx="20">
                <c:v>3.1168264774375409E-2</c:v>
              </c:pt>
              <c:pt idx="21">
                <c:v>3.1217582704093288E-2</c:v>
              </c:pt>
              <c:pt idx="22">
                <c:v>3.1253724791923544E-2</c:v>
              </c:pt>
              <c:pt idx="23">
                <c:v>3.127626368973449E-2</c:v>
              </c:pt>
              <c:pt idx="24">
                <c:v>3.1284928830437236E-2</c:v>
              </c:pt>
              <c:pt idx="25">
                <c:v>3.1279615356557502E-2</c:v>
              </c:pt>
              <c:pt idx="26">
                <c:v>3.1260387622117129E-2</c:v>
              </c:pt>
              <c:pt idx="27">
                <c:v>3.1227477040677638E-2</c:v>
              </c:pt>
              <c:pt idx="28">
                <c:v>3.1181274419367078E-2</c:v>
              </c:pt>
              <c:pt idx="29">
                <c:v>3.1122317270830653E-2</c:v>
              </c:pt>
              <c:pt idx="30">
                <c:v>3.1051272895714872E-2</c:v>
              </c:pt>
              <c:pt idx="31">
                <c:v>3.0968918248820355E-2</c:v>
              </c:pt>
              <c:pt idx="32">
                <c:v>3.0876117725569325E-2</c:v>
              </c:pt>
              <c:pt idx="33">
                <c:v>3.0773800028426088E-2</c:v>
              </c:pt>
              <c:pt idx="34">
                <c:v>3.0662935204324095E-2</c:v>
              </c:pt>
              <c:pt idx="35">
                <c:v>3.0544512802476664E-2</c:v>
              </c:pt>
              <c:pt idx="36">
                <c:v>3.04195219111833E-2</c:v>
              </c:pt>
              <c:pt idx="37">
                <c:v>3.0288933617716181E-2</c:v>
              </c:pt>
              <c:pt idx="38">
                <c:v>3.0153686220164965E-2</c:v>
              </c:pt>
              <c:pt idx="39">
                <c:v>3.0014673322626941E-2</c:v>
              </c:pt>
              <c:pt idx="40">
                <c:v>2.9872734777880133E-2</c:v>
              </c:pt>
              <c:pt idx="41">
                <c:v>2.9728650311281322E-2</c:v>
              </c:pt>
              <c:pt idx="42">
                <c:v>2.95831355675608E-2</c:v>
              </c:pt>
              <c:pt idx="43">
                <c:v>2.9436840266009144E-2</c:v>
              </c:pt>
              <c:pt idx="44">
                <c:v>2.9290348124299693E-2</c:v>
              </c:pt>
              <c:pt idx="45">
                <c:v>2.9144178210618831E-2</c:v>
              </c:pt>
              <c:pt idx="46">
                <c:v>2.8998787401373648E-2</c:v>
              </c:pt>
              <c:pt idx="47">
                <c:v>2.8854573651448525E-2</c:v>
              </c:pt>
              <c:pt idx="48">
                <c:v>2.8711879820593082E-2</c:v>
              </c:pt>
              <c:pt idx="49">
                <c:v>2.8570997838905359E-2</c:v>
              </c:pt>
              <c:pt idx="50">
                <c:v>2.8432173033455556E-2</c:v>
              </c:pt>
              <c:pt idx="51">
                <c:v>2.8295608474779587E-2</c:v>
              </c:pt>
              <c:pt idx="52">
                <c:v>2.8161469234973899E-2</c:v>
              </c:pt>
              <c:pt idx="53">
                <c:v>2.8029886477800841E-2</c:v>
              </c:pt>
              <c:pt idx="54">
                <c:v>2.7900961325394373E-2</c:v>
              </c:pt>
              <c:pt idx="55">
                <c:v>2.777476846598936E-2</c:v>
              </c:pt>
              <c:pt idx="56">
                <c:v>2.765135948293641E-2</c:v>
              </c:pt>
              <c:pt idx="57">
                <c:v>2.741300192776747E-2</c:v>
              </c:pt>
              <c:pt idx="58">
                <c:v>2.7185947823718054E-2</c:v>
              </c:pt>
              <c:pt idx="59">
                <c:v>2.6970052763706429E-2</c:v>
              </c:pt>
              <c:pt idx="60">
                <c:v>2.6765028589466222E-2</c:v>
              </c:pt>
              <c:pt idx="61">
                <c:v>2.6570489823461451E-2</c:v>
              </c:pt>
              <c:pt idx="62">
                <c:v>2.6385989057197627E-2</c:v>
              </c:pt>
              <c:pt idx="63">
                <c:v>2.6211043462266981E-2</c:v>
              </c:pt>
              <c:pt idx="64">
                <c:v>2.6045154305456879E-2</c:v>
              </c:pt>
              <c:pt idx="65">
                <c:v>2.5887821037250434E-2</c:v>
              </c:pt>
              <c:pt idx="66">
                <c:v>2.573855122669123E-2</c:v>
              </c:pt>
              <c:pt idx="67">
                <c:v>2.5596867354371416E-2</c:v>
              </c:pt>
              <c:pt idx="68">
                <c:v>2.5462311255383133E-2</c:v>
              </c:pt>
              <c:pt idx="69">
                <c:v>2.5334446824497189E-2</c:v>
              </c:pt>
              <c:pt idx="70">
                <c:v>2.5212861452320056E-2</c:v>
              </c:pt>
              <c:pt idx="71">
                <c:v>2.5097166548278888E-2</c:v>
              </c:pt>
              <c:pt idx="72">
                <c:v>2.4986997418511792E-2</c:v>
              </c:pt>
              <c:pt idx="73">
                <c:v>2.4882012699129402E-2</c:v>
              </c:pt>
              <c:pt idx="74">
                <c:v>2.4781893493615731E-2</c:v>
              </c:pt>
              <c:pt idx="75">
                <c:v>2.4686342323848191E-2</c:v>
              </c:pt>
              <c:pt idx="76">
                <c:v>2.4595081974519786E-2</c:v>
              </c:pt>
              <c:pt idx="77">
                <c:v>2.4424418953236802E-2</c:v>
              </c:pt>
              <c:pt idx="78">
                <c:v>2.4268046190440859E-2</c:v>
              </c:pt>
              <c:pt idx="79">
                <c:v>2.4124353808164946E-2</c:v>
              </c:pt>
              <c:pt idx="80">
                <c:v>2.3991946017564908E-2</c:v>
              </c:pt>
              <c:pt idx="81">
                <c:v>2.3869610711458024E-2</c:v>
              </c:pt>
              <c:pt idx="82">
                <c:v>2.3601243359121643E-2</c:v>
              </c:pt>
              <c:pt idx="83">
                <c:v>2.3376424442580822E-2</c:v>
              </c:pt>
              <c:pt idx="84">
                <c:v>2.3185628388742628E-2</c:v>
              </c:pt>
              <c:pt idx="85">
                <c:v>2.3021845518026735E-2</c:v>
              </c:pt>
              <c:pt idx="86">
                <c:v>2.2879826043585575E-2</c:v>
              </c:pt>
              <c:pt idx="87">
                <c:v>2.2755572771766694E-2</c:v>
              </c:pt>
              <c:pt idx="88">
                <c:v>2.2548671580655582E-2</c:v>
              </c:pt>
              <c:pt idx="89">
                <c:v>2.2383467693411988E-2</c:v>
              </c:pt>
              <c:pt idx="90">
                <c:v>2.2248609023778468E-2</c:v>
              </c:pt>
              <c:pt idx="91">
                <c:v>2.2136492726931425E-2</c:v>
              </c:pt>
              <c:pt idx="92">
                <c:v>2.2041845203134694E-2</c:v>
              </c:pt>
              <c:pt idx="93">
                <c:v>2.172811889106761E-2</c:v>
              </c:pt>
              <c:pt idx="94">
                <c:v>2.1552224945278583E-2</c:v>
              </c:pt>
              <c:pt idx="95">
                <c:v>2.1361728347072451E-2</c:v>
              </c:pt>
              <c:pt idx="96">
                <c:v>2.1260488451156453E-2</c:v>
              </c:pt>
              <c:pt idx="97">
                <c:v>2.0930000000000001E-2</c:v>
              </c:pt>
              <c:pt idx="98">
                <c:v>2.0553731515266696E-2</c:v>
              </c:pt>
              <c:pt idx="99">
                <c:v>2.0416729629222568E-2</c:v>
              </c:pt>
              <c:pt idx="100">
                <c:v>2.0123312766063169E-2</c:v>
              </c:pt>
              <c:pt idx="101">
                <c:v>1.9801504574826875E-2</c:v>
              </c:pt>
              <c:pt idx="102">
                <c:v>1.9703897767998347E-2</c:v>
              </c:pt>
              <c:pt idx="103">
                <c:v>1.9587964977189561E-2</c:v>
              </c:pt>
              <c:pt idx="104">
                <c:v>1.9448070774442654E-2</c:v>
              </c:pt>
              <c:pt idx="105">
                <c:v>1.9276040595639192E-2</c:v>
              </c:pt>
              <c:pt idx="106">
                <c:v>1.9059579257765528E-2</c:v>
              </c:pt>
              <c:pt idx="107">
                <c:v>1.8929051078036645E-2</c:v>
              </c:pt>
              <c:pt idx="108">
                <c:v>1.8779375962421206E-2</c:v>
              </c:pt>
              <c:pt idx="109">
                <c:v>1.8606133509740334E-2</c:v>
              </c:pt>
              <c:pt idx="110">
                <c:v>1.8403482795007753E-2</c:v>
              </c:pt>
              <c:pt idx="111">
                <c:v>1.8163573931641964E-2</c:v>
              </c:pt>
              <c:pt idx="112">
                <c:v>1.7875666923032288E-2</c:v>
              </c:pt>
              <c:pt idx="113">
                <c:v>1.7743895976123102E-2</c:v>
              </c:pt>
              <c:pt idx="114">
                <c:v>1.7600918061456586E-2</c:v>
              </c:pt>
              <c:pt idx="115">
                <c:v>1.7445349228540973E-2</c:v>
              </c:pt>
              <c:pt idx="116">
                <c:v>1.7275593374812867E-2</c:v>
              </c:pt>
              <c:pt idx="117">
                <c:v>1.7089808191527837E-2</c:v>
              </c:pt>
              <c:pt idx="118">
                <c:v>1.6990252446736603E-2</c:v>
              </c:pt>
              <c:pt idx="119">
                <c:v>1.6885867994288942E-2</c:v>
              </c:pt>
              <c:pt idx="120">
                <c:v>1.677633856600267E-2</c:v>
              </c:pt>
              <c:pt idx="121">
                <c:v>1.6661325544174033E-2</c:v>
              </c:pt>
              <c:pt idx="122">
                <c:v>1.6540467071496829E-2</c:v>
              </c:pt>
              <c:pt idx="123">
                <c:v>1.6413377441842833E-2</c:v>
              </c:pt>
              <c:pt idx="124">
                <c:v>1.6279646915363419E-2</c:v>
              </c:pt>
              <c:pt idx="125">
                <c:v>1.6138842151410121E-2</c:v>
              </c:pt>
              <c:pt idx="126">
                <c:v>1.599050751826438E-2</c:v>
              </c:pt>
              <c:pt idx="127">
                <c:v>1.5834167623770514E-2</c:v>
              </c:pt>
              <c:pt idx="128">
                <c:v>1.5669331520569488E-2</c:v>
              </c:pt>
              <c:pt idx="129">
                <c:v>1.5495499179174118E-2</c:v>
              </c:pt>
              <c:pt idx="130">
                <c:v>1.5312170997110987E-2</c:v>
              </c:pt>
              <c:pt idx="131">
                <c:v>1.5118861327289309E-2</c:v>
              </c:pt>
              <c:pt idx="132">
                <c:v>1.4915117265152884E-2</c:v>
              </c:pt>
              <c:pt idx="133">
                <c:v>1.4809205883937578E-2</c:v>
              </c:pt>
              <c:pt idx="134">
                <c:v>1.4700544227002829E-2</c:v>
              </c:pt>
              <c:pt idx="135">
                <c:v>1.4589097690626144E-2</c:v>
              </c:pt>
              <c:pt idx="136">
                <c:v>1.4474840163683531E-2</c:v>
              </c:pt>
              <c:pt idx="137">
                <c:v>1.4357755721848364E-2</c:v>
              </c:pt>
              <c:pt idx="138">
                <c:v>1.4237840545403689E-2</c:v>
              </c:pt>
              <c:pt idx="139">
                <c:v>1.4115105078987998E-2</c:v>
              </c:pt>
              <c:pt idx="140">
                <c:v>1.3989576450102176E-2</c:v>
              </c:pt>
              <c:pt idx="141">
                <c:v>1.3861301160508996E-2</c:v>
              </c:pt>
              <c:pt idx="142">
                <c:v>1.3730348060406742E-2</c:v>
              </c:pt>
              <c:pt idx="143">
                <c:v>1.3596811609050458E-2</c:v>
              </c:pt>
              <c:pt idx="144">
                <c:v>1.3460815416871075E-2</c:v>
              </c:pt>
              <c:pt idx="145">
                <c:v>1.3322516052611264E-2</c:v>
              </c:pt>
              <c:pt idx="146">
                <c:v>1.318210708405064E-2</c:v>
              </c:pt>
            </c:numLit>
          </c:yVal>
          <c:smooth val="1"/>
          <c:extLst>
            <c:ext xmlns:c16="http://schemas.microsoft.com/office/drawing/2014/chart" uri="{C3380CC4-5D6E-409C-BE32-E72D297353CC}">
              <c16:uniqueId val="{000000E2-58C1-425A-958B-04142761B163}"/>
            </c:ext>
          </c:extLst>
        </c:ser>
        <c:ser>
          <c:idx val="188"/>
          <c:order val="188"/>
          <c:tx>
            <c:v>熱水分比基点</c:v>
          </c:tx>
          <c:spPr>
            <a:ln w="3175">
              <a:solidFill>
                <a:srgbClr val="000000"/>
              </a:solidFill>
              <a:prstDash val="solid"/>
            </a:ln>
          </c:spPr>
          <c:marker>
            <c:symbol val="circle"/>
            <c:size val="10"/>
            <c:spPr>
              <a:noFill/>
              <a:ln>
                <a:solidFill>
                  <a:srgbClr val="808080"/>
                </a:solidFill>
                <a:prstDash val="solid"/>
              </a:ln>
              <a:extLst>
                <a:ext uri="{909E8E84-426E-40DD-AFC4-6F175D3DCCD1}">
                  <a14:hiddenFill xmlns:a14="http://schemas.microsoft.com/office/drawing/2010/main">
                    <a:solidFill>
                      <a:srgbClr val="A5A5A5">
                        <a:tint val="35000"/>
                      </a:srgbClr>
                    </a:solidFill>
                  </a14:hiddenFill>
                </a:ext>
              </a:extLst>
            </c:spPr>
          </c:marker>
          <c:xVal>
            <c:numLit>
              <c:formatCode>General</c:formatCode>
              <c:ptCount val="1"/>
              <c:pt idx="0">
                <c:v>7.5219999999999994</c:v>
              </c:pt>
            </c:numLit>
          </c:xVal>
          <c:yVal>
            <c:numLit>
              <c:formatCode>General</c:formatCode>
              <c:ptCount val="1"/>
              <c:pt idx="0">
                <c:v>2.0930000000000001E-2</c:v>
              </c:pt>
            </c:numLit>
          </c:yVal>
          <c:smooth val="0"/>
          <c:extLst>
            <c:ext xmlns:c16="http://schemas.microsoft.com/office/drawing/2014/chart" uri="{C3380CC4-5D6E-409C-BE32-E72D297353CC}">
              <c16:uniqueId val="{000000E3-58C1-425A-958B-04142761B163}"/>
            </c:ext>
          </c:extLst>
        </c:ser>
        <c:ser>
          <c:idx val="189"/>
          <c:order val="189"/>
          <c:tx>
            <c:v>熱水分比基点</c:v>
          </c:tx>
          <c:spPr>
            <a:ln w="3175">
              <a:solidFill>
                <a:srgbClr val="000000"/>
              </a:solidFill>
              <a:prstDash val="solid"/>
            </a:ln>
          </c:spPr>
          <c:marker>
            <c:symbol val="plus"/>
            <c:size val="10"/>
            <c:spPr>
              <a:noFill/>
              <a:ln>
                <a:solidFill>
                  <a:srgbClr val="808080"/>
                </a:solidFill>
                <a:prstDash val="solid"/>
              </a:ln>
              <a:extLst>
                <a:ext uri="{909E8E84-426E-40DD-AFC4-6F175D3DCCD1}">
                  <a14:hiddenFill xmlns:a14="http://schemas.microsoft.com/office/drawing/2010/main">
                    <a:solidFill>
                      <a:srgbClr val="FFC000">
                        <a:tint val="35000"/>
                      </a:srgbClr>
                    </a:solidFill>
                  </a14:hiddenFill>
                </a:ext>
              </a:extLst>
            </c:spPr>
          </c:marker>
          <c:xVal>
            <c:numLit>
              <c:formatCode>General</c:formatCode>
              <c:ptCount val="1"/>
              <c:pt idx="0">
                <c:v>7.5219999999999994</c:v>
              </c:pt>
            </c:numLit>
          </c:xVal>
          <c:yVal>
            <c:numLit>
              <c:formatCode>General</c:formatCode>
              <c:ptCount val="1"/>
              <c:pt idx="0">
                <c:v>2.0930000000000001E-2</c:v>
              </c:pt>
            </c:numLit>
          </c:yVal>
          <c:smooth val="0"/>
          <c:extLst>
            <c:ext xmlns:c16="http://schemas.microsoft.com/office/drawing/2014/chart" uri="{C3380CC4-5D6E-409C-BE32-E72D297353CC}">
              <c16:uniqueId val="{000000E4-58C1-425A-958B-04142761B163}"/>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20FF-4040-9B44-602C31C3F4C1}"/>
            </c:ext>
          </c:extLst>
        </c:ser>
        <c:ser>
          <c:idx val="1"/>
          <c:order val="1"/>
          <c:tx>
            <c:v>RH=10_1</c:v>
          </c:tx>
          <c:spPr>
            <a:ln w="3175">
              <a:solidFill>
                <a:srgbClr val="0000FF"/>
              </a:solidFill>
              <a:prstDash val="solid"/>
            </a:ln>
          </c:spPr>
          <c:marker>
            <c:symbol val="none"/>
          </c:marker>
          <c:xVal>
            <c:numLit>
              <c:formatCode>General</c:formatCode>
              <c:ptCount val="38"/>
              <c:pt idx="0">
                <c:v>-10.0177756677797</c:v>
              </c:pt>
              <c:pt idx="1">
                <c:v>-9.0190959721921065</c:v>
              </c:pt>
              <c:pt idx="2">
                <c:v>-8.0204947203038497</c:v>
              </c:pt>
              <c:pt idx="3">
                <c:v>-7.0219748302109002</c:v>
              </c:pt>
              <c:pt idx="4">
                <c:v>-6.0235391639546627</c:v>
              </c:pt>
              <c:pt idx="5">
                <c:v>-5.0251905057455675</c:v>
              </c:pt>
              <c:pt idx="6">
                <c:v>-4.0269315379580988</c:v>
              </c:pt>
              <c:pt idx="7">
                <c:v>-3.0287648147507311</c:v>
              </c:pt>
              <c:pt idx="8">
                <c:v>-2.0306927331577049</c:v>
              </c:pt>
              <c:pt idx="9">
                <c:v>-1.0327175014929011</c:v>
              </c:pt>
              <c:pt idx="10">
                <c:v>-3.484110489918895E-2</c:v>
              </c:pt>
              <c:pt idx="11">
                <c:v>0.96328939591528173</c:v>
              </c:pt>
              <c:pt idx="12">
                <c:v>1.9613621474223808</c:v>
              </c:pt>
              <c:pt idx="13">
                <c:v>2.9593749622169305</c:v>
              </c:pt>
              <c:pt idx="14">
                <c:v>3.9573294009540501</c:v>
              </c:pt>
              <c:pt idx="15">
                <c:v>4.9552274207672413</c:v>
              </c:pt>
              <c:pt idx="16">
                <c:v>5.9530704719223664</c:v>
              </c:pt>
              <c:pt idx="17">
                <c:v>6.9508622511413787</c:v>
              </c:pt>
              <c:pt idx="18">
                <c:v>7.9486061034176085</c:v>
              </c:pt>
              <c:pt idx="19">
                <c:v>8.946305910300195</c:v>
              </c:pt>
              <c:pt idx="20">
                <c:v>9.9439661291778094</c:v>
              </c:pt>
              <c:pt idx="21">
                <c:v>10.941590669234015</c:v>
              </c:pt>
              <c:pt idx="22">
                <c:v>11.939186333734822</c:v>
              </c:pt>
              <c:pt idx="23">
                <c:v>12.936759560270477</c:v>
              </c:pt>
              <c:pt idx="24">
                <c:v>13.934317538581611</c:v>
              </c:pt>
              <c:pt idx="25">
                <c:v>14.931868259472157</c:v>
              </c:pt>
              <c:pt idx="26">
                <c:v>15.929420565788638</c:v>
              </c:pt>
              <c:pt idx="27">
                <c:v>16.926984205518398</c:v>
              </c:pt>
              <c:pt idx="28">
                <c:v>17.9245698870604</c:v>
              </c:pt>
              <c:pt idx="29">
                <c:v>18.922189336723491</c:v>
              </c:pt>
              <c:pt idx="30">
                <c:v>19.919855358508599</c:v>
              </c:pt>
              <c:pt idx="31">
                <c:v>20.917581896232608</c:v>
              </c:pt>
              <c:pt idx="32">
                <c:v>21.915384098053682</c:v>
              </c:pt>
              <c:pt idx="33">
                <c:v>22.913278383459538</c:v>
              </c:pt>
              <c:pt idx="34">
                <c:v>23.911282512782485</c:v>
              </c:pt>
              <c:pt idx="35">
                <c:v>24.909415659307243</c:v>
              </c:pt>
              <c:pt idx="36">
                <c:v>25.907696639619608</c:v>
              </c:pt>
              <c:pt idx="37">
                <c:v>26.317040192907807</c:v>
              </c:pt>
            </c:numLit>
          </c:xVal>
          <c:yVal>
            <c:numLit>
              <c:formatCode>General</c:formatCode>
              <c:ptCount val="38"/>
              <c:pt idx="0">
                <c:v>1.6023585830088701E-4</c:v>
              </c:pt>
              <c:pt idx="1">
                <c:v>1.7505511231326874E-4</c:v>
              </c:pt>
              <c:pt idx="2">
                <c:v>1.911168763966824E-4</c:v>
              </c:pt>
              <c:pt idx="3">
                <c:v>2.0851423497609411E-4</c:v>
              </c:pt>
              <c:pt idx="4">
                <c:v>2.2734637997686826E-4</c:v>
              </c:pt>
              <c:pt idx="5">
                <c:v>2.4771895190655777E-4</c:v>
              </c:pt>
              <c:pt idx="6">
                <c:v>2.6974439651381417E-4</c:v>
              </c:pt>
              <c:pt idx="7">
                <c:v>2.9354233758607893E-4</c:v>
              </c:pt>
              <c:pt idx="8">
                <c:v>3.1923996646661596E-4</c:v>
              </c:pt>
              <c:pt idx="9">
                <c:v>3.4697244889161612E-4</c:v>
              </c:pt>
              <c:pt idx="10">
                <c:v>3.7688334976972127E-4</c:v>
              </c:pt>
              <c:pt idx="11">
                <c:v>4.0521031061253583E-4</c:v>
              </c:pt>
              <c:pt idx="12">
                <c:v>4.3536827613222564E-4</c:v>
              </c:pt>
              <c:pt idx="13">
                <c:v>4.6749929089188232E-4</c:v>
              </c:pt>
              <c:pt idx="14">
                <c:v>5.0171368209707661E-4</c:v>
              </c:pt>
              <c:pt idx="15">
                <c:v>5.3812681849648315E-4</c:v>
              </c:pt>
              <c:pt idx="16">
                <c:v>5.7687078746455054E-4</c:v>
              </c:pt>
              <c:pt idx="17">
                <c:v>6.1806170732398903E-4</c:v>
              </c:pt>
              <c:pt idx="18">
                <c:v>6.6183128471435158E-4</c:v>
              </c:pt>
              <c:pt idx="19">
                <c:v>7.0831699761347128E-4</c:v>
              </c:pt>
              <c:pt idx="20">
                <c:v>7.5766228557958958E-4</c:v>
              </c:pt>
              <c:pt idx="21">
                <c:v>8.100329025445516E-4</c:v>
              </c:pt>
              <c:pt idx="22">
                <c:v>8.6557085827349055E-4</c:v>
              </c:pt>
              <c:pt idx="23">
                <c:v>9.244388603298438E-4</c:v>
              </c:pt>
              <c:pt idx="24">
                <c:v>9.8680639466692979E-4</c:v>
              </c:pt>
              <c:pt idx="25">
                <c:v>1.0528499381107718E-3</c:v>
              </c:pt>
              <c:pt idx="26">
                <c:v>1.1227531754685466E-3</c:v>
              </c:pt>
              <c:pt idx="27">
                <c:v>1.196707221383005E-3</c:v>
              </c:pt>
              <c:pt idx="28">
                <c:v>1.2749108470638381E-3</c:v>
              </c:pt>
              <c:pt idx="29">
                <c:v>1.357570712039002E-3</c:v>
              </c:pt>
              <c:pt idx="30">
                <c:v>1.4449016010815252E-3</c:v>
              </c:pt>
              <c:pt idx="31">
                <c:v>1.5371266664811695E-3</c:v>
              </c:pt>
              <c:pt idx="32">
                <c:v>1.6344776758448051E-3</c:v>
              </c:pt>
              <c:pt idx="33">
                <c:v>1.7371952656253776E-3</c:v>
              </c:pt>
              <c:pt idx="34">
                <c:v>1.8455292005959472E-3</c:v>
              </c:pt>
              <c:pt idx="35">
                <c:v>1.9597386395035048E-3</c:v>
              </c:pt>
              <c:pt idx="36">
                <c:v>2.0801339727301582E-3</c:v>
              </c:pt>
              <c:pt idx="37">
                <c:v>2.1313379082339733E-3</c:v>
              </c:pt>
            </c:numLit>
          </c:yVal>
          <c:smooth val="1"/>
          <c:extLst>
            <c:ext xmlns:c16="http://schemas.microsoft.com/office/drawing/2014/chart" uri="{C3380CC4-5D6E-409C-BE32-E72D297353CC}">
              <c16:uniqueId val="{00000001-20FF-4040-9B44-602C31C3F4C1}"/>
            </c:ext>
          </c:extLst>
        </c:ser>
        <c:ser>
          <c:idx val="2"/>
          <c:order val="2"/>
          <c:tx>
            <c:v>RH=10_Label1</c:v>
          </c:tx>
          <c:spPr>
            <a:ln w="3175">
              <a:solidFill>
                <a:srgbClr val="0000FF"/>
              </a:solidFill>
              <a:prstDash val="solid"/>
            </a:ln>
          </c:spPr>
          <c:marker>
            <c:symbol val="none"/>
          </c:marker>
          <c:dLbls>
            <c:dLbl>
              <c:idx val="0"/>
              <c:tx>
                <c:rich>
                  <a:bodyPr rot="-6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27.065919432379985</c:v>
              </c:pt>
            </c:numLit>
          </c:xVal>
          <c:yVal>
            <c:numLit>
              <c:formatCode>General</c:formatCode>
              <c:ptCount val="1"/>
              <c:pt idx="0">
                <c:v>2.2278649752776442E-3</c:v>
              </c:pt>
            </c:numLit>
          </c:yVal>
          <c:smooth val="0"/>
          <c:extLst>
            <c:ext xmlns:c16="http://schemas.microsoft.com/office/drawing/2014/chart" uri="{C3380CC4-5D6E-409C-BE32-E72D297353CC}">
              <c16:uniqueId val="{00000003-20FF-4040-9B44-602C31C3F4C1}"/>
            </c:ext>
          </c:extLst>
        </c:ser>
        <c:ser>
          <c:idx val="3"/>
          <c:order val="3"/>
          <c:tx>
            <c:v>RH=10_2</c:v>
          </c:tx>
          <c:spPr>
            <a:ln w="3175">
              <a:solidFill>
                <a:srgbClr val="0000FF"/>
              </a:solidFill>
              <a:prstDash val="solid"/>
            </a:ln>
          </c:spPr>
          <c:marker>
            <c:symbol val="none"/>
          </c:marker>
          <c:xVal>
            <c:numLit>
              <c:formatCode>General</c:formatCode>
              <c:ptCount val="21"/>
              <c:pt idx="0">
                <c:v>27.804923631172404</c:v>
              </c:pt>
              <c:pt idx="1">
                <c:v>28.803770180784756</c:v>
              </c:pt>
              <c:pt idx="2">
                <c:v>29.802862673887123</c:v>
              </c:pt>
              <c:pt idx="3">
                <c:v>30.802230253577527</c:v>
              </c:pt>
              <c:pt idx="4">
                <c:v>31.801904052668917</c:v>
              </c:pt>
              <c:pt idx="5">
                <c:v>32.801917289185013</c:v>
              </c:pt>
              <c:pt idx="6">
                <c:v>33.802305365200944</c:v>
              </c:pt>
              <c:pt idx="7">
                <c:v>34.803105969135679</c:v>
              </c:pt>
              <c:pt idx="8">
                <c:v>35.804359181609868</c:v>
              </c:pt>
              <c:pt idx="9">
                <c:v>36.806107584989242</c:v>
              </c:pt>
              <c:pt idx="10">
                <c:v>37.808396376741563</c:v>
              </c:pt>
              <c:pt idx="11">
                <c:v>38.811273486743076</c:v>
              </c:pt>
              <c:pt idx="12">
                <c:v>39.81478969867927</c:v>
              </c:pt>
              <c:pt idx="13">
                <c:v>40.818998044575913</c:v>
              </c:pt>
              <c:pt idx="14">
                <c:v>41.823956140919336</c:v>
              </c:pt>
              <c:pt idx="15">
                <c:v>42.829724214366031</c:v>
              </c:pt>
              <c:pt idx="16">
                <c:v>43.836365792343038</c:v>
              </c:pt>
              <c:pt idx="17">
                <c:v>44.843947933065749</c:v>
              </c:pt>
              <c:pt idx="18">
                <c:v>45.852541375331619</c:v>
              </c:pt>
              <c:pt idx="19">
                <c:v>46.86222069374503</c:v>
              </c:pt>
              <c:pt idx="20">
                <c:v>47.165347874114275</c:v>
              </c:pt>
            </c:numLit>
          </c:xVal>
          <c:yVal>
            <c:numLit>
              <c:formatCode>General</c:formatCode>
              <c:ptCount val="21"/>
              <c:pt idx="0">
                <c:v>2.3268337235576001E-3</c:v>
              </c:pt>
              <c:pt idx="1">
                <c:v>2.466676811153637E-3</c:v>
              </c:pt>
              <c:pt idx="2">
                <c:v>2.6138166712018933E-3</c:v>
              </c:pt>
              <c:pt idx="3">
                <c:v>2.7685741400948331E-3</c:v>
              </c:pt>
              <c:pt idx="4">
                <c:v>2.9312815010714525E-3</c:v>
              </c:pt>
              <c:pt idx="5">
                <c:v>3.1022828107865022E-3</c:v>
              </c:pt>
              <c:pt idx="6">
                <c:v>3.2819342352185372E-3</c:v>
              </c:pt>
              <c:pt idx="7">
                <c:v>3.4706043954107185E-3</c:v>
              </c:pt>
              <c:pt idx="8">
                <c:v>3.6686747235745365E-3</c:v>
              </c:pt>
              <c:pt idx="9">
                <c:v>3.87653983012467E-3</c:v>
              </c:pt>
              <c:pt idx="10">
                <c:v>4.094607882253176E-3</c:v>
              </c:pt>
              <c:pt idx="11">
                <c:v>4.3233009946946083E-3</c:v>
              </c:pt>
              <c:pt idx="12">
                <c:v>4.5630556333788666E-3</c:v>
              </c:pt>
              <c:pt idx="13">
                <c:v>4.8143664868622081E-3</c:v>
              </c:pt>
              <c:pt idx="14">
                <c:v>5.0776664167760535E-3</c:v>
              </c:pt>
              <c:pt idx="15">
                <c:v>5.3534333142334486E-3</c:v>
              </c:pt>
              <c:pt idx="16">
                <c:v>5.6421657767406772E-3</c:v>
              </c:pt>
              <c:pt idx="17">
                <c:v>5.9443790149535658E-3</c:v>
              </c:pt>
              <c:pt idx="18">
                <c:v>6.2606053522673184E-3</c:v>
              </c:pt>
              <c:pt idx="19">
                <c:v>6.5913947437551716E-3</c:v>
              </c:pt>
              <c:pt idx="20">
                <c:v>6.693555806651999E-3</c:v>
              </c:pt>
            </c:numLit>
          </c:yVal>
          <c:smooth val="1"/>
          <c:extLst>
            <c:ext xmlns:c16="http://schemas.microsoft.com/office/drawing/2014/chart" uri="{C3380CC4-5D6E-409C-BE32-E72D297353CC}">
              <c16:uniqueId val="{00000004-20FF-4040-9B44-602C31C3F4C1}"/>
            </c:ext>
          </c:extLst>
        </c:ser>
        <c:ser>
          <c:idx val="4"/>
          <c:order val="4"/>
          <c:tx>
            <c:v>RH=10_Label2</c:v>
          </c:tx>
          <c:spPr>
            <a:ln w="3175">
              <a:solidFill>
                <a:srgbClr val="0000FF"/>
              </a:solidFill>
              <a:prstDash val="solid"/>
            </a:ln>
          </c:spPr>
          <c:marker>
            <c:symbol val="none"/>
          </c:marker>
          <c:dLbls>
            <c:dLbl>
              <c:idx val="0"/>
              <c:tx>
                <c:rich>
                  <a:bodyPr rot="-15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47.468582019792713</c:v>
              </c:pt>
            </c:numLit>
          </c:xVal>
          <c:yVal>
            <c:numLit>
              <c:formatCode>General</c:formatCode>
              <c:ptCount val="1"/>
              <c:pt idx="0">
                <c:v>6.7970942125870166E-3</c:v>
              </c:pt>
            </c:numLit>
          </c:yVal>
          <c:smooth val="0"/>
          <c:extLst>
            <c:ext xmlns:c16="http://schemas.microsoft.com/office/drawing/2014/chart" uri="{C3380CC4-5D6E-409C-BE32-E72D297353CC}">
              <c16:uniqueId val="{00000006-20FF-4040-9B44-602C31C3F4C1}"/>
            </c:ext>
          </c:extLst>
        </c:ser>
        <c:ser>
          <c:idx val="5"/>
          <c:order val="5"/>
          <c:tx>
            <c:v>RH=10_3</c:v>
          </c:tx>
          <c:spPr>
            <a:ln w="3175">
              <a:solidFill>
                <a:srgbClr val="0000FF"/>
              </a:solidFill>
              <a:prstDash val="solid"/>
            </a:ln>
          </c:spPr>
          <c:marker>
            <c:symbol val="none"/>
          </c:marker>
          <c:xVal>
            <c:numLit>
              <c:formatCode>General</c:formatCode>
              <c:ptCount val="4"/>
              <c:pt idx="0">
                <c:v>47.77192535836096</c:v>
              </c:pt>
              <c:pt idx="1">
                <c:v>48.783887743051473</c:v>
              </c:pt>
              <c:pt idx="2">
                <c:v>49.797175474186403</c:v>
              </c:pt>
              <c:pt idx="3">
                <c:v>50</c:v>
              </c:pt>
            </c:numLit>
          </c:xVal>
          <c:yVal>
            <c:numLit>
              <c:formatCode>General</c:formatCode>
              <c:ptCount val="4"/>
              <c:pt idx="0">
                <c:v>6.9020257792945907E-3</c:v>
              </c:pt>
              <c:pt idx="1">
                <c:v>7.262065631820038E-3</c:v>
              </c:pt>
              <c:pt idx="2">
                <c:v>7.6383681948431099E-3</c:v>
              </c:pt>
              <c:pt idx="3">
                <c:v>7.7156347951563434E-3</c:v>
              </c:pt>
            </c:numLit>
          </c:yVal>
          <c:smooth val="1"/>
          <c:extLst>
            <c:ext xmlns:c16="http://schemas.microsoft.com/office/drawing/2014/chart" uri="{C3380CC4-5D6E-409C-BE32-E72D297353CC}">
              <c16:uniqueId val="{00000007-20FF-4040-9B44-602C31C3F4C1}"/>
            </c:ext>
          </c:extLst>
        </c:ser>
        <c:ser>
          <c:idx val="6"/>
          <c:order val="6"/>
          <c:tx>
            <c:v>RH=20_1</c:v>
          </c:tx>
          <c:spPr>
            <a:ln w="3175">
              <a:solidFill>
                <a:srgbClr val="0000FF"/>
              </a:solidFill>
              <a:prstDash val="solid"/>
            </a:ln>
          </c:spPr>
          <c:marker>
            <c:symbol val="none"/>
          </c:marker>
          <c:xVal>
            <c:numLit>
              <c:formatCode>General</c:formatCode>
              <c:ptCount val="34"/>
              <c:pt idx="0">
                <c:v>-10.035560496732938</c:v>
              </c:pt>
              <c:pt idx="1">
                <c:v>-9.0382026964619619</c:v>
              </c:pt>
              <c:pt idx="2">
                <c:v>-8.0410020393756554</c:v>
              </c:pt>
              <c:pt idx="3">
                <c:v>-7.0439643991642971</c:v>
              </c:pt>
              <c:pt idx="4">
                <c:v>-6.0470955422909016</c:v>
              </c:pt>
              <c:pt idx="5">
                <c:v>-5.0504010849725072</c:v>
              </c:pt>
              <c:pt idx="6">
                <c:v>-4.0538864457460759</c:v>
              </c:pt>
              <c:pt idx="7">
                <c:v>-3.0575567933261141</c:v>
              </c:pt>
              <c:pt idx="8">
                <c:v>-2.0614169894474266</c:v>
              </c:pt>
              <c:pt idx="9">
                <c:v>-1.0654715263721464</c:v>
              </c:pt>
              <c:pt idx="10">
                <c:v>-6.97244587252972E-2</c:v>
              </c:pt>
              <c:pt idx="11">
                <c:v>0.92653092787105074</c:v>
              </c:pt>
              <c:pt idx="12">
                <c:v>1.9226701661646581</c:v>
              </c:pt>
              <c:pt idx="13">
                <c:v>2.9186888084423579</c:v>
              </c:pt>
              <c:pt idx="14">
                <c:v>3.9145899067468815</c:v>
              </c:pt>
              <c:pt idx="15">
                <c:v>4.9103773014566139</c:v>
              </c:pt>
              <c:pt idx="16">
                <c:v>5.9060538111202767</c:v>
              </c:pt>
              <c:pt idx="17">
                <c:v>6.9016267487543175</c:v>
              </c:pt>
              <c:pt idx="18">
                <c:v>7.8971027167532792</c:v>
              </c:pt>
              <c:pt idx="19">
                <c:v>8.8924893864465524</c:v>
              </c:pt>
              <c:pt idx="20">
                <c:v>9.8877955770160781</c:v>
              </c:pt>
              <c:pt idx="21">
                <c:v>10.883029001805786</c:v>
              </c:pt>
              <c:pt idx="22">
                <c:v>11.878203170401681</c:v>
              </c:pt>
              <c:pt idx="23">
                <c:v>12.873330854228927</c:v>
              </c:pt>
              <c:pt idx="24">
                <c:v>13.868426328102487</c:v>
              </c:pt>
              <c:pt idx="25">
                <c:v>14.863505469299307</c:v>
              </c:pt>
              <c:pt idx="26">
                <c:v>15.858585861032267</c:v>
              </c:pt>
              <c:pt idx="27">
                <c:v>16.853686900469274</c:v>
              </c:pt>
              <c:pt idx="28">
                <c:v>17.848829911447321</c:v>
              </c:pt>
              <c:pt idx="29">
                <c:v>18.844038262038808</c:v>
              </c:pt>
              <c:pt idx="30">
                <c:v>19.839337487135094</c:v>
              </c:pt>
              <c:pt idx="31">
                <c:v>20.83475541622126</c:v>
              </c:pt>
              <c:pt idx="32">
                <c:v>21.830322306525588</c:v>
              </c:pt>
              <c:pt idx="33">
                <c:v>22.826070981737747</c:v>
              </c:pt>
            </c:numLit>
          </c:xVal>
          <c:yVal>
            <c:numLit>
              <c:formatCode>General</c:formatCode>
              <c:ptCount val="34"/>
              <c:pt idx="0">
                <c:v>3.2055429850658324E-4</c:v>
              </c:pt>
              <c:pt idx="1">
                <c:v>3.5020879023814594E-4</c:v>
              </c:pt>
              <c:pt idx="2">
                <c:v>3.8235123852344135E-4</c:v>
              </c:pt>
              <c:pt idx="3">
                <c:v>4.1716832257387661E-4</c:v>
              </c:pt>
              <c:pt idx="4">
                <c:v>4.5485902020590482E-4</c:v>
              </c:pt>
              <c:pt idx="5">
                <c:v>4.9563530285770194E-4</c:v>
              </c:pt>
              <c:pt idx="6">
                <c:v>5.3972286360566622E-4</c:v>
              </c:pt>
              <c:pt idx="7">
                <c:v>5.873618795503245E-4</c:v>
              </c:pt>
              <c:pt idx="8">
                <c:v>6.3880781000941775E-4</c:v>
              </c:pt>
              <c:pt idx="9">
                <c:v>6.9433223203014031E-4</c:v>
              </c:pt>
              <c:pt idx="10">
                <c:v>7.5422371481342985E-4</c:v>
              </c:pt>
              <c:pt idx="11">
                <c:v>8.1094894186661099E-4</c:v>
              </c:pt>
              <c:pt idx="12">
                <c:v>8.7134646996364098E-4</c:v>
              </c:pt>
              <c:pt idx="13">
                <c:v>9.3570188408817544E-4</c:v>
              </c:pt>
              <c:pt idx="14">
                <c:v>1.0042374218400759E-3</c:v>
              </c:pt>
              <c:pt idx="15">
                <c:v>1.0771856001749857E-3</c:v>
              </c:pt>
              <c:pt idx="16">
                <c:v>1.154812634567477E-3</c:v>
              </c:pt>
              <c:pt idx="17">
                <c:v>1.2373529726576297E-3</c:v>
              </c:pt>
              <c:pt idx="18">
                <c:v>1.3250725415540391E-3</c:v>
              </c:pt>
              <c:pt idx="19">
                <c:v>1.4182491113921719E-3</c:v>
              </c:pt>
              <c:pt idx="20">
                <c:v>1.5171727086266814E-3</c:v>
              </c:pt>
              <c:pt idx="21">
                <c:v>1.622178442009625E-3</c:v>
              </c:pt>
              <c:pt idx="22">
                <c:v>1.7335541960372019E-3</c:v>
              </c:pt>
              <c:pt idx="23">
                <c:v>1.8516297681735034E-3</c:v>
              </c:pt>
              <c:pt idx="24">
                <c:v>1.9767490132750658E-3</c:v>
              </c:pt>
              <c:pt idx="25">
                <c:v>2.10927032081257E-3</c:v>
              </c:pt>
              <c:pt idx="26">
                <c:v>2.2495671062861596E-3</c:v>
              </c:pt>
              <c:pt idx="27">
                <c:v>2.3980283174961114E-3</c:v>
              </c:pt>
              <c:pt idx="28">
                <c:v>2.5550589563843114E-3</c:v>
              </c:pt>
              <c:pt idx="29">
                <c:v>2.7210806172209283E-3</c:v>
              </c:pt>
              <c:pt idx="30">
                <c:v>2.8965320419730616E-3</c:v>
              </c:pt>
              <c:pt idx="31">
                <c:v>3.0818696937599506E-3</c:v>
              </c:pt>
              <c:pt idx="32">
                <c:v>3.2775683493713736E-3</c:v>
              </c:pt>
              <c:pt idx="33">
                <c:v>3.4841217119041239E-3</c:v>
              </c:pt>
            </c:numLit>
          </c:yVal>
          <c:smooth val="1"/>
          <c:extLst>
            <c:ext xmlns:c16="http://schemas.microsoft.com/office/drawing/2014/chart" uri="{C3380CC4-5D6E-409C-BE32-E72D297353CC}">
              <c16:uniqueId val="{00000008-20FF-4040-9B44-602C31C3F4C1}"/>
            </c:ext>
          </c:extLst>
        </c:ser>
        <c:ser>
          <c:idx val="7"/>
          <c:order val="7"/>
          <c:tx>
            <c:v>RH=20_Label1</c:v>
          </c:tx>
          <c:spPr>
            <a:ln w="3175">
              <a:solidFill>
                <a:srgbClr val="0000FF"/>
              </a:solidFill>
              <a:prstDash val="solid"/>
            </a:ln>
          </c:spPr>
          <c:marker>
            <c:symbol val="none"/>
          </c:marker>
          <c:dLbls>
            <c:dLbl>
              <c:idx val="0"/>
              <c:tx>
                <c:rich>
                  <a:bodyPr rot="-9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20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23.4634618281546</c:v>
              </c:pt>
            </c:numLit>
          </c:xVal>
          <c:yVal>
            <c:numLit>
              <c:formatCode>General</c:formatCode>
              <c:ptCount val="1"/>
              <c:pt idx="0">
                <c:v>3.6222486187216128E-3</c:v>
              </c:pt>
            </c:numLit>
          </c:yVal>
          <c:smooth val="0"/>
          <c:extLst>
            <c:ext xmlns:c16="http://schemas.microsoft.com/office/drawing/2014/chart" uri="{C3380CC4-5D6E-409C-BE32-E72D297353CC}">
              <c16:uniqueId val="{0000000A-20FF-4040-9B44-602C31C3F4C1}"/>
            </c:ext>
          </c:extLst>
        </c:ser>
        <c:ser>
          <c:idx val="8"/>
          <c:order val="8"/>
          <c:tx>
            <c:v>RH=20_2</c:v>
          </c:tx>
          <c:spPr>
            <a:ln w="3175">
              <a:solidFill>
                <a:srgbClr val="0000FF"/>
              </a:solidFill>
              <a:prstDash val="solid"/>
            </a:ln>
          </c:spPr>
          <c:marker>
            <c:symbol val="none"/>
          </c:marker>
          <c:xVal>
            <c:numLit>
              <c:formatCode>General</c:formatCode>
              <c:ptCount val="21"/>
              <c:pt idx="0">
                <c:v>24.090989965522958</c:v>
              </c:pt>
              <c:pt idx="1">
                <c:v>25.08728670106132</c:v>
              </c:pt>
              <c:pt idx="2">
                <c:v>26.083889525140563</c:v>
              </c:pt>
              <c:pt idx="3">
                <c:v>27.080846559796672</c:v>
              </c:pt>
              <c:pt idx="4">
                <c:v>28.078206710864933</c:v>
              </c:pt>
              <c:pt idx="5">
                <c:v>29.07602246563086</c:v>
              </c:pt>
              <c:pt idx="6">
                <c:v>30.074350079513291</c:v>
              </c:pt>
              <c:pt idx="7">
                <c:v>31.073249770509715</c:v>
              </c:pt>
              <c:pt idx="8">
                <c:v>32.072785921759255</c:v>
              </c:pt>
              <c:pt idx="9">
                <c:v>33.073027292605012</c:v>
              </c:pt>
              <c:pt idx="10">
                <c:v>34.074047238566301</c:v>
              </c:pt>
              <c:pt idx="11">
                <c:v>35.075923940662001</c:v>
              </c:pt>
              <c:pt idx="12">
                <c:v>36.078740644560909</c:v>
              </c:pt>
              <c:pt idx="13">
                <c:v>37.082585910071032</c:v>
              </c:pt>
              <c:pt idx="14">
                <c:v>38.087553871520392</c:v>
              </c:pt>
              <c:pt idx="15">
                <c:v>39.093744509625317</c:v>
              </c:pt>
              <c:pt idx="16">
                <c:v>40.101263475245702</c:v>
              </c:pt>
              <c:pt idx="17">
                <c:v>41.110222635937923</c:v>
              </c:pt>
              <c:pt idx="18">
                <c:v>42.120742613179722</c:v>
              </c:pt>
              <c:pt idx="19">
                <c:v>43.132949797257567</c:v>
              </c:pt>
              <c:pt idx="20">
                <c:v>43.143080835819099</c:v>
              </c:pt>
            </c:numLit>
          </c:xVal>
          <c:yVal>
            <c:numLit>
              <c:formatCode>General</c:formatCode>
              <c:ptCount val="21"/>
              <c:pt idx="0">
                <c:v>3.762899562535327E-3</c:v>
              </c:pt>
              <c:pt idx="1">
                <c:v>3.9960515227318218E-3</c:v>
              </c:pt>
              <c:pt idx="2">
                <c:v>4.2418774317838923E-3</c:v>
              </c:pt>
              <c:pt idx="3">
                <c:v>4.5009049866489162E-3</c:v>
              </c:pt>
              <c:pt idx="4">
                <c:v>4.7737395125384907E-3</c:v>
              </c:pt>
              <c:pt idx="5">
                <c:v>5.0610096938973562E-3</c:v>
              </c:pt>
              <c:pt idx="6">
                <c:v>5.3633683765682734E-3</c:v>
              </c:pt>
              <c:pt idx="7">
                <c:v>5.6814934027757868E-3</c:v>
              </c:pt>
              <c:pt idx="8">
                <c:v>6.0160884810445394E-3</c:v>
              </c:pt>
              <c:pt idx="9">
                <c:v>6.3678840933275062E-3</c:v>
              </c:pt>
              <c:pt idx="10">
                <c:v>6.7376384417931747E-3</c:v>
              </c:pt>
              <c:pt idx="11">
                <c:v>7.1261384379044338E-3</c:v>
              </c:pt>
              <c:pt idx="12">
                <c:v>7.5342007366225091E-3</c:v>
              </c:pt>
              <c:pt idx="13">
                <c:v>7.9626728187814425E-3</c:v>
              </c:pt>
              <c:pt idx="14">
                <c:v>8.4124341249109912E-3</c:v>
              </c:pt>
              <c:pt idx="15">
                <c:v>8.8843972440316565E-3</c:v>
              </c:pt>
              <c:pt idx="16">
                <c:v>9.3795347447102571E-3</c:v>
              </c:pt>
              <c:pt idx="17">
                <c:v>9.8988796663613213E-3</c:v>
              </c:pt>
              <c:pt idx="18">
                <c:v>1.0443387106594744E-2</c:v>
              </c:pt>
              <c:pt idx="19">
                <c:v>1.1014116215220278E-2</c:v>
              </c:pt>
              <c:pt idx="20">
                <c:v>1.1019959610694009E-2</c:v>
              </c:pt>
            </c:numLit>
          </c:yVal>
          <c:smooth val="1"/>
          <c:extLst>
            <c:ext xmlns:c16="http://schemas.microsoft.com/office/drawing/2014/chart" uri="{C3380CC4-5D6E-409C-BE32-E72D297353CC}">
              <c16:uniqueId val="{0000000B-20FF-4040-9B44-602C31C3F4C1}"/>
            </c:ext>
          </c:extLst>
        </c:ser>
        <c:ser>
          <c:idx val="9"/>
          <c:order val="9"/>
          <c:tx>
            <c:v>RH=20_Label2</c:v>
          </c:tx>
          <c:spPr>
            <a:ln w="3175">
              <a:solidFill>
                <a:srgbClr val="0000FF"/>
              </a:solidFill>
              <a:prstDash val="solid"/>
            </a:ln>
          </c:spPr>
          <c:marker>
            <c:symbol val="none"/>
          </c:marker>
          <c:dLbls>
            <c:dLbl>
              <c:idx val="0"/>
              <c:tx>
                <c:rich>
                  <a:bodyPr rot="-22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20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43.447097324768826</c:v>
              </c:pt>
            </c:numLit>
          </c:xVal>
          <c:yVal>
            <c:numLit>
              <c:formatCode>General</c:formatCode>
              <c:ptCount val="1"/>
              <c:pt idx="0">
                <c:v>1.1196537306347976E-2</c:v>
              </c:pt>
            </c:numLit>
          </c:yVal>
          <c:smooth val="0"/>
          <c:extLst>
            <c:ext xmlns:c16="http://schemas.microsoft.com/office/drawing/2014/chart" uri="{C3380CC4-5D6E-409C-BE32-E72D297353CC}">
              <c16:uniqueId val="{0000000D-20FF-4040-9B44-602C31C3F4C1}"/>
            </c:ext>
          </c:extLst>
        </c:ser>
        <c:ser>
          <c:idx val="10"/>
          <c:order val="10"/>
          <c:tx>
            <c:v>RH=20_3</c:v>
          </c:tx>
          <c:spPr>
            <a:ln w="3175">
              <a:solidFill>
                <a:srgbClr val="0000FF"/>
              </a:solidFill>
              <a:prstDash val="solid"/>
            </a:ln>
          </c:spPr>
          <c:marker>
            <c:symbol val="none"/>
          </c:marker>
          <c:dLbls>
            <c:dLbl>
              <c:idx val="3"/>
              <c:tx>
                <c:rich>
                  <a:bodyPr rot="-2520000" vert="horz" wrap="square" lIns="0" tIns="0" rIns="0" bIns="0" anchor="ctr">
                    <a:spAutoFit/>
                  </a:bodyPr>
                  <a:lstStyle/>
                  <a:p>
                    <a:pPr algn="ctr">
                      <a:defRPr altLang="en-US" sz="700" i="1" u="none" strike="noStrike" baseline="0">
                        <a:latin typeface="ＭＳ Ｐ明朝"/>
                        <a:ea typeface="ＭＳ Ｐ明朝"/>
                        <a:cs typeface="ＭＳ Ｐ明朝"/>
                      </a:defRPr>
                    </a:pPr>
                    <a:r>
                      <a:rPr lang="ja-JP" altLang="en-US"/>
                      <a:t>相対湿度 </a:t>
                    </a:r>
                    <a:r>
                      <a:rPr lang="el-GR"/>
                      <a:t>φ[</a:t>
                    </a:r>
                    <a:r>
                      <a:rPr lang="ja-JP" altLang="el-GR"/>
                      <a:t>％</a:t>
                    </a:r>
                    <a:r>
                      <a:rPr lang="el-GR"/>
                      <a:t>]
</a:t>
                    </a:r>
                    <a:endParaRPr lang="el-GR" altLang="ja-JP"/>
                  </a:p>
                </c:rich>
              </c:tx>
              <c:spPr>
                <a:solidFill>
                  <a:srgbClr val="FFFFFF">
                    <a:alpha val="0"/>
                  </a:srgbClr>
                </a:solidFill>
                <a:ln>
                  <a:noFill/>
                </a:ln>
                <a:effectLst/>
              </c:sp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8"/>
              <c:pt idx="0">
                <c:v>43.751281523767183</c:v>
              </c:pt>
              <c:pt idx="1">
                <c:v>44.766489529880268</c:v>
              </c:pt>
              <c:pt idx="2">
                <c:v>45.783750430022089</c:v>
              </c:pt>
              <c:pt idx="3">
                <c:v>46.803219082404993</c:v>
              </c:pt>
              <c:pt idx="4">
                <c:v>47.825059125327186</c:v>
              </c:pt>
              <c:pt idx="5">
                <c:v>48.849443401728202</c:v>
              </c:pt>
              <c:pt idx="6">
                <c:v>49.876554405498752</c:v>
              </c:pt>
              <c:pt idx="7">
                <c:v>50.000000000000007</c:v>
              </c:pt>
            </c:numLit>
          </c:xVal>
          <c:yVal>
            <c:numLit>
              <c:formatCode>General</c:formatCode>
              <c:ptCount val="8"/>
              <c:pt idx="0">
                <c:v>1.1375605022333236E-2</c:v>
              </c:pt>
              <c:pt idx="1">
                <c:v>1.199087837496329E-2</c:v>
              </c:pt>
              <c:pt idx="2">
                <c:v>1.2635330853661442E-2</c:v>
              </c:pt>
              <c:pt idx="3">
                <c:v>1.3310174231557656E-2</c:v>
              </c:pt>
              <c:pt idx="4">
                <c:v>1.4016666646594227E-2</c:v>
              </c:pt>
              <c:pt idx="5">
                <c:v>1.475611456481781E-2</c:v>
              </c:pt>
              <c:pt idx="6">
                <c:v>1.5529874857761593E-2</c:v>
              </c:pt>
              <c:pt idx="7">
                <c:v>1.5625098253228449E-2</c:v>
              </c:pt>
            </c:numLit>
          </c:yVal>
          <c:smooth val="1"/>
          <c:extLst>
            <c:ext xmlns:c16="http://schemas.microsoft.com/office/drawing/2014/chart" uri="{C3380CC4-5D6E-409C-BE32-E72D297353CC}">
              <c16:uniqueId val="{0000000F-20FF-4040-9B44-602C31C3F4C1}"/>
            </c:ext>
          </c:extLst>
        </c:ser>
        <c:ser>
          <c:idx val="11"/>
          <c:order val="11"/>
          <c:tx>
            <c:v>RH=30_1</c:v>
          </c:tx>
          <c:spPr>
            <a:ln w="3175">
              <a:solidFill>
                <a:srgbClr val="0000FF"/>
              </a:solidFill>
              <a:prstDash val="solid"/>
            </a:ln>
          </c:spPr>
          <c:marker>
            <c:symbol val="none"/>
          </c:marker>
          <c:xVal>
            <c:numLit>
              <c:formatCode>General</c:formatCode>
              <c:ptCount val="32"/>
              <c:pt idx="0">
                <c:v>-10.053354493943724</c:v>
              </c:pt>
              <c:pt idx="1">
                <c:v>-9.0573201818931413</c:v>
              </c:pt>
              <c:pt idx="2">
                <c:v>-8.0615219688362885</c:v>
              </c:pt>
              <c:pt idx="3">
                <c:v>-7.0659687216933014</c:v>
              </c:pt>
              <c:pt idx="4">
                <c:v>-6.0706691538991491</c:v>
              </c:pt>
              <c:pt idx="5">
                <c:v>-5.0756317616842264</c:v>
              </c:pt>
              <c:pt idx="6">
                <c:v>-4.0808647537958755</c:v>
              </c:pt>
              <c:pt idx="7">
                <c:v>-3.0863759742222392</c:v>
              </c:pt>
              <c:pt idx="8">
                <c:v>-2.0921728174581125</c:v>
              </c:pt>
              <c:pt idx="9">
                <c:v>-1.0982621358298799</c:v>
              </c:pt>
              <c:pt idx="10">
                <c:v>-0.10465013837261665</c:v>
              </c:pt>
              <c:pt idx="11">
                <c:v>0.88972450219737909</c:v>
              </c:pt>
              <c:pt idx="12">
                <c:v>1.8839239424018834</c:v>
              </c:pt>
              <c:pt idx="13">
                <c:v>2.8779414006588313</c:v>
              </c:pt>
              <c:pt idx="14">
                <c:v>3.871781350388404</c:v>
              </c:pt>
              <c:pt idx="15">
                <c:v>4.8654494404600808</c:v>
              </c:pt>
              <c:pt idx="16">
                <c:v>5.8589497747029542</c:v>
              </c:pt>
              <c:pt idx="17">
                <c:v>6.8522932008453763</c:v>
              </c:pt>
              <c:pt idx="18">
                <c:v>7.8454894897457255</c:v>
              </c:pt>
              <c:pt idx="19">
                <c:v>8.8385500091965099</c:v>
              </c:pt>
              <c:pt idx="20">
                <c:v>9.8314878428015433</c:v>
              </c:pt>
              <c:pt idx="21">
                <c:v>10.824314400976062</c:v>
              </c:pt>
              <c:pt idx="22">
                <c:v>11.817049800389974</c:v>
              </c:pt>
              <c:pt idx="23">
                <c:v>12.809713039921014</c:v>
              </c:pt>
              <c:pt idx="24">
                <c:v>13.802325371823336</c:v>
              </c:pt>
              <c:pt idx="25">
                <c:v>14.794910452175319</c:v>
              </c:pt>
              <c:pt idx="26">
                <c:v>15.787494498334434</c:v>
              </c:pt>
              <c:pt idx="27">
                <c:v>16.780106453672715</c:v>
              </c:pt>
              <c:pt idx="28">
                <c:v>17.772778159883224</c:v>
              </c:pt>
              <c:pt idx="29">
                <c:v>18.765544537166129</c:v>
              </c:pt>
              <c:pt idx="30">
                <c:v>19.758443772623167</c:v>
              </c:pt>
              <c:pt idx="31">
                <c:v>20.24502537845661</c:v>
              </c:pt>
            </c:numLit>
          </c:xVal>
          <c:yVal>
            <c:numLit>
              <c:formatCode>General</c:formatCode>
              <c:ptCount val="32"/>
              <c:pt idx="0">
                <c:v>4.8095538447478798E-4</c:v>
              </c:pt>
              <c:pt idx="1">
                <c:v>5.2546111704482746E-4</c:v>
              </c:pt>
              <c:pt idx="2">
                <c:v>5.7370319474700678E-4</c:v>
              </c:pt>
              <c:pt idx="3">
                <c:v>6.2596240354141543E-4</c:v>
              </c:pt>
              <c:pt idx="4">
                <c:v>6.8253810313502938E-4</c:v>
              </c:pt>
              <c:pt idx="5">
                <c:v>7.4374928889864127E-4</c:v>
              </c:pt>
              <c:pt idx="6">
                <c:v>8.0993570607976032E-4</c:v>
              </c:pt>
              <c:pt idx="7">
                <c:v>8.8145901874186257E-4</c:v>
              </c:pt>
              <c:pt idx="8">
                <c:v>9.5870403600972981E-4</c:v>
              </c:pt>
              <c:pt idx="9">
                <c:v>1.042079998364528E-3</c:v>
              </c:pt>
              <c:pt idx="10">
                <c:v>1.1320219269123908E-3</c:v>
              </c:pt>
              <c:pt idx="11">
                <c:v>1.2172169276874775E-3</c:v>
              </c:pt>
              <c:pt idx="12">
                <c:v>1.3079358640647994E-3</c:v>
              </c:pt>
              <c:pt idx="13">
                <c:v>1.4046093678473526E-3</c:v>
              </c:pt>
              <c:pt idx="14">
                <c:v>1.5075731826702395E-3</c:v>
              </c:pt>
              <c:pt idx="15">
                <c:v>1.6171787681858833E-3</c:v>
              </c:pt>
              <c:pt idx="16">
                <c:v>1.7338285269895967E-3</c:v>
              </c:pt>
              <c:pt idx="17">
                <c:v>1.8578774687365771E-3</c:v>
              </c:pt>
              <c:pt idx="18">
                <c:v>1.9897282810522198E-3</c:v>
              </c:pt>
              <c:pt idx="19">
                <c:v>2.1298018718635013E-3</c:v>
              </c:pt>
              <c:pt idx="20">
                <c:v>2.278538039538269E-3</c:v>
              </c:pt>
              <c:pt idx="21">
                <c:v>2.4364448941009312E-3</c:v>
              </c:pt>
              <c:pt idx="22">
                <c:v>2.6039601132949388E-3</c:v>
              </c:pt>
              <c:pt idx="23">
                <c:v>2.7815850310877644E-3</c:v>
              </c:pt>
              <c:pt idx="24">
                <c:v>2.9698428307306547E-3</c:v>
              </c:pt>
              <c:pt idx="25">
                <c:v>3.1692793411924403E-3</c:v>
              </c:pt>
              <c:pt idx="26">
                <c:v>3.3804638626748922E-3</c:v>
              </c:pt>
              <c:pt idx="27">
                <c:v>3.6039900228942794E-3</c:v>
              </c:pt>
              <c:pt idx="28">
                <c:v>3.840476665952176E-3</c:v>
              </c:pt>
              <c:pt idx="29">
                <c:v>4.0905687757696188E-3</c:v>
              </c:pt>
              <c:pt idx="30">
                <c:v>4.3549384362202544E-3</c:v>
              </c:pt>
              <c:pt idx="31">
                <c:v>4.4899026259122817E-3</c:v>
              </c:pt>
            </c:numLit>
          </c:yVal>
          <c:smooth val="1"/>
          <c:extLst>
            <c:ext xmlns:c16="http://schemas.microsoft.com/office/drawing/2014/chart" uri="{C3380CC4-5D6E-409C-BE32-E72D297353CC}">
              <c16:uniqueId val="{00000010-20FF-4040-9B44-602C31C3F4C1}"/>
            </c:ext>
          </c:extLst>
        </c:ser>
        <c:ser>
          <c:idx val="12"/>
          <c:order val="12"/>
          <c:tx>
            <c:v>RH=30_Label1</c:v>
          </c:tx>
          <c:spPr>
            <a:ln w="3175">
              <a:solidFill>
                <a:srgbClr val="0000FF"/>
              </a:solidFill>
              <a:prstDash val="solid"/>
            </a:ln>
          </c:spPr>
          <c:marker>
            <c:symbol val="none"/>
          </c:marker>
          <c:dLbls>
            <c:dLbl>
              <c:idx val="0"/>
              <c:tx>
                <c:rich>
                  <a:bodyPr rot="-12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20.811108461403002</c:v>
              </c:pt>
            </c:numLit>
          </c:xVal>
          <c:yVal>
            <c:numLit>
              <c:formatCode>General</c:formatCode>
              <c:ptCount val="1"/>
              <c:pt idx="0">
                <c:v>4.6515387384462158E-3</c:v>
              </c:pt>
            </c:numLit>
          </c:yVal>
          <c:smooth val="0"/>
          <c:extLst>
            <c:ext xmlns:c16="http://schemas.microsoft.com/office/drawing/2014/chart" uri="{C3380CC4-5D6E-409C-BE32-E72D297353CC}">
              <c16:uniqueId val="{00000012-20FF-4040-9B44-602C31C3F4C1}"/>
            </c:ext>
          </c:extLst>
        </c:ser>
        <c:ser>
          <c:idx val="13"/>
          <c:order val="13"/>
          <c:tx>
            <c:v>RH=30_2</c:v>
          </c:tx>
          <c:spPr>
            <a:ln w="3175">
              <a:solidFill>
                <a:srgbClr val="0000FF"/>
              </a:solidFill>
              <a:prstDash val="solid"/>
            </a:ln>
          </c:spPr>
          <c:marker>
            <c:symbol val="none"/>
          </c:marker>
          <c:xVal>
            <c:numLit>
              <c:formatCode>General</c:formatCode>
              <c:ptCount val="18"/>
              <c:pt idx="0">
                <c:v>21.377263818739706</c:v>
              </c:pt>
              <c:pt idx="1">
                <c:v>22.370720895339069</c:v>
              </c:pt>
              <c:pt idx="2">
                <c:v>23.364480102613534</c:v>
              </c:pt>
              <c:pt idx="3">
                <c:v>24.35859746559164</c:v>
              </c:pt>
              <c:pt idx="4">
                <c:v>25.353129999964821</c:v>
              </c:pt>
              <c:pt idx="5">
                <c:v>26.348144260675021</c:v>
              </c:pt>
              <c:pt idx="6">
                <c:v>27.343712590614235</c:v>
              </c:pt>
              <c:pt idx="7">
                <c:v>28.339910613496379</c:v>
              </c:pt>
              <c:pt idx="8">
                <c:v>29.336819542810858</c:v>
              </c:pt>
              <c:pt idx="9">
                <c:v>30.334526485832559</c:v>
              </c:pt>
              <c:pt idx="10">
                <c:v>31.333124762061246</c:v>
              </c:pt>
              <c:pt idx="11">
                <c:v>32.332714236929732</c:v>
              </c:pt>
              <c:pt idx="12">
                <c:v>33.333401671690773</c:v>
              </c:pt>
              <c:pt idx="13">
                <c:v>34.335301090470558</c:v>
              </c:pt>
              <c:pt idx="14">
                <c:v>35.338534165561015</c:v>
              </c:pt>
              <c:pt idx="15">
                <c:v>36.343230622116273</c:v>
              </c:pt>
              <c:pt idx="16">
                <c:v>37.349528663520069</c:v>
              </c:pt>
              <c:pt idx="17">
                <c:v>38.286952001805297</c:v>
              </c:pt>
            </c:numLit>
          </c:xVal>
          <c:yVal>
            <c:numLit>
              <c:formatCode>General</c:formatCode>
              <c:ptCount val="18"/>
              <c:pt idx="0">
                <c:v>4.8182920461159124E-3</c:v>
              </c:pt>
              <c:pt idx="1">
                <c:v>5.1236299709849099E-3</c:v>
              </c:pt>
              <c:pt idx="2">
                <c:v>5.445929040633163E-3</c:v>
              </c:pt>
              <c:pt idx="3">
                <c:v>5.7860005173922934E-3</c:v>
              </c:pt>
              <c:pt idx="4">
                <c:v>6.1447668346722162E-3</c:v>
              </c:pt>
              <c:pt idx="5">
                <c:v>6.5230875389578839E-3</c:v>
              </c:pt>
              <c:pt idx="6">
                <c:v>6.9218359323902426E-3</c:v>
              </c:pt>
              <c:pt idx="7">
                <c:v>7.3419657449303828E-3</c:v>
              </c:pt>
              <c:pt idx="8">
                <c:v>7.7844695692135405E-3</c:v>
              </c:pt>
              <c:pt idx="9">
                <c:v>8.2503804034741533E-3</c:v>
              </c:pt>
              <c:pt idx="10">
                <c:v>8.7407732735813454E-3</c:v>
              </c:pt>
              <c:pt idx="11">
                <c:v>9.256766939931332E-3</c:v>
              </c:pt>
              <c:pt idx="12">
                <c:v>9.7995256954131298E-3</c:v>
              </c:pt>
              <c:pt idx="13">
                <c:v>1.0370261261171108E-2</c:v>
              </c:pt>
              <c:pt idx="14">
                <c:v>1.0970234787438431E-2</c:v>
              </c:pt>
              <c:pt idx="15">
                <c:v>1.1600758967316551E-2</c:v>
              </c:pt>
              <c:pt idx="16">
                <c:v>1.226320027202504E-2</c:v>
              </c:pt>
              <c:pt idx="17">
                <c:v>1.2909160753810515E-2</c:v>
              </c:pt>
            </c:numLit>
          </c:yVal>
          <c:smooth val="1"/>
          <c:extLst>
            <c:ext xmlns:c16="http://schemas.microsoft.com/office/drawing/2014/chart" uri="{C3380CC4-5D6E-409C-BE32-E72D297353CC}">
              <c16:uniqueId val="{00000013-20FF-4040-9B44-602C31C3F4C1}"/>
            </c:ext>
          </c:extLst>
        </c:ser>
        <c:ser>
          <c:idx val="14"/>
          <c:order val="14"/>
          <c:tx>
            <c:v>RH=30_Label2</c:v>
          </c:tx>
          <c:spPr>
            <a:ln w="3175">
              <a:solidFill>
                <a:srgbClr val="0000FF"/>
              </a:solidFill>
              <a:prstDash val="solid"/>
            </a:ln>
          </c:spPr>
          <c:marker>
            <c:symbol val="none"/>
          </c:marker>
          <c:dLbls>
            <c:dLbl>
              <c:idx val="0"/>
              <c:tx>
                <c:rich>
                  <a:bodyPr rot="-264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38.589689789328688</c:v>
              </c:pt>
            </c:numLit>
          </c:xVal>
          <c:yVal>
            <c:numLit>
              <c:formatCode>General</c:formatCode>
              <c:ptCount val="1"/>
              <c:pt idx="0">
                <c:v>1.3123881389130688E-2</c:v>
              </c:pt>
            </c:numLit>
          </c:yVal>
          <c:smooth val="0"/>
          <c:extLst>
            <c:ext xmlns:c16="http://schemas.microsoft.com/office/drawing/2014/chart" uri="{C3380CC4-5D6E-409C-BE32-E72D297353CC}">
              <c16:uniqueId val="{00000015-20FF-4040-9B44-602C31C3F4C1}"/>
            </c:ext>
          </c:extLst>
        </c:ser>
        <c:ser>
          <c:idx val="15"/>
          <c:order val="15"/>
          <c:tx>
            <c:v>RH=30_3</c:v>
          </c:tx>
          <c:spPr>
            <a:ln w="3175">
              <a:solidFill>
                <a:srgbClr val="0000FF"/>
              </a:solidFill>
              <a:prstDash val="solid"/>
            </a:ln>
          </c:spPr>
          <c:marker>
            <c:symbol val="none"/>
          </c:marker>
          <c:xVal>
            <c:numLit>
              <c:formatCode>General</c:formatCode>
              <c:ptCount val="12"/>
              <c:pt idx="0">
                <c:v>38.892602344462084</c:v>
              </c:pt>
              <c:pt idx="1">
                <c:v>39.903630523991851</c:v>
              </c:pt>
              <c:pt idx="2">
                <c:v>40.916820712497518</c:v>
              </c:pt>
              <c:pt idx="3">
                <c:v>41.932357840698131</c:v>
              </c:pt>
              <c:pt idx="4">
                <c:v>42.950435837011995</c:v>
              </c:pt>
              <c:pt idx="5">
                <c:v>43.971260512090304</c:v>
              </c:pt>
              <c:pt idx="6">
                <c:v>44.995050194605206</c:v>
              </c:pt>
              <c:pt idx="7">
                <c:v>46.022036404376692</c:v>
              </c:pt>
              <c:pt idx="8">
                <c:v>47.052464565732187</c:v>
              </c:pt>
              <c:pt idx="9">
                <c:v>48.086594764263893</c:v>
              </c:pt>
              <c:pt idx="10">
                <c:v>49.124702550447587</c:v>
              </c:pt>
              <c:pt idx="11">
                <c:v>50</c:v>
              </c:pt>
            </c:numLit>
          </c:xVal>
          <c:yVal>
            <c:numLit>
              <c:formatCode>General</c:formatCode>
              <c:ptCount val="12"/>
              <c:pt idx="0">
                <c:v>1.3341766926117184E-2</c:v>
              </c:pt>
              <c:pt idx="1">
                <c:v>1.4091468488515061E-2</c:v>
              </c:pt>
              <c:pt idx="2">
                <c:v>1.4878506983621821E-2</c:v>
              </c:pt>
              <c:pt idx="3">
                <c:v>1.5704411637157415E-2</c:v>
              </c:pt>
              <c:pt idx="4">
                <c:v>1.6570894482639917E-2</c:v>
              </c:pt>
              <c:pt idx="5">
                <c:v>1.7479739729448066E-2</c:v>
              </c:pt>
              <c:pt idx="6">
                <c:v>1.8432807276633257E-2</c:v>
              </c:pt>
              <c:pt idx="7">
                <c:v>1.9432036457920871E-2</c:v>
              </c:pt>
              <c:pt idx="8">
                <c:v>2.0479450036616827E-2</c:v>
              </c:pt>
              <c:pt idx="9">
                <c:v>2.1577158470815844E-2</c:v>
              </c:pt>
              <c:pt idx="10">
                <c:v>2.272736447115447E-2</c:v>
              </c:pt>
              <c:pt idx="11">
                <c:v>2.3735787197097544E-2</c:v>
              </c:pt>
            </c:numLit>
          </c:yVal>
          <c:smooth val="1"/>
          <c:extLst>
            <c:ext xmlns:c16="http://schemas.microsoft.com/office/drawing/2014/chart" uri="{C3380CC4-5D6E-409C-BE32-E72D297353CC}">
              <c16:uniqueId val="{00000016-20FF-4040-9B44-602C31C3F4C1}"/>
            </c:ext>
          </c:extLst>
        </c:ser>
        <c:ser>
          <c:idx val="16"/>
          <c:order val="16"/>
          <c:tx>
            <c:v>RH=40_1</c:v>
          </c:tx>
          <c:spPr>
            <a:ln w="3175">
              <a:solidFill>
                <a:srgbClr val="0000FF"/>
              </a:solidFill>
              <a:prstDash val="solid"/>
            </a:ln>
          </c:spPr>
          <c:marker>
            <c:symbol val="none"/>
          </c:marker>
          <c:xVal>
            <c:numLit>
              <c:formatCode>General</c:formatCode>
              <c:ptCount val="30"/>
              <c:pt idx="0">
                <c:v>-10.071157666503382</c:v>
              </c:pt>
              <c:pt idx="1">
                <c:v>-9.0764484375794456</c:v>
              </c:pt>
              <c:pt idx="2">
                <c:v>-8.0820545203209271</c:v>
              </c:pt>
              <c:pt idx="3">
                <c:v>-7.0879878126509359</c:v>
              </c:pt>
              <c:pt idx="4">
                <c:v>-6.094260017697489</c:v>
              </c:pt>
              <c:pt idx="5">
                <c:v>-5.1008825599224101</c:v>
              </c:pt>
              <c:pt idx="6">
                <c:v>-4.107866492592299</c:v>
              </c:pt>
              <c:pt idx="7">
                <c:v>-3.1152223960079723</c:v>
              </c:pt>
              <c:pt idx="8">
                <c:v>-2.1229602658786209</c:v>
              </c:pt>
              <c:pt idx="9">
                <c:v>-1.1310893911950206</c:v>
              </c:pt>
              <c:pt idx="10">
                <c:v>-0.1396182209221522</c:v>
              </c:pt>
              <c:pt idx="11">
                <c:v>0.85287002497976261</c:v>
              </c:pt>
              <c:pt idx="12">
                <c:v>1.8451233619897396</c:v>
              </c:pt>
              <c:pt idx="13">
                <c:v>2.8371326004330104</c:v>
              </c:pt>
              <c:pt idx="14">
                <c:v>3.8289035643484142</c:v>
              </c:pt>
              <c:pt idx="15">
                <c:v>4.8204436354700766</c:v>
              </c:pt>
              <c:pt idx="16">
                <c:v>5.8117581188760123</c:v>
              </c:pt>
              <c:pt idx="17">
                <c:v>6.8028613142570338</c:v>
              </c:pt>
              <c:pt idx="18">
                <c:v>7.7937660706380818</c:v>
              </c:pt>
              <c:pt idx="19">
                <c:v>8.784487357391205</c:v>
              </c:pt>
              <c:pt idx="20">
                <c:v>9.7750424233722342</c:v>
              </c:pt>
              <c:pt idx="21">
                <c:v>10.765446266884746</c:v>
              </c:pt>
              <c:pt idx="22">
                <c:v>11.755725510122451</c:v>
              </c:pt>
              <c:pt idx="23">
                <c:v>12.745905270364457</c:v>
              </c:pt>
              <c:pt idx="24">
                <c:v>13.736013666649088</c:v>
              </c:pt>
              <c:pt idx="25">
                <c:v>14.726082022781892</c:v>
              </c:pt>
              <c:pt idx="26">
                <c:v>15.71614508022641</c:v>
              </c:pt>
              <c:pt idx="27">
                <c:v>16.706241221322188</c:v>
              </c:pt>
              <c:pt idx="28">
                <c:v>17.696412703306457</c:v>
              </c:pt>
              <c:pt idx="29">
                <c:v>18.171735229623049</c:v>
              </c:pt>
            </c:numLit>
          </c:xVal>
          <c:yVal>
            <c:numLit>
              <c:formatCode>General</c:formatCode>
              <c:ptCount val="30"/>
              <c:pt idx="0">
                <c:v>6.4143918012905593E-4</c:v>
              </c:pt>
              <c:pt idx="1">
                <c:v>7.008121760973331E-4</c:v>
              </c:pt>
              <c:pt idx="2">
                <c:v>7.651728535674235E-4</c:v>
              </c:pt>
              <c:pt idx="3">
                <c:v>8.3489661881570713E-4</c:v>
              </c:pt>
              <c:pt idx="4">
                <c:v>9.1038381147920844E-4</c:v>
              </c:pt>
              <c:pt idx="5">
                <c:v>9.9206114645107807E-4</c:v>
              </c:pt>
              <c:pt idx="6">
                <c:v>1.0803832292697476E-3</c:v>
              </c:pt>
              <c:pt idx="7">
                <c:v>1.1758341487524879E-3</c:v>
              </c:pt>
              <c:pt idx="8">
                <c:v>1.2789291508880532E-3</c:v>
              </c:pt>
              <c:pt idx="9">
                <c:v>1.3902163982942313E-3</c:v>
              </c:pt>
              <c:pt idx="10">
                <c:v>1.5102788198675821E-3</c:v>
              </c:pt>
              <c:pt idx="11">
                <c:v>1.6240153047000082E-3</c:v>
              </c:pt>
              <c:pt idx="12">
                <c:v>1.7451377446048627E-3</c:v>
              </c:pt>
              <c:pt idx="13">
                <c:v>1.8742233352138143E-3</c:v>
              </c:pt>
              <c:pt idx="14">
                <c:v>2.0117229343793344E-3</c:v>
              </c:pt>
              <c:pt idx="15">
                <c:v>2.1581087540872529E-3</c:v>
              </c:pt>
              <c:pt idx="16">
                <c:v>2.3139214615192092E-3</c:v>
              </c:pt>
              <c:pt idx="17">
                <c:v>2.4796388829385293E-3</c:v>
              </c:pt>
              <c:pt idx="18">
                <c:v>2.6558030330016539E-3</c:v>
              </c:pt>
              <c:pt idx="19">
                <c:v>2.8429808348341017E-3</c:v>
              </c:pt>
              <c:pt idx="20">
                <c:v>3.0417650818216663E-3</c:v>
              </c:pt>
              <c:pt idx="21">
                <c:v>3.2528405778045949E-3</c:v>
              </c:pt>
              <c:pt idx="22">
                <c:v>3.4767987665084011E-3</c:v>
              </c:pt>
              <c:pt idx="23">
                <c:v>3.7143170301272206E-3</c:v>
              </c:pt>
              <c:pt idx="24">
                <c:v>3.9661029174285749E-3</c:v>
              </c:pt>
              <c:pt idx="25">
                <c:v>4.2328953161507891E-3</c:v>
              </c:pt>
              <c:pt idx="26">
                <c:v>4.5154656750827386E-3</c:v>
              </c:pt>
              <c:pt idx="27">
                <c:v>4.8146192790791617E-3</c:v>
              </c:pt>
              <c:pt idx="28">
                <c:v>5.1311965805394127E-3</c:v>
              </c:pt>
              <c:pt idx="29">
                <c:v>5.289598667499288E-3</c:v>
              </c:pt>
            </c:numLit>
          </c:yVal>
          <c:smooth val="1"/>
          <c:extLst>
            <c:ext xmlns:c16="http://schemas.microsoft.com/office/drawing/2014/chart" uri="{C3380CC4-5D6E-409C-BE32-E72D297353CC}">
              <c16:uniqueId val="{00000017-20FF-4040-9B44-602C31C3F4C1}"/>
            </c:ext>
          </c:extLst>
        </c:ser>
        <c:ser>
          <c:idx val="17"/>
          <c:order val="17"/>
          <c:tx>
            <c:v>RH=40_Label1</c:v>
          </c:tx>
          <c:spPr>
            <a:ln w="3175">
              <a:solidFill>
                <a:srgbClr val="0000FF"/>
              </a:solidFill>
              <a:prstDash val="solid"/>
            </a:ln>
          </c:spPr>
          <c:marker>
            <c:symbol val="none"/>
          </c:marker>
          <c:dLbls>
            <c:dLbl>
              <c:idx val="0"/>
              <c:tx>
                <c:rich>
                  <a:bodyPr rot="-15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18.696609618261668</c:v>
              </c:pt>
            </c:numLit>
          </c:xVal>
          <c:yVal>
            <c:numLit>
              <c:formatCode>General</c:formatCode>
              <c:ptCount val="1"/>
              <c:pt idx="0">
                <c:v>5.4695188532680209E-3</c:v>
              </c:pt>
            </c:numLit>
          </c:yVal>
          <c:smooth val="0"/>
          <c:extLst>
            <c:ext xmlns:c16="http://schemas.microsoft.com/office/drawing/2014/chart" uri="{C3380CC4-5D6E-409C-BE32-E72D297353CC}">
              <c16:uniqueId val="{00000019-20FF-4040-9B44-602C31C3F4C1}"/>
            </c:ext>
          </c:extLst>
        </c:ser>
        <c:ser>
          <c:idx val="18"/>
          <c:order val="18"/>
          <c:tx>
            <c:v>RH=40_2</c:v>
          </c:tx>
          <c:spPr>
            <a:ln w="3175">
              <a:solidFill>
                <a:srgbClr val="0000FF"/>
              </a:solidFill>
              <a:prstDash val="solid"/>
            </a:ln>
          </c:spPr>
          <c:marker>
            <c:symbol val="none"/>
          </c:marker>
          <c:xVal>
            <c:numLit>
              <c:formatCode>General</c:formatCode>
              <c:ptCount val="17"/>
              <c:pt idx="0">
                <c:v>19.211627821712195</c:v>
              </c:pt>
              <c:pt idx="1">
                <c:v>20.202207062511963</c:v>
              </c:pt>
              <c:pt idx="2">
                <c:v>21.193045521947305</c:v>
              </c:pt>
              <c:pt idx="3">
                <c:v>22.184206264025072</c:v>
              </c:pt>
              <c:pt idx="4">
                <c:v>23.175757742162592</c:v>
              </c:pt>
              <c:pt idx="5">
                <c:v>24.167774118297825</c:v>
              </c:pt>
              <c:pt idx="6">
                <c:v>25.1603316445307</c:v>
              </c:pt>
              <c:pt idx="7">
                <c:v>26.153517149618409</c:v>
              </c:pt>
              <c:pt idx="8">
                <c:v>27.14742747249446</c:v>
              </c:pt>
              <c:pt idx="9">
                <c:v>28.142163180108163</c:v>
              </c:pt>
              <c:pt idx="10">
                <c:v>29.137832409025819</c:v>
              </c:pt>
              <c:pt idx="11">
                <c:v>30.134551295721444</c:v>
              </c:pt>
              <c:pt idx="12">
                <c:v>31.132444429611024</c:v>
              </c:pt>
              <c:pt idx="13">
                <c:v>32.131645330365913</c:v>
              </c:pt>
              <c:pt idx="14">
                <c:v>33.132296951182454</c:v>
              </c:pt>
              <c:pt idx="15">
                <c:v>34.13455220983942</c:v>
              </c:pt>
              <c:pt idx="16">
                <c:v>34.726700730219605</c:v>
              </c:pt>
            </c:numLit>
          </c:xVal>
          <c:yVal>
            <c:numLit>
              <c:formatCode>General</c:formatCode>
              <c:ptCount val="17"/>
              <c:pt idx="0">
                <c:v>5.6512912640590517E-3</c:v>
              </c:pt>
              <c:pt idx="1">
                <c:v>6.0159538060022208E-3</c:v>
              </c:pt>
              <c:pt idx="2">
                <c:v>6.4013091486796996E-3</c:v>
              </c:pt>
              <c:pt idx="3">
                <c:v>6.8083754788367118E-3</c:v>
              </c:pt>
              <c:pt idx="4">
                <c:v>7.2382147244076525E-3</c:v>
              </c:pt>
              <c:pt idx="5">
                <c:v>7.6919343649579095E-3</c:v>
              </c:pt>
              <c:pt idx="6">
                <c:v>8.1707767158846062E-3</c:v>
              </c:pt>
              <c:pt idx="7">
                <c:v>8.6759520844244559E-3</c:v>
              </c:pt>
              <c:pt idx="8">
                <c:v>9.208645282612761E-3</c:v>
              </c:pt>
              <c:pt idx="9">
                <c:v>9.7701679465518245E-3</c:v>
              </c:pt>
              <c:pt idx="10">
                <c:v>1.0361888011305007E-2</c:v>
              </c:pt>
              <c:pt idx="11">
                <c:v>1.0985232215656456E-2</c:v>
              </c:pt>
              <c:pt idx="12">
                <c:v>1.1641688754542854E-2</c:v>
              </c:pt>
              <c:pt idx="13">
                <c:v>1.2332810090782168E-2</c:v>
              </c:pt>
              <c:pt idx="14">
                <c:v>1.3060215938736743E-2</c:v>
              </c:pt>
              <c:pt idx="15">
                <c:v>1.3825596433664258E-2</c:v>
              </c:pt>
              <c:pt idx="16">
                <c:v>1.4295694061418956E-2</c:v>
              </c:pt>
            </c:numLit>
          </c:yVal>
          <c:smooth val="1"/>
          <c:extLst>
            <c:ext xmlns:c16="http://schemas.microsoft.com/office/drawing/2014/chart" uri="{C3380CC4-5D6E-409C-BE32-E72D297353CC}">
              <c16:uniqueId val="{0000001A-20FF-4040-9B44-602C31C3F4C1}"/>
            </c:ext>
          </c:extLst>
        </c:ser>
        <c:ser>
          <c:idx val="19"/>
          <c:order val="19"/>
          <c:tx>
            <c:v>RH=40_Label2</c:v>
          </c:tx>
          <c:spPr>
            <a:ln w="3175">
              <a:solidFill>
                <a:srgbClr val="0000FF"/>
              </a:solidFill>
              <a:prstDash val="solid"/>
            </a:ln>
          </c:spPr>
          <c:marker>
            <c:symbol val="none"/>
          </c:marker>
          <c:dLbls>
            <c:dLbl>
              <c:idx val="0"/>
              <c:tx>
                <c:rich>
                  <a:bodyPr rot="-28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35.028040308533853</c:v>
              </c:pt>
            </c:numLit>
          </c:xVal>
          <c:yVal>
            <c:numLit>
              <c:formatCode>General</c:formatCode>
              <c:ptCount val="1"/>
              <c:pt idx="0">
                <c:v>1.4540151098681935E-2</c:v>
              </c:pt>
            </c:numLit>
          </c:yVal>
          <c:smooth val="0"/>
          <c:extLst>
            <c:ext xmlns:c16="http://schemas.microsoft.com/office/drawing/2014/chart" uri="{C3380CC4-5D6E-409C-BE32-E72D297353CC}">
              <c16:uniqueId val="{0000001C-20FF-4040-9B44-602C31C3F4C1}"/>
            </c:ext>
          </c:extLst>
        </c:ser>
        <c:ser>
          <c:idx val="20"/>
          <c:order val="20"/>
          <c:tx>
            <c:v>RH=40_3</c:v>
          </c:tx>
          <c:spPr>
            <a:ln w="3175">
              <a:solidFill>
                <a:srgbClr val="0000FF"/>
              </a:solidFill>
              <a:prstDash val="solid"/>
            </a:ln>
          </c:spPr>
          <c:marker>
            <c:symbol val="none"/>
          </c:marker>
          <c:xVal>
            <c:numLit>
              <c:formatCode>General</c:formatCode>
              <c:ptCount val="16"/>
              <c:pt idx="0">
                <c:v>35.329552776174317</c:v>
              </c:pt>
              <c:pt idx="1">
                <c:v>36.335906363098594</c:v>
              </c:pt>
              <c:pt idx="2">
                <c:v>37.344424679792851</c:v>
              </c:pt>
              <c:pt idx="3">
                <c:v>38.355308879053233</c:v>
              </c:pt>
              <c:pt idx="4">
                <c:v>39.368773366008369</c:v>
              </c:pt>
              <c:pt idx="5">
                <c:v>40.385044078419881</c:v>
              </c:pt>
              <c:pt idx="6">
                <c:v>41.404366085039008</c:v>
              </c:pt>
              <c:pt idx="7">
                <c:v>42.426999385462096</c:v>
              </c:pt>
              <c:pt idx="8">
                <c:v>43.453219557967351</c:v>
              </c:pt>
              <c:pt idx="9">
                <c:v>44.483319737831081</c:v>
              </c:pt>
              <c:pt idx="10">
                <c:v>45.517611653111167</c:v>
              </c:pt>
              <c:pt idx="11">
                <c:v>46.556426731421674</c:v>
              </c:pt>
              <c:pt idx="12">
                <c:v>47.600117283983685</c:v>
              </c:pt>
              <c:pt idx="13">
                <c:v>48.64905777389</c:v>
              </c:pt>
              <c:pt idx="14">
                <c:v>49.703646176251077</c:v>
              </c:pt>
              <c:pt idx="15">
                <c:v>50.000000000000007</c:v>
              </c:pt>
            </c:numLit>
          </c:xVal>
          <c:yVal>
            <c:numLit>
              <c:formatCode>General</c:formatCode>
              <c:ptCount val="16"/>
              <c:pt idx="0">
                <c:v>1.478833119366236E-2</c:v>
              </c:pt>
              <c:pt idx="1">
                <c:v>1.5643145109583971E-2</c:v>
              </c:pt>
              <c:pt idx="2">
                <c:v>1.6541836193495318E-2</c:v>
              </c:pt>
              <c:pt idx="3">
                <c:v>1.7486428909881571E-2</c:v>
              </c:pt>
              <c:pt idx="4">
                <c:v>1.8479038209467172E-2</c:v>
              </c:pt>
              <c:pt idx="5">
                <c:v>1.9522018510706687E-2</c:v>
              </c:pt>
              <c:pt idx="6">
                <c:v>2.0617611971505051E-2</c:v>
              </c:pt>
              <c:pt idx="7">
                <c:v>2.1768183432671905E-2</c:v>
              </c:pt>
              <c:pt idx="8">
                <c:v>2.2976262300941908E-2</c:v>
              </c:pt>
              <c:pt idx="9">
                <c:v>2.424449573781436E-2</c:v>
              </c:pt>
              <c:pt idx="10">
                <c:v>2.5575655332400155E-2</c:v>
              </c:pt>
              <c:pt idx="11">
                <c:v>2.6972644274486847E-2</c:v>
              </c:pt>
              <c:pt idx="12">
                <c:v>2.8438505072725828E-2</c:v>
              </c:pt>
              <c:pt idx="13">
                <c:v>2.9976427867378353E-2</c:v>
              </c:pt>
              <c:pt idx="14">
                <c:v>3.1589759392127853E-2</c:v>
              </c:pt>
              <c:pt idx="15">
                <c:v>3.2055479665609135E-2</c:v>
              </c:pt>
            </c:numLit>
          </c:yVal>
          <c:smooth val="1"/>
          <c:extLst>
            <c:ext xmlns:c16="http://schemas.microsoft.com/office/drawing/2014/chart" uri="{C3380CC4-5D6E-409C-BE32-E72D297353CC}">
              <c16:uniqueId val="{0000001D-20FF-4040-9B44-602C31C3F4C1}"/>
            </c:ext>
          </c:extLst>
        </c:ser>
        <c:ser>
          <c:idx val="21"/>
          <c:order val="21"/>
          <c:tx>
            <c:v>RH=50_1</c:v>
          </c:tx>
          <c:spPr>
            <a:ln w="3175">
              <a:solidFill>
                <a:srgbClr val="FF6600"/>
              </a:solidFill>
              <a:prstDash val="solid"/>
            </a:ln>
          </c:spPr>
          <c:marker>
            <c:symbol val="none"/>
          </c:marker>
          <c:xVal>
            <c:numLit>
              <c:formatCode>General</c:formatCode>
              <c:ptCount val="28"/>
              <c:pt idx="0">
                <c:v>-10.08897002151055</c:v>
              </c:pt>
              <c:pt idx="1">
                <c:v>-9.0955874726249295</c:v>
              </c:pt>
              <c:pt idx="2">
                <c:v>-8.1025997054790633</c:v>
              </c:pt>
              <c:pt idx="3">
                <c:v>-7.1100216869101676</c:v>
              </c:pt>
              <c:pt idx="4">
                <c:v>-6.1178681526317034</c:v>
              </c:pt>
              <c:pt idx="5">
                <c:v>-5.1261535037671155</c:v>
              </c:pt>
              <c:pt idx="6">
                <c:v>-4.1348916926731265</c:v>
              </c:pt>
              <c:pt idx="7">
                <c:v>-3.1440960973251273</c:v>
              </c:pt>
              <c:pt idx="8">
                <c:v>-2.1537793834979757</c:v>
              </c:pt>
              <c:pt idx="9">
                <c:v>-1.1639533539336429</c:v>
              </c:pt>
              <c:pt idx="10">
                <c:v>-0.17462878364218917</c:v>
              </c:pt>
              <c:pt idx="11">
                <c:v>0.81596740205832308</c:v>
              </c:pt>
              <c:pt idx="12">
                <c:v>1.806268310463421</c:v>
              </c:pt>
              <c:pt idx="13">
                <c:v>2.7962622689140946</c:v>
              </c:pt>
              <c:pt idx="14">
                <c:v>3.785956380554413</c:v>
              </c:pt>
              <c:pt idx="15">
                <c:v>4.7753596834764709</c:v>
              </c:pt>
              <c:pt idx="16">
                <c:v>5.7644785989372425</c:v>
              </c:pt>
              <c:pt idx="17">
                <c:v>6.753330794661875</c:v>
              </c:pt>
              <c:pt idx="18">
                <c:v>7.7419321061698998</c:v>
              </c:pt>
              <c:pt idx="19">
                <c:v>8.7303010079445151</c:v>
              </c:pt>
              <c:pt idx="20">
                <c:v>9.7184588131024761</c:v>
              </c:pt>
              <c:pt idx="21">
                <c:v>10.706423996530482</c:v>
              </c:pt>
              <c:pt idx="22">
                <c:v>11.694229582027464</c:v>
              </c:pt>
              <c:pt idx="23">
                <c:v>12.681906693511435</c:v>
              </c:pt>
              <c:pt idx="24">
                <c:v>13.669490203078148</c:v>
              </c:pt>
              <c:pt idx="25">
                <c:v>14.657018987720264</c:v>
              </c:pt>
              <c:pt idx="26">
                <c:v>15.644536199075654</c:v>
              </c:pt>
              <c:pt idx="27">
                <c:v>16.444449259100793</c:v>
              </c:pt>
            </c:numLit>
          </c:xVal>
          <c:yVal>
            <c:numLit>
              <c:formatCode>General</c:formatCode>
              <c:ptCount val="28"/>
              <c:pt idx="0">
                <c:v>8.0200574945888238E-4</c:v>
              </c:pt>
              <c:pt idx="1">
                <c:v>8.7626205085363938E-4</c:v>
              </c:pt>
              <c:pt idx="2">
                <c:v>9.5676032361825683E-4</c:v>
              </c:pt>
              <c:pt idx="3">
                <c:v>1.0439711095229951E-3</c:v>
              </c:pt>
              <c:pt idx="4">
                <c:v>1.1383963282209435E-3</c:v>
              </c:pt>
              <c:pt idx="5">
                <c:v>1.2405711123139587E-3</c:v>
              </c:pt>
              <c:pt idx="6">
                <c:v>1.3510657390398758E-3</c:v>
              </c:pt>
              <c:pt idx="7">
                <c:v>1.4704876639184206E-3</c:v>
              </c:pt>
              <c:pt idx="8">
                <c:v>1.5994836621067371E-3</c:v>
              </c:pt>
              <c:pt idx="9">
                <c:v>1.7387420836732516E-3</c:v>
              </c:pt>
              <c:pt idx="10">
                <c:v>1.8889952295058313E-3</c:v>
              </c:pt>
              <c:pt idx="11">
                <c:v>2.0313451122375144E-3</c:v>
              </c:pt>
              <c:pt idx="12">
                <c:v>2.1829534013642305E-3</c:v>
              </c:pt>
              <c:pt idx="13">
                <c:v>2.3445453840359293E-3</c:v>
              </c:pt>
              <c:pt idx="14">
                <c:v>2.5166886531353488E-3</c:v>
              </c:pt>
              <c:pt idx="15">
                <c:v>2.6999779978813701E-3</c:v>
              </c:pt>
              <c:pt idx="16">
                <c:v>2.8950944461037949E-3</c:v>
              </c:pt>
              <c:pt idx="17">
                <c:v>3.1026409173562676E-3</c:v>
              </c:pt>
              <c:pt idx="18">
                <c:v>3.3233013465576106E-3</c:v>
              </c:pt>
              <c:pt idx="19">
                <c:v>3.5577915815344584E-3</c:v>
              </c:pt>
              <c:pt idx="20">
                <c:v>3.8068606722971615E-3</c:v>
              </c:pt>
              <c:pt idx="21">
                <c:v>4.0713738556704586E-3</c:v>
              </c:pt>
              <c:pt idx="22">
                <c:v>4.3520803689922234E-3</c:v>
              </c:pt>
              <c:pt idx="23">
                <c:v>4.6498382203937379E-3</c:v>
              </c:pt>
              <c:pt idx="24">
                <c:v>4.9655444400146668E-3</c:v>
              </c:pt>
              <c:pt idx="25">
                <c:v>5.300136687456442E-3</c:v>
              </c:pt>
              <c:pt idx="26">
                <c:v>5.654594935640289E-3</c:v>
              </c:pt>
              <c:pt idx="27">
                <c:v>5.9569705434108725E-3</c:v>
              </c:pt>
            </c:numLit>
          </c:yVal>
          <c:smooth val="1"/>
          <c:extLst>
            <c:ext xmlns:c16="http://schemas.microsoft.com/office/drawing/2014/chart" uri="{C3380CC4-5D6E-409C-BE32-E72D297353CC}">
              <c16:uniqueId val="{0000001E-20FF-4040-9B44-602C31C3F4C1}"/>
            </c:ext>
          </c:extLst>
        </c:ser>
        <c:ser>
          <c:idx val="22"/>
          <c:order val="22"/>
          <c:tx>
            <c:v>RH=50_Label1</c:v>
          </c:tx>
          <c:spPr>
            <a:ln w="3175">
              <a:solidFill>
                <a:srgbClr val="FF6600"/>
              </a:solidFill>
              <a:prstDash val="solid"/>
            </a:ln>
          </c:spPr>
          <c:marker>
            <c:symbol val="none"/>
          </c:marker>
          <c:dLbls>
            <c:dLbl>
              <c:idx val="0"/>
              <c:tx>
                <c:rich>
                  <a:bodyPr rot="-16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16.938246504261446</c:v>
              </c:pt>
            </c:numLit>
          </c:xVal>
          <c:yVal>
            <c:numLit>
              <c:formatCode>General</c:formatCode>
              <c:ptCount val="1"/>
              <c:pt idx="0">
                <c:v>6.1507089523445638E-3</c:v>
              </c:pt>
            </c:numLit>
          </c:yVal>
          <c:smooth val="0"/>
          <c:extLst>
            <c:ext xmlns:c16="http://schemas.microsoft.com/office/drawing/2014/chart" uri="{C3380CC4-5D6E-409C-BE32-E72D297353CC}">
              <c16:uniqueId val="{00000020-20FF-4040-9B44-602C31C3F4C1}"/>
            </c:ext>
          </c:extLst>
        </c:ser>
        <c:ser>
          <c:idx val="23"/>
          <c:order val="23"/>
          <c:tx>
            <c:v>RH=50_2</c:v>
          </c:tx>
          <c:spPr>
            <a:ln w="3175">
              <a:solidFill>
                <a:srgbClr val="FF6600"/>
              </a:solidFill>
              <a:prstDash val="solid"/>
            </a:ln>
          </c:spPr>
          <c:marker>
            <c:symbol val="none"/>
          </c:marker>
          <c:xVal>
            <c:numLit>
              <c:formatCode>General</c:formatCode>
              <c:ptCount val="16"/>
              <c:pt idx="0">
                <c:v>17.422193396353077</c:v>
              </c:pt>
              <c:pt idx="1">
                <c:v>18.409947717682584</c:v>
              </c:pt>
              <c:pt idx="2">
                <c:v>19.397898605362961</c:v>
              </c:pt>
              <c:pt idx="3">
                <c:v>20.386113938329231</c:v>
              </c:pt>
              <c:pt idx="4">
                <c:v>21.374667728823542</c:v>
              </c:pt>
              <c:pt idx="5">
                <c:v>22.363640501219667</c:v>
              </c:pt>
              <c:pt idx="6">
                <c:v>23.353119690709409</c:v>
              </c:pt>
              <c:pt idx="7">
                <c:v>24.343200063094248</c:v>
              </c:pt>
              <c:pt idx="8">
                <c:v>25.333976607753801</c:v>
              </c:pt>
              <c:pt idx="9">
                <c:v>26.32556544086038</c:v>
              </c:pt>
              <c:pt idx="10">
                <c:v>27.318087972919766</c:v>
              </c:pt>
              <c:pt idx="11">
                <c:v>28.311673026562932</c:v>
              </c:pt>
              <c:pt idx="12">
                <c:v>29.306459234239682</c:v>
              </c:pt>
              <c:pt idx="13">
                <c:v>30.302595619159391</c:v>
              </c:pt>
              <c:pt idx="14">
                <c:v>31.300242210065303</c:v>
              </c:pt>
              <c:pt idx="15">
                <c:v>31.909621057494508</c:v>
              </c:pt>
            </c:numLit>
          </c:xVal>
          <c:yVal>
            <c:numLit>
              <c:formatCode>General</c:formatCode>
              <c:ptCount val="16"/>
              <c:pt idx="0">
                <c:v>6.3459801520872189E-3</c:v>
              </c:pt>
              <c:pt idx="1">
                <c:v>6.7616590159105252E-3</c:v>
              </c:pt>
              <c:pt idx="2">
                <c:v>7.201345919761834E-3</c:v>
              </c:pt>
              <c:pt idx="3">
                <c:v>7.6662501480482086E-3</c:v>
              </c:pt>
              <c:pt idx="4">
                <c:v>8.1576348814824777E-3</c:v>
              </c:pt>
              <c:pt idx="5">
                <c:v>8.676819571731012E-3</c:v>
              </c:pt>
              <c:pt idx="6">
                <c:v>9.2251824498550249E-3</c:v>
              </c:pt>
              <c:pt idx="7">
                <c:v>9.8041631790234604E-3</c:v>
              </c:pt>
              <c:pt idx="8">
                <c:v>1.0415434386378618E-2</c:v>
              </c:pt>
              <c:pt idx="9">
                <c:v>1.1060464555396202E-2</c:v>
              </c:pt>
              <c:pt idx="10">
                <c:v>1.1740857774937448E-2</c:v>
              </c:pt>
              <c:pt idx="11">
                <c:v>1.2458331691968276E-2</c:v>
              </c:pt>
              <c:pt idx="12">
                <c:v>1.3214681421134968E-2</c:v>
              </c:pt>
              <c:pt idx="13">
                <c:v>1.4011783353652977E-2</c:v>
              </c:pt>
              <c:pt idx="14">
                <c:v>1.4851599216421624E-2</c:v>
              </c:pt>
              <c:pt idx="15">
                <c:v>1.5385734079129848E-2</c:v>
              </c:pt>
            </c:numLit>
          </c:yVal>
          <c:smooth val="1"/>
          <c:extLst>
            <c:ext xmlns:c16="http://schemas.microsoft.com/office/drawing/2014/chart" uri="{C3380CC4-5D6E-409C-BE32-E72D297353CC}">
              <c16:uniqueId val="{00000021-20FF-4040-9B44-602C31C3F4C1}"/>
            </c:ext>
          </c:extLst>
        </c:ser>
        <c:ser>
          <c:idx val="24"/>
          <c:order val="24"/>
          <c:tx>
            <c:v>RH=50_Label2</c:v>
          </c:tx>
          <c:spPr>
            <a:ln w="3175">
              <a:solidFill>
                <a:srgbClr val="FF6600"/>
              </a:solidFill>
              <a:prstDash val="solid"/>
            </a:ln>
          </c:spPr>
          <c:marker>
            <c:symbol val="none"/>
          </c:marker>
          <c:dLbls>
            <c:dLbl>
              <c:idx val="0"/>
              <c:tx>
                <c:rich>
                  <a:bodyPr rot="-30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32.209557548226279</c:v>
              </c:pt>
            </c:numLit>
          </c:xVal>
          <c:yVal>
            <c:numLit>
              <c:formatCode>General</c:formatCode>
              <c:ptCount val="1"/>
              <c:pt idx="0">
                <c:v>1.565467970435885E-2</c:v>
              </c:pt>
            </c:numLit>
          </c:yVal>
          <c:smooth val="0"/>
          <c:extLst>
            <c:ext xmlns:c16="http://schemas.microsoft.com/office/drawing/2014/chart" uri="{C3380CC4-5D6E-409C-BE32-E72D297353CC}">
              <c16:uniqueId val="{00000023-20FF-4040-9B44-602C31C3F4C1}"/>
            </c:ext>
          </c:extLst>
        </c:ser>
        <c:ser>
          <c:idx val="25"/>
          <c:order val="25"/>
          <c:tx>
            <c:v>RH=50_3</c:v>
          </c:tx>
          <c:spPr>
            <a:ln w="3175">
              <a:solidFill>
                <a:srgbClr val="FF6600"/>
              </a:solidFill>
              <a:prstDash val="solid"/>
            </a:ln>
          </c:spPr>
          <c:marker>
            <c:symbol val="none"/>
          </c:marker>
          <c:xVal>
            <c:numLit>
              <c:formatCode>General</c:formatCode>
              <c:ptCount val="18"/>
              <c:pt idx="0">
                <c:v>32.50966034549127</c:v>
              </c:pt>
              <c:pt idx="1">
                <c:v>33.511271187330614</c:v>
              </c:pt>
              <c:pt idx="2">
                <c:v>34.514988192934567</c:v>
              </c:pt>
              <c:pt idx="3">
                <c:v>35.521025346691431</c:v>
              </c:pt>
              <c:pt idx="4">
                <c:v>36.529611499761643</c:v>
              </c:pt>
              <c:pt idx="5">
                <c:v>37.540991263473543</c:v>
              </c:pt>
              <c:pt idx="6">
                <c:v>38.555425961918715</c:v>
              </c:pt>
              <c:pt idx="7">
                <c:v>39.573194603758857</c:v>
              </c:pt>
              <c:pt idx="8">
                <c:v>40.594590851639929</c:v>
              </c:pt>
              <c:pt idx="9">
                <c:v>41.619937316690823</c:v>
              </c:pt>
              <c:pt idx="10">
                <c:v>42.649573211420787</c:v>
              </c:pt>
              <c:pt idx="11">
                <c:v>43.683860328611424</c:v>
              </c:pt>
              <c:pt idx="12">
                <c:v>44.723184479726754</c:v>
              </c:pt>
              <c:pt idx="13">
                <c:v>45.767957042375727</c:v>
              </c:pt>
              <c:pt idx="14">
                <c:v>46.818616627355617</c:v>
              </c:pt>
              <c:pt idx="15">
                <c:v>47.87563087698836</c:v>
              </c:pt>
              <c:pt idx="16">
                <c:v>48.939498407794616</c:v>
              </c:pt>
              <c:pt idx="17">
                <c:v>50</c:v>
              </c:pt>
            </c:numLit>
          </c:xVal>
          <c:yVal>
            <c:numLit>
              <c:formatCode>General</c:formatCode>
              <c:ptCount val="18"/>
              <c:pt idx="0">
                <c:v>1.5927828907446664E-2</c:v>
              </c:pt>
              <c:pt idx="1">
                <c:v>1.6869454213500404E-2</c:v>
              </c:pt>
              <c:pt idx="2">
                <c:v>1.7860719974887418E-2</c:v>
              </c:pt>
              <c:pt idx="3">
                <c:v>1.8903998294804217E-2</c:v>
              </c:pt>
              <c:pt idx="4">
                <c:v>2.000177271349279E-2</c:v>
              </c:pt>
              <c:pt idx="5">
                <c:v>2.1156644378631805E-2</c:v>
              </c:pt>
              <c:pt idx="6">
                <c:v>2.2371338671019026E-2</c:v>
              </c:pt>
              <c:pt idx="7">
                <c:v>2.3648714769532078E-2</c:v>
              </c:pt>
              <c:pt idx="8">
                <c:v>2.4992022393473451E-2</c:v>
              </c:pt>
              <c:pt idx="9">
                <c:v>2.6404178570594451E-2</c:v>
              </c:pt>
              <c:pt idx="10">
                <c:v>2.7888485033202765E-2</c:v>
              </c:pt>
              <c:pt idx="11">
                <c:v>2.9448409483270498E-2</c:v>
              </c:pt>
              <c:pt idx="12">
                <c:v>3.1087595987123743E-2</c:v>
              </c:pt>
              <c:pt idx="13">
                <c:v>3.2809876218774625E-2</c:v>
              </c:pt>
              <c:pt idx="14">
                <c:v>3.4619281634166249E-2</c:v>
              </c:pt>
              <c:pt idx="15">
                <c:v>3.6520056667667937E-2</c:v>
              </c:pt>
              <c:pt idx="16">
                <c:v>3.8516673052359653E-2</c:v>
              </c:pt>
              <c:pt idx="17">
                <c:v>4.0592359792918926E-2</c:v>
              </c:pt>
            </c:numLit>
          </c:yVal>
          <c:smooth val="1"/>
          <c:extLst>
            <c:ext xmlns:c16="http://schemas.microsoft.com/office/drawing/2014/chart" uri="{C3380CC4-5D6E-409C-BE32-E72D297353CC}">
              <c16:uniqueId val="{00000024-20FF-4040-9B44-602C31C3F4C1}"/>
            </c:ext>
          </c:extLst>
        </c:ser>
        <c:ser>
          <c:idx val="26"/>
          <c:order val="26"/>
          <c:tx>
            <c:v>RH=60_1</c:v>
          </c:tx>
          <c:spPr>
            <a:ln w="3175">
              <a:solidFill>
                <a:srgbClr val="0000FF"/>
              </a:solidFill>
              <a:prstDash val="solid"/>
            </a:ln>
          </c:spPr>
          <c:marker>
            <c:symbol val="none"/>
          </c:marker>
          <c:xVal>
            <c:numLit>
              <c:formatCode>General</c:formatCode>
              <c:ptCount val="27"/>
              <c:pt idx="0">
                <c:v>-10.106791566071182</c:v>
              </c:pt>
              <c:pt idx="1">
                <c:v>-9.114737296143911</c:v>
              </c:pt>
              <c:pt idx="2">
                <c:v>-8.1231575359745278</c:v>
              </c:pt>
              <c:pt idx="3">
                <c:v>-7.1320703593639401</c:v>
              </c:pt>
              <c:pt idx="4">
                <c:v>-6.1414935776753259</c:v>
              </c:pt>
              <c:pt idx="5">
                <c:v>-5.1514446173368293</c:v>
              </c:pt>
              <c:pt idx="6">
                <c:v>-4.1619403846292249</c:v>
              </c:pt>
              <c:pt idx="7">
                <c:v>-3.1729971168886375</c:v>
              </c:pt>
              <c:pt idx="8">
                <c:v>-2.1846302192056264</c:v>
              </c:pt>
              <c:pt idx="9">
                <c:v>-1.1968540856493599</c:v>
              </c:pt>
              <c:pt idx="10">
                <c:v>-0.20968190398886188</c:v>
              </c:pt>
              <c:pt idx="11">
                <c:v>0.77901653902700452</c:v>
              </c:pt>
              <c:pt idx="12">
                <c:v>1.7673586730365087</c:v>
              </c:pt>
              <c:pt idx="13">
                <c:v>2.7553302668322517</c:v>
              </c:pt>
              <c:pt idx="14">
                <c:v>3.742939630389412</c:v>
              </c:pt>
              <c:pt idx="15">
                <c:v>4.7301973807635171</c:v>
              </c:pt>
              <c:pt idx="16">
                <c:v>5.7171109692723858</c:v>
              </c:pt>
              <c:pt idx="17">
                <c:v>6.7037013465567465</c:v>
              </c:pt>
              <c:pt idx="18">
                <c:v>7.6899872415691117</c:v>
              </c:pt>
              <c:pt idx="19">
                <c:v>8.6759905358320282</c:v>
              </c:pt>
              <c:pt idx="20">
                <c:v>9.6617365038877931</c:v>
              </c:pt>
              <c:pt idx="21">
                <c:v>10.647246983750058</c:v>
              </c:pt>
              <c:pt idx="22">
                <c:v>11.632561294510978</c:v>
              </c:pt>
              <c:pt idx="23">
                <c:v>12.617716452210654</c:v>
              </c:pt>
              <c:pt idx="24">
                <c:v>13.60275396515117</c:v>
              </c:pt>
              <c:pt idx="25">
                <c:v>14.587720145442251</c:v>
              </c:pt>
              <c:pt idx="26">
                <c:v>14.971848553064145</c:v>
              </c:pt>
            </c:numLit>
          </c:xVal>
          <c:yVal>
            <c:numLit>
              <c:formatCode>General</c:formatCode>
              <c:ptCount val="27"/>
              <c:pt idx="0">
                <c:v>9.6265515651978821E-4</c:v>
              </c:pt>
              <c:pt idx="1">
                <c:v>1.0518108248658113E-3</c:v>
              </c:pt>
              <c:pt idx="2">
                <c:v>1.1484657136667973E-3</c:v>
              </c:pt>
              <c:pt idx="3">
                <c:v>1.253186016979086E-3</c:v>
              </c:pt>
              <c:pt idx="4">
                <c:v>1.3665758366107619E-3</c:v>
              </c:pt>
              <c:pt idx="5">
                <c:v>1.4892794236642264E-3</c:v>
              </c:pt>
              <c:pt idx="6">
                <c:v>1.6219835417861427E-3</c:v>
              </c:pt>
              <c:pt idx="7">
                <c:v>1.7654199593220663E-3</c:v>
              </c:pt>
              <c:pt idx="8">
                <c:v>1.9203680781726613E-3</c:v>
              </c:pt>
              <c:pt idx="9">
                <c:v>2.087657707814211E-3</c:v>
              </c:pt>
              <c:pt idx="10">
                <c:v>2.2681719936859684E-3</c:v>
              </c:pt>
              <c:pt idx="11">
                <c:v>2.4392073923505966E-3</c:v>
              </c:pt>
              <c:pt idx="12">
                <c:v>2.6213841277472243E-3</c:v>
              </c:pt>
              <c:pt idx="13">
                <c:v>2.815577116984156E-3</c:v>
              </c:pt>
              <c:pt idx="14">
                <c:v>3.0224723215083122E-3</c:v>
              </c:pt>
              <c:pt idx="15">
                <c:v>3.2427889480513973E-3</c:v>
              </c:pt>
              <c:pt idx="16">
                <c:v>3.4773504999020071E-3</c:v>
              </c:pt>
              <c:pt idx="17">
                <c:v>3.7268872888711327E-3</c:v>
              </c:pt>
              <c:pt idx="18">
                <c:v>3.9922277903414322E-3</c:v>
              </c:pt>
              <c:pt idx="19">
                <c:v>4.2742397187644924E-3</c:v>
              </c:pt>
              <c:pt idx="20">
                <c:v>4.5738316813021601E-3</c:v>
              </c:pt>
              <c:pt idx="21">
                <c:v>4.8920531340976188E-3</c:v>
              </c:pt>
              <c:pt idx="22">
                <c:v>5.2298151913123467E-3</c:v>
              </c:pt>
              <c:pt idx="23">
                <c:v>5.5881611315908462E-3</c:v>
              </c:pt>
              <c:pt idx="24">
                <c:v>5.968182662155372E-3</c:v>
              </c:pt>
              <c:pt idx="25">
                <c:v>6.3710220228125171E-3</c:v>
              </c:pt>
              <c:pt idx="26">
                <c:v>6.5345703991554396E-3</c:v>
              </c:pt>
            </c:numLit>
          </c:yVal>
          <c:smooth val="1"/>
          <c:extLst>
            <c:ext xmlns:c16="http://schemas.microsoft.com/office/drawing/2014/chart" uri="{C3380CC4-5D6E-409C-BE32-E72D297353CC}">
              <c16:uniqueId val="{00000025-20FF-4040-9B44-602C31C3F4C1}"/>
            </c:ext>
          </c:extLst>
        </c:ser>
        <c:ser>
          <c:idx val="27"/>
          <c:order val="27"/>
          <c:tx>
            <c:v>RH=60_Label1</c:v>
          </c:tx>
          <c:spPr>
            <a:ln w="3175">
              <a:solidFill>
                <a:srgbClr val="0000FF"/>
              </a:solidFill>
              <a:prstDash val="solid"/>
            </a:ln>
          </c:spPr>
          <c:marker>
            <c:symbol val="none"/>
          </c:marker>
          <c:dLbls>
            <c:dLbl>
              <c:idx val="0"/>
              <c:tx>
                <c:rich>
                  <a:bodyPr rot="-18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15.434773089390811</c:v>
              </c:pt>
            </c:numLit>
          </c:xVal>
          <c:yVal>
            <c:numLit>
              <c:formatCode>General</c:formatCode>
              <c:ptCount val="1"/>
              <c:pt idx="0">
                <c:v>6.736623266512377E-3</c:v>
              </c:pt>
            </c:numLit>
          </c:yVal>
          <c:smooth val="0"/>
          <c:extLst>
            <c:ext xmlns:c16="http://schemas.microsoft.com/office/drawing/2014/chart" uri="{C3380CC4-5D6E-409C-BE32-E72D297353CC}">
              <c16:uniqueId val="{00000027-20FF-4040-9B44-602C31C3F4C1}"/>
            </c:ext>
          </c:extLst>
        </c:ser>
        <c:ser>
          <c:idx val="28"/>
          <c:order val="28"/>
          <c:tx>
            <c:v>RH=60_2</c:v>
          </c:tx>
          <c:spPr>
            <a:ln w="3175">
              <a:solidFill>
                <a:srgbClr val="0000FF"/>
              </a:solidFill>
              <a:prstDash val="solid"/>
            </a:ln>
          </c:spPr>
          <c:marker>
            <c:symbol val="none"/>
          </c:marker>
          <c:xVal>
            <c:numLit>
              <c:formatCode>General</c:formatCode>
              <c:ptCount val="15"/>
              <c:pt idx="0">
                <c:v>15.897703887038311</c:v>
              </c:pt>
              <c:pt idx="1">
                <c:v>16.882712907666683</c:v>
              </c:pt>
              <c:pt idx="2">
                <c:v>17.867843780457338</c:v>
              </c:pt>
              <c:pt idx="3">
                <c:v>18.853167632773957</c:v>
              </c:pt>
              <c:pt idx="4">
                <c:v>19.838762357666667</c:v>
              </c:pt>
              <c:pt idx="5">
                <c:v>20.824713047015294</c:v>
              </c:pt>
              <c:pt idx="6">
                <c:v>21.811112448447897</c:v>
              </c:pt>
              <c:pt idx="7">
                <c:v>22.798061447611477</c:v>
              </c:pt>
              <c:pt idx="8">
                <c:v>23.785669577521677</c:v>
              </c:pt>
              <c:pt idx="9">
                <c:v>24.774051831419158</c:v>
              </c:pt>
              <c:pt idx="10">
                <c:v>25.763332537489855</c:v>
              </c:pt>
              <c:pt idx="11">
                <c:v>26.753657982880188</c:v>
              </c:pt>
              <c:pt idx="12">
                <c:v>27.745178065536479</c:v>
              </c:pt>
              <c:pt idx="13">
                <c:v>28.738054370171888</c:v>
              </c:pt>
              <c:pt idx="14">
                <c:v>29.583195155694028</c:v>
              </c:pt>
            </c:numLit>
          </c:xVal>
          <c:yVal>
            <c:numLit>
              <c:formatCode>General</c:formatCode>
              <c:ptCount val="15"/>
              <c:pt idx="0">
                <c:v>6.9442164723304209E-3</c:v>
              </c:pt>
              <c:pt idx="1">
                <c:v>7.4049523400725346E-3</c:v>
              </c:pt>
              <c:pt idx="2">
                <c:v>7.8927032614548986E-3</c:v>
              </c:pt>
              <c:pt idx="3">
                <c:v>8.4088574073189169E-3</c:v>
              </c:pt>
              <c:pt idx="4">
                <c:v>8.9548667635628559E-3</c:v>
              </c:pt>
              <c:pt idx="5">
                <c:v>9.5322500891234421E-3</c:v>
              </c:pt>
              <c:pt idx="6">
                <c:v>1.0142596050639335E-2</c:v>
              </c:pt>
              <c:pt idx="7">
                <c:v>1.0787566548190554E-2</c:v>
              </c:pt>
              <c:pt idx="8">
                <c:v>1.1468900247835185E-2</c:v>
              </c:pt>
              <c:pt idx="9">
                <c:v>1.2188498014486378E-2</c:v>
              </c:pt>
              <c:pt idx="10">
                <c:v>1.2948368636975393E-2</c:v>
              </c:pt>
              <c:pt idx="11">
                <c:v>1.3750351447902053E-2</c:v>
              </c:pt>
              <c:pt idx="12">
                <c:v>1.4596535174992941E-2</c:v>
              </c:pt>
              <c:pt idx="13">
                <c:v>1.5489106949635579E-2</c:v>
              </c:pt>
              <c:pt idx="14">
                <c:v>1.6285973584079443E-2</c:v>
              </c:pt>
            </c:numLit>
          </c:yVal>
          <c:smooth val="1"/>
          <c:extLst>
            <c:ext xmlns:c16="http://schemas.microsoft.com/office/drawing/2014/chart" uri="{C3380CC4-5D6E-409C-BE32-E72D297353CC}">
              <c16:uniqueId val="{00000028-20FF-4040-9B44-602C31C3F4C1}"/>
            </c:ext>
          </c:extLst>
        </c:ser>
        <c:ser>
          <c:idx val="29"/>
          <c:order val="29"/>
          <c:tx>
            <c:v>RH=60_Label2</c:v>
          </c:tx>
          <c:spPr>
            <a:ln w="3175">
              <a:solidFill>
                <a:srgbClr val="0000FF"/>
              </a:solidFill>
              <a:prstDash val="solid"/>
            </a:ln>
          </c:spPr>
          <c:marker>
            <c:symbol val="none"/>
          </c:marker>
          <c:dLbls>
            <c:dLbl>
              <c:idx val="0"/>
              <c:tx>
                <c:rich>
                  <a:bodyPr rot="-31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29.881765236525613</c:v>
              </c:pt>
            </c:numLit>
          </c:xVal>
          <c:yVal>
            <c:numLit>
              <c:formatCode>General</c:formatCode>
              <c:ptCount val="1"/>
              <c:pt idx="0">
                <c:v>1.6575890513595995E-2</c:v>
              </c:pt>
            </c:numLit>
          </c:yVal>
          <c:smooth val="0"/>
          <c:extLst>
            <c:ext xmlns:c16="http://schemas.microsoft.com/office/drawing/2014/chart" uri="{C3380CC4-5D6E-409C-BE32-E72D297353CC}">
              <c16:uniqueId val="{0000002A-20FF-4040-9B44-602C31C3F4C1}"/>
            </c:ext>
          </c:extLst>
        </c:ser>
        <c:ser>
          <c:idx val="30"/>
          <c:order val="30"/>
          <c:tx>
            <c:v>RH=60_3</c:v>
          </c:tx>
          <c:spPr>
            <a:ln w="3175">
              <a:solidFill>
                <a:srgbClr val="0000FF"/>
              </a:solidFill>
              <a:prstDash val="solid"/>
            </a:ln>
          </c:spPr>
          <c:marker>
            <c:symbol val="none"/>
          </c:marker>
          <c:xVal>
            <c:numLit>
              <c:formatCode>General</c:formatCode>
              <c:ptCount val="19"/>
              <c:pt idx="0">
                <c:v>30.180492418482846</c:v>
              </c:pt>
              <c:pt idx="1">
                <c:v>31.177453891540974</c:v>
              </c:pt>
              <c:pt idx="2">
                <c:v>32.176429201565348</c:v>
              </c:pt>
              <c:pt idx="3">
                <c:v>33.177641333674551</c:v>
              </c:pt>
              <c:pt idx="4">
                <c:v>34.181329486483897</c:v>
              </c:pt>
              <c:pt idx="5">
                <c:v>35.18775008865876</c:v>
              </c:pt>
              <c:pt idx="6">
                <c:v>36.19717788603942</c:v>
              </c:pt>
              <c:pt idx="7">
                <c:v>37.209907105737216</c:v>
              </c:pt>
              <c:pt idx="8">
                <c:v>38.226252704299107</c:v>
              </c:pt>
              <c:pt idx="9">
                <c:v>39.246551707818924</c:v>
              </c:pt>
              <c:pt idx="10">
                <c:v>40.271160513360229</c:v>
              </c:pt>
              <c:pt idx="11">
                <c:v>41.300468212126702</c:v>
              </c:pt>
              <c:pt idx="12">
                <c:v>42.334888519870255</c:v>
              </c:pt>
              <c:pt idx="13">
                <c:v>43.374862492056081</c:v>
              </c:pt>
              <c:pt idx="14">
                <c:v>44.420861699804476</c:v>
              </c:pt>
              <c:pt idx="15">
                <c:v>45.473390347027014</c:v>
              </c:pt>
              <c:pt idx="16">
                <c:v>46.53298756667926</c:v>
              </c:pt>
              <c:pt idx="17">
                <c:v>47.600229915093209</c:v>
              </c:pt>
              <c:pt idx="18">
                <c:v>42.698224206857375</c:v>
              </c:pt>
            </c:numLit>
          </c:xVal>
          <c:yVal>
            <c:numLit>
              <c:formatCode>General</c:formatCode>
              <c:ptCount val="19"/>
              <c:pt idx="0">
                <c:v>1.6870437016947411E-2</c:v>
              </c:pt>
              <c:pt idx="1">
                <c:v>1.7886565192149154E-2</c:v>
              </c:pt>
              <c:pt idx="2">
                <c:v>1.8957458295095053E-2</c:v>
              </c:pt>
              <c:pt idx="3">
                <c:v>2.0085809975849678E-2</c:v>
              </c:pt>
              <c:pt idx="4">
                <c:v>2.127444564301351E-2</c:v>
              </c:pt>
              <c:pt idx="5">
                <c:v>2.2526330127538324E-2</c:v>
              </c:pt>
              <c:pt idx="6">
                <c:v>2.3844575937580107E-2</c:v>
              </c:pt>
              <c:pt idx="7">
                <c:v>2.5232452159705081E-2</c:v>
              </c:pt>
              <c:pt idx="8">
                <c:v>2.6693394067577716E-2</c:v>
              </c:pt>
              <c:pt idx="9">
                <c:v>2.8231013505784899E-2</c:v>
              </c:pt>
              <c:pt idx="10">
                <c:v>2.984935294705339E-2</c:v>
              </c:pt>
              <c:pt idx="11">
                <c:v>3.1552270792490095E-2</c:v>
              </c:pt>
              <c:pt idx="12">
                <c:v>3.3343918402475865E-2</c:v>
              </c:pt>
              <c:pt idx="13">
                <c:v>3.522873949724975E-2</c:v>
              </c:pt>
              <c:pt idx="14">
                <c:v>3.7211421126014395E-2</c:v>
              </c:pt>
              <c:pt idx="15">
                <c:v>3.9296910626666244E-2</c:v>
              </c:pt>
              <c:pt idx="16">
                <c:v>4.1490434101493494E-2</c:v>
              </c:pt>
              <c:pt idx="17">
                <c:v>4.3797516568883268E-2</c:v>
              </c:pt>
              <c:pt idx="18">
                <c:v>3.4000000000000002E-2</c:v>
              </c:pt>
            </c:numLit>
          </c:yVal>
          <c:smooth val="1"/>
          <c:extLst>
            <c:ext xmlns:c16="http://schemas.microsoft.com/office/drawing/2014/chart" uri="{C3380CC4-5D6E-409C-BE32-E72D297353CC}">
              <c16:uniqueId val="{0000002B-20FF-4040-9B44-602C31C3F4C1}"/>
            </c:ext>
          </c:extLst>
        </c:ser>
        <c:ser>
          <c:idx val="31"/>
          <c:order val="31"/>
          <c:tx>
            <c:v>RH=70_1</c:v>
          </c:tx>
          <c:spPr>
            <a:ln w="3175">
              <a:solidFill>
                <a:srgbClr val="0000FF"/>
              </a:solidFill>
              <a:prstDash val="solid"/>
            </a:ln>
          </c:spPr>
          <c:marker>
            <c:symbol val="none"/>
          </c:marker>
          <c:xVal>
            <c:numLit>
              <c:formatCode>General</c:formatCode>
              <c:ptCount val="26"/>
              <c:pt idx="0">
                <c:v>-10.124622307298575</c:v>
              </c:pt>
              <c:pt idx="1">
                <c:v>-9.1338979172609864</c:v>
              </c:pt>
              <c:pt idx="2">
                <c:v>-8.1437280234855134</c:v>
              </c:pt>
              <c:pt idx="3">
                <c:v>-7.1541338449252079</c:v>
              </c:pt>
              <c:pt idx="4">
                <c:v>-6.1651363118296896</c:v>
              </c:pt>
              <c:pt idx="5">
                <c:v>-5.1767559247885586</c:v>
              </c:pt>
              <c:pt idx="6">
                <c:v>-4.1890125991046698</c:v>
              </c:pt>
              <c:pt idx="7">
                <c:v>-3.2019254934867307</c:v>
              </c:pt>
              <c:pt idx="8">
                <c:v>-2.2155128219917031</c:v>
              </c:pt>
              <c:pt idx="9">
                <c:v>-1.2297916480837099</c:v>
              </c:pt>
              <c:pt idx="10">
                <c:v>-0.24477765960672535</c:v>
              </c:pt>
              <c:pt idx="11">
                <c:v>0.7420173412327703</c:v>
              </c:pt>
              <c:pt idx="12">
                <c:v>1.7283943345998389</c:v>
              </c:pt>
              <c:pt idx="13">
                <c:v>2.7143364544970345</c:v>
              </c:pt>
              <c:pt idx="14">
                <c:v>3.6998531446897225</c:v>
              </c:pt>
              <c:pt idx="15">
                <c:v>4.6849565229067851</c:v>
              </c:pt>
              <c:pt idx="16">
                <c:v>5.6696549833508803</c:v>
              </c:pt>
              <c:pt idx="17">
                <c:v>6.653972673256888</c:v>
              </c:pt>
              <c:pt idx="18">
                <c:v>7.6379311205439393</c:v>
              </c:pt>
              <c:pt idx="19">
                <c:v>8.6215555140799189</c:v>
              </c:pt>
              <c:pt idx="20">
                <c:v>9.6048749851296975</c:v>
              </c:pt>
              <c:pt idx="21">
                <c:v>10.587914619197658</c:v>
              </c:pt>
              <c:pt idx="22">
                <c:v>11.57071992192834</c:v>
              </c:pt>
              <c:pt idx="23">
                <c:v>12.553333684169095</c:v>
              </c:pt>
              <c:pt idx="24">
                <c:v>13.535803930399325</c:v>
              </c:pt>
              <c:pt idx="25">
                <c:v>13.663517251468223</c:v>
              </c:pt>
            </c:numLit>
          </c:xVal>
          <c:yVal>
            <c:numLit>
              <c:formatCode>General</c:formatCode>
              <c:ptCount val="26"/>
              <c:pt idx="0">
                <c:v>1.1233874654334045E-3</c:v>
              </c:pt>
              <c:pt idx="1">
                <c:v>1.2274585817801354E-3</c:v>
              </c:pt>
              <c:pt idx="2">
                <c:v>1.3402891326142665E-3</c:v>
              </c:pt>
              <c:pt idx="3">
                <c:v>1.4625414826896688E-3</c:v>
              </c:pt>
              <c:pt idx="4">
                <c:v>1.5949225201677061E-3</c:v>
              </c:pt>
              <c:pt idx="5">
                <c:v>1.7381863180575758E-3</c:v>
              </c:pt>
              <c:pt idx="6">
                <c:v>1.8931369444374524E-3</c:v>
              </c:pt>
              <c:pt idx="7">
                <c:v>2.0606314307937824E-3</c:v>
              </c:pt>
              <c:pt idx="8">
                <c:v>2.2415829086399218E-3</c:v>
              </c:pt>
              <c:pt idx="9">
                <c:v>2.436963925492433E-3</c:v>
              </c:pt>
              <c:pt idx="10">
                <c:v>2.6478099523050075E-3</c:v>
              </c:pt>
              <c:pt idx="11">
                <c:v>2.8476031898160307E-3</c:v>
              </c:pt>
              <c:pt idx="12">
                <c:v>3.0604312207948227E-3</c:v>
              </c:pt>
              <c:pt idx="13">
                <c:v>3.2873201415692466E-3</c:v>
              </c:pt>
              <c:pt idx="14">
                <c:v>3.5290759284962439E-3</c:v>
              </c:pt>
              <c:pt idx="15">
                <c:v>3.7865440615982605E-3</c:v>
              </c:pt>
              <c:pt idx="16">
                <c:v>4.0606926533359542E-3</c:v>
              </c:pt>
              <c:pt idx="17">
                <c:v>4.3523817292269416E-3</c:v>
              </c:pt>
              <c:pt idx="18">
                <c:v>4.662586952544772E-3</c:v>
              </c:pt>
              <c:pt idx="19">
                <c:v>4.9923308790401572E-3</c:v>
              </c:pt>
              <c:pt idx="20">
                <c:v>5.3426850128968318E-3</c:v>
              </c:pt>
              <c:pt idx="21">
                <c:v>5.7148868636222108E-3</c:v>
              </c:pt>
              <c:pt idx="22">
                <c:v>6.110013561687732E-3</c:v>
              </c:pt>
              <c:pt idx="23">
                <c:v>6.529298368583126E-3</c:v>
              </c:pt>
              <c:pt idx="24">
                <c:v>6.9740329453147794E-3</c:v>
              </c:pt>
              <c:pt idx="25">
                <c:v>7.0337875575625384E-3</c:v>
              </c:pt>
            </c:numLit>
          </c:yVal>
          <c:smooth val="1"/>
          <c:extLst>
            <c:ext xmlns:c16="http://schemas.microsoft.com/office/drawing/2014/chart" uri="{C3380CC4-5D6E-409C-BE32-E72D297353CC}">
              <c16:uniqueId val="{0000002C-20FF-4040-9B44-602C31C3F4C1}"/>
            </c:ext>
          </c:extLst>
        </c:ser>
        <c:ser>
          <c:idx val="32"/>
          <c:order val="32"/>
          <c:tx>
            <c:v>RH=70_Label1</c:v>
          </c:tx>
          <c:spPr>
            <a:ln w="3175">
              <a:solidFill>
                <a:srgbClr val="0000FF"/>
              </a:solidFill>
              <a:prstDash val="solid"/>
            </a:ln>
          </c:spPr>
          <c:marker>
            <c:symbol val="none"/>
          </c:marker>
          <c:dLbls>
            <c:dLbl>
              <c:idx val="0"/>
              <c:tx>
                <c:rich>
                  <a:bodyPr rot="-19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D-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14.115415531085313</c:v>
              </c:pt>
            </c:numLit>
          </c:xVal>
          <c:yVal>
            <c:numLit>
              <c:formatCode>General</c:formatCode>
              <c:ptCount val="1"/>
              <c:pt idx="0">
                <c:v>7.248908724043295E-3</c:v>
              </c:pt>
            </c:numLit>
          </c:yVal>
          <c:smooth val="0"/>
          <c:extLst>
            <c:ext xmlns:c16="http://schemas.microsoft.com/office/drawing/2014/chart" uri="{C3380CC4-5D6E-409C-BE32-E72D297353CC}">
              <c16:uniqueId val="{0000002E-20FF-4040-9B44-602C31C3F4C1}"/>
            </c:ext>
          </c:extLst>
        </c:ser>
        <c:ser>
          <c:idx val="33"/>
          <c:order val="33"/>
          <c:tx>
            <c:v>RH=70_2</c:v>
          </c:tx>
          <c:spPr>
            <a:ln w="3175">
              <a:solidFill>
                <a:srgbClr val="0000FF"/>
              </a:solidFill>
              <a:prstDash val="solid"/>
            </a:ln>
          </c:spPr>
          <c:marker>
            <c:symbol val="none"/>
          </c:marker>
          <c:xVal>
            <c:numLit>
              <c:formatCode>General</c:formatCode>
              <c:ptCount val="15"/>
              <c:pt idx="0">
                <c:v>14.557478452716124</c:v>
              </c:pt>
              <c:pt idx="1">
                <c:v>15.539828650256451</c:v>
              </c:pt>
              <c:pt idx="2">
                <c:v>16.522217362965936</c:v>
              </c:pt>
              <c:pt idx="3">
                <c:v>17.504717714343734</c:v>
              </c:pt>
              <c:pt idx="4">
                <c:v>18.487410131551616</c:v>
              </c:pt>
              <c:pt idx="5">
                <c:v>19.470382827891875</c:v>
              </c:pt>
              <c:pt idx="6">
                <c:v>20.453732312792965</c:v>
              </c:pt>
              <c:pt idx="7">
                <c:v>21.437563931214026</c:v>
              </c:pt>
              <c:pt idx="8">
                <c:v>22.421992434567873</c:v>
              </c:pt>
              <c:pt idx="9">
                <c:v>23.407142585470929</c:v>
              </c:pt>
              <c:pt idx="10">
                <c:v>24.393149271932984</c:v>
              </c:pt>
              <c:pt idx="11">
                <c:v>25.380146828018695</c:v>
              </c:pt>
              <c:pt idx="12">
                <c:v>26.368306476005845</c:v>
              </c:pt>
              <c:pt idx="13">
                <c:v>27.357799918479614</c:v>
              </c:pt>
              <c:pt idx="14">
                <c:v>27.60540309392756</c:v>
              </c:pt>
            </c:numLit>
          </c:xVal>
          <c:yVal>
            <c:numLit>
              <c:formatCode>General</c:formatCode>
              <c:ptCount val="15"/>
              <c:pt idx="0">
                <c:v>7.4650088052640581E-3</c:v>
              </c:pt>
              <c:pt idx="1">
                <c:v>7.9659241397534303E-3</c:v>
              </c:pt>
              <c:pt idx="2">
                <c:v>8.4966028039244381E-3</c:v>
              </c:pt>
              <c:pt idx="3">
                <c:v>9.058601130616949E-3</c:v>
              </c:pt>
              <c:pt idx="4">
                <c:v>9.6535489368709364E-3</c:v>
              </c:pt>
              <c:pt idx="5">
                <c:v>1.0283153077594011E-2</c:v>
              </c:pt>
              <c:pt idx="6">
                <c:v>1.0949201221749659E-2</c:v>
              </c:pt>
              <c:pt idx="7">
                <c:v>1.1653565869804223E-2</c:v>
              </c:pt>
              <c:pt idx="8">
                <c:v>1.2398208632955276E-2</c:v>
              </c:pt>
              <c:pt idx="9">
                <c:v>1.318518479663176E-2</c:v>
              </c:pt>
              <c:pt idx="10">
                <c:v>1.4016659610978009E-2</c:v>
              </c:pt>
              <c:pt idx="11">
                <c:v>1.4895172308085002E-2</c:v>
              </c:pt>
              <c:pt idx="12">
                <c:v>1.5822835533000876E-2</c:v>
              </c:pt>
              <c:pt idx="13">
                <c:v>1.6802134918069693E-2</c:v>
              </c:pt>
              <c:pt idx="14">
                <c:v>1.7055330715959553E-2</c:v>
              </c:pt>
            </c:numLit>
          </c:yVal>
          <c:smooth val="1"/>
          <c:extLst>
            <c:ext xmlns:c16="http://schemas.microsoft.com/office/drawing/2014/chart" uri="{C3380CC4-5D6E-409C-BE32-E72D297353CC}">
              <c16:uniqueId val="{0000002F-20FF-4040-9B44-602C31C3F4C1}"/>
            </c:ext>
          </c:extLst>
        </c:ser>
        <c:ser>
          <c:idx val="34"/>
          <c:order val="34"/>
          <c:tx>
            <c:v>RH=70_Label2</c:v>
          </c:tx>
          <c:spPr>
            <a:ln w="3175">
              <a:solidFill>
                <a:srgbClr val="0000FF"/>
              </a:solidFill>
              <a:prstDash val="solid"/>
            </a:ln>
          </c:spPr>
          <c:marker>
            <c:symbol val="none"/>
          </c:marker>
          <c:dLbls>
            <c:dLbl>
              <c:idx val="0"/>
              <c:tx>
                <c:rich>
                  <a:bodyPr rot="-33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0-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27.902656418060964</c:v>
              </c:pt>
            </c:numLit>
          </c:xVal>
          <c:yVal>
            <c:numLit>
              <c:formatCode>General</c:formatCode>
              <c:ptCount val="1"/>
              <c:pt idx="0">
                <c:v>1.7363699091236338E-2</c:v>
              </c:pt>
            </c:numLit>
          </c:yVal>
          <c:smooth val="0"/>
          <c:extLst>
            <c:ext xmlns:c16="http://schemas.microsoft.com/office/drawing/2014/chart" uri="{C3380CC4-5D6E-409C-BE32-E72D297353CC}">
              <c16:uniqueId val="{00000031-20FF-4040-9B44-602C31C3F4C1}"/>
            </c:ext>
          </c:extLst>
        </c:ser>
        <c:ser>
          <c:idx val="35"/>
          <c:order val="35"/>
          <c:tx>
            <c:v>RH=70_3</c:v>
          </c:tx>
          <c:spPr>
            <a:ln w="3175">
              <a:solidFill>
                <a:srgbClr val="0000FF"/>
              </a:solidFill>
              <a:prstDash val="solid"/>
            </a:ln>
          </c:spPr>
          <c:marker>
            <c:symbol val="none"/>
          </c:marker>
          <c:xVal>
            <c:numLit>
              <c:formatCode>General</c:formatCode>
              <c:ptCount val="18"/>
              <c:pt idx="0">
                <c:v>28.200056090842775</c:v>
              </c:pt>
              <c:pt idx="1">
                <c:v>29.192516531934622</c:v>
              </c:pt>
              <c:pt idx="2">
                <c:v>30.186878036299017</c:v>
              </c:pt>
              <c:pt idx="3">
                <c:v>31.183369872871133</c:v>
              </c:pt>
              <c:pt idx="4">
                <c:v>32.182238665200806</c:v>
              </c:pt>
              <c:pt idx="5">
                <c:v>33.183749518970501</c:v>
              </c:pt>
              <c:pt idx="6">
                <c:v>34.188187230843702</c:v>
              </c:pt>
              <c:pt idx="7">
                <c:v>35.195857586295595</c:v>
              </c:pt>
              <c:pt idx="8">
                <c:v>36.207088754941182</c:v>
              </c:pt>
              <c:pt idx="9">
                <c:v>37.222232792847343</c:v>
              </c:pt>
              <c:pt idx="10">
                <c:v>38.241667262409628</c:v>
              </c:pt>
              <c:pt idx="11">
                <c:v>39.265796981608062</c:v>
              </c:pt>
              <c:pt idx="12">
                <c:v>40.295050347074792</c:v>
              </c:pt>
              <c:pt idx="13">
                <c:v>41.329898060190359</c:v>
              </c:pt>
              <c:pt idx="14">
                <c:v>42.370839619643959</c:v>
              </c:pt>
              <c:pt idx="15">
                <c:v>43.418409665420448</c:v>
              </c:pt>
              <c:pt idx="16">
                <c:v>44.47318133087601</c:v>
              </c:pt>
              <c:pt idx="17">
                <c:v>39.594578804453931</c:v>
              </c:pt>
            </c:numLit>
          </c:xVal>
          <c:yVal>
            <c:numLit>
              <c:formatCode>General</c:formatCode>
              <c:ptCount val="18"/>
              <c:pt idx="0">
                <c:v>1.7677082476637275E-2</c:v>
              </c:pt>
              <c:pt idx="1">
                <c:v>1.8758879091709882E-2</c:v>
              </c:pt>
              <c:pt idx="2">
                <c:v>1.9900088775318587E-2</c:v>
              </c:pt>
              <c:pt idx="3">
                <c:v>2.1103706378928135E-2</c:v>
              </c:pt>
              <c:pt idx="4">
                <c:v>2.2372878301942182E-2</c:v>
              </c:pt>
              <c:pt idx="5">
                <c:v>2.3710911672963426E-2</c:v>
              </c:pt>
              <c:pt idx="6">
                <c:v>2.5121284265609178E-2</c:v>
              </c:pt>
              <c:pt idx="7">
                <c:v>2.6607655219993035E-2</c:v>
              </c:pt>
              <c:pt idx="8">
                <c:v>2.8173876648752687E-2</c:v>
              </c:pt>
              <c:pt idx="9">
                <c:v>2.9824006215230181E-2</c:v>
              </c:pt>
              <c:pt idx="10">
                <c:v>3.1562320781235269E-2</c:v>
              </c:pt>
              <c:pt idx="11">
                <c:v>3.339333123290554E-2</c:v>
              </c:pt>
              <c:pt idx="12">
                <c:v>3.5322129223631905E-2</c:v>
              </c:pt>
              <c:pt idx="13">
                <c:v>3.7353496377000327E-2</c:v>
              </c:pt>
              <c:pt idx="14">
                <c:v>3.949271377872883E-2</c:v>
              </c:pt>
              <c:pt idx="15">
                <c:v>4.1745409128964649E-2</c:v>
              </c:pt>
              <c:pt idx="16">
                <c:v>4.4117541099966587E-2</c:v>
              </c:pt>
              <c:pt idx="17">
                <c:v>3.4000000000000002E-2</c:v>
              </c:pt>
            </c:numLit>
          </c:yVal>
          <c:smooth val="1"/>
          <c:extLst>
            <c:ext xmlns:c16="http://schemas.microsoft.com/office/drawing/2014/chart" uri="{C3380CC4-5D6E-409C-BE32-E72D297353CC}">
              <c16:uniqueId val="{00000032-20FF-4040-9B44-602C31C3F4C1}"/>
            </c:ext>
          </c:extLst>
        </c:ser>
        <c:ser>
          <c:idx val="36"/>
          <c:order val="36"/>
          <c:tx>
            <c:v>RH=80_1</c:v>
          </c:tx>
          <c:spPr>
            <a:ln w="3175">
              <a:solidFill>
                <a:srgbClr val="0000FF"/>
              </a:solidFill>
              <a:prstDash val="solid"/>
            </a:ln>
          </c:spPr>
          <c:marker>
            <c:symbol val="none"/>
          </c:marker>
          <c:xVal>
            <c:numLit>
              <c:formatCode>General</c:formatCode>
              <c:ptCount val="25"/>
              <c:pt idx="0">
                <c:v>-10.142462252313372</c:v>
              </c:pt>
              <c:pt idx="1">
                <c:v>-9.1530693451110441</c:v>
              </c:pt>
              <c:pt idx="2">
                <c:v>-8.1643111797046028</c:v>
              </c:pt>
              <c:pt idx="3">
                <c:v>-7.1762121585269725</c:v>
              </c:pt>
              <c:pt idx="4">
                <c:v>-6.1887963741239869</c:v>
              </c:pt>
              <c:pt idx="5">
                <c:v>-5.2020874503179</c:v>
              </c:pt>
              <c:pt idx="6">
                <c:v>-4.216108366796858</c:v>
              </c:pt>
              <c:pt idx="7">
                <c:v>-3.2308812659811013</c:v>
              </c:pt>
              <c:pt idx="8">
                <c:v>-2.2464272409472805</c:v>
              </c:pt>
              <c:pt idx="9">
                <c:v>-1.2627661031165411</c:v>
              </c:pt>
              <c:pt idx="10">
                <c:v>-0.27991612832932827</c:v>
              </c:pt>
              <c:pt idx="11">
                <c:v>0.70496971377479312</c:v>
              </c:pt>
              <c:pt idx="12">
                <c:v>1.6893751797203689</c:v>
              </c:pt>
              <c:pt idx="13">
                <c:v>2.673280691795791</c:v>
              </c:pt>
              <c:pt idx="14">
                <c:v>3.6566967537427413</c:v>
              </c:pt>
              <c:pt idx="15">
                <c:v>4.6396369047700743</c:v>
              </c:pt>
              <c:pt idx="16">
                <c:v>5.6221103937215835</c:v>
              </c:pt>
              <c:pt idx="17">
                <c:v>6.6041444768900135</c:v>
              </c:pt>
              <c:pt idx="18">
                <c:v>7.5857633852747366</c:v>
              </c:pt>
              <c:pt idx="19">
                <c:v>8.5669955137537652</c:v>
              </c:pt>
              <c:pt idx="20">
                <c:v>9.5478737437203733</c:v>
              </c:pt>
              <c:pt idx="21">
                <c:v>10.528426290323946</c:v>
              </c:pt>
              <c:pt idx="22">
                <c:v>11.508704734555835</c:v>
              </c:pt>
              <c:pt idx="23">
                <c:v>12.488757521913389</c:v>
              </c:pt>
              <c:pt idx="24">
                <c:v>12.508356639226964</c:v>
              </c:pt>
            </c:numLit>
          </c:xVal>
          <c:yVal>
            <c:numLit>
              <c:formatCode>General</c:formatCode>
              <c:ptCount val="25"/>
              <c:pt idx="0">
                <c:v>1.2842027403875593E-3</c:v>
              </c:pt>
              <c:pt idx="1">
                <c:v>1.4032054053372527E-3</c:v>
              </c:pt>
              <c:pt idx="2">
                <c:v>1.5322306894960248E-3</c:v>
              </c:pt>
              <c:pt idx="3">
                <c:v>1.6720376483506344E-3</c:v>
              </c:pt>
              <c:pt idx="4">
                <c:v>1.8234365626798278E-3</c:v>
              </c:pt>
              <c:pt idx="5">
                <c:v>1.9872920334292098E-3</c:v>
              </c:pt>
              <c:pt idx="6">
                <c:v>2.1645262544567742E-3</c:v>
              </c:pt>
              <c:pt idx="7">
                <c:v>2.3561224749136492E-3</c:v>
              </c:pt>
              <c:pt idx="8">
                <c:v>2.5631286641125323E-3</c:v>
              </c:pt>
              <c:pt idx="9">
                <c:v>2.7866613929500377E-3</c:v>
              </c:pt>
              <c:pt idx="10">
                <c:v>3.027909947304347E-3</c:v>
              </c:pt>
              <c:pt idx="11">
                <c:v>3.2565335521456892E-3</c:v>
              </c:pt>
              <c:pt idx="12">
                <c:v>3.5000959811974544E-3</c:v>
              </c:pt>
              <c:pt idx="13">
                <c:v>3.7597760701605356E-3</c:v>
              </c:pt>
              <c:pt idx="14">
                <c:v>4.0365014695512222E-3</c:v>
              </c:pt>
              <c:pt idx="15">
                <c:v>4.3312458040777246E-3</c:v>
              </c:pt>
              <c:pt idx="16">
                <c:v>4.6451239481437702E-3</c:v>
              </c:pt>
              <c:pt idx="17">
                <c:v>4.9791279851043521E-3</c:v>
              </c:pt>
              <c:pt idx="18">
                <c:v>5.3343834410344883E-3</c:v>
              </c:pt>
              <c:pt idx="19">
                <c:v>5.7120707207410411E-3</c:v>
              </c:pt>
              <c:pt idx="20">
                <c:v>6.1134276050712729E-3</c:v>
              </c:pt>
              <c:pt idx="21">
                <c:v>6.5398835392074571E-3</c:v>
              </c:pt>
              <c:pt idx="22">
                <c:v>6.9926858663954712E-3</c:v>
              </c:pt>
              <c:pt idx="23">
                <c:v>7.4732626119606346E-3</c:v>
              </c:pt>
              <c:pt idx="24">
                <c:v>7.4831676078565192E-3</c:v>
              </c:pt>
            </c:numLit>
          </c:yVal>
          <c:smooth val="1"/>
          <c:extLst>
            <c:ext xmlns:c16="http://schemas.microsoft.com/office/drawing/2014/chart" uri="{C3380CC4-5D6E-409C-BE32-E72D297353CC}">
              <c16:uniqueId val="{00000033-20FF-4040-9B44-602C31C3F4C1}"/>
            </c:ext>
          </c:extLst>
        </c:ser>
        <c:ser>
          <c:idx val="37"/>
          <c:order val="37"/>
          <c:tx>
            <c:v>RH=80_Label1</c:v>
          </c:tx>
          <c:spPr>
            <a:ln w="3175">
              <a:solidFill>
                <a:srgbClr val="0000FF"/>
              </a:solidFill>
              <a:prstDash val="solid"/>
            </a:ln>
          </c:spPr>
          <c:marker>
            <c:symbol val="none"/>
          </c:marker>
          <c:dLbls>
            <c:dLbl>
              <c:idx val="0"/>
              <c:tx>
                <c:rich>
                  <a:bodyPr rot="-21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4-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12.93952077992059</c:v>
              </c:pt>
            </c:numLit>
          </c:xVal>
          <c:yVal>
            <c:numLit>
              <c:formatCode>General</c:formatCode>
              <c:ptCount val="1"/>
              <c:pt idx="0">
                <c:v>7.7040641188605768E-3</c:v>
              </c:pt>
            </c:numLit>
          </c:yVal>
          <c:smooth val="0"/>
          <c:extLst>
            <c:ext xmlns:c16="http://schemas.microsoft.com/office/drawing/2014/chart" uri="{C3380CC4-5D6E-409C-BE32-E72D297353CC}">
              <c16:uniqueId val="{00000035-20FF-4040-9B44-602C31C3F4C1}"/>
            </c:ext>
          </c:extLst>
        </c:ser>
        <c:ser>
          <c:idx val="38"/>
          <c:order val="38"/>
          <c:tx>
            <c:v>RH=80_2</c:v>
          </c:tx>
          <c:spPr>
            <a:ln w="3175">
              <a:solidFill>
                <a:srgbClr val="0000FF"/>
              </a:solidFill>
              <a:prstDash val="solid"/>
            </a:ln>
          </c:spPr>
          <c:marker>
            <c:symbol val="none"/>
          </c:marker>
          <c:xVal>
            <c:numLit>
              <c:formatCode>General</c:formatCode>
              <c:ptCount val="14"/>
              <c:pt idx="0">
                <c:v>13.3608586632075</c:v>
              </c:pt>
              <c:pt idx="1">
                <c:v>14.340638748180433</c:v>
              </c:pt>
              <c:pt idx="2">
                <c:v>15.320368273945533</c:v>
              </c:pt>
              <c:pt idx="3">
                <c:v>16.300121388752697</c:v>
              </c:pt>
              <c:pt idx="4">
                <c:v>17.279980004684329</c:v>
              </c:pt>
              <c:pt idx="5">
                <c:v>18.260034325056761</c:v>
              </c:pt>
              <c:pt idx="6">
                <c:v>19.240383402872951</c:v>
              </c:pt>
              <c:pt idx="7">
                <c:v>20.221135732568783</c:v>
              </c:pt>
              <c:pt idx="8">
                <c:v>21.202409877522989</c:v>
              </c:pt>
              <c:pt idx="9">
                <c:v>22.184335136054546</c:v>
              </c:pt>
              <c:pt idx="10">
                <c:v>23.167052248913919</c:v>
              </c:pt>
              <c:pt idx="11">
                <c:v>24.150714151590211</c:v>
              </c:pt>
              <c:pt idx="12">
                <c:v>25.135473037228405</c:v>
              </c:pt>
              <c:pt idx="13">
                <c:v>25.874877054992844</c:v>
              </c:pt>
            </c:numLit>
          </c:xVal>
          <c:yVal>
            <c:numLit>
              <c:formatCode>General</c:formatCode>
              <c:ptCount val="14"/>
              <c:pt idx="0">
                <c:v>7.9255468626814787E-3</c:v>
              </c:pt>
              <c:pt idx="1">
                <c:v>8.4627640216843013E-3</c:v>
              </c:pt>
              <c:pt idx="2">
                <c:v>9.0322819658535669E-3</c:v>
              </c:pt>
              <c:pt idx="3">
                <c:v>9.6358161442111449E-3</c:v>
              </c:pt>
              <c:pt idx="4">
                <c:v>1.0275164928481188E-2</c:v>
              </c:pt>
              <c:pt idx="5">
                <c:v>1.0952213771336889E-2</c:v>
              </c:pt>
              <c:pt idx="6">
                <c:v>1.1668939635490804E-2</c:v>
              </c:pt>
              <c:pt idx="7">
                <c:v>1.2427415717094702E-2</c:v>
              </c:pt>
              <c:pt idx="8">
                <c:v>1.3229816489212421E-2</c:v>
              </c:pt>
              <c:pt idx="9">
                <c:v>1.4078423093671105E-2</c:v>
              </c:pt>
              <c:pt idx="10">
                <c:v>1.497562911241101E-2</c:v>
              </c:pt>
              <c:pt idx="11">
                <c:v>1.5923946752573682E-2</c:v>
              </c:pt>
              <c:pt idx="12">
                <c:v>1.6926321665222295E-2</c:v>
              </c:pt>
              <c:pt idx="13">
                <c:v>1.7715092490545425E-2</c:v>
              </c:pt>
            </c:numLit>
          </c:yVal>
          <c:smooth val="1"/>
          <c:extLst>
            <c:ext xmlns:c16="http://schemas.microsoft.com/office/drawing/2014/chart" uri="{C3380CC4-5D6E-409C-BE32-E72D297353CC}">
              <c16:uniqueId val="{00000036-20FF-4040-9B44-602C31C3F4C1}"/>
            </c:ext>
          </c:extLst>
        </c:ser>
        <c:ser>
          <c:idx val="39"/>
          <c:order val="39"/>
          <c:tx>
            <c:v>RH=80_Label2</c:v>
          </c:tx>
          <c:spPr>
            <a:ln w="3175">
              <a:solidFill>
                <a:srgbClr val="0000FF"/>
              </a:solidFill>
              <a:prstDash val="solid"/>
            </a:ln>
          </c:spPr>
          <c:marker>
            <c:symbol val="none"/>
          </c:marker>
          <c:dLbls>
            <c:dLbl>
              <c:idx val="0"/>
              <c:tx>
                <c:rich>
                  <a:bodyPr rot="-33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7-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26.170859778080111</c:v>
              </c:pt>
            </c:numLit>
          </c:xVal>
          <c:yVal>
            <c:numLit>
              <c:formatCode>General</c:formatCode>
              <c:ptCount val="1"/>
              <c:pt idx="0">
                <c:v>1.8039780825415901E-2</c:v>
              </c:pt>
            </c:numLit>
          </c:yVal>
          <c:smooth val="0"/>
          <c:extLst>
            <c:ext xmlns:c16="http://schemas.microsoft.com/office/drawing/2014/chart" uri="{C3380CC4-5D6E-409C-BE32-E72D297353CC}">
              <c16:uniqueId val="{00000038-20FF-4040-9B44-602C31C3F4C1}"/>
            </c:ext>
          </c:extLst>
        </c:ser>
        <c:ser>
          <c:idx val="40"/>
          <c:order val="40"/>
          <c:tx>
            <c:v>RH=80_3</c:v>
          </c:tx>
          <c:spPr>
            <a:ln w="3175">
              <a:solidFill>
                <a:srgbClr val="0000FF"/>
              </a:solidFill>
              <a:prstDash val="solid"/>
            </a:ln>
          </c:spPr>
          <c:marker>
            <c:symbol val="none"/>
          </c:marker>
          <c:xVal>
            <c:numLit>
              <c:formatCode>General</c:formatCode>
              <c:ptCount val="17"/>
              <c:pt idx="0">
                <c:v>26.466976910593637</c:v>
              </c:pt>
              <c:pt idx="1">
                <c:v>27.455076949237203</c:v>
              </c:pt>
              <c:pt idx="2">
                <c:v>28.444949400883822</c:v>
              </c:pt>
              <c:pt idx="3">
                <c:v>29.436827565234527</c:v>
              </c:pt>
              <c:pt idx="4">
                <c:v>30.430963058409187</c:v>
              </c:pt>
              <c:pt idx="5">
                <c:v>31.427627039849007</c:v>
              </c:pt>
              <c:pt idx="6">
                <c:v>32.427111530608649</c:v>
              </c:pt>
              <c:pt idx="7">
                <c:v>33.429730831909019</c:v>
              </c:pt>
              <c:pt idx="8">
                <c:v>34.435823053853696</c:v>
              </c:pt>
              <c:pt idx="9">
                <c:v>35.445751765376748</c:v>
              </c:pt>
              <c:pt idx="10">
                <c:v>36.45990777780662</c:v>
              </c:pt>
              <c:pt idx="11">
                <c:v>37.478711075921858</c:v>
              </c:pt>
              <c:pt idx="12">
                <c:v>38.50261291206558</c:v>
              </c:pt>
              <c:pt idx="13">
                <c:v>39.532096283331867</c:v>
              </c:pt>
              <c:pt idx="14">
                <c:v>40.567678543689389</c:v>
              </c:pt>
              <c:pt idx="15">
                <c:v>41.609925340912454</c:v>
              </c:pt>
              <c:pt idx="16">
                <c:v>36.958513469612221</c:v>
              </c:pt>
            </c:numLit>
          </c:xVal>
          <c:yVal>
            <c:numLit>
              <c:formatCode>General</c:formatCode>
              <c:ptCount val="17"/>
              <c:pt idx="0">
                <c:v>1.8369834550872179E-2</c:v>
              </c:pt>
              <c:pt idx="1">
                <c:v>1.9509818475929395E-2</c:v>
              </c:pt>
              <c:pt idx="2">
                <c:v>2.0713450771512626E-2</c:v>
              </c:pt>
              <c:pt idx="3">
                <c:v>2.1984008896382069E-2</c:v>
              </c:pt>
              <c:pt idx="4">
                <c:v>2.3324941056249882E-2</c:v>
              </c:pt>
              <c:pt idx="5">
                <c:v>2.4739876910536536E-2</c:v>
              </c:pt>
              <c:pt idx="6">
                <c:v>2.6232639162871791E-2</c:v>
              </c:pt>
              <c:pt idx="7">
                <c:v>2.780725612342148E-2</c:v>
              </c:pt>
              <c:pt idx="8">
                <c:v>2.9467975341054942E-2</c:v>
              </c:pt>
              <c:pt idx="9">
                <c:v>3.1219278414564438E-2</c:v>
              </c:pt>
              <c:pt idx="10">
                <c:v>3.3065897104802532E-2</c:v>
              </c:pt>
              <c:pt idx="11">
                <c:v>3.5012830883924491E-2</c:v>
              </c:pt>
              <c:pt idx="12">
                <c:v>3.7065366074171026E-2</c:v>
              </c:pt>
              <c:pt idx="13">
                <c:v>3.9229196355992167E-2</c:v>
              </c:pt>
              <c:pt idx="14">
                <c:v>4.1510494000618466E-2</c:v>
              </c:pt>
              <c:pt idx="15">
                <c:v>4.39152468574769E-2</c:v>
              </c:pt>
              <c:pt idx="16">
                <c:v>3.4000000000000002E-2</c:v>
              </c:pt>
            </c:numLit>
          </c:yVal>
          <c:smooth val="1"/>
          <c:extLst>
            <c:ext xmlns:c16="http://schemas.microsoft.com/office/drawing/2014/chart" uri="{C3380CC4-5D6E-409C-BE32-E72D297353CC}">
              <c16:uniqueId val="{00000039-20FF-4040-9B44-602C31C3F4C1}"/>
            </c:ext>
          </c:extLst>
        </c:ser>
        <c:ser>
          <c:idx val="41"/>
          <c:order val="41"/>
          <c:tx>
            <c:v>RH=90_1</c:v>
          </c:tx>
          <c:spPr>
            <a:ln w="3175">
              <a:solidFill>
                <a:srgbClr val="0000FF"/>
              </a:solidFill>
              <a:prstDash val="solid"/>
            </a:ln>
          </c:spPr>
          <c:marker>
            <c:symbol val="none"/>
          </c:marker>
          <c:xVal>
            <c:numLit>
              <c:formatCode>General</c:formatCode>
              <c:ptCount val="24"/>
              <c:pt idx="0">
                <c:v>-10.160311408243556</c:v>
              </c:pt>
              <c:pt idx="1">
                <c:v>-9.1722515888392806</c:v>
              </c:pt>
              <c:pt idx="2">
                <c:v>-8.1849070163387818</c:v>
              </c:pt>
              <c:pt idx="3">
                <c:v>-7.1983053151223135</c:v>
              </c:pt>
              <c:pt idx="4">
                <c:v>-6.2124737836153079</c:v>
              </c:pt>
              <c:pt idx="5">
                <c:v>-5.2274392181591223</c:v>
              </c:pt>
              <c:pt idx="6">
                <c:v>-4.2432277184566214</c:v>
              </c:pt>
              <c:pt idx="7">
                <c:v>-3.2598644733070836</c:v>
              </c:pt>
              <c:pt idx="8">
                <c:v>-2.2773735252646343</c:v>
              </c:pt>
              <c:pt idx="9">
                <c:v>-1.2957775127664004</c:v>
              </c:pt>
              <c:pt idx="10">
                <c:v>-0.31509738817978866</c:v>
              </c:pt>
              <c:pt idx="11">
                <c:v>0.66787356150364452</c:v>
              </c:pt>
              <c:pt idx="12">
                <c:v>1.6503010926400361</c:v>
              </c:pt>
              <c:pt idx="13">
                <c:v>2.632162838192071</c:v>
              </c:pt>
              <c:pt idx="14">
                <c:v>3.6134702872847182</c:v>
              </c:pt>
              <c:pt idx="15">
                <c:v>4.5942383205023143</c:v>
              </c:pt>
              <c:pt idx="16">
                <c:v>5.5744769520084745</c:v>
              </c:pt>
              <c:pt idx="17">
                <c:v>6.5542164583903677</c:v>
              </c:pt>
              <c:pt idx="18">
                <c:v>7.5334836764058082</c:v>
              </c:pt>
              <c:pt idx="19">
                <c:v>8.5123101039472857</c:v>
              </c:pt>
              <c:pt idx="20">
                <c:v>9.490732264027244</c:v>
              </c:pt>
              <c:pt idx="21">
                <c:v>10.468781381354987</c:v>
              </c:pt>
              <c:pt idx="22">
                <c:v>11.446514998561955</c:v>
              </c:pt>
              <c:pt idx="23">
                <c:v>11.466066812546941</c:v>
              </c:pt>
            </c:numLit>
          </c:xVal>
          <c:yVal>
            <c:numLit>
              <c:formatCode>General</c:formatCode>
              <c:ptCount val="24"/>
              <c:pt idx="0">
                <c:v>1.4451010456363609E-3</c:v>
              </c:pt>
              <c:pt idx="1">
                <c:v>1.5790513793722909E-3</c:v>
              </c:pt>
              <c:pt idx="2">
                <c:v>1.7242904934817753E-3</c:v>
              </c:pt>
              <c:pt idx="3">
                <c:v>1.8816746558483943E-3</c:v>
              </c:pt>
              <c:pt idx="4">
                <c:v>2.0521181482046785E-3</c:v>
              </c:pt>
              <c:pt idx="5">
                <c:v>2.2365968080945969E-3</c:v>
              </c:pt>
              <c:pt idx="6">
                <c:v>2.4361517798423041E-3</c:v>
              </c:pt>
              <c:pt idx="7">
                <c:v>2.651893489013245E-3</c:v>
              </c:pt>
              <c:pt idx="8">
                <c:v>2.8850058562471248E-3</c:v>
              </c:pt>
              <c:pt idx="9">
                <c:v>3.1367507679000511E-3</c:v>
              </c:pt>
              <c:pt idx="10">
                <c:v>3.4084728226759938E-3</c:v>
              </c:pt>
              <c:pt idx="11">
                <c:v>3.6659995295954982E-3</c:v>
              </c:pt>
              <c:pt idx="12">
                <c:v>3.9403797133078381E-3</c:v>
              </c:pt>
              <c:pt idx="13">
                <c:v>4.2329465200043074E-3</c:v>
              </c:pt>
              <c:pt idx="14">
                <c:v>4.5447509466055858E-3</c:v>
              </c:pt>
              <c:pt idx="15">
                <c:v>4.8768966496376548E-3</c:v>
              </c:pt>
              <c:pt idx="16">
                <c:v>5.2306474374324884E-3</c:v>
              </c:pt>
              <c:pt idx="17">
                <c:v>5.6071298181956681E-3</c:v>
              </c:pt>
              <c:pt idx="18">
                <c:v>6.0076218834582296E-3</c:v>
              </c:pt>
              <c:pt idx="19">
                <c:v>6.4334649282589956E-3</c:v>
              </c:pt>
              <c:pt idx="20">
                <c:v>6.8860664299542004E-3</c:v>
              </c:pt>
              <c:pt idx="21">
                <c:v>7.3670517005360123E-3</c:v>
              </c:pt>
              <c:pt idx="22">
                <c:v>7.8778425501793113E-3</c:v>
              </c:pt>
              <c:pt idx="23">
                <c:v>7.8883734305233554E-3</c:v>
              </c:pt>
            </c:numLit>
          </c:yVal>
          <c:smooth val="1"/>
          <c:extLst>
            <c:ext xmlns:c16="http://schemas.microsoft.com/office/drawing/2014/chart" uri="{C3380CC4-5D6E-409C-BE32-E72D297353CC}">
              <c16:uniqueId val="{0000003A-20FF-4040-9B44-602C31C3F4C1}"/>
            </c:ext>
          </c:extLst>
        </c:ser>
        <c:ser>
          <c:idx val="42"/>
          <c:order val="42"/>
          <c:tx>
            <c:v>RH=90_Label1</c:v>
          </c:tx>
          <c:spPr>
            <a:ln w="3175">
              <a:solidFill>
                <a:srgbClr val="0000FF"/>
              </a:solidFill>
              <a:prstDash val="solid"/>
            </a:ln>
          </c:spPr>
          <c:marker>
            <c:symbol val="none"/>
          </c:marker>
          <c:dLbls>
            <c:dLbl>
              <c:idx val="0"/>
              <c:tx>
                <c:rich>
                  <a:bodyPr rot="-21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B-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11.886406335561087</c:v>
              </c:pt>
            </c:numLit>
          </c:xVal>
          <c:yVal>
            <c:numLit>
              <c:formatCode>General</c:formatCode>
              <c:ptCount val="1"/>
              <c:pt idx="0">
                <c:v>8.1178532770005106E-3</c:v>
              </c:pt>
            </c:numLit>
          </c:yVal>
          <c:smooth val="0"/>
          <c:extLst>
            <c:ext xmlns:c16="http://schemas.microsoft.com/office/drawing/2014/chart" uri="{C3380CC4-5D6E-409C-BE32-E72D297353CC}">
              <c16:uniqueId val="{0000003C-20FF-4040-9B44-602C31C3F4C1}"/>
            </c:ext>
          </c:extLst>
        </c:ser>
        <c:ser>
          <c:idx val="43"/>
          <c:order val="43"/>
          <c:tx>
            <c:v>RH=90_2</c:v>
          </c:tx>
          <c:spPr>
            <a:ln w="3175">
              <a:solidFill>
                <a:srgbClr val="0000FF"/>
              </a:solidFill>
              <a:prstDash val="solid"/>
            </a:ln>
          </c:spPr>
          <c:marker>
            <c:symbol val="none"/>
          </c:marker>
          <c:xVal>
            <c:numLit>
              <c:formatCode>General</c:formatCode>
              <c:ptCount val="14"/>
              <c:pt idx="0">
                <c:v>12.287154552505491</c:v>
              </c:pt>
              <c:pt idx="1">
                <c:v>13.264450008749437</c:v>
              </c:pt>
              <c:pt idx="2">
                <c:v>14.241602544783566</c:v>
              </c:pt>
              <c:pt idx="3">
                <c:v>15.218686623205453</c:v>
              </c:pt>
              <c:pt idx="4">
                <c:v>16.195784869538244</c:v>
              </c:pt>
              <c:pt idx="5">
                <c:v>17.172988640875836</c:v>
              </c:pt>
              <c:pt idx="6">
                <c:v>18.150398628951599</c:v>
              </c:pt>
              <c:pt idx="7">
                <c:v>19.128125500200142</c:v>
              </c:pt>
              <c:pt idx="8">
                <c:v>20.106290575649407</c:v>
              </c:pt>
              <c:pt idx="9">
                <c:v>21.085026553779926</c:v>
              </c:pt>
              <c:pt idx="10">
                <c:v>22.064478279822467</c:v>
              </c:pt>
              <c:pt idx="11">
                <c:v>23.044803565339887</c:v>
              </c:pt>
              <c:pt idx="12">
                <c:v>24.026174062357637</c:v>
              </c:pt>
              <c:pt idx="13">
                <c:v>24.350283760914369</c:v>
              </c:pt>
            </c:numLit>
          </c:xVal>
          <c:yVal>
            <c:numLit>
              <c:formatCode>General</c:formatCode>
              <c:ptCount val="14"/>
              <c:pt idx="0">
                <c:v>8.3422001056663829E-3</c:v>
              </c:pt>
              <c:pt idx="1">
                <c:v>8.9128194892929211E-3</c:v>
              </c:pt>
              <c:pt idx="2">
                <c:v>9.518115555408645E-3</c:v>
              </c:pt>
              <c:pt idx="3">
                <c:v>1.0159955796425158E-2</c:v>
              </c:pt>
              <c:pt idx="4">
                <c:v>1.0840299888458355E-2</c:v>
              </c:pt>
              <c:pt idx="5">
                <c:v>1.1561204462982987E-2</c:v>
              </c:pt>
              <c:pt idx="6">
                <c:v>1.2324828199989819E-2</c:v>
              </c:pt>
              <c:pt idx="7">
                <c:v>1.3133437271204971E-2</c:v>
              </c:pt>
              <c:pt idx="8">
                <c:v>1.3989411164801244E-2</c:v>
              </c:pt>
              <c:pt idx="9">
                <c:v>1.4895248926209768E-2</c:v>
              </c:pt>
              <c:pt idx="10">
                <c:v>1.5853575853174682E-2</c:v>
              </c:pt>
              <c:pt idx="11">
                <c:v>1.68671506871205E-2</c:v>
              </c:pt>
              <c:pt idx="12">
                <c:v>1.7938873347281416E-2</c:v>
              </c:pt>
              <c:pt idx="13">
                <c:v>1.830588898250678E-2</c:v>
              </c:pt>
            </c:numLit>
          </c:yVal>
          <c:smooth val="1"/>
          <c:extLst>
            <c:ext xmlns:c16="http://schemas.microsoft.com/office/drawing/2014/chart" uri="{C3380CC4-5D6E-409C-BE32-E72D297353CC}">
              <c16:uniqueId val="{0000003D-20FF-4040-9B44-602C31C3F4C1}"/>
            </c:ext>
          </c:extLst>
        </c:ser>
        <c:ser>
          <c:idx val="44"/>
          <c:order val="44"/>
          <c:tx>
            <c:v>RH=90_Label2</c:v>
          </c:tx>
          <c:spPr>
            <a:ln w="3175">
              <a:solidFill>
                <a:srgbClr val="0000FF"/>
              </a:solidFill>
              <a:prstDash val="solid"/>
            </a:ln>
          </c:spPr>
          <c:marker>
            <c:symbol val="none"/>
          </c:marker>
          <c:dLbls>
            <c:dLbl>
              <c:idx val="0"/>
              <c:tx>
                <c:rich>
                  <a:bodyPr rot="-342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24.645048916449817</c:v>
              </c:pt>
            </c:numLit>
          </c:xVal>
          <c:yVal>
            <c:numLit>
              <c:formatCode>General</c:formatCode>
              <c:ptCount val="1"/>
              <c:pt idx="0">
                <c:v>1.8645468166416327E-2</c:v>
              </c:pt>
            </c:numLit>
          </c:yVal>
          <c:smooth val="0"/>
          <c:extLst>
            <c:ext xmlns:c16="http://schemas.microsoft.com/office/drawing/2014/chart" uri="{C3380CC4-5D6E-409C-BE32-E72D297353CC}">
              <c16:uniqueId val="{0000003F-20FF-4040-9B44-602C31C3F4C1}"/>
            </c:ext>
          </c:extLst>
        </c:ser>
        <c:ser>
          <c:idx val="45"/>
          <c:order val="45"/>
          <c:tx>
            <c:v>RH=90_3</c:v>
          </c:tx>
          <c:spPr>
            <a:ln w="3175">
              <a:solidFill>
                <a:srgbClr val="0000FF"/>
              </a:solidFill>
              <a:prstDash val="solid"/>
            </a:ln>
          </c:spPr>
          <c:marker>
            <c:symbol val="none"/>
          </c:marker>
          <c:xVal>
            <c:numLit>
              <c:formatCode>General</c:formatCode>
              <c:ptCount val="16"/>
              <c:pt idx="0">
                <c:v>24.939936032452529</c:v>
              </c:pt>
              <c:pt idx="1">
                <c:v>25.92384661002826</c:v>
              </c:pt>
              <c:pt idx="2">
                <c:v>26.909393516522343</c:v>
              </c:pt>
              <c:pt idx="3">
                <c:v>27.896812587546918</c:v>
              </c:pt>
              <c:pt idx="4">
                <c:v>28.886358806211785</c:v>
              </c:pt>
              <c:pt idx="5">
                <c:v>29.87830762052651</c:v>
              </c:pt>
              <c:pt idx="6">
                <c:v>30.872956361702308</c:v>
              </c:pt>
              <c:pt idx="7">
                <c:v>31.870625773419732</c:v>
              </c:pt>
              <c:pt idx="8">
                <c:v>32.871661663330364</c:v>
              </c:pt>
              <c:pt idx="9">
                <c:v>33.876436689422889</c:v>
              </c:pt>
              <c:pt idx="10">
                <c:v>34.885352295428454</c:v>
              </c:pt>
              <c:pt idx="11">
                <c:v>35.898840811195406</c:v>
              </c:pt>
              <c:pt idx="12">
                <c:v>36.917367735961534</c:v>
              </c:pt>
              <c:pt idx="13">
                <c:v>37.941434224729875</c:v>
              </c:pt>
              <c:pt idx="14">
                <c:v>38.971579800557322</c:v>
              </c:pt>
              <c:pt idx="15">
                <c:v>34.663014089963724</c:v>
              </c:pt>
            </c:numLit>
          </c:xVal>
          <c:yVal>
            <c:numLit>
              <c:formatCode>General</c:formatCode>
              <c:ptCount val="16"/>
              <c:pt idx="0">
                <c:v>1.8990738550069466E-2</c:v>
              </c:pt>
              <c:pt idx="1">
                <c:v>2.0183882325276323E-2</c:v>
              </c:pt>
              <c:pt idx="2">
                <c:v>2.1444620082461376E-2</c:v>
              </c:pt>
              <c:pt idx="3">
                <c:v>2.2776498631904309E-2</c:v>
              </c:pt>
              <c:pt idx="4">
                <c:v>2.4183254349516771E-2</c:v>
              </c:pt>
              <c:pt idx="5">
                <c:v>2.5668825425554889E-2</c:v>
              </c:pt>
              <c:pt idx="6">
                <c:v>2.7237365152299648E-2</c:v>
              </c:pt>
              <c:pt idx="7">
                <c:v>2.8893256356949129E-2</c:v>
              </c:pt>
              <c:pt idx="8">
                <c:v>3.0641127098288597E-2</c:v>
              </c:pt>
              <c:pt idx="9">
                <c:v>3.2485867759629528E-2</c:v>
              </c:pt>
              <c:pt idx="10">
                <c:v>3.4432649686309907E-2</c:v>
              </c:pt>
              <c:pt idx="11">
                <c:v>3.6486945533989089E-2</c:v>
              </c:pt>
              <c:pt idx="12">
                <c:v>3.8654551514389603E-2</c:v>
              </c:pt>
              <c:pt idx="13">
                <c:v>4.0941611748426872E-2</c:v>
              </c:pt>
              <c:pt idx="14">
                <c:v>4.3354644963263043E-2</c:v>
              </c:pt>
              <c:pt idx="15">
                <c:v>3.4000000000000002E-2</c:v>
              </c:pt>
            </c:numLit>
          </c:yVal>
          <c:smooth val="1"/>
          <c:extLst>
            <c:ext xmlns:c16="http://schemas.microsoft.com/office/drawing/2014/chart" uri="{C3380CC4-5D6E-409C-BE32-E72D297353CC}">
              <c16:uniqueId val="{00000040-20FF-4040-9B44-602C31C3F4C1}"/>
            </c:ext>
          </c:extLst>
        </c:ser>
        <c:ser>
          <c:idx val="46"/>
          <c:order val="46"/>
          <c:tx>
            <c:v>RH=100_1</c:v>
          </c:tx>
          <c:spPr>
            <a:ln w="3175">
              <a:solidFill>
                <a:srgbClr val="0000FF"/>
              </a:solidFill>
              <a:prstDash val="solid"/>
            </a:ln>
          </c:spPr>
          <c:marker>
            <c:symbol val="none"/>
          </c:marker>
          <c:xVal>
            <c:numLit>
              <c:formatCode>General</c:formatCode>
              <c:ptCount val="23"/>
              <c:pt idx="0">
                <c:v>-10.178169782224485</c:v>
              </c:pt>
              <c:pt idx="1">
                <c:v>-9.1914446576012097</c:v>
              </c:pt>
              <c:pt idx="2">
                <c:v>-8.2055155451094635</c:v>
              </c:pt>
              <c:pt idx="3">
                <c:v>-7.22041332968442</c:v>
              </c:pt>
              <c:pt idx="4">
                <c:v>-6.2361685593886982</c:v>
              </c:pt>
              <c:pt idx="5">
                <c:v>-5.2528112525852375</c:v>
              </c:pt>
              <c:pt idx="6">
                <c:v>-4.2703706848883494</c:v>
              </c:pt>
              <c:pt idx="7">
                <c:v>-3.2888751544738279</c:v>
              </c:pt>
              <c:pt idx="8">
                <c:v>-2.3083517242375029</c:v>
              </c:pt>
              <c:pt idx="9">
                <c:v>-1.3288259391909207</c:v>
              </c:pt>
              <c:pt idx="10">
                <c:v>-0.35032151737137113</c:v>
              </c:pt>
              <c:pt idx="11">
                <c:v>0.63072878902048002</c:v>
              </c:pt>
              <c:pt idx="12">
                <c:v>1.6111719572746135</c:v>
              </c:pt>
              <c:pt idx="13">
                <c:v>2.5909827527240186</c:v>
              </c:pt>
              <c:pt idx="14">
                <c:v>3.5701735744985212</c:v>
              </c:pt>
              <c:pt idx="15">
                <c:v>4.5487605635344499</c:v>
              </c:pt>
              <c:pt idx="16">
                <c:v>5.5267544089063207</c:v>
              </c:pt>
              <c:pt idx="17">
                <c:v>6.5041883174927406</c:v>
              </c:pt>
              <c:pt idx="18">
                <c:v>7.481091633037142</c:v>
              </c:pt>
              <c:pt idx="19">
                <c:v>8.4574988517709855</c:v>
              </c:pt>
              <c:pt idx="20">
                <c:v>9.4334500278774112</c:v>
              </c:pt>
              <c:pt idx="21">
                <c:v>10.408979273270996</c:v>
              </c:pt>
              <c:pt idx="22">
                <c:v>10.516264586793987</c:v>
              </c:pt>
            </c:numLit>
          </c:xVal>
          <c:yVal>
            <c:numLit>
              <c:formatCode>General</c:formatCode>
              <c:ptCount val="23"/>
              <c:pt idx="0">
                <c:v>1.6060824455002855E-3</c:v>
              </c:pt>
              <c:pt idx="1">
                <c:v>1.7549965878149991E-3</c:v>
              </c:pt>
              <c:pt idx="2">
                <c:v>1.9164686538757729E-3</c:v>
              </c:pt>
              <c:pt idx="3">
                <c:v>2.0914526472602013E-3</c:v>
              </c:pt>
              <c:pt idx="4">
                <c:v>2.2809674610698065E-3</c:v>
              </c:pt>
              <c:pt idx="5">
                <c:v>2.4861008807502316E-3</c:v>
              </c:pt>
              <c:pt idx="6">
                <c:v>2.7080138291286308E-3</c:v>
              </c:pt>
              <c:pt idx="7">
                <c:v>2.9479448711774276E-3</c:v>
              </c:pt>
              <c:pt idx="8">
                <c:v>3.2072149977556683E-3</c:v>
              </c:pt>
              <c:pt idx="9">
                <c:v>3.4872327095305327E-3</c:v>
              </c:pt>
              <c:pt idx="10">
                <c:v>3.7894994244688104E-3</c:v>
              </c:pt>
              <c:pt idx="11">
                <c:v>4.076002175174424E-3</c:v>
              </c:pt>
              <c:pt idx="12">
                <c:v>4.3812837251538872E-3</c:v>
              </c:pt>
              <c:pt idx="13">
                <c:v>4.7068331132422495E-3</c:v>
              </c:pt>
              <c:pt idx="14">
                <c:v>5.0538263680982628E-3</c:v>
              </c:pt>
              <c:pt idx="15">
                <c:v>5.4234990810554818E-3</c:v>
              </c:pt>
              <c:pt idx="16">
                <c:v>5.8172661857312045E-3</c:v>
              </c:pt>
              <c:pt idx="17">
                <c:v>6.236391005280101E-3</c:v>
              </c:pt>
              <c:pt idx="18">
                <c:v>6.6823069273506883E-3</c:v>
              </c:pt>
              <c:pt idx="19">
                <c:v>7.156519212147776E-3</c:v>
              </c:pt>
              <c:pt idx="20">
                <c:v>7.6606084940231836E-3</c:v>
              </c:pt>
              <c:pt idx="21">
                <c:v>8.196399932304619E-3</c:v>
              </c:pt>
              <c:pt idx="22">
                <c:v>8.2573377030506299E-3</c:v>
              </c:pt>
            </c:numLit>
          </c:yVal>
          <c:smooth val="1"/>
          <c:extLst>
            <c:ext xmlns:c16="http://schemas.microsoft.com/office/drawing/2014/chart" uri="{C3380CC4-5D6E-409C-BE32-E72D297353CC}">
              <c16:uniqueId val="{00000041-20FF-4040-9B44-602C31C3F4C1}"/>
            </c:ext>
          </c:extLst>
        </c:ser>
        <c:ser>
          <c:idx val="47"/>
          <c:order val="47"/>
          <c:tx>
            <c:v>RH=100_Label1</c:v>
          </c:tx>
          <c:spPr>
            <a:ln w="3175">
              <a:solidFill>
                <a:srgbClr val="0000FF"/>
              </a:solidFill>
              <a:prstDash val="solid"/>
            </a:ln>
          </c:spPr>
          <c:marker>
            <c:symbol val="none"/>
          </c:marker>
          <c:dLbls>
            <c:dLbl>
              <c:idx val="0"/>
              <c:tx>
                <c:rich>
                  <a:bodyPr rot="-22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2-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10.916109197854718</c:v>
              </c:pt>
            </c:numLit>
          </c:xVal>
          <c:yVal>
            <c:numLit>
              <c:formatCode>General</c:formatCode>
              <c:ptCount val="1"/>
              <c:pt idx="0">
                <c:v>8.4880589687444351E-3</c:v>
              </c:pt>
            </c:numLit>
          </c:yVal>
          <c:smooth val="0"/>
          <c:extLst>
            <c:ext xmlns:c16="http://schemas.microsoft.com/office/drawing/2014/chart" uri="{C3380CC4-5D6E-409C-BE32-E72D297353CC}">
              <c16:uniqueId val="{00000043-20FF-4040-9B44-602C31C3F4C1}"/>
            </c:ext>
          </c:extLst>
        </c:ser>
        <c:ser>
          <c:idx val="48"/>
          <c:order val="48"/>
          <c:tx>
            <c:v>RH=100_2</c:v>
          </c:tx>
          <c:spPr>
            <a:ln w="3175">
              <a:solidFill>
                <a:srgbClr val="0000FF"/>
              </a:solidFill>
              <a:prstDash val="solid"/>
            </a:ln>
          </c:spPr>
          <c:marker>
            <c:symbol val="none"/>
          </c:marker>
          <c:xVal>
            <c:numLit>
              <c:formatCode>General</c:formatCode>
              <c:ptCount val="13"/>
              <c:pt idx="0">
                <c:v>11.306148161457124</c:v>
              </c:pt>
              <c:pt idx="1">
                <c:v>12.281041279910601</c:v>
              </c:pt>
              <c:pt idx="2">
                <c:v>13.255696426782698</c:v>
              </c:pt>
              <c:pt idx="3">
                <c:v>14.23018774206972</c:v>
              </c:pt>
              <c:pt idx="4">
                <c:v>15.204597871348779</c:v>
              </c:pt>
              <c:pt idx="5">
                <c:v>16.179018572095902</c:v>
              </c:pt>
              <c:pt idx="6">
                <c:v>17.153551357611043</c:v>
              </c:pt>
              <c:pt idx="7">
                <c:v>18.128308181438197</c:v>
              </c:pt>
              <c:pt idx="8">
                <c:v>19.103412165477447</c:v>
              </c:pt>
              <c:pt idx="9">
                <c:v>20.078998375331533</c:v>
              </c:pt>
              <c:pt idx="10">
                <c:v>21.055214646816154</c:v>
              </c:pt>
              <c:pt idx="11">
                <c:v>22.032222467998068</c:v>
              </c:pt>
              <c:pt idx="12">
                <c:v>22.980842787419583</c:v>
              </c:pt>
            </c:numLit>
          </c:xVal>
          <c:yVal>
            <c:numLit>
              <c:formatCode>General</c:formatCode>
              <c:ptCount val="13"/>
              <c:pt idx="0">
                <c:v>8.7186984612775478E-3</c:v>
              </c:pt>
              <c:pt idx="1">
                <c:v>9.3200472156966009E-3</c:v>
              </c:pt>
              <c:pt idx="2">
                <c:v>9.9582974908895144E-3</c:v>
              </c:pt>
              <c:pt idx="3">
                <c:v>1.0635461977505508E-2</c:v>
              </c:pt>
              <c:pt idx="4">
                <c:v>1.1353654611274092E-2</c:v>
              </c:pt>
              <c:pt idx="5">
                <c:v>1.2115095962728417E-2</c:v>
              </c:pt>
              <c:pt idx="6">
                <c:v>1.2922119000939997E-2</c:v>
              </c:pt>
              <c:pt idx="7">
                <c:v>1.377717526523955E-2</c:v>
              </c:pt>
              <c:pt idx="8">
                <c:v>1.46828414823855E-2</c:v>
              </c:pt>
              <c:pt idx="9">
                <c:v>1.5641826670521098E-2</c:v>
              </c:pt>
              <c:pt idx="10">
                <c:v>1.665697977558259E-2</c:v>
              </c:pt>
              <c:pt idx="11">
                <c:v>1.7731297890637539E-2</c:v>
              </c:pt>
              <c:pt idx="12">
                <c:v>1.8832897951509976E-2</c:v>
              </c:pt>
            </c:numLit>
          </c:yVal>
          <c:smooth val="1"/>
          <c:extLst>
            <c:ext xmlns:c16="http://schemas.microsoft.com/office/drawing/2014/chart" uri="{C3380CC4-5D6E-409C-BE32-E72D297353CC}">
              <c16:uniqueId val="{00000044-20FF-4040-9B44-602C31C3F4C1}"/>
            </c:ext>
          </c:extLst>
        </c:ser>
        <c:ser>
          <c:idx val="49"/>
          <c:order val="49"/>
          <c:tx>
            <c:v>RH=100_Label2</c:v>
          </c:tx>
          <c:spPr>
            <a:ln w="3175">
              <a:solidFill>
                <a:srgbClr val="0000FF"/>
              </a:solidFill>
              <a:prstDash val="solid"/>
            </a:ln>
          </c:spPr>
          <c:marker>
            <c:symbol val="none"/>
          </c:marker>
          <c:dLbls>
            <c:dLbl>
              <c:idx val="0"/>
              <c:tx>
                <c:rich>
                  <a:bodyPr rot="-34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5-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23.274441676340576</c:v>
              </c:pt>
            </c:numLit>
          </c:xVal>
          <c:yVal>
            <c:numLit>
              <c:formatCode>General</c:formatCode>
              <c:ptCount val="1"/>
              <c:pt idx="0">
                <c:v>1.9185938466822944E-2</c:v>
              </c:pt>
            </c:numLit>
          </c:yVal>
          <c:smooth val="0"/>
          <c:extLst>
            <c:ext xmlns:c16="http://schemas.microsoft.com/office/drawing/2014/chart" uri="{C3380CC4-5D6E-409C-BE32-E72D297353CC}">
              <c16:uniqueId val="{00000046-20FF-4040-9B44-602C31C3F4C1}"/>
            </c:ext>
          </c:extLst>
        </c:ser>
        <c:ser>
          <c:idx val="50"/>
          <c:order val="50"/>
          <c:tx>
            <c:v>RH=100_3</c:v>
          </c:tx>
          <c:spPr>
            <a:ln w="3175">
              <a:solidFill>
                <a:srgbClr val="0000FF"/>
              </a:solidFill>
              <a:prstDash val="solid"/>
            </a:ln>
          </c:spPr>
          <c:marker>
            <c:symbol val="none"/>
          </c:marker>
          <c:xVal>
            <c:numLit>
              <c:formatCode>General</c:formatCode>
              <c:ptCount val="15"/>
              <c:pt idx="0">
                <c:v>23.568149699182413</c:v>
              </c:pt>
              <c:pt idx="1">
                <c:v>24.548027900099004</c:v>
              </c:pt>
              <c:pt idx="2">
                <c:v>25.529389944809026</c:v>
              </c:pt>
              <c:pt idx="3">
                <c:v>26.512482514651783</c:v>
              </c:pt>
              <c:pt idx="4">
                <c:v>27.497562490796636</c:v>
              </c:pt>
              <c:pt idx="5">
                <c:v>28.484908011306281</c:v>
              </c:pt>
              <c:pt idx="6">
                <c:v>29.474819980120685</c:v>
              </c:pt>
              <c:pt idx="7">
                <c:v>30.467623697062518</c:v>
              </c:pt>
              <c:pt idx="8">
                <c:v>31.463670621458721</c:v>
              </c:pt>
              <c:pt idx="9">
                <c:v>32.463340283532261</c:v>
              </c:pt>
              <c:pt idx="10">
                <c:v>33.467042359491842</c:v>
              </c:pt>
              <c:pt idx="11">
                <c:v>34.475218928270039</c:v>
              </c:pt>
              <c:pt idx="12">
                <c:v>35.488346930168582</c:v>
              </c:pt>
              <c:pt idx="13">
                <c:v>36.506940850312191</c:v>
              </c:pt>
              <c:pt idx="14">
                <c:v>32.643696673944994</c:v>
              </c:pt>
            </c:numLit>
          </c:xVal>
          <c:yVal>
            <c:numLit>
              <c:formatCode>General</c:formatCode>
              <c:ptCount val="15"/>
              <c:pt idx="0">
                <c:v>1.9544968716094731E-2</c:v>
              </c:pt>
              <c:pt idx="1">
                <c:v>2.078642319572007E-2</c:v>
              </c:pt>
              <c:pt idx="2">
                <c:v>2.2099351809162063E-2</c:v>
              </c:pt>
              <c:pt idx="3">
                <c:v>2.3487353058385261E-2</c:v>
              </c:pt>
              <c:pt idx="4">
                <c:v>2.4954438152261969E-2</c:v>
              </c:pt>
              <c:pt idx="5">
                <c:v>2.6504840036747992E-2</c:v>
              </c:pt>
              <c:pt idx="6">
                <c:v>2.8143028389042056E-2</c:v>
              </c:pt>
              <c:pt idx="7">
                <c:v>2.9873725935853069E-2</c:v>
              </c:pt>
              <c:pt idx="8">
                <c:v>3.1701926236084019E-2</c:v>
              </c:pt>
              <c:pt idx="9">
                <c:v>3.3632913085147265E-2</c:v>
              </c:pt>
              <c:pt idx="10">
                <c:v>3.567228171735233E-2</c:v>
              </c:pt>
              <c:pt idx="11">
                <c:v>3.7825962004710931E-2</c:v>
              </c:pt>
              <c:pt idx="12">
                <c:v>4.0100243875520566E-2</c:v>
              </c:pt>
              <c:pt idx="13">
                <c:v>4.2501805204693884E-2</c:v>
              </c:pt>
              <c:pt idx="14">
                <c:v>3.4000000000000002E-2</c:v>
              </c:pt>
            </c:numLit>
          </c:yVal>
          <c:smooth val="1"/>
          <c:extLst>
            <c:ext xmlns:c16="http://schemas.microsoft.com/office/drawing/2014/chart" uri="{C3380CC4-5D6E-409C-BE32-E72D297353CC}">
              <c16:uniqueId val="{00000047-20FF-4040-9B44-602C31C3F4C1}"/>
            </c:ext>
          </c:extLst>
        </c:ser>
        <c:ser>
          <c:idx val="51"/>
          <c:order val="51"/>
          <c:tx>
            <c:v>RH=5_1</c:v>
          </c:tx>
          <c:spPr>
            <a:ln w="3175">
              <a:solidFill>
                <a:srgbClr val="0000FF"/>
              </a:solidFill>
              <a:prstDash val="solid"/>
            </a:ln>
          </c:spPr>
          <c:marker>
            <c:symbol val="none"/>
          </c:marker>
          <c:xVal>
            <c:numLit>
              <c:formatCode>General</c:formatCode>
              <c:ptCount val="44"/>
              <c:pt idx="0">
                <c:v>4.9776233903200948</c:v>
              </c:pt>
              <c:pt idx="1">
                <c:v>5.9765461124062504</c:v>
              </c:pt>
              <c:pt idx="2">
                <c:v>6.9754433265574693</c:v>
              </c:pt>
              <c:pt idx="3">
                <c:v>7.9743167161359203</c:v>
              </c:pt>
              <c:pt idx="4">
                <c:v>8.9731682332912257</c:v>
              </c:pt>
              <c:pt idx="5">
                <c:v>9.9720001185570162</c:v>
              </c:pt>
              <c:pt idx="6">
                <c:v>10.970814339524935</c:v>
              </c:pt>
              <c:pt idx="7">
                <c:v>11.969614309804435</c:v>
              </c:pt>
              <c:pt idx="8">
                <c:v>12.96840326099748</c:v>
              </c:pt>
              <c:pt idx="9">
                <c:v>13.967184800874087</c:v>
              </c:pt>
              <c:pt idx="10">
                <c:v>14.965962937671193</c:v>
              </c:pt>
              <c:pt idx="11">
                <c:v>15.96474210539113</c:v>
              </c:pt>
              <c:pt idx="12">
                <c:v>16.963527190121308</c:v>
              </c:pt>
              <c:pt idx="13">
                <c:v>17.962323557396687</c:v>
              </c:pt>
              <c:pt idx="14">
                <c:v>18.96113708062671</c:v>
              </c:pt>
              <c:pt idx="15">
                <c:v>19.959974170608504</c:v>
              </c:pt>
              <c:pt idx="16">
                <c:v>20.958841806148165</c:v>
              </c:pt>
              <c:pt idx="17">
                <c:v>21.957747565812291</c:v>
              </c:pt>
              <c:pt idx="18">
                <c:v>22.956699660831834</c:v>
              </c:pt>
              <c:pt idx="19">
                <c:v>23.955706969180849</c:v>
              </c:pt>
              <c:pt idx="20">
                <c:v>24.954779070852826</c:v>
              </c:pt>
              <c:pt idx="21">
                <c:v>25.953925365223707</c:v>
              </c:pt>
              <c:pt idx="22">
                <c:v>26.953157835456782</c:v>
              </c:pt>
              <c:pt idx="23">
                <c:v>27.952488397435463</c:v>
              </c:pt>
              <c:pt idx="24">
                <c:v>28.951929823629314</c:v>
              </c:pt>
              <c:pt idx="25">
                <c:v>29.951495784802255</c:v>
              </c:pt>
              <c:pt idx="26">
                <c:v>30.951200893068666</c:v>
              </c:pt>
              <c:pt idx="27">
                <c:v>31.951060746323797</c:v>
              </c:pt>
              <c:pt idx="28">
                <c:v>32.951091974075759</c:v>
              </c:pt>
              <c:pt idx="29">
                <c:v>33.9513122847072</c:v>
              </c:pt>
              <c:pt idx="30">
                <c:v>34.951740514195947</c:v>
              </c:pt>
              <c:pt idx="31">
                <c:v>35.952396676324661</c:v>
              </c:pt>
              <c:pt idx="32">
                <c:v>36.9533020144112</c:v>
              </c:pt>
              <c:pt idx="33">
                <c:v>37.954479054592419</c:v>
              </c:pt>
              <c:pt idx="34">
                <c:v>38.955951660695632</c:v>
              </c:pt>
              <c:pt idx="35">
                <c:v>39.957745090733781</c:v>
              </c:pt>
              <c:pt idx="36">
                <c:v>40.959885654307307</c:v>
              </c:pt>
              <c:pt idx="37">
                <c:v>41.962402024883296</c:v>
              </c:pt>
              <c:pt idx="38">
                <c:v>42.965324010989782</c:v>
              </c:pt>
              <c:pt idx="39">
                <c:v>43.968683059608644</c:v>
              </c:pt>
              <c:pt idx="40">
                <c:v>44.972512321482363</c:v>
              </c:pt>
              <c:pt idx="41">
                <c:v>45.976846718306781</c:v>
              </c:pt>
              <c:pt idx="42">
                <c:v>46.981723011861952</c:v>
              </c:pt>
              <c:pt idx="43">
                <c:v>47.182766666949178</c:v>
              </c:pt>
            </c:numLit>
          </c:xVal>
          <c:yVal>
            <c:numLit>
              <c:formatCode>General</c:formatCode>
              <c:ptCount val="44"/>
              <c:pt idx="0">
                <c:v>2.6894706496995591E-4</c:v>
              </c:pt>
              <c:pt idx="1">
                <c:v>2.883016974500513E-4</c:v>
              </c:pt>
              <c:pt idx="2">
                <c:v>3.0887738788679987E-4</c:v>
              </c:pt>
              <c:pt idx="3">
                <c:v>3.3073967700030329E-4</c:v>
              </c:pt>
              <c:pt idx="4">
                <c:v>3.539569539605077E-4</c:v>
              </c:pt>
              <c:pt idx="5">
                <c:v>3.7860054746830814E-4</c:v>
              </c:pt>
              <c:pt idx="6">
                <c:v>4.0475288720587759E-4</c:v>
              </c:pt>
              <c:pt idx="7">
                <c:v>4.324844982560534E-4</c:v>
              </c:pt>
              <c:pt idx="8">
                <c:v>4.6187619059190967E-4</c:v>
              </c:pt>
              <c:pt idx="9">
                <c:v>4.930121015631261E-4</c:v>
              </c:pt>
              <c:pt idx="10">
                <c:v>5.2597979574161853E-4</c:v>
              </c:pt>
              <c:pt idx="11">
                <c:v>5.6087036648519981E-4</c:v>
              </c:pt>
              <c:pt idx="12">
                <c:v>5.9777853923045476E-4</c:v>
              </c:pt>
              <c:pt idx="13">
                <c:v>6.3680277652780669E-4</c:v>
              </c:pt>
              <c:pt idx="14">
                <c:v>6.780453848340256E-4</c:v>
              </c:pt>
              <c:pt idx="15">
                <c:v>7.2161262307971201E-4</c:v>
              </c:pt>
              <c:pt idx="16">
                <c:v>7.6761481303197878E-4</c:v>
              </c:pt>
              <c:pt idx="17">
                <c:v>8.1616645147532241E-4</c:v>
              </c:pt>
              <c:pt idx="18">
                <c:v>8.6738632423690452E-4</c:v>
              </c:pt>
              <c:pt idx="19">
                <c:v>9.2139762208571683E-4</c:v>
              </c:pt>
              <c:pt idx="20">
                <c:v>9.783280585388284E-4</c:v>
              </c:pt>
              <c:pt idx="21">
                <c:v>1.0383307030678828E-3</c:v>
              </c:pt>
              <c:pt idx="22">
                <c:v>1.1015244864534207E-3</c:v>
              </c:pt>
              <c:pt idx="23">
                <c:v>1.1680516173001498E-3</c:v>
              </c:pt>
              <c:pt idx="24">
                <c:v>1.2380593299771872E-3</c:v>
              </c:pt>
              <c:pt idx="25">
                <c:v>1.3117000131433135E-3</c:v>
              </c:pt>
              <c:pt idx="26">
                <c:v>1.3891313404901472E-3</c:v>
              </c:pt>
              <c:pt idx="27">
                <c:v>1.4705164037711607E-3</c:v>
              </c:pt>
              <c:pt idx="28">
                <c:v>1.5560238481906713E-3</c:v>
              </c:pt>
              <c:pt idx="29">
                <c:v>1.6458280102336351E-3</c:v>
              </c:pt>
              <c:pt idx="30">
                <c:v>1.7401090580242489E-3</c:v>
              </c:pt>
              <c:pt idx="31">
                <c:v>1.8390531343085432E-3</c:v>
              </c:pt>
              <c:pt idx="32">
                <c:v>1.9428525021642465E-3</c:v>
              </c:pt>
              <c:pt idx="33">
                <c:v>2.0517056935495715E-3</c:v>
              </c:pt>
              <c:pt idx="34">
                <c:v>2.1658176608111267E-3</c:v>
              </c:pt>
              <c:pt idx="35">
                <c:v>2.2853999312806269E-3</c:v>
              </c:pt>
              <c:pt idx="36">
                <c:v>2.4106948486765866E-3</c:v>
              </c:pt>
              <c:pt idx="37">
                <c:v>2.5419061134005754E-3</c:v>
              </c:pt>
              <c:pt idx="38">
                <c:v>2.6792661247527954E-3</c:v>
              </c:pt>
              <c:pt idx="39">
                <c:v>2.8230145191489361E-3</c:v>
              </c:pt>
              <c:pt idx="40">
                <c:v>2.9733983428754376E-3</c:v>
              </c:pt>
              <c:pt idx="41">
                <c:v>3.1306722289495314E-3</c:v>
              </c:pt>
              <c:pt idx="42">
                <c:v>3.295098578294037E-3</c:v>
              </c:pt>
              <c:pt idx="43">
                <c:v>3.3288657928423463E-3</c:v>
              </c:pt>
            </c:numLit>
          </c:yVal>
          <c:smooth val="1"/>
          <c:extLst>
            <c:ext xmlns:c16="http://schemas.microsoft.com/office/drawing/2014/chart" uri="{C3380CC4-5D6E-409C-BE32-E72D297353CC}">
              <c16:uniqueId val="{00000048-20FF-4040-9B44-602C31C3F4C1}"/>
            </c:ext>
          </c:extLst>
        </c:ser>
        <c:ser>
          <c:idx val="52"/>
          <c:order val="52"/>
          <c:tx>
            <c:v>RH=5_Label</c:v>
          </c:tx>
          <c:spPr>
            <a:ln w="3175">
              <a:solidFill>
                <a:srgbClr val="0000FF"/>
              </a:solidFill>
              <a:prstDash val="solid"/>
            </a:ln>
          </c:spPr>
          <c:marker>
            <c:symbol val="none"/>
          </c:marker>
          <c:dLbls>
            <c:dLbl>
              <c:idx val="0"/>
              <c:tx>
                <c:rich>
                  <a:bodyPr rot="-78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9-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47.484376378579221</c:v>
              </c:pt>
            </c:numLit>
          </c:xVal>
          <c:yVal>
            <c:numLit>
              <c:formatCode>General</c:formatCode>
              <c:ptCount val="1"/>
              <c:pt idx="0">
                <c:v>3.3800780966238612E-3</c:v>
              </c:pt>
            </c:numLit>
          </c:yVal>
          <c:smooth val="0"/>
          <c:extLst>
            <c:ext xmlns:c16="http://schemas.microsoft.com/office/drawing/2014/chart" uri="{C3380CC4-5D6E-409C-BE32-E72D297353CC}">
              <c16:uniqueId val="{0000004A-20FF-4040-9B44-602C31C3F4C1}"/>
            </c:ext>
          </c:extLst>
        </c:ser>
        <c:ser>
          <c:idx val="53"/>
          <c:order val="53"/>
          <c:tx>
            <c:v>RH=5_2</c:v>
          </c:tx>
          <c:spPr>
            <a:ln w="3175">
              <a:solidFill>
                <a:srgbClr val="0000FF"/>
              </a:solidFill>
              <a:prstDash val="solid"/>
            </a:ln>
          </c:spPr>
          <c:marker>
            <c:symbol val="none"/>
          </c:marker>
          <c:xVal>
            <c:numLit>
              <c:formatCode>General</c:formatCode>
              <c:ptCount val="4"/>
              <c:pt idx="0">
                <c:v>47.78604013452582</c:v>
              </c:pt>
              <c:pt idx="1">
                <c:v>48.791990629120036</c:v>
              </c:pt>
              <c:pt idx="2">
                <c:v>49.798596355979541</c:v>
              </c:pt>
              <c:pt idx="3">
                <c:v>50.000000000000007</c:v>
              </c:pt>
            </c:numLit>
          </c:xVal>
          <c:yVal>
            <c:numLit>
              <c:formatCode>General</c:formatCode>
              <c:ptCount val="4"/>
              <c:pt idx="0">
                <c:v>3.4319708374959527E-3</c:v>
              </c:pt>
              <c:pt idx="1">
                <c:v>3.6099583804882654E-3</c:v>
              </c:pt>
              <c:pt idx="2">
                <c:v>3.7958760338435635E-3</c:v>
              </c:pt>
              <c:pt idx="3">
                <c:v>3.8340368674482672E-3</c:v>
              </c:pt>
            </c:numLit>
          </c:yVal>
          <c:smooth val="1"/>
          <c:extLst>
            <c:ext xmlns:c16="http://schemas.microsoft.com/office/drawing/2014/chart" uri="{C3380CC4-5D6E-409C-BE32-E72D297353CC}">
              <c16:uniqueId val="{0000004B-20FF-4040-9B44-602C31C3F4C1}"/>
            </c:ext>
          </c:extLst>
        </c:ser>
        <c:ser>
          <c:idx val="54"/>
          <c:order val="54"/>
          <c:tx>
            <c:v>RH=15_1</c:v>
          </c:tx>
          <c:spPr>
            <a:ln w="3175">
              <a:solidFill>
                <a:srgbClr val="0000FF"/>
              </a:solidFill>
              <a:prstDash val="solid"/>
            </a:ln>
          </c:spPr>
          <c:marker>
            <c:symbol val="none"/>
          </c:marker>
          <c:xVal>
            <c:numLit>
              <c:formatCode>General</c:formatCode>
              <c:ptCount val="43"/>
              <c:pt idx="0">
                <c:v>4.9328120662058037</c:v>
              </c:pt>
              <c:pt idx="1">
                <c:v>5.9295730482714228</c:v>
              </c:pt>
              <c:pt idx="2">
                <c:v>6.9262567373612773</c:v>
              </c:pt>
              <c:pt idx="3">
                <c:v>7.9228681182020555</c:v>
              </c:pt>
              <c:pt idx="4">
                <c:v>8.9194129788004801</c:v>
              </c:pt>
              <c:pt idx="5">
                <c:v>9.9158979695017493</c:v>
              </c:pt>
              <c:pt idx="6">
                <c:v>10.912328914825977</c:v>
              </c:pt>
              <c:pt idx="7">
                <c:v>11.908715983459764</c:v>
              </c:pt>
              <c:pt idx="8">
                <c:v>12.905068793043446</c:v>
              </c:pt>
              <c:pt idx="9">
                <c:v>13.901398089122475</c:v>
              </c:pt>
              <c:pt idx="10">
                <c:v>14.897715818985999</c:v>
              </c:pt>
              <c:pt idx="11">
                <c:v>15.894035208705857</c:v>
              </c:pt>
              <c:pt idx="12">
                <c:v>16.890370843469007</c:v>
              </c:pt>
              <c:pt idx="13">
                <c:v>17.886738751299848</c:v>
              </c:pt>
              <c:pt idx="14">
                <c:v>18.883156490272302</c:v>
              </c:pt>
              <c:pt idx="15">
                <c:v>19.879643239315833</c:v>
              </c:pt>
              <c:pt idx="16">
                <c:v>20.876219892723721</c:v>
              </c:pt>
              <c:pt idx="17">
                <c:v>21.872909158476965</c:v>
              </c:pt>
              <c:pt idx="18">
                <c:v>22.86973566050245</c:v>
              </c:pt>
              <c:pt idx="19">
                <c:v>23.866726044989953</c:v>
              </c:pt>
              <c:pt idx="20">
                <c:v>24.863909090898993</c:v>
              </c:pt>
              <c:pt idx="21">
                <c:v>25.861313048886803</c:v>
              </c:pt>
              <c:pt idx="22">
                <c:v>26.858973993203644</c:v>
              </c:pt>
              <c:pt idx="23">
                <c:v>27.856927825559083</c:v>
              </c:pt>
              <c:pt idx="24">
                <c:v>28.855213070331221</c:v>
              </c:pt>
              <c:pt idx="25">
                <c:v>29.853871008543511</c:v>
              </c:pt>
              <c:pt idx="26">
                <c:v>30.852945817009974</c:v>
              </c:pt>
              <c:pt idx="27">
                <c:v>31.852484712846547</c:v>
              </c:pt>
              <c:pt idx="28">
                <c:v>32.852538103559269</c:v>
              </c:pt>
              <c:pt idx="29">
                <c:v>33.853159742934409</c:v>
              </c:pt>
              <c:pt idx="30">
                <c:v>34.854406892971049</c:v>
              </c:pt>
              <c:pt idx="31">
                <c:v>35.856340492113461</c:v>
              </c:pt>
              <c:pt idx="32">
                <c:v>36.859025330058785</c:v>
              </c:pt>
              <c:pt idx="33">
                <c:v>37.86253022943545</c:v>
              </c:pt>
              <c:pt idx="34">
                <c:v>38.866928234668933</c:v>
              </c:pt>
              <c:pt idx="35">
                <c:v>39.872296808374962</c:v>
              </c:pt>
              <c:pt idx="36">
                <c:v>40.878716814523401</c:v>
              </c:pt>
              <c:pt idx="37">
                <c:v>41.886276545260401</c:v>
              </c:pt>
              <c:pt idx="38">
                <c:v>42.895068014466354</c:v>
              </c:pt>
              <c:pt idx="39">
                <c:v>43.90518852682635</c:v>
              </c:pt>
              <c:pt idx="40">
                <c:v>44.916740918221194</c:v>
              </c:pt>
              <c:pt idx="41">
                <c:v>45.929833806311073</c:v>
              </c:pt>
              <c:pt idx="42">
                <c:v>46.447141040472602</c:v>
              </c:pt>
            </c:numLit>
          </c:xVal>
          <c:yVal>
            <c:numLit>
              <c:formatCode>General</c:formatCode>
              <c:ptCount val="43"/>
              <c:pt idx="0">
                <c:v>8.0753956268771263E-4</c:v>
              </c:pt>
              <c:pt idx="1">
                <c:v>8.6570764221589327E-4</c:v>
              </c:pt>
              <c:pt idx="2">
                <c:v>9.2755341603594442E-4</c:v>
              </c:pt>
              <c:pt idx="3">
                <c:v>9.9327538516040146E-4</c:v>
              </c:pt>
              <c:pt idx="4">
                <c:v>1.0630808199149999E-3</c:v>
              </c:pt>
              <c:pt idx="5">
                <c:v>1.137186057543544E-3</c:v>
              </c:pt>
              <c:pt idx="6">
                <c:v>1.2158410764414958E-3</c:v>
              </c:pt>
              <c:pt idx="7">
                <c:v>1.2992603372874558E-3</c:v>
              </c:pt>
              <c:pt idx="8">
                <c:v>1.3876895408063471E-3</c:v>
              </c:pt>
              <c:pt idx="9">
                <c:v>1.4813847422758377E-3</c:v>
              </c:pt>
              <c:pt idx="10">
                <c:v>1.5806126897094368E-3</c:v>
              </c:pt>
              <c:pt idx="11">
                <c:v>1.6856511708081745E-3</c:v>
              </c:pt>
              <c:pt idx="12">
                <c:v>1.7967893690155705E-3</c:v>
              </c:pt>
              <c:pt idx="13">
                <c:v>1.9143282290381843E-3</c:v>
              </c:pt>
              <c:pt idx="14">
                <c:v>2.0385808322245149E-3</c:v>
              </c:pt>
              <c:pt idx="15">
                <c:v>2.1698727822271171E-3</c:v>
              </c:pt>
              <c:pt idx="16">
                <c:v>2.3085426014077663E-3</c:v>
              </c:pt>
              <c:pt idx="17">
                <c:v>2.4549421384825049E-3</c:v>
              </c:pt>
              <c:pt idx="18">
                <c:v>2.6094369879436801E-3</c:v>
              </c:pt>
              <c:pt idx="19">
                <c:v>2.7724069218384747E-3</c:v>
              </c:pt>
              <c:pt idx="20">
                <c:v>2.9442463345293766E-3</c:v>
              </c:pt>
              <c:pt idx="21">
                <c:v>3.1254272585097861E-3</c:v>
              </c:pt>
              <c:pt idx="22">
                <c:v>3.3163198419152674E-3</c:v>
              </c:pt>
              <c:pt idx="23">
                <c:v>3.517365774378339E-3</c:v>
              </c:pt>
              <c:pt idx="24">
                <c:v>3.729023329410901E-3</c:v>
              </c:pt>
              <c:pt idx="25">
                <c:v>3.9517678872373575E-3</c:v>
              </c:pt>
              <c:pt idx="26">
                <c:v>4.1860924756074117E-3</c:v>
              </c:pt>
              <c:pt idx="27">
                <c:v>4.4325083296407235E-3</c:v>
              </c:pt>
              <c:pt idx="28">
                <c:v>4.6915454718334821E-3</c:v>
              </c:pt>
              <c:pt idx="29">
                <c:v>4.9637533134403835E-3</c:v>
              </c:pt>
              <c:pt idx="30">
                <c:v>5.2497012785349493E-3</c:v>
              </c:pt>
              <c:pt idx="31">
                <c:v>5.5499794521452683E-3</c:v>
              </c:pt>
              <c:pt idx="32">
                <c:v>5.8651992539645445E-3</c:v>
              </c:pt>
              <c:pt idx="33">
                <c:v>6.1959941392444491E-3</c:v>
              </c:pt>
              <c:pt idx="34">
                <c:v>6.5430203285947253E-3</c:v>
              </c:pt>
              <c:pt idx="35">
                <c:v>6.906957568537187E-3</c:v>
              </c:pt>
              <c:pt idx="36">
                <c:v>7.2885833088089363E-3</c:v>
              </c:pt>
              <c:pt idx="37">
                <c:v>7.6885615233894828E-3</c:v>
              </c:pt>
              <c:pt idx="38">
                <c:v>8.1076480373922614E-3</c:v>
              </c:pt>
              <c:pt idx="39">
                <c:v>8.5466256283771892E-3</c:v>
              </c:pt>
              <c:pt idx="40">
                <c:v>9.0063049752121399E-3</c:v>
              </c:pt>
              <c:pt idx="41">
                <c:v>9.487525652025099E-3</c:v>
              </c:pt>
              <c:pt idx="42">
                <c:v>9.7415215954277639E-3</c:v>
              </c:pt>
            </c:numLit>
          </c:yVal>
          <c:smooth val="1"/>
          <c:extLst>
            <c:ext xmlns:c16="http://schemas.microsoft.com/office/drawing/2014/chart" uri="{C3380CC4-5D6E-409C-BE32-E72D297353CC}">
              <c16:uniqueId val="{0000004C-20FF-4040-9B44-602C31C3F4C1}"/>
            </c:ext>
          </c:extLst>
        </c:ser>
        <c:ser>
          <c:idx val="55"/>
          <c:order val="55"/>
          <c:tx>
            <c:v>RH=15_Label</c:v>
          </c:tx>
          <c:spPr>
            <a:ln w="3175">
              <a:solidFill>
                <a:srgbClr val="0000FF"/>
              </a:solidFill>
              <a:prstDash val="solid"/>
            </a:ln>
          </c:spPr>
          <c:marker>
            <c:symbol val="none"/>
          </c:marker>
          <c:dLbls>
            <c:dLbl>
              <c:idx val="0"/>
              <c:tx>
                <c:rich>
                  <a:bodyPr rot="-20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15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D-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46.751646831740644</c:v>
              </c:pt>
            </c:numLit>
          </c:xVal>
          <c:yVal>
            <c:numLit>
              <c:formatCode>General</c:formatCode>
              <c:ptCount val="1"/>
              <c:pt idx="0">
                <c:v>9.8937012958702358E-3</c:v>
              </c:pt>
            </c:numLit>
          </c:yVal>
          <c:smooth val="0"/>
          <c:extLst>
            <c:ext xmlns:c16="http://schemas.microsoft.com/office/drawing/2014/chart" uri="{C3380CC4-5D6E-409C-BE32-E72D297353CC}">
              <c16:uniqueId val="{0000004E-20FF-4040-9B44-602C31C3F4C1}"/>
            </c:ext>
          </c:extLst>
        </c:ser>
        <c:ser>
          <c:idx val="56"/>
          <c:order val="56"/>
          <c:tx>
            <c:v>RH=15_2</c:v>
          </c:tx>
          <c:spPr>
            <a:ln w="3175">
              <a:solidFill>
                <a:srgbClr val="0000FF"/>
              </a:solidFill>
              <a:prstDash val="solid"/>
            </a:ln>
          </c:spPr>
          <c:marker>
            <c:symbol val="none"/>
          </c:marker>
          <c:xVal>
            <c:numLit>
              <c:formatCode>General</c:formatCode>
              <c:ptCount val="4"/>
              <c:pt idx="0">
                <c:v>47.056310316800555</c:v>
              </c:pt>
              <c:pt idx="1">
                <c:v>48.073037537462</c:v>
              </c:pt>
              <c:pt idx="2">
                <c:v>49.091682918519822</c:v>
              </c:pt>
              <c:pt idx="3">
                <c:v>50</c:v>
              </c:pt>
            </c:numLit>
          </c:xVal>
          <c:yVal>
            <c:numLit>
              <c:formatCode>General</c:formatCode>
              <c:ptCount val="4"/>
              <c:pt idx="0">
                <c:v>1.0047963183881549E-2</c:v>
              </c:pt>
              <c:pt idx="1">
                <c:v>1.0577526686358711E-2</c:v>
              </c:pt>
              <c:pt idx="2">
                <c:v>1.1131438908453318E-2</c:v>
              </c:pt>
              <c:pt idx="3">
                <c:v>1.1645684295829718E-2</c:v>
              </c:pt>
            </c:numLit>
          </c:yVal>
          <c:smooth val="1"/>
          <c:extLst>
            <c:ext xmlns:c16="http://schemas.microsoft.com/office/drawing/2014/chart" uri="{C3380CC4-5D6E-409C-BE32-E72D297353CC}">
              <c16:uniqueId val="{0000004F-20FF-4040-9B44-602C31C3F4C1}"/>
            </c:ext>
          </c:extLst>
        </c:ser>
        <c:ser>
          <c:idx val="57"/>
          <c:order val="57"/>
          <c:tx>
            <c:v>RH=25_1</c:v>
          </c:tx>
          <c:spPr>
            <a:ln w="3175">
              <a:solidFill>
                <a:srgbClr val="0000FF"/>
              </a:solidFill>
              <a:prstDash val="solid"/>
            </a:ln>
          </c:spPr>
          <c:marker>
            <c:symbol val="none"/>
          </c:marker>
          <c:xVal>
            <c:numLit>
              <c:formatCode>General</c:formatCode>
              <c:ptCount val="37"/>
              <c:pt idx="0">
                <c:v>4.8879231012968791</c:v>
              </c:pt>
              <c:pt idx="1">
                <c:v>5.8825127300794398</c:v>
              </c:pt>
              <c:pt idx="2">
                <c:v>6.8769722487850746</c:v>
              </c:pt>
              <c:pt idx="3">
                <c:v>7.8713098552420631</c:v>
              </c:pt>
              <c:pt idx="4">
                <c:v>8.8655350807734692</c:v>
              </c:pt>
              <c:pt idx="5">
                <c:v>9.8596588890554671</c:v>
              </c:pt>
              <c:pt idx="6">
                <c:v>10.853690855483984</c:v>
              </c:pt>
              <c:pt idx="7">
                <c:v>11.847647805735933</c:v>
              </c:pt>
              <c:pt idx="8">
                <c:v>12.841545638426375</c:v>
              </c:pt>
              <c:pt idx="9">
                <c:v>13.835402130731799</c:v>
              </c:pt>
              <c:pt idx="10">
                <c:v>14.829237063000017</c:v>
              </c:pt>
              <c:pt idx="11">
                <c:v>15.823072349030694</c:v>
              </c:pt>
              <c:pt idx="12">
                <c:v>16.816932172229965</c:v>
              </c:pt>
              <c:pt idx="13">
                <c:v>17.810843127853662</c:v>
              </c:pt>
              <c:pt idx="14">
                <c:v>18.804834371565729</c:v>
              </c:pt>
              <c:pt idx="15">
                <c:v>19.798937774551831</c:v>
              </c:pt>
              <c:pt idx="16">
                <c:v>20.793188085442747</c:v>
              </c:pt>
              <c:pt idx="17">
                <c:v>21.787623099318349</c:v>
              </c:pt>
              <c:pt idx="18">
                <c:v>22.782283834080481</c:v>
              </c:pt>
              <c:pt idx="19">
                <c:v>23.777214714502644</c:v>
              </c:pt>
              <c:pt idx="20">
                <c:v>24.772463764285462</c:v>
              </c:pt>
              <c:pt idx="21">
                <c:v>25.768078148805394</c:v>
              </c:pt>
              <c:pt idx="22">
                <c:v>26.764118193744252</c:v>
              </c:pt>
              <c:pt idx="23">
                <c:v>27.760643986089452</c:v>
              </c:pt>
              <c:pt idx="24">
                <c:v>28.757720072682208</c:v>
              </c:pt>
              <c:pt idx="25">
                <c:v>29.755415698625718</c:v>
              </c:pt>
              <c:pt idx="26">
                <c:v>30.753805056280719</c:v>
              </c:pt>
              <c:pt idx="27">
                <c:v>31.752967545395908</c:v>
              </c:pt>
              <c:pt idx="28">
                <c:v>32.752988044964312</c:v>
              </c:pt>
              <c:pt idx="29">
                <c:v>33.753957197444102</c:v>
              </c:pt>
              <c:pt idx="30">
                <c:v>34.755971706033954</c:v>
              </c:pt>
              <c:pt idx="31">
                <c:v>35.75913464574959</c:v>
              </c:pt>
              <c:pt idx="32">
                <c:v>36.763555789109603</c:v>
              </c:pt>
              <c:pt idx="33">
                <c:v>37.76935194730585</c:v>
              </c:pt>
              <c:pt idx="34">
                <c:v>38.776647327806749</c:v>
              </c:pt>
              <c:pt idx="35">
                <c:v>39.785573909421991</c:v>
              </c:pt>
              <c:pt idx="36">
                <c:v>40.502977025632909</c:v>
              </c:pt>
            </c:numLit>
          </c:xVal>
          <c:yVal>
            <c:numLit>
              <c:formatCode>General</c:formatCode>
              <c:ptCount val="37"/>
              <c:pt idx="0">
                <c:v>1.3470652341139875E-3</c:v>
              </c:pt>
              <c:pt idx="1">
                <c:v>1.444186138075305E-3</c:v>
              </c:pt>
              <c:pt idx="2">
                <c:v>1.5474608367368606E-3</c:v>
              </c:pt>
              <c:pt idx="3">
                <c:v>1.6572233183113699E-3</c:v>
              </c:pt>
              <c:pt idx="4">
                <c:v>1.7738225641475147E-3</c:v>
              </c:pt>
              <c:pt idx="5">
                <c:v>1.8976230861585969E-3</c:v>
              </c:pt>
              <c:pt idx="6">
                <c:v>2.0290460350580602E-3</c:v>
              </c:pt>
              <c:pt idx="7">
                <c:v>2.1684536987783059E-3</c:v>
              </c:pt>
              <c:pt idx="8">
                <c:v>2.3162610831599165E-3</c:v>
              </c:pt>
              <c:pt idx="9">
                <c:v>2.4729010824941617E-3</c:v>
              </c:pt>
              <c:pt idx="10">
                <c:v>2.6388251094006578E-3</c:v>
              </c:pt>
              <c:pt idx="11">
                <c:v>2.8145037456534252E-3</c:v>
              </c:pt>
              <c:pt idx="12">
                <c:v>3.0004274150644203E-3</c:v>
              </c:pt>
              <c:pt idx="13">
                <c:v>3.1971070796238963E-3</c:v>
              </c:pt>
              <c:pt idx="14">
                <c:v>3.4050749601955599E-3</c:v>
              </c:pt>
              <c:pt idx="15">
                <c:v>3.6248852831695564E-3</c:v>
              </c:pt>
              <c:pt idx="16">
                <c:v>3.8571150545902433E-3</c:v>
              </c:pt>
              <c:pt idx="17">
                <c:v>4.1023648633974888E-3</c:v>
              </c:pt>
              <c:pt idx="18">
                <c:v>4.361259715552286E-3</c:v>
              </c:pt>
              <c:pt idx="19">
                <c:v>4.6344499009583016E-3</c:v>
              </c:pt>
              <c:pt idx="20">
                <c:v>4.9226118952435081E-3</c:v>
              </c:pt>
              <c:pt idx="21">
                <c:v>5.2265542630326326E-3</c:v>
              </c:pt>
              <c:pt idx="22">
                <c:v>5.5469167155980728E-3</c:v>
              </c:pt>
              <c:pt idx="23">
                <c:v>5.8844611435486405E-3</c:v>
              </c:pt>
              <c:pt idx="24">
                <c:v>6.2399796948719773E-3</c:v>
              </c:pt>
              <c:pt idx="25">
                <c:v>6.6142958920034235E-3</c:v>
              </c:pt>
              <c:pt idx="26">
                <c:v>7.0082658002715171E-3</c:v>
              </c:pt>
              <c:pt idx="27">
                <c:v>7.4227792512461021E-3</c:v>
              </c:pt>
              <c:pt idx="28">
                <c:v>7.8587611247914815E-3</c:v>
              </c:pt>
              <c:pt idx="29">
                <c:v>8.3171726939259092E-3</c:v>
              </c:pt>
              <c:pt idx="30">
                <c:v>8.7990130369118413E-3</c:v>
              </c:pt>
              <c:pt idx="31">
                <c:v>9.3053205213483765E-3</c:v>
              </c:pt>
              <c:pt idx="32">
                <c:v>9.8371743654150946E-3</c:v>
              </c:pt>
              <c:pt idx="33">
                <c:v>1.0395696281824395E-2</c:v>
              </c:pt>
              <c:pt idx="34">
                <c:v>1.0982052210479678E-2</c:v>
              </c:pt>
              <c:pt idx="35">
                <c:v>1.1597454146316129E-2</c:v>
              </c:pt>
              <c:pt idx="36">
                <c:v>1.2052797678929153E-2</c:v>
              </c:pt>
            </c:numLit>
          </c:yVal>
          <c:smooth val="1"/>
          <c:extLst>
            <c:ext xmlns:c16="http://schemas.microsoft.com/office/drawing/2014/chart" uri="{C3380CC4-5D6E-409C-BE32-E72D297353CC}">
              <c16:uniqueId val="{00000050-20FF-4040-9B44-602C31C3F4C1}"/>
            </c:ext>
          </c:extLst>
        </c:ser>
        <c:ser>
          <c:idx val="58"/>
          <c:order val="58"/>
          <c:tx>
            <c:v>RH=25_Label</c:v>
          </c:tx>
          <c:spPr>
            <a:ln w="3175">
              <a:solidFill>
                <a:srgbClr val="0000FF"/>
              </a:solidFill>
              <a:prstDash val="solid"/>
            </a:ln>
          </c:spPr>
          <c:marker>
            <c:symbol val="none"/>
          </c:marker>
          <c:dLbls>
            <c:dLbl>
              <c:idx val="0"/>
              <c:tx>
                <c:rich>
                  <a:bodyPr rot="-246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25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1-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40.806386169423767</c:v>
              </c:pt>
            </c:numLit>
          </c:xVal>
          <c:yVal>
            <c:numLit>
              <c:formatCode>General</c:formatCode>
              <c:ptCount val="1"/>
              <c:pt idx="0">
                <c:v>1.2249902134970242E-2</c:v>
              </c:pt>
            </c:numLit>
          </c:yVal>
          <c:smooth val="0"/>
          <c:extLst>
            <c:ext xmlns:c16="http://schemas.microsoft.com/office/drawing/2014/chart" uri="{C3380CC4-5D6E-409C-BE32-E72D297353CC}">
              <c16:uniqueId val="{00000052-20FF-4040-9B44-602C31C3F4C1}"/>
            </c:ext>
          </c:extLst>
        </c:ser>
        <c:ser>
          <c:idx val="59"/>
          <c:order val="59"/>
          <c:tx>
            <c:v>RH=25_2</c:v>
          </c:tx>
          <c:spPr>
            <a:ln w="3175">
              <a:solidFill>
                <a:srgbClr val="0000FF"/>
              </a:solidFill>
              <a:prstDash val="solid"/>
            </a:ln>
          </c:spPr>
          <c:marker>
            <c:symbol val="none"/>
          </c:marker>
          <c:xVal>
            <c:numLit>
              <c:formatCode>General</c:formatCode>
              <c:ptCount val="10"/>
              <c:pt idx="0">
                <c:v>41.109968218308687</c:v>
              </c:pt>
              <c:pt idx="1">
                <c:v>42.123211303357891</c:v>
              </c:pt>
              <c:pt idx="2">
                <c:v>43.138583326693805</c:v>
              </c:pt>
              <c:pt idx="3">
                <c:v>44.156254599087745</c:v>
              </c:pt>
              <c:pt idx="4">
                <c:v>45.176405544700636</c:v>
              </c:pt>
              <c:pt idx="5">
                <c:v>46.199227216995773</c:v>
              </c:pt>
              <c:pt idx="6">
                <c:v>47.224921842907413</c:v>
              </c:pt>
              <c:pt idx="7">
                <c:v>48.25370339732104</c:v>
              </c:pt>
              <c:pt idx="8">
                <c:v>49.28579821010468</c:v>
              </c:pt>
              <c:pt idx="9">
                <c:v>50.000000000000007</c:v>
              </c:pt>
            </c:numLit>
          </c:xVal>
          <c:yVal>
            <c:numLit>
              <c:formatCode>General</c:formatCode>
              <c:ptCount val="10"/>
              <c:pt idx="0">
                <c:v>1.2449854138452305E-2</c:v>
              </c:pt>
              <c:pt idx="1">
                <c:v>1.3137395921386881E-2</c:v>
              </c:pt>
              <c:pt idx="2">
                <c:v>1.3858364542330524E-2</c:v>
              </c:pt>
              <c:pt idx="3">
                <c:v>1.4614195184697873E-2</c:v>
              </c:pt>
              <c:pt idx="4">
                <c:v>1.5406380772538593E-2</c:v>
              </c:pt>
              <c:pt idx="5">
                <c:v>1.6236474590181415E-2</c:v>
              </c:pt>
              <c:pt idx="6">
                <c:v>1.710609306374512E-2</c:v>
              </c:pt>
              <c:pt idx="7">
                <c:v>1.801691871700566E-2</c:v>
              </c:pt>
              <c:pt idx="8">
                <c:v>1.8970703315174638E-2</c:v>
              </c:pt>
              <c:pt idx="9">
                <c:v>1.9654812629101279E-2</c:v>
              </c:pt>
            </c:numLit>
          </c:yVal>
          <c:smooth val="1"/>
          <c:extLst>
            <c:ext xmlns:c16="http://schemas.microsoft.com/office/drawing/2014/chart" uri="{C3380CC4-5D6E-409C-BE32-E72D297353CC}">
              <c16:uniqueId val="{00000053-20FF-4040-9B44-602C31C3F4C1}"/>
            </c:ext>
          </c:extLst>
        </c:ser>
        <c:ser>
          <c:idx val="60"/>
          <c:order val="60"/>
          <c:tx>
            <c:v>RH=35_1</c:v>
          </c:tx>
          <c:spPr>
            <a:ln w="3175">
              <a:solidFill>
                <a:srgbClr val="0000FF"/>
              </a:solidFill>
              <a:prstDash val="solid"/>
            </a:ln>
          </c:spPr>
          <c:marker>
            <c:symbol val="none"/>
          </c:marker>
          <c:xVal>
            <c:numLit>
              <c:formatCode>General</c:formatCode>
              <c:ptCount val="33"/>
              <c:pt idx="0">
                <c:v>4.8429562936358943</c:v>
              </c:pt>
              <c:pt idx="1">
                <c:v>5.8353649144882471</c:v>
              </c:pt>
              <c:pt idx="2">
                <c:v>6.8275895682541066</c:v>
              </c:pt>
              <c:pt idx="3">
                <c:v>7.8196415762478599</c:v>
              </c:pt>
              <c:pt idx="4">
                <c:v>8.8115341190108474</c:v>
              </c:pt>
              <c:pt idx="5">
                <c:v>9.8032823752824214</c:v>
              </c:pt>
              <c:pt idx="6">
                <c:v>10.794899563201826</c:v>
              </c:pt>
              <c:pt idx="7">
                <c:v>11.786409065042472</c:v>
              </c:pt>
              <c:pt idx="8">
                <c:v>12.77783295268264</c:v>
              </c:pt>
              <c:pt idx="9">
                <c:v>13.769195925791198</c:v>
              </c:pt>
              <c:pt idx="10">
                <c:v>14.760525488409519</c:v>
              </c:pt>
              <c:pt idx="11">
                <c:v>15.751852133944434</c:v>
              </c:pt>
              <c:pt idx="12">
                <c:v>16.74320953892617</c:v>
              </c:pt>
              <c:pt idx="13">
                <c:v>17.734634765908794</c:v>
              </c:pt>
              <c:pt idx="14">
                <c:v>18.726168475916662</c:v>
              </c:pt>
              <c:pt idx="15">
                <c:v>19.717855150869013</c:v>
              </c:pt>
              <c:pt idx="16">
                <c:v>20.709743326446262</c:v>
              </c:pt>
              <c:pt idx="17">
                <c:v>21.701885835896331</c:v>
              </c:pt>
              <c:pt idx="18">
                <c:v>22.694340065317235</c:v>
              </c:pt>
              <c:pt idx="19">
                <c:v>23.687168220994245</c:v>
              </c:pt>
              <c:pt idx="20">
                <c:v>24.680437609415605</c:v>
              </c:pt>
              <c:pt idx="21">
                <c:v>25.674214365853523</c:v>
              </c:pt>
              <c:pt idx="22">
                <c:v>26.668583220188367</c:v>
              </c:pt>
              <c:pt idx="23">
                <c:v>27.6636286365605</c:v>
              </c:pt>
              <c:pt idx="24">
                <c:v>28.659441447875434</c:v>
              </c:pt>
              <c:pt idx="25">
                <c:v>29.656119211242075</c:v>
              </c:pt>
              <c:pt idx="26">
                <c:v>30.653766581138218</c:v>
              </c:pt>
              <c:pt idx="27">
                <c:v>31.652495701406082</c:v>
              </c:pt>
              <c:pt idx="28">
                <c:v>32.652426617277726</c:v>
              </c:pt>
              <c:pt idx="29">
                <c:v>33.6536877087363</c:v>
              </c:pt>
              <c:pt idx="30">
                <c:v>34.656416146635898</c:v>
              </c:pt>
              <c:pt idx="31">
                <c:v>35.660758373130619</c:v>
              </c:pt>
              <c:pt idx="32">
                <c:v>36.384971337507565</c:v>
              </c:pt>
            </c:numLit>
          </c:xVal>
          <c:yVal>
            <c:numLit>
              <c:formatCode>General</c:formatCode>
              <c:ptCount val="33"/>
              <c:pt idx="0">
                <c:v>1.8875265065984568E-3</c:v>
              </c:pt>
              <c:pt idx="1">
                <c:v>2.0237401762564001E-3</c:v>
              </c:pt>
              <c:pt idx="2">
                <c:v>2.1686033300371225E-3</c:v>
              </c:pt>
              <c:pt idx="3">
                <c:v>2.3225879966033455E-3</c:v>
              </c:pt>
              <c:pt idx="4">
                <c:v>2.4861877298070602E-3</c:v>
              </c:pt>
              <c:pt idx="5">
                <c:v>2.6599184202403814E-3</c:v>
              </c:pt>
              <c:pt idx="6">
                <c:v>2.8443760603662129E-3</c:v>
              </c:pt>
              <c:pt idx="7">
                <c:v>3.0400747109121822E-3</c:v>
              </c:pt>
              <c:pt idx="8">
                <c:v>3.2476031618899315E-3</c:v>
              </c:pt>
              <c:pt idx="9">
                <c:v>3.467576144773824E-3</c:v>
              </c:pt>
              <c:pt idx="10">
                <c:v>3.7006353096777946E-3</c:v>
              </c:pt>
              <c:pt idx="11">
                <c:v>3.9474502411748786E-3</c:v>
              </c:pt>
              <c:pt idx="12">
                <c:v>4.2087195151559722E-3</c:v>
              </c:pt>
              <c:pt idx="13">
                <c:v>4.4851717993238342E-3</c:v>
              </c:pt>
              <c:pt idx="14">
                <c:v>4.7775670001359146E-3</c:v>
              </c:pt>
              <c:pt idx="15">
                <c:v>5.0866974592432227E-3</c:v>
              </c:pt>
              <c:pt idx="16">
                <c:v>5.4133892027263455E-3</c:v>
              </c:pt>
              <c:pt idx="17">
                <c:v>5.7585032467030641E-3</c:v>
              </c:pt>
              <c:pt idx="18">
                <c:v>6.1229369631792784E-3</c:v>
              </c:pt>
              <c:pt idx="19">
                <c:v>6.5076255103347367E-3</c:v>
              </c:pt>
              <c:pt idx="20">
                <c:v>6.9135433317828654E-3</c:v>
              </c:pt>
              <c:pt idx="21">
                <c:v>7.3418536727454121E-3</c:v>
              </c:pt>
              <c:pt idx="22">
                <c:v>7.7934848174498117E-3</c:v>
              </c:pt>
              <c:pt idx="23">
                <c:v>8.2695403621734203E-3</c:v>
              </c:pt>
              <c:pt idx="24">
                <c:v>8.771170082880541E-3</c:v>
              </c:pt>
              <c:pt idx="25">
                <c:v>9.299571868023453E-3</c:v>
              </c:pt>
              <c:pt idx="26">
                <c:v>9.8559937570728701E-3</c:v>
              </c:pt>
              <c:pt idx="27">
                <c:v>1.0441736092756343E-2</c:v>
              </c:pt>
              <c:pt idx="28">
                <c:v>1.1058153795654896E-2</c:v>
              </c:pt>
              <c:pt idx="29">
                <c:v>1.1706658770540258E-2</c:v>
              </c:pt>
              <c:pt idx="30">
                <c:v>1.2388722454634234E-2</c:v>
              </c:pt>
              <c:pt idx="31">
                <c:v>1.310587851884021E-2</c:v>
              </c:pt>
              <c:pt idx="32">
                <c:v>1.3644855003375554E-2</c:v>
              </c:pt>
            </c:numLit>
          </c:yVal>
          <c:smooth val="1"/>
          <c:extLst>
            <c:ext xmlns:c16="http://schemas.microsoft.com/office/drawing/2014/chart" uri="{C3380CC4-5D6E-409C-BE32-E72D297353CC}">
              <c16:uniqueId val="{00000054-20FF-4040-9B44-602C31C3F4C1}"/>
            </c:ext>
          </c:extLst>
        </c:ser>
        <c:ser>
          <c:idx val="61"/>
          <c:order val="61"/>
          <c:tx>
            <c:v>RH=35_Label</c:v>
          </c:tx>
          <c:spPr>
            <a:ln w="3175">
              <a:solidFill>
                <a:srgbClr val="0000FF"/>
              </a:solidFill>
              <a:prstDash val="solid"/>
            </a:ln>
          </c:spPr>
          <c:marker>
            <c:symbol val="none"/>
          </c:marker>
          <c:dLbls>
            <c:dLbl>
              <c:idx val="0"/>
              <c:tx>
                <c:rich>
                  <a:bodyPr rot="-276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35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5-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36.687012032716936</c:v>
              </c:pt>
            </c:numLit>
          </c:xVal>
          <c:yVal>
            <c:numLit>
              <c:formatCode>General</c:formatCode>
              <c:ptCount val="1"/>
              <c:pt idx="0">
                <c:v>1.3875188258477089E-2</c:v>
              </c:pt>
            </c:numLit>
          </c:yVal>
          <c:smooth val="0"/>
          <c:extLst>
            <c:ext xmlns:c16="http://schemas.microsoft.com/office/drawing/2014/chart" uri="{C3380CC4-5D6E-409C-BE32-E72D297353CC}">
              <c16:uniqueId val="{00000056-20FF-4040-9B44-602C31C3F4C1}"/>
            </c:ext>
          </c:extLst>
        </c:ser>
        <c:ser>
          <c:idx val="62"/>
          <c:order val="62"/>
          <c:tx>
            <c:v>RH=35_2</c:v>
          </c:tx>
          <c:spPr>
            <a:ln w="3175">
              <a:solidFill>
                <a:srgbClr val="0000FF"/>
              </a:solidFill>
              <a:prstDash val="solid"/>
            </a:ln>
          </c:spPr>
          <c:marker>
            <c:symbol val="none"/>
          </c:marker>
          <c:xVal>
            <c:numLit>
              <c:formatCode>General</c:formatCode>
              <c:ptCount val="14"/>
              <c:pt idx="0">
                <c:v>36.989227251847005</c:v>
              </c:pt>
              <c:pt idx="1">
                <c:v>37.997932651779394</c:v>
              </c:pt>
              <c:pt idx="2">
                <c:v>39.00881116417105</c:v>
              </c:pt>
              <c:pt idx="3">
                <c:v>40.02205449777933</c:v>
              </c:pt>
              <c:pt idx="4">
                <c:v>41.037866760035634</c:v>
              </c:pt>
              <c:pt idx="5">
                <c:v>42.056468183587832</c:v>
              </c:pt>
              <c:pt idx="6">
                <c:v>43.078090565743416</c:v>
              </c:pt>
              <c:pt idx="7">
                <c:v>44.102980194192732</c:v>
              </c:pt>
              <c:pt idx="8">
                <c:v>45.131398661199782</c:v>
              </c:pt>
              <c:pt idx="9">
                <c:v>46.163623729572627</c:v>
              </c:pt>
              <c:pt idx="10">
                <c:v>47.199950254715397</c:v>
              </c:pt>
              <c:pt idx="11">
                <c:v>48.240691167489317</c:v>
              </c:pt>
              <c:pt idx="12">
                <c:v>49.286178523080601</c:v>
              </c:pt>
              <c:pt idx="13">
                <c:v>50</c:v>
              </c:pt>
            </c:numLit>
          </c:xVal>
          <c:yVal>
            <c:numLit>
              <c:formatCode>General</c:formatCode>
              <c:ptCount val="14"/>
              <c:pt idx="0">
                <c:v>1.4108976317031181E-2</c:v>
              </c:pt>
              <c:pt idx="1">
                <c:v>1.491381979626661E-2</c:v>
              </c:pt>
              <c:pt idx="2">
                <c:v>1.5759331523293861E-2</c:v>
              </c:pt>
              <c:pt idx="3">
                <c:v>1.6647403760885849E-2</c:v>
              </c:pt>
              <c:pt idx="4">
                <c:v>1.7580028207482008E-2</c:v>
              </c:pt>
              <c:pt idx="5">
                <c:v>1.8559098294035549E-2</c:v>
              </c:pt>
              <c:pt idx="6">
                <c:v>1.9586704885560857E-2</c:v>
              </c:pt>
              <c:pt idx="7">
                <c:v>2.0665031485887941E-2</c:v>
              </c:pt>
              <c:pt idx="8">
                <c:v>2.1796359116006504E-2</c:v>
              </c:pt>
              <c:pt idx="9">
                <c:v>2.298307153604754E-2</c:v>
              </c:pt>
              <c:pt idx="10">
                <c:v>2.4227660840216245E-2</c:v>
              </c:pt>
              <c:pt idx="11">
                <c:v>2.5532733456782093E-2</c:v>
              </c:pt>
              <c:pt idx="12">
                <c:v>2.6901016588325579E-2</c:v>
              </c:pt>
              <c:pt idx="13">
                <c:v>2.7869006304865641E-2</c:v>
              </c:pt>
            </c:numLit>
          </c:yVal>
          <c:smooth val="1"/>
          <c:extLst>
            <c:ext xmlns:c16="http://schemas.microsoft.com/office/drawing/2014/chart" uri="{C3380CC4-5D6E-409C-BE32-E72D297353CC}">
              <c16:uniqueId val="{00000057-20FF-4040-9B44-602C31C3F4C1}"/>
            </c:ext>
          </c:extLst>
        </c:ser>
        <c:ser>
          <c:idx val="63"/>
          <c:order val="63"/>
          <c:tx>
            <c:v>RH=45_1</c:v>
          </c:tx>
          <c:spPr>
            <a:ln w="3175">
              <a:solidFill>
                <a:srgbClr val="0000FF"/>
              </a:solidFill>
              <a:prstDash val="solid"/>
            </a:ln>
          </c:spPr>
          <c:marker>
            <c:symbol val="none"/>
          </c:marker>
          <c:xVal>
            <c:numLit>
              <c:formatCode>General</c:formatCode>
              <c:ptCount val="30"/>
              <c:pt idx="0">
                <c:v>4.7979114405643841</c:v>
              </c:pt>
              <c:pt idx="1">
                <c:v>5.7881293572500709</c:v>
              </c:pt>
              <c:pt idx="2">
                <c:v>6.7781084020266285</c:v>
              </c:pt>
              <c:pt idx="3">
                <c:v>7.7678629287117902</c:v>
              </c:pt>
              <c:pt idx="4">
                <c:v>8.7574096713914997</c:v>
              </c:pt>
              <c:pt idx="5">
                <c:v>9.7467679237906673</c:v>
              </c:pt>
              <c:pt idx="6">
                <c:v>10.735954436551337</c:v>
              </c:pt>
              <c:pt idx="7">
                <c:v>11.724999045808413</c:v>
              </c:pt>
              <c:pt idx="8">
                <c:v>12.7139298863019</c:v>
              </c:pt>
              <c:pt idx="9">
                <c:v>13.702778468008708</c:v>
              </c:pt>
              <c:pt idx="10">
                <c:v>14.691579905864549</c:v>
              </c:pt>
              <c:pt idx="11">
                <c:v>15.680373160907957</c:v>
              </c:pt>
              <c:pt idx="12">
                <c:v>16.669201293391961</c:v>
              </c:pt>
              <c:pt idx="13">
                <c:v>17.658111728450482</c:v>
              </c:pt>
              <c:pt idx="14">
                <c:v>18.647156534952014</c:v>
              </c:pt>
              <c:pt idx="15">
                <c:v>19.636392718223561</c:v>
              </c:pt>
              <c:pt idx="16">
                <c:v>20.625882527383471</c:v>
              </c:pt>
              <c:pt idx="17">
                <c:v>21.615693778082875</c:v>
              </c:pt>
              <c:pt idx="18">
                <c:v>22.60590019152318</c:v>
              </c:pt>
              <c:pt idx="19">
                <c:v>23.596581750691325</c:v>
              </c:pt>
              <c:pt idx="20">
                <c:v>24.587825074836598</c:v>
              </c:pt>
              <c:pt idx="21">
                <c:v>25.579715315640659</c:v>
              </c:pt>
              <c:pt idx="22">
                <c:v>26.572361751927581</c:v>
              </c:pt>
              <c:pt idx="23">
                <c:v>27.565873408785404</c:v>
              </c:pt>
              <c:pt idx="24">
                <c:v>28.560367661273503</c:v>
              </c:pt>
              <c:pt idx="25">
                <c:v>29.555970719929455</c:v>
              </c:pt>
              <c:pt idx="26">
                <c:v>30.552818142991558</c:v>
              </c:pt>
              <c:pt idx="27">
                <c:v>31.551055377229062</c:v>
              </c:pt>
              <c:pt idx="28">
                <c:v>32.550838329451459</c:v>
              </c:pt>
              <c:pt idx="29">
                <c:v>33.241676623013277</c:v>
              </c:pt>
            </c:numLit>
          </c:xVal>
          <c:yVal>
            <c:numLit>
              <c:formatCode>General</c:formatCode>
              <c:ptCount val="30"/>
              <c:pt idx="0">
                <c:v>2.4289258159167224E-3</c:v>
              </c:pt>
              <c:pt idx="1">
                <c:v>2.6043727591205873E-3</c:v>
              </c:pt>
              <c:pt idx="2">
                <c:v>2.7909845906628123E-3</c:v>
              </c:pt>
              <c:pt idx="3">
                <c:v>2.9893739594974377E-3</c:v>
              </c:pt>
              <c:pt idx="4">
                <c:v>3.2001818853940622E-3</c:v>
              </c:pt>
              <c:pt idx="5">
                <c:v>3.4240788799272735E-3</c:v>
              </c:pt>
              <c:pt idx="6">
                <c:v>3.6618394930983864E-3</c:v>
              </c:pt>
              <c:pt idx="7">
                <c:v>3.9141335585276644E-3</c:v>
              </c:pt>
              <c:pt idx="8">
                <c:v>4.181728195005634E-3</c:v>
              </c:pt>
              <c:pt idx="9">
                <c:v>4.4654250475394362E-3</c:v>
              </c:pt>
              <c:pt idx="10">
                <c:v>4.7660616697429072E-3</c:v>
              </c:pt>
              <c:pt idx="11">
                <c:v>5.0845129684787566E-3</c:v>
              </c:pt>
              <c:pt idx="12">
                <c:v>5.4216927150161328E-3</c:v>
              </c:pt>
              <c:pt idx="13">
                <c:v>5.7785551273322622E-3</c:v>
              </c:pt>
              <c:pt idx="14">
                <c:v>6.1560965285861443E-3</c:v>
              </c:pt>
              <c:pt idx="15">
                <c:v>6.5553570872239637E-3</c:v>
              </c:pt>
              <c:pt idx="16">
                <c:v>6.9774226446464435E-3</c:v>
              </c:pt>
              <c:pt idx="17">
                <c:v>7.4234266368784479E-3</c:v>
              </c:pt>
              <c:pt idx="18">
                <c:v>7.8945521172378037E-3</c:v>
              </c:pt>
              <c:pt idx="19">
                <c:v>8.3920338876039037E-3</c:v>
              </c:pt>
              <c:pt idx="20">
                <c:v>8.9171607465458672E-3</c:v>
              </c:pt>
              <c:pt idx="21">
                <c:v>9.4714693652664696E-3</c:v>
              </c:pt>
              <c:pt idx="22">
                <c:v>1.0056196296420142E-2</c:v>
              </c:pt>
              <c:pt idx="23">
                <c:v>1.0672809158403808E-2</c:v>
              </c:pt>
              <c:pt idx="24">
                <c:v>1.1322840060390603E-2</c:v>
              </c:pt>
              <c:pt idx="25">
                <c:v>1.2007888595456073E-2</c:v>
              </c:pt>
              <c:pt idx="26">
                <c:v>1.272962501840671E-2</c:v>
              </c:pt>
              <c:pt idx="27">
                <c:v>1.3489793623284507E-2</c:v>
              </c:pt>
              <c:pt idx="28">
                <c:v>1.4290216336870146E-2</c:v>
              </c:pt>
              <c:pt idx="29">
                <c:v>1.4866969840016564E-2</c:v>
              </c:pt>
            </c:numLit>
          </c:yVal>
          <c:smooth val="1"/>
          <c:extLst>
            <c:ext xmlns:c16="http://schemas.microsoft.com/office/drawing/2014/chart" uri="{C3380CC4-5D6E-409C-BE32-E72D297353CC}">
              <c16:uniqueId val="{00000058-20FF-4040-9B44-602C31C3F4C1}"/>
            </c:ext>
          </c:extLst>
        </c:ser>
        <c:ser>
          <c:idx val="64"/>
          <c:order val="64"/>
          <c:tx>
            <c:v>RH=45_Label</c:v>
          </c:tx>
          <c:spPr>
            <a:ln w="3175">
              <a:solidFill>
                <a:srgbClr val="0000FF"/>
              </a:solidFill>
              <a:prstDash val="solid"/>
            </a:ln>
          </c:spPr>
          <c:marker>
            <c:symbol val="none"/>
          </c:marker>
          <c:dLbls>
            <c:dLbl>
              <c:idx val="0"/>
              <c:tx>
                <c:rich>
                  <a:bodyPr rot="-29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45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9-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33.542309960090257</c:v>
              </c:pt>
            </c:numLit>
          </c:xVal>
          <c:yVal>
            <c:numLit>
              <c:formatCode>General</c:formatCode>
              <c:ptCount val="1"/>
              <c:pt idx="0">
                <c:v>1.5124155606683983E-2</c:v>
              </c:pt>
            </c:numLit>
          </c:yVal>
          <c:smooth val="0"/>
          <c:extLst>
            <c:ext xmlns:c16="http://schemas.microsoft.com/office/drawing/2014/chart" uri="{C3380CC4-5D6E-409C-BE32-E72D297353CC}">
              <c16:uniqueId val="{0000005A-20FF-4040-9B44-602C31C3F4C1}"/>
            </c:ext>
          </c:extLst>
        </c:ser>
        <c:ser>
          <c:idx val="65"/>
          <c:order val="65"/>
          <c:tx>
            <c:v>RH=45_2</c:v>
          </c:tx>
          <c:spPr>
            <a:ln w="3175">
              <a:solidFill>
                <a:srgbClr val="0000FF"/>
              </a:solidFill>
              <a:prstDash val="solid"/>
            </a:ln>
          </c:spPr>
          <c:marker>
            <c:symbol val="none"/>
          </c:marker>
          <c:xVal>
            <c:numLit>
              <c:formatCode>General</c:formatCode>
              <c:ptCount val="17"/>
              <c:pt idx="0">
                <c:v>33.843113269370306</c:v>
              </c:pt>
              <c:pt idx="1">
                <c:v>34.847083943135722</c:v>
              </c:pt>
              <c:pt idx="2">
                <c:v>35.853194864619347</c:v>
              </c:pt>
              <c:pt idx="3">
                <c:v>36.861654133883768</c:v>
              </c:pt>
              <c:pt idx="4">
                <c:v>37.872683946588978</c:v>
              </c:pt>
              <c:pt idx="5">
                <c:v>38.886521420379061</c:v>
              </c:pt>
              <c:pt idx="6">
                <c:v>39.903418320194405</c:v>
              </c:pt>
              <c:pt idx="7">
                <c:v>40.923642892256069</c:v>
              </c:pt>
              <c:pt idx="8">
                <c:v>41.947485589808181</c:v>
              </c:pt>
              <c:pt idx="9">
                <c:v>42.975252742791277</c:v>
              </c:pt>
              <c:pt idx="10">
                <c:v>44.007270646239782</c:v>
              </c:pt>
              <c:pt idx="11">
                <c:v>45.043886785233312</c:v>
              </c:pt>
              <c:pt idx="12">
                <c:v>46.085471148292477</c:v>
              </c:pt>
              <c:pt idx="13">
                <c:v>47.132417637407976</c:v>
              </c:pt>
              <c:pt idx="14">
                <c:v>48.185145583777889</c:v>
              </c:pt>
              <c:pt idx="15">
                <c:v>49.244101379321037</c:v>
              </c:pt>
              <c:pt idx="16">
                <c:v>50.000000000000007</c:v>
              </c:pt>
            </c:numLit>
          </c:xVal>
          <c:yVal>
            <c:numLit>
              <c:formatCode>General</c:formatCode>
              <c:ptCount val="17"/>
              <c:pt idx="0">
                <c:v>1.5385312109042031E-2</c:v>
              </c:pt>
              <c:pt idx="1">
                <c:v>1.6285225952846927E-2</c:v>
              </c:pt>
              <c:pt idx="2">
                <c:v>1.7231985372616151E-2</c:v>
              </c:pt>
              <c:pt idx="3">
                <c:v>1.8227792074351917E-2</c:v>
              </c:pt>
              <c:pt idx="4">
                <c:v>1.9274948795326451E-2</c:v>
              </c:pt>
              <c:pt idx="5">
                <c:v>2.0375864737942648E-2</c:v>
              </c:pt>
              <c:pt idx="6">
                <c:v>2.1533125692636469E-2</c:v>
              </c:pt>
              <c:pt idx="7">
                <c:v>2.274948152478275E-2</c:v>
              </c:pt>
              <c:pt idx="8">
                <c:v>2.4027550915091813E-2</c:v>
              </c:pt>
              <c:pt idx="9">
                <c:v>2.5370233863113451E-2</c:v>
              </c:pt>
              <c:pt idx="10">
                <c:v>2.6780570766508603E-2</c:v>
              </c:pt>
              <c:pt idx="11">
                <c:v>2.8261750799635506E-2</c:v>
              </c:pt>
              <c:pt idx="12">
                <c:v>2.9817120948578829E-2</c:v>
              </c:pt>
              <c:pt idx="13">
                <c:v>3.1450195763913363E-2</c:v>
              </c:pt>
              <c:pt idx="14">
                <c:v>3.3164667898963343E-2</c:v>
              </c:pt>
              <c:pt idx="15">
                <c:v>3.4964419508579071E-2</c:v>
              </c:pt>
              <c:pt idx="16">
                <c:v>3.6296243180437608E-2</c:v>
              </c:pt>
            </c:numLit>
          </c:yVal>
          <c:smooth val="1"/>
          <c:extLst>
            <c:ext xmlns:c16="http://schemas.microsoft.com/office/drawing/2014/chart" uri="{C3380CC4-5D6E-409C-BE32-E72D297353CC}">
              <c16:uniqueId val="{0000005B-20FF-4040-9B44-602C31C3F4C1}"/>
            </c:ext>
          </c:extLst>
        </c:ser>
        <c:ser>
          <c:idx val="66"/>
          <c:order val="66"/>
          <c:tx>
            <c:v>RH=55_1</c:v>
          </c:tx>
          <c:spPr>
            <a:ln w="3175">
              <a:solidFill>
                <a:srgbClr val="0000FF"/>
              </a:solidFill>
              <a:prstDash val="solid"/>
            </a:ln>
          </c:spPr>
          <c:marker>
            <c:symbol val="none"/>
          </c:marker>
          <c:xVal>
            <c:numLit>
              <c:formatCode>General</c:formatCode>
              <c:ptCount val="28"/>
              <c:pt idx="0">
                <c:v>4.7527883387197933</c:v>
              </c:pt>
              <c:pt idx="1">
                <c:v>5.7408058132072091</c:v>
              </c:pt>
              <c:pt idx="2">
                <c:v>6.7285284551880915</c:v>
              </c:pt>
              <c:pt idx="3">
                <c:v>7.7159735586186047</c:v>
              </c:pt>
              <c:pt idx="4">
                <c:v>8.7031613138615409</c:v>
              </c:pt>
              <c:pt idx="5">
                <c:v>9.690115027717022</c:v>
              </c:pt>
              <c:pt idx="6">
                <c:v>10.676854870952818</c:v>
              </c:pt>
              <c:pt idx="7">
                <c:v>11.663417028454429</c:v>
              </c:pt>
              <c:pt idx="8">
                <c:v>12.649835584689367</c:v>
              </c:pt>
              <c:pt idx="9">
                <c:v>13.636148744660289</c:v>
              </c:pt>
              <c:pt idx="10">
                <c:v>14.622399117900304</c:v>
              </c:pt>
              <c:pt idx="11">
                <c:v>15.608634017172154</c:v>
              </c:pt>
              <c:pt idx="12">
                <c:v>16.59490577265089</c:v>
              </c:pt>
              <c:pt idx="13">
                <c:v>17.581272062434444</c:v>
              </c:pt>
              <c:pt idx="14">
                <c:v>18.567796260297889</c:v>
              </c:pt>
              <c:pt idx="15">
                <c:v>19.554547801686571</c:v>
              </c:pt>
              <c:pt idx="16">
                <c:v>20.541602569030708</c:v>
              </c:pt>
              <c:pt idx="17">
                <c:v>21.529043297560914</c:v>
              </c:pt>
              <c:pt idx="18">
                <c:v>22.516960002911134</c:v>
              </c:pt>
              <c:pt idx="19">
                <c:v>23.50545043191384</c:v>
              </c:pt>
              <c:pt idx="20">
                <c:v>24.494620538123129</c:v>
              </c:pt>
              <c:pt idx="21">
                <c:v>25.484574527064105</c:v>
              </c:pt>
              <c:pt idx="22">
                <c:v>26.475446362765325</c:v>
              </c:pt>
              <c:pt idx="23">
                <c:v>27.467369806450417</c:v>
              </c:pt>
              <c:pt idx="24">
                <c:v>28.460489023324861</c:v>
              </c:pt>
              <c:pt idx="25">
                <c:v>29.454959211633383</c:v>
              </c:pt>
              <c:pt idx="26">
                <c:v>30.450947269402214</c:v>
              </c:pt>
              <c:pt idx="27">
                <c:v>30.690229911761239</c:v>
              </c:pt>
            </c:numLit>
          </c:xVal>
          <c:yVal>
            <c:numLit>
              <c:formatCode>General</c:formatCode>
              <c:ptCount val="28"/>
              <c:pt idx="0">
                <c:v>2.9712656063069056E-3</c:v>
              </c:pt>
              <c:pt idx="1">
                <c:v>3.1860869002144176E-3</c:v>
              </c:pt>
              <c:pt idx="2">
                <c:v>3.414608328091779E-3</c:v>
              </c:pt>
              <c:pt idx="3">
                <c:v>3.6575857658689651E-3</c:v>
              </c:pt>
              <c:pt idx="4">
                <c:v>3.9158106249054629E-3</c:v>
              </c:pt>
              <c:pt idx="5">
                <c:v>4.19011131877251E-3</c:v>
              </c:pt>
              <c:pt idx="6">
                <c:v>4.4814447176932176E-3</c:v>
              </c:pt>
              <c:pt idx="7">
                <c:v>4.7906404835150358E-3</c:v>
              </c:pt>
              <c:pt idx="8">
                <c:v>5.1186486748401082E-3</c:v>
              </c:pt>
              <c:pt idx="9">
                <c:v>5.4664630058504768E-3</c:v>
              </c:pt>
              <c:pt idx="10">
                <c:v>5.8351226941980557E-3</c:v>
              </c:pt>
              <c:pt idx="11">
                <c:v>6.2257144010881621E-3</c:v>
              </c:pt>
              <c:pt idx="12">
                <c:v>6.6393742703356956E-3</c:v>
              </c:pt>
              <c:pt idx="13">
                <c:v>7.0772900737726746E-3</c:v>
              </c:pt>
              <c:pt idx="14">
                <c:v>7.5407034710427414E-3</c:v>
              </c:pt>
              <c:pt idx="15">
                <c:v>8.0309123925323949E-3</c:v>
              </c:pt>
              <c:pt idx="16">
                <c:v>8.5492735549704338E-3</c:v>
              </c:pt>
              <c:pt idx="17">
                <c:v>9.0972051200791226E-3</c:v>
              </c:pt>
              <c:pt idx="18">
                <c:v>9.6761895075946035E-3</c:v>
              </c:pt>
              <c:pt idx="19">
                <c:v>1.0287776374993248E-2</c:v>
              </c:pt>
              <c:pt idx="20">
                <c:v>1.0933585777379171E-2</c:v>
              </c:pt>
              <c:pt idx="21">
                <c:v>1.1615547172345699E-2</c:v>
              </c:pt>
              <c:pt idx="22">
                <c:v>1.2335225784433806E-2</c:v>
              </c:pt>
              <c:pt idx="23">
                <c:v>1.3094476410334279E-2</c:v>
              </c:pt>
              <c:pt idx="24">
                <c:v>1.3895239184208591E-2</c:v>
              </c:pt>
              <c:pt idx="25">
                <c:v>1.4739543900452028E-2</c:v>
              </c:pt>
              <c:pt idx="26">
                <c:v>1.5629514628788175E-2</c:v>
              </c:pt>
              <c:pt idx="27">
                <c:v>1.5850147556233648E-2</c:v>
              </c:pt>
            </c:numLit>
          </c:yVal>
          <c:smooth val="1"/>
          <c:extLst>
            <c:ext xmlns:c16="http://schemas.microsoft.com/office/drawing/2014/chart" uri="{C3380CC4-5D6E-409C-BE32-E72D297353CC}">
              <c16:uniqueId val="{0000005C-20FF-4040-9B44-602C31C3F4C1}"/>
            </c:ext>
          </c:extLst>
        </c:ser>
        <c:ser>
          <c:idx val="67"/>
          <c:order val="67"/>
          <c:tx>
            <c:v>RH=55_Label</c:v>
          </c:tx>
          <c:spPr>
            <a:ln w="3175">
              <a:solidFill>
                <a:srgbClr val="0000FF"/>
              </a:solidFill>
              <a:prstDash val="solid"/>
            </a:ln>
          </c:spPr>
          <c:marker>
            <c:symbol val="none"/>
          </c:marker>
          <c:dLbls>
            <c:dLbl>
              <c:idx val="0"/>
              <c:tx>
                <c:rich>
                  <a:bodyPr rot="-312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55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D-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30.989474550516114</c:v>
              </c:pt>
            </c:numLit>
          </c:xVal>
          <c:yVal>
            <c:numLit>
              <c:formatCode>General</c:formatCode>
              <c:ptCount val="1"/>
              <c:pt idx="0">
                <c:v>1.6129865276295948E-2</c:v>
              </c:pt>
            </c:numLit>
          </c:yVal>
          <c:smooth val="0"/>
          <c:extLst>
            <c:ext xmlns:c16="http://schemas.microsoft.com/office/drawing/2014/chart" uri="{C3380CC4-5D6E-409C-BE32-E72D297353CC}">
              <c16:uniqueId val="{0000005E-20FF-4040-9B44-602C31C3F4C1}"/>
            </c:ext>
          </c:extLst>
        </c:ser>
        <c:ser>
          <c:idx val="68"/>
          <c:order val="68"/>
          <c:tx>
            <c:v>RH=55_2</c:v>
          </c:tx>
          <c:spPr>
            <a:ln w="3175">
              <a:solidFill>
                <a:srgbClr val="0000FF"/>
              </a:solidFill>
              <a:prstDash val="solid"/>
            </a:ln>
          </c:spPr>
          <c:marker>
            <c:symbol val="none"/>
          </c:marker>
          <c:xVal>
            <c:numLit>
              <c:formatCode>General</c:formatCode>
              <c:ptCount val="18"/>
              <c:pt idx="0">
                <c:v>31.288881044490907</c:v>
              </c:pt>
              <c:pt idx="1">
                <c:v>32.28814007408657</c:v>
              </c:pt>
              <c:pt idx="2">
                <c:v>33.289461162964656</c:v>
              </c:pt>
              <c:pt idx="3">
                <c:v>34.293063110456032</c:v>
              </c:pt>
              <c:pt idx="4">
                <c:v>35.299180279992967</c:v>
              </c:pt>
              <c:pt idx="5">
                <c:v>36.308063555400999</c:v>
              </c:pt>
              <c:pt idx="6">
                <c:v>37.319981362124537</c:v>
              </c:pt>
              <c:pt idx="7">
                <c:v>38.335220759151703</c:v>
              </c:pt>
              <c:pt idx="8">
                <c:v>39.354088608020184</c:v>
              </c:pt>
              <c:pt idx="9">
                <c:v>40.376908784565998</c:v>
              </c:pt>
              <c:pt idx="10">
                <c:v>41.404035377551232</c:v>
              </c:pt>
              <c:pt idx="11">
                <c:v>42.435843506013669</c:v>
              </c:pt>
              <c:pt idx="12">
                <c:v>43.472732904478228</c:v>
              </c:pt>
              <c:pt idx="13">
                <c:v>44.515130408086179</c:v>
              </c:pt>
              <c:pt idx="14">
                <c:v>45.563491765100324</c:v>
              </c:pt>
              <c:pt idx="15">
                <c:v>46.618303596101995</c:v>
              </c:pt>
              <c:pt idx="16">
                <c:v>47.680085514829216</c:v>
              </c:pt>
              <c:pt idx="17">
                <c:v>44.483774059522453</c:v>
              </c:pt>
            </c:numLit>
          </c:xVal>
          <c:yVal>
            <c:numLit>
              <c:formatCode>General</c:formatCode>
              <c:ptCount val="18"/>
              <c:pt idx="0">
                <c:v>1.6414004228901657E-2</c:v>
              </c:pt>
              <c:pt idx="1">
                <c:v>1.7393885676520521E-2</c:v>
              </c:pt>
              <c:pt idx="2">
                <c:v>1.8426024368464747E-2</c:v>
              </c:pt>
              <c:pt idx="3">
                <c:v>1.9512955389155106E-2</c:v>
              </c:pt>
              <c:pt idx="4">
                <c:v>2.0657335456802466E-2</c:v>
              </c:pt>
              <c:pt idx="5">
                <c:v>2.18619498344035E-2</c:v>
              </c:pt>
              <c:pt idx="6">
                <c:v>2.3129719762606075E-2</c:v>
              </c:pt>
              <c:pt idx="7">
                <c:v>2.4463710462355535E-2</c:v>
              </c:pt>
              <c:pt idx="8">
                <c:v>2.586713976016505E-2</c:v>
              </c:pt>
              <c:pt idx="9">
                <c:v>2.7343626022832548E-2</c:v>
              </c:pt>
              <c:pt idx="10">
                <c:v>2.8896558756553385E-2</c:v>
              </c:pt>
              <c:pt idx="11">
                <c:v>3.0529632437545379E-2</c:v>
              </c:pt>
              <c:pt idx="12">
                <c:v>3.2246779263973561E-2</c:v>
              </c:pt>
              <c:pt idx="13">
                <c:v>3.4052139020724105E-2</c:v>
              </c:pt>
              <c:pt idx="14">
                <c:v>3.5950072930764715E-2</c:v>
              </c:pt>
              <c:pt idx="15">
                <c:v>3.7945178699027013E-2</c:v>
              </c:pt>
              <c:pt idx="16">
                <c:v>4.0042306870224254E-2</c:v>
              </c:pt>
              <c:pt idx="17">
                <c:v>3.4000000000000002E-2</c:v>
              </c:pt>
            </c:numLit>
          </c:yVal>
          <c:smooth val="1"/>
          <c:extLst>
            <c:ext xmlns:c16="http://schemas.microsoft.com/office/drawing/2014/chart" uri="{C3380CC4-5D6E-409C-BE32-E72D297353CC}">
              <c16:uniqueId val="{0000005F-20FF-4040-9B44-602C31C3F4C1}"/>
            </c:ext>
          </c:extLst>
        </c:ser>
        <c:ser>
          <c:idx val="69"/>
          <c:order val="69"/>
          <c:tx>
            <c:v>RH=65_1</c:v>
          </c:tx>
          <c:spPr>
            <a:ln w="3175">
              <a:solidFill>
                <a:srgbClr val="0000FF"/>
              </a:solidFill>
              <a:prstDash val="solid"/>
            </a:ln>
          </c:spPr>
          <c:marker>
            <c:symbol val="none"/>
          </c:marker>
          <c:xVal>
            <c:numLit>
              <c:formatCode>General</c:formatCode>
              <c:ptCount val="26"/>
              <c:pt idx="0">
                <c:v>4.7075867840324177</c:v>
              </c:pt>
              <c:pt idx="1">
                <c:v>5.693394036287784</c:v>
              </c:pt>
              <c:pt idx="2">
                <c:v>6.6788494316452747</c:v>
              </c:pt>
              <c:pt idx="3">
                <c:v>7.6639731104373956</c:v>
              </c:pt>
              <c:pt idx="4">
                <c:v>8.6487886204232431</c:v>
              </c:pt>
              <c:pt idx="5">
                <c:v>9.633323177711917</c:v>
              </c:pt>
              <c:pt idx="6">
                <c:v>10.61760025865436</c:v>
              </c:pt>
              <c:pt idx="7">
                <c:v>11.601662289364722</c:v>
              </c:pt>
              <c:pt idx="8">
                <c:v>12.585549188127688</c:v>
              </c:pt>
              <c:pt idx="9">
                <c:v>13.569305736538357</c:v>
              </c:pt>
              <c:pt idx="10">
                <c:v>14.5529819188678</c:v>
              </c:pt>
              <c:pt idx="11">
                <c:v>15.536633279684853</c:v>
              </c:pt>
              <c:pt idx="12">
                <c:v>16.520321300791181</c:v>
              </c:pt>
              <c:pt idx="13">
                <c:v>17.504113798620708</c:v>
              </c:pt>
              <c:pt idx="14">
                <c:v>18.488085343358691</c:v>
              </c:pt>
              <c:pt idx="15">
                <c:v>19.472317701151294</c:v>
              </c:pt>
              <c:pt idx="16">
                <c:v>20.456900300904735</c:v>
              </c:pt>
              <c:pt idx="17">
                <c:v>21.441930727315192</c:v>
              </c:pt>
              <c:pt idx="18">
                <c:v>22.427515241928276</c:v>
              </c:pt>
              <c:pt idx="19">
                <c:v>23.413769334201806</c:v>
              </c:pt>
              <c:pt idx="20">
                <c:v>24.400818304739552</c:v>
              </c:pt>
              <c:pt idx="21">
                <c:v>25.388785440831832</c:v>
              </c:pt>
              <c:pt idx="22">
                <c:v>26.37782951900634</c:v>
              </c:pt>
              <c:pt idx="23">
                <c:v>27.36810920265324</c:v>
              </c:pt>
              <c:pt idx="24">
                <c:v>28.35979568640477</c:v>
              </c:pt>
              <c:pt idx="25">
                <c:v>28.558317792615352</c:v>
              </c:pt>
            </c:numLit>
          </c:xVal>
          <c:yVal>
            <c:numLit>
              <c:formatCode>General</c:formatCode>
              <c:ptCount val="26"/>
              <c:pt idx="0">
                <c:v>3.5145483305064288E-3</c:v>
              </c:pt>
              <c:pt idx="1">
                <c:v>3.7688856243217176E-3</c:v>
              </c:pt>
              <c:pt idx="2">
                <c:v>4.0394782666273339E-3</c:v>
              </c:pt>
              <c:pt idx="3">
                <c:v>4.3272279941113561E-3</c:v>
              </c:pt>
              <c:pt idx="4">
                <c:v>4.6330795679808117E-3</c:v>
              </c:pt>
              <c:pt idx="5">
                <c:v>4.9580226239490759E-3</c:v>
              </c:pt>
              <c:pt idx="6">
                <c:v>5.3032001625822091E-3</c:v>
              </c:pt>
              <c:pt idx="7">
                <c:v>5.669605785216322E-3</c:v>
              </c:pt>
              <c:pt idx="8">
                <c:v>6.0583771686071762E-3</c:v>
              </c:pt>
              <c:pt idx="9">
                <c:v>6.4707053321746109E-3</c:v>
              </c:pt>
              <c:pt idx="10">
                <c:v>6.907837014116615E-3</c:v>
              </c:pt>
              <c:pt idx="11">
                <c:v>7.3710771764237074E-3</c:v>
              </c:pt>
              <c:pt idx="12">
                <c:v>7.861791648811841E-3</c:v>
              </c:pt>
              <c:pt idx="13">
                <c:v>8.3814099225061629E-3</c:v>
              </c:pt>
              <c:pt idx="14">
                <c:v>8.9314281058126502E-3</c:v>
              </c:pt>
              <c:pt idx="15">
                <c:v>9.513412054512508E-3</c:v>
              </c:pt>
              <c:pt idx="16">
                <c:v>1.0129000691320653E-2</c:v>
              </c:pt>
              <c:pt idx="17">
                <c:v>1.0779909529971536E-2</c:v>
              </c:pt>
              <c:pt idx="18">
                <c:v>1.1467934420950916E-2</c:v>
              </c:pt>
              <c:pt idx="19">
                <c:v>1.2194955537489258E-2</c:v>
              </c:pt>
              <c:pt idx="20">
                <c:v>1.2962941622193738E-2</c:v>
              </c:pt>
              <c:pt idx="21">
                <c:v>1.3774234913153584E-2</c:v>
              </c:pt>
              <c:pt idx="22">
                <c:v>1.4630750441318861E-2</c:v>
              </c:pt>
              <c:pt idx="23">
                <c:v>1.5534754206521045E-2</c:v>
              </c:pt>
              <c:pt idx="24">
                <c:v>1.6488621082355326E-2</c:v>
              </c:pt>
              <c:pt idx="25">
                <c:v>1.6685595032799646E-2</c:v>
              </c:pt>
            </c:numLit>
          </c:yVal>
          <c:smooth val="1"/>
          <c:extLst>
            <c:ext xmlns:c16="http://schemas.microsoft.com/office/drawing/2014/chart" uri="{C3380CC4-5D6E-409C-BE32-E72D297353CC}">
              <c16:uniqueId val="{00000060-20FF-4040-9B44-602C31C3F4C1}"/>
            </c:ext>
          </c:extLst>
        </c:ser>
        <c:ser>
          <c:idx val="70"/>
          <c:order val="70"/>
          <c:tx>
            <c:v>RH=65_Label</c:v>
          </c:tx>
          <c:spPr>
            <a:ln w="3175">
              <a:solidFill>
                <a:srgbClr val="0000FF"/>
              </a:solidFill>
              <a:prstDash val="solid"/>
            </a:ln>
          </c:spPr>
          <c:marker>
            <c:symbol val="none"/>
          </c:marker>
          <c:dLbls>
            <c:dLbl>
              <c:idx val="0"/>
              <c:tx>
                <c:rich>
                  <a:bodyPr rot="-32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65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1-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28.826426268543489</c:v>
              </c:pt>
            </c:numLit>
          </c:xVal>
          <c:yVal>
            <c:numLit>
              <c:formatCode>General</c:formatCode>
              <c:ptCount val="1"/>
              <c:pt idx="0">
                <c:v>1.69548673550181E-2</c:v>
              </c:pt>
            </c:numLit>
          </c:yVal>
          <c:smooth val="0"/>
          <c:extLst>
            <c:ext xmlns:c16="http://schemas.microsoft.com/office/drawing/2014/chart" uri="{C3380CC4-5D6E-409C-BE32-E72D297353CC}">
              <c16:uniqueId val="{00000062-20FF-4040-9B44-602C31C3F4C1}"/>
            </c:ext>
          </c:extLst>
        </c:ser>
        <c:ser>
          <c:idx val="71"/>
          <c:order val="71"/>
          <c:tx>
            <c:v>RH=65_2</c:v>
          </c:tx>
          <c:spPr>
            <a:ln w="3175">
              <a:solidFill>
                <a:srgbClr val="0000FF"/>
              </a:solidFill>
              <a:prstDash val="solid"/>
            </a:ln>
          </c:spPr>
          <c:marker>
            <c:symbol val="none"/>
          </c:marker>
          <c:xVal>
            <c:numLit>
              <c:formatCode>General</c:formatCode>
              <c:ptCount val="17"/>
              <c:pt idx="0">
                <c:v>29.154281293235872</c:v>
              </c:pt>
              <c:pt idx="1">
                <c:v>30.148974471149877</c:v>
              </c:pt>
              <c:pt idx="2">
                <c:v>31.14562735244127</c:v>
              </c:pt>
              <c:pt idx="3">
                <c:v>32.144466372583011</c:v>
              </c:pt>
              <c:pt idx="4">
                <c:v>33.145734775067154</c:v>
              </c:pt>
              <c:pt idx="5">
                <c:v>34.149693684929971</c:v>
              </c:pt>
              <c:pt idx="6">
                <c:v>35.156623258311356</c:v>
              </c:pt>
              <c:pt idx="7">
                <c:v>36.166823915077146</c:v>
              </c:pt>
              <c:pt idx="8">
                <c:v>37.180617662312947</c:v>
              </c:pt>
              <c:pt idx="9">
                <c:v>38.198349517373778</c:v>
              </c:pt>
              <c:pt idx="10">
                <c:v>39.220389040157556</c:v>
              </c:pt>
              <c:pt idx="11">
                <c:v>40.247127353684583</c:v>
              </c:pt>
              <c:pt idx="12">
                <c:v>41.278992238745232</c:v>
              </c:pt>
              <c:pt idx="13">
                <c:v>42.316438727336042</c:v>
              </c:pt>
              <c:pt idx="14">
                <c:v>43.359952662944558</c:v>
              </c:pt>
              <c:pt idx="15">
                <c:v>44.410054181301376</c:v>
              </c:pt>
              <c:pt idx="16">
                <c:v>41.082522687554388</c:v>
              </c:pt>
            </c:numLit>
          </c:xVal>
          <c:yVal>
            <c:numLit>
              <c:formatCode>General</c:formatCode>
              <c:ptCount val="17"/>
              <c:pt idx="0">
                <c:v>1.7289285079439821E-2</c:v>
              </c:pt>
              <c:pt idx="1">
                <c:v>1.8339260809342089E-2</c:v>
              </c:pt>
              <c:pt idx="2">
                <c:v>1.9446380817797437E-2</c:v>
              </c:pt>
              <c:pt idx="3">
                <c:v>2.0613491784867648E-2</c:v>
              </c:pt>
              <c:pt idx="4">
                <c:v>2.1843582114776178E-2</c:v>
              </c:pt>
              <c:pt idx="5">
                <c:v>2.3139790356552118E-2</c:v>
              </c:pt>
              <c:pt idx="6">
                <c:v>2.450541428664121E-2</c:v>
              </c:pt>
              <c:pt idx="7">
                <c:v>2.5943920716535944E-2</c:v>
              </c:pt>
              <c:pt idx="8">
                <c:v>2.7458956095239195E-2</c:v>
              </c:pt>
              <c:pt idx="9">
                <c:v>2.9054357983965853E-2</c:v>
              </c:pt>
              <c:pt idx="10">
                <c:v>3.0734167489009444E-2</c:v>
              </c:pt>
              <c:pt idx="11">
                <c:v>3.2502915041684302E-2</c:v>
              </c:pt>
              <c:pt idx="12">
                <c:v>3.4364923145966897E-2</c:v>
              </c:pt>
              <c:pt idx="13">
                <c:v>3.6324868600653211E-2</c:v>
              </c:pt>
              <c:pt idx="14">
                <c:v>3.838775763768433E-2</c:v>
              </c:pt>
              <c:pt idx="15">
                <c:v>4.05588806462788E-2</c:v>
              </c:pt>
              <c:pt idx="16">
                <c:v>3.4000000000000002E-2</c:v>
              </c:pt>
            </c:numLit>
          </c:yVal>
          <c:smooth val="1"/>
          <c:extLst>
            <c:ext xmlns:c16="http://schemas.microsoft.com/office/drawing/2014/chart" uri="{C3380CC4-5D6E-409C-BE32-E72D297353CC}">
              <c16:uniqueId val="{00000063-20FF-4040-9B44-602C31C3F4C1}"/>
            </c:ext>
          </c:extLst>
        </c:ser>
        <c:ser>
          <c:idx val="72"/>
          <c:order val="72"/>
          <c:tx>
            <c:v>RH=75_1</c:v>
          </c:tx>
          <c:spPr>
            <a:ln w="3175">
              <a:solidFill>
                <a:srgbClr val="0000FF"/>
              </a:solidFill>
              <a:prstDash val="solid"/>
            </a:ln>
          </c:spPr>
          <c:marker>
            <c:symbol val="none"/>
          </c:marker>
          <c:xVal>
            <c:numLit>
              <c:formatCode>General</c:formatCode>
              <c:ptCount val="24"/>
              <c:pt idx="0">
                <c:v>4.6623065717223273</c:v>
              </c:pt>
              <c:pt idx="1">
                <c:v>5.6458937795014803</c:v>
              </c:pt>
              <c:pt idx="2">
                <c:v>6.629071034120396</c:v>
              </c:pt>
              <c:pt idx="3">
                <c:v>7.6118612271134749</c:v>
              </c:pt>
              <c:pt idx="4">
                <c:v>8.5942911631238914</c:v>
              </c:pt>
              <c:pt idx="5">
                <c:v>9.5763918619241188</c:v>
              </c:pt>
              <c:pt idx="6">
                <c:v>10.558189988711014</c:v>
              </c:pt>
              <c:pt idx="7">
                <c:v>11.539734100858675</c:v>
              </c:pt>
              <c:pt idx="8">
                <c:v>12.521069831738515</c:v>
              </c:pt>
              <c:pt idx="9">
                <c:v>13.5022484178998</c:v>
              </c:pt>
              <c:pt idx="10">
                <c:v>14.48332709486384</c:v>
              </c:pt>
              <c:pt idx="11">
                <c:v>15.464369514996749</c:v>
              </c:pt>
              <c:pt idx="12">
                <c:v>16.4454461888397</c:v>
              </c:pt>
              <c:pt idx="13">
                <c:v>17.426634951405386</c:v>
              </c:pt>
              <c:pt idx="14">
                <c:v>18.40802145509323</c:v>
              </c:pt>
              <c:pt idx="15">
                <c:v>19.389699691036181</c:v>
              </c:pt>
              <c:pt idx="16">
                <c:v>20.371772540870129</c:v>
              </c:pt>
              <c:pt idx="17">
                <c:v>21.354352361114962</c:v>
              </c:pt>
              <c:pt idx="18">
                <c:v>22.33756160257677</c:v>
              </c:pt>
              <c:pt idx="19">
                <c:v>23.321533467426086</c:v>
              </c:pt>
              <c:pt idx="20">
                <c:v>24.306412606880112</c:v>
              </c:pt>
              <c:pt idx="21">
                <c:v>25.29234140795505</c:v>
              </c:pt>
              <c:pt idx="22">
                <c:v>26.279503577504428</c:v>
              </c:pt>
              <c:pt idx="23">
                <c:v>26.714292480798427</c:v>
              </c:pt>
            </c:numLit>
          </c:xVal>
          <c:yVal>
            <c:numLit>
              <c:formatCode>General</c:formatCode>
              <c:ptCount val="24"/>
              <c:pt idx="0">
                <c:v>4.0587764497889908E-3</c:v>
              </c:pt>
              <c:pt idx="1">
                <c:v>4.3527719675160188E-3</c:v>
              </c:pt>
              <c:pt idx="2">
                <c:v>4.6655981454723928E-3</c:v>
              </c:pt>
              <c:pt idx="3">
                <c:v>4.998305242240709E-3</c:v>
              </c:pt>
              <c:pt idx="4">
                <c:v>5.3519943600493667E-3</c:v>
              </c:pt>
              <c:pt idx="5">
                <c:v>5.727819716456117E-3</c:v>
              </c:pt>
              <c:pt idx="6">
                <c:v>6.1271143004786397E-3</c:v>
              </c:pt>
              <c:pt idx="7">
                <c:v>6.5510398208286965E-3</c:v>
              </c:pt>
              <c:pt idx="8">
                <c:v>7.0009263189632839E-3</c:v>
              </c:pt>
              <c:pt idx="9">
                <c:v>7.4781674371684767E-3</c:v>
              </c:pt>
              <c:pt idx="10">
                <c:v>7.9842233881256032E-3</c:v>
              </c:pt>
              <c:pt idx="11">
                <c:v>8.5206240973003389E-3</c:v>
              </c:pt>
              <c:pt idx="12">
                <c:v>9.0889725322134893E-3</c:v>
              </c:pt>
              <c:pt idx="13">
                <c:v>9.6909482339747766E-3</c:v>
              </c:pt>
              <c:pt idx="14">
                <c:v>1.032831106791901E-2</c:v>
              </c:pt>
              <c:pt idx="15">
                <c:v>1.1002905211784977E-2</c:v>
              </c:pt>
              <c:pt idx="16">
                <c:v>1.1716663401643478E-2</c:v>
              </c:pt>
              <c:pt idx="17">
                <c:v>1.2471611457725566E-2</c:v>
              </c:pt>
              <c:pt idx="18">
                <c:v>1.3269873114451802E-2</c:v>
              </c:pt>
              <c:pt idx="19">
                <c:v>1.411367518133497E-2</c:v>
              </c:pt>
              <c:pt idx="20">
                <c:v>1.5005353064056037E-2</c:v>
              </c:pt>
              <c:pt idx="21">
                <c:v>1.5947682428253101E-2</c:v>
              </c:pt>
              <c:pt idx="22">
                <c:v>1.6942950000713969E-2</c:v>
              </c:pt>
              <c:pt idx="23">
                <c:v>1.7398330004498919E-2</c:v>
              </c:pt>
            </c:numLit>
          </c:yVal>
          <c:smooth val="1"/>
          <c:extLst>
            <c:ext xmlns:c16="http://schemas.microsoft.com/office/drawing/2014/chart" uri="{C3380CC4-5D6E-409C-BE32-E72D297353CC}">
              <c16:uniqueId val="{00000064-20FF-4040-9B44-602C31C3F4C1}"/>
            </c:ext>
          </c:extLst>
        </c:ser>
        <c:ser>
          <c:idx val="73"/>
          <c:order val="73"/>
          <c:tx>
            <c:v>RH=75_Label</c:v>
          </c:tx>
          <c:spPr>
            <a:ln w="3175">
              <a:solidFill>
                <a:srgbClr val="0000FF"/>
              </a:solidFill>
              <a:prstDash val="solid"/>
            </a:ln>
          </c:spPr>
          <c:marker>
            <c:symbol val="none"/>
          </c:marker>
          <c:dLbls>
            <c:dLbl>
              <c:idx val="0"/>
              <c:tx>
                <c:rich>
                  <a:bodyPr rot="-330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75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5-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26.971348751559898</c:v>
              </c:pt>
            </c:numLit>
          </c:xVal>
          <c:yVal>
            <c:numLit>
              <c:formatCode>General</c:formatCode>
              <c:ptCount val="1"/>
              <c:pt idx="0">
                <c:v>1.7672577171771574E-2</c:v>
              </c:pt>
            </c:numLit>
          </c:yVal>
          <c:smooth val="0"/>
          <c:extLst>
            <c:ext xmlns:c16="http://schemas.microsoft.com/office/drawing/2014/chart" uri="{C3380CC4-5D6E-409C-BE32-E72D297353CC}">
              <c16:uniqueId val="{00000066-20FF-4040-9B44-602C31C3F4C1}"/>
            </c:ext>
          </c:extLst>
        </c:ser>
        <c:ser>
          <c:idx val="74"/>
          <c:order val="74"/>
          <c:tx>
            <c:v>RH=75_2</c:v>
          </c:tx>
          <c:spPr>
            <a:ln w="3175">
              <a:solidFill>
                <a:srgbClr val="0000FF"/>
              </a:solidFill>
              <a:prstDash val="solid"/>
            </a:ln>
          </c:spPr>
          <c:marker>
            <c:symbol val="none"/>
          </c:marker>
          <c:xVal>
            <c:numLit>
              <c:formatCode>General</c:formatCode>
              <c:ptCount val="16"/>
              <c:pt idx="0">
                <c:v>27.307658238247463</c:v>
              </c:pt>
              <c:pt idx="1">
                <c:v>28.297922010597887</c:v>
              </c:pt>
              <c:pt idx="2">
                <c:v>29.290024378160101</c:v>
              </c:pt>
              <c:pt idx="3">
                <c:v>30.284196891370367</c:v>
              </c:pt>
              <c:pt idx="4">
                <c:v>31.280688957760731</c:v>
              </c:pt>
              <c:pt idx="5">
                <c:v>32.279769020620691</c:v>
              </c:pt>
              <c:pt idx="6">
                <c:v>33.281725824114545</c:v>
              </c:pt>
              <c:pt idx="7">
                <c:v>34.286869773121346</c:v>
              </c:pt>
              <c:pt idx="8">
                <c:v>35.295534397012268</c:v>
              </c:pt>
              <c:pt idx="9">
                <c:v>36.3080779276481</c:v>
              </c:pt>
              <c:pt idx="10">
                <c:v>37.324885003084674</c:v>
              </c:pt>
              <c:pt idx="11">
                <c:v>38.346368509836374</c:v>
              </c:pt>
              <c:pt idx="12">
                <c:v>39.372971297089094</c:v>
              </c:pt>
              <c:pt idx="13">
                <c:v>40.40516277076739</c:v>
              </c:pt>
              <c:pt idx="14">
                <c:v>41.443460412028806</c:v>
              </c:pt>
              <c:pt idx="15">
                <c:v>38.22352920257061</c:v>
              </c:pt>
            </c:numLit>
          </c:xVal>
          <c:yVal>
            <c:numLit>
              <c:formatCode>General</c:formatCode>
              <c:ptCount val="16"/>
              <c:pt idx="0">
                <c:v>1.8037091200106173E-2</c:v>
              </c:pt>
              <c:pt idx="1">
                <c:v>1.9148876952991056E-2</c:v>
              </c:pt>
              <c:pt idx="2">
                <c:v>2.0322243292255012E-2</c:v>
              </c:pt>
              <c:pt idx="3">
                <c:v>2.1560328685217813E-2</c:v>
              </c:pt>
              <c:pt idx="4">
                <c:v>2.2866432828409361E-2</c:v>
              </c:pt>
              <c:pt idx="5">
                <c:v>2.4244026591841397E-2</c:v>
              </c:pt>
              <c:pt idx="6">
                <c:v>2.5696762771875013E-2</c:v>
              </c:pt>
              <c:pt idx="7">
                <c:v>2.7228487732157729E-2</c:v>
              </c:pt>
              <c:pt idx="8">
                <c:v>2.8843254020922502E-2</c:v>
              </c:pt>
              <c:pt idx="9">
                <c:v>3.0545334062874491E-2</c:v>
              </c:pt>
              <c:pt idx="10">
                <c:v>3.2339235035100056E-2</c:v>
              </c:pt>
              <c:pt idx="11">
                <c:v>3.4229715049084494E-2</c:v>
              </c:pt>
              <c:pt idx="12">
                <c:v>3.6221816034480936E-2</c:v>
              </c:pt>
              <c:pt idx="13">
                <c:v>3.8321227715054529E-2</c:v>
              </c:pt>
              <c:pt idx="14">
                <c:v>4.0533232391732191E-2</c:v>
              </c:pt>
              <c:pt idx="15">
                <c:v>3.4000000000000002E-2</c:v>
              </c:pt>
            </c:numLit>
          </c:yVal>
          <c:smooth val="1"/>
          <c:extLst>
            <c:ext xmlns:c16="http://schemas.microsoft.com/office/drawing/2014/chart" uri="{C3380CC4-5D6E-409C-BE32-E72D297353CC}">
              <c16:uniqueId val="{00000067-20FF-4040-9B44-602C31C3F4C1}"/>
            </c:ext>
          </c:extLst>
        </c:ser>
        <c:ser>
          <c:idx val="75"/>
          <c:order val="75"/>
          <c:tx>
            <c:v>RH=85_1</c:v>
          </c:tx>
          <c:spPr>
            <a:ln w="3175">
              <a:solidFill>
                <a:srgbClr val="0000FF"/>
              </a:solidFill>
              <a:prstDash val="solid"/>
            </a:ln>
          </c:spPr>
          <c:marker>
            <c:symbol val="none"/>
          </c:marker>
          <c:xVal>
            <c:numLit>
              <c:formatCode>General</c:formatCode>
              <c:ptCount val="22"/>
              <c:pt idx="0">
                <c:v>4.6169474962962767</c:v>
              </c:pt>
              <c:pt idx="1">
                <c:v>5.5983047949352542</c:v>
              </c:pt>
              <c:pt idx="2">
                <c:v>6.5791929641451805</c:v>
              </c:pt>
              <c:pt idx="3">
                <c:v>7.5596375500601978</c:v>
              </c:pt>
              <c:pt idx="4">
                <c:v>8.5396685120445444</c:v>
              </c:pt>
              <c:pt idx="5">
                <c:v>9.5193205659853692</c:v>
              </c:pt>
              <c:pt idx="6">
                <c:v>10.498623446963785</c:v>
              </c:pt>
              <c:pt idx="7">
                <c:v>11.477631731162283</c:v>
              </c:pt>
              <c:pt idx="8">
                <c:v>12.456396645443721</c:v>
              </c:pt>
              <c:pt idx="9">
                <c:v>13.434975756413518</c:v>
              </c:pt>
              <c:pt idx="10">
                <c:v>14.413433423660246</c:v>
              </c:pt>
              <c:pt idx="11">
                <c:v>15.391841279166217</c:v>
              </c:pt>
              <c:pt idx="12">
                <c:v>16.37027873463445</c:v>
              </c:pt>
              <c:pt idx="13">
                <c:v>17.348833518650352</c:v>
              </c:pt>
              <c:pt idx="14">
                <c:v>18.327602245787897</c:v>
              </c:pt>
              <c:pt idx="15">
                <c:v>19.306691019983756</c:v>
              </c:pt>
              <c:pt idx="16">
                <c:v>20.286216074740807</c:v>
              </c:pt>
              <c:pt idx="17">
                <c:v>21.266304452988376</c:v>
              </c:pt>
              <c:pt idx="18">
                <c:v>22.247094729722747</c:v>
              </c:pt>
              <c:pt idx="19">
                <c:v>23.228737780882987</c:v>
              </c:pt>
              <c:pt idx="20">
                <c:v>24.211397602286706</c:v>
              </c:pt>
              <c:pt idx="21">
                <c:v>25.096792770011287</c:v>
              </c:pt>
            </c:numLit>
          </c:xVal>
          <c:yVal>
            <c:numLit>
              <c:formatCode>General</c:formatCode>
              <c:ptCount val="22"/>
              <c:pt idx="0">
                <c:v>4.6039524340017379E-3</c:v>
              </c:pt>
              <c:pt idx="1">
                <c:v>4.9377489772132778E-3</c:v>
              </c:pt>
              <c:pt idx="2">
                <c:v>5.2929717188040567E-3</c:v>
              </c:pt>
              <c:pt idx="3">
                <c:v>5.6708221280010393E-3</c:v>
              </c:pt>
              <c:pt idx="4">
                <c:v>6.0725606724782053E-3</c:v>
              </c:pt>
              <c:pt idx="5">
                <c:v>6.4995095513268536E-3</c:v>
              </c:pt>
              <c:pt idx="6">
                <c:v>6.9531956486687616E-3</c:v>
              </c:pt>
              <c:pt idx="7">
                <c:v>7.4349530058112978E-3</c:v>
              </c:pt>
              <c:pt idx="8">
                <c:v>7.9463088445744789E-3</c:v>
              </c:pt>
              <c:pt idx="9">
                <c:v>8.4888648304659586E-3</c:v>
              </c:pt>
              <c:pt idx="10">
                <c:v>9.06430070349914E-3</c:v>
              </c:pt>
              <c:pt idx="11">
                <c:v>9.6743781334406344E-3</c:v>
              </c:pt>
              <c:pt idx="12">
                <c:v>1.0320944818470866E-2</c:v>
              </c:pt>
              <c:pt idx="13">
                <c:v>1.1005938848080411E-2</c:v>
              </c:pt>
              <c:pt idx="14">
                <c:v>1.1731393353058893E-2</c:v>
              </c:pt>
              <c:pt idx="15">
                <c:v>1.2499441467676403E-2</c:v>
              </c:pt>
              <c:pt idx="16">
                <c:v>1.3312321631641564E-2</c:v>
              </c:pt>
              <c:pt idx="17">
                <c:v>1.4172383262167699E-2</c:v>
              </c:pt>
              <c:pt idx="18">
                <c:v>1.5082092829528373E-2</c:v>
              </c:pt>
              <c:pt idx="19">
                <c:v>1.6044040372864291E-2</c:v>
              </c:pt>
              <c:pt idx="20">
                <c:v>1.7060946496765018E-2</c:v>
              </c:pt>
              <c:pt idx="21">
                <c:v>1.8025843781926617E-2</c:v>
              </c:pt>
            </c:numLit>
          </c:yVal>
          <c:smooth val="1"/>
          <c:extLst>
            <c:ext xmlns:c16="http://schemas.microsoft.com/office/drawing/2014/chart" uri="{C3380CC4-5D6E-409C-BE32-E72D297353CC}">
              <c16:uniqueId val="{00000068-20FF-4040-9B44-602C31C3F4C1}"/>
            </c:ext>
          </c:extLst>
        </c:ser>
        <c:ser>
          <c:idx val="76"/>
          <c:order val="76"/>
          <c:tx>
            <c:v>RH=85_Label</c:v>
          </c:tx>
          <c:spPr>
            <a:ln w="3175">
              <a:solidFill>
                <a:srgbClr val="0000FF"/>
              </a:solidFill>
              <a:prstDash val="solid"/>
            </a:ln>
          </c:spPr>
          <c:marker>
            <c:symbol val="none"/>
          </c:marker>
          <c:dLbls>
            <c:dLbl>
              <c:idx val="0"/>
              <c:tx>
                <c:rich>
                  <a:bodyPr rot="-342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85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9-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25.352773263547515</c:v>
              </c:pt>
            </c:numLit>
          </c:xVal>
          <c:yVal>
            <c:numLit>
              <c:formatCode>General</c:formatCode>
              <c:ptCount val="1"/>
              <c:pt idx="0">
                <c:v>1.8313625263206273E-2</c:v>
              </c:pt>
            </c:numLit>
          </c:yVal>
          <c:smooth val="0"/>
          <c:extLst>
            <c:ext xmlns:c16="http://schemas.microsoft.com/office/drawing/2014/chart" uri="{C3380CC4-5D6E-409C-BE32-E72D297353CC}">
              <c16:uniqueId val="{0000006A-20FF-4040-9B44-602C31C3F4C1}"/>
            </c:ext>
          </c:extLst>
        </c:ser>
        <c:ser>
          <c:idx val="77"/>
          <c:order val="77"/>
          <c:tx>
            <c:v>RH=85_2</c:v>
          </c:tx>
          <c:spPr>
            <a:ln w="3175">
              <a:solidFill>
                <a:srgbClr val="0000FF"/>
              </a:solidFill>
              <a:prstDash val="solid"/>
            </a:ln>
          </c:spPr>
          <c:marker>
            <c:symbol val="none"/>
          </c:marker>
          <c:xVal>
            <c:numLit>
              <c:formatCode>General</c:formatCode>
              <c:ptCount val="15"/>
              <c:pt idx="0">
                <c:v>25.6876621875757</c:v>
              </c:pt>
              <c:pt idx="1">
                <c:v>26.673658098131735</c:v>
              </c:pt>
              <c:pt idx="2">
                <c:v>27.661360715570094</c:v>
              </c:pt>
              <c:pt idx="3">
                <c:v>28.651004900924384</c:v>
              </c:pt>
              <c:pt idx="4">
                <c:v>29.642844270739275</c:v>
              </c:pt>
              <c:pt idx="5">
                <c:v>30.637152470911296</c:v>
              </c:pt>
              <c:pt idx="6">
                <c:v>31.634224546804546</c:v>
              </c:pt>
              <c:pt idx="7">
                <c:v>32.634378419120495</c:v>
              </c:pt>
              <c:pt idx="8">
                <c:v>33.637956476119065</c:v>
              </c:pt>
              <c:pt idx="9">
                <c:v>34.645327294052166</c:v>
              </c:pt>
              <c:pt idx="10">
                <c:v>35.656887499102659</c:v>
              </c:pt>
              <c:pt idx="11">
                <c:v>36.673063785745285</c:v>
              </c:pt>
              <c:pt idx="12">
                <c:v>37.694315108291399</c:v>
              </c:pt>
              <c:pt idx="13">
                <c:v>38.721135064479967</c:v>
              </c:pt>
              <c:pt idx="14">
                <c:v>35.768432905416319</c:v>
              </c:pt>
            </c:numLit>
          </c:xVal>
          <c:yVal>
            <c:numLit>
              <c:formatCode>General</c:formatCode>
              <c:ptCount val="15"/>
              <c:pt idx="0">
                <c:v>1.8696221443579193E-2</c:v>
              </c:pt>
              <c:pt idx="1">
                <c:v>1.9863798166773625E-2</c:v>
              </c:pt>
              <c:pt idx="2">
                <c:v>2.1097052266478809E-2</c:v>
              </c:pt>
              <c:pt idx="3">
                <c:v>2.239939862759165E-2</c:v>
              </c:pt>
              <c:pt idx="4">
                <c:v>2.377443241346253E-2</c:v>
              </c:pt>
              <c:pt idx="5">
                <c:v>2.5225940548190579E-2</c:v>
              </c:pt>
              <c:pt idx="6">
                <c:v>2.6757914160203695E-2</c:v>
              </c:pt>
              <c:pt idx="7">
                <c:v>2.8374562084222253E-2</c:v>
              </c:pt>
              <c:pt idx="8">
                <c:v>3.008032552980296E-2</c:v>
              </c:pt>
              <c:pt idx="9">
                <c:v>3.1879894037208895E-2</c:v>
              </c:pt>
              <c:pt idx="10">
                <c:v>3.3778222855544576E-2</c:v>
              </c:pt>
              <c:pt idx="11">
                <c:v>3.5780551894204121E-2</c:v>
              </c:pt>
              <c:pt idx="12">
                <c:v>3.7892426416963755E-2</c:v>
              </c:pt>
              <c:pt idx="13">
                <c:v>4.0119719668876355E-2</c:v>
              </c:pt>
              <c:pt idx="14">
                <c:v>3.4000000000000002E-2</c:v>
              </c:pt>
            </c:numLit>
          </c:yVal>
          <c:smooth val="1"/>
          <c:extLst>
            <c:ext xmlns:c16="http://schemas.microsoft.com/office/drawing/2014/chart" uri="{C3380CC4-5D6E-409C-BE32-E72D297353CC}">
              <c16:uniqueId val="{0000006B-20FF-4040-9B44-602C31C3F4C1}"/>
            </c:ext>
          </c:extLst>
        </c:ser>
        <c:ser>
          <c:idx val="78"/>
          <c:order val="78"/>
          <c:tx>
            <c:v>RH=95_1</c:v>
          </c:tx>
          <c:spPr>
            <a:ln w="3175">
              <a:solidFill>
                <a:srgbClr val="0000FF"/>
              </a:solidFill>
              <a:prstDash val="solid"/>
            </a:ln>
          </c:spPr>
          <c:marker>
            <c:symbol val="none"/>
          </c:marker>
          <c:xVal>
            <c:numLit>
              <c:formatCode>General</c:formatCode>
              <c:ptCount val="21"/>
              <c:pt idx="0">
                <c:v>4.5715093515445933</c:v>
              </c:pt>
              <c:pt idx="1">
                <c:v>5.5506268337490203</c:v>
              </c:pt>
              <c:pt idx="2">
                <c:v>6.5292149220548952</c:v>
              </c:pt>
              <c:pt idx="3">
                <c:v>7.5073017191507443</c:v>
              </c:pt>
              <c:pt idx="4">
                <c:v>8.4849202352887367</c:v>
              </c:pt>
              <c:pt idx="5">
                <c:v>9.4621087729948794</c:v>
              </c:pt>
              <c:pt idx="6">
                <c:v>10.438900016018483</c:v>
              </c:pt>
              <c:pt idx="7">
                <c:v>11.415354444379318</c:v>
              </c:pt>
              <c:pt idx="8">
                <c:v>12.391528753926261</c:v>
              </c:pt>
              <c:pt idx="9">
                <c:v>13.36748671310745</c:v>
              </c:pt>
              <c:pt idx="10">
                <c:v>14.343299674632375</c:v>
              </c:pt>
              <c:pt idx="11">
                <c:v>15.319047117663203</c:v>
              </c:pt>
              <c:pt idx="12">
                <c:v>16.294817222695624</c:v>
              </c:pt>
              <c:pt idx="13">
                <c:v>17.270707481510758</c:v>
              </c:pt>
              <c:pt idx="14">
                <c:v>18.246825344826785</c:v>
              </c:pt>
              <c:pt idx="15">
                <c:v>19.223288910555173</c:v>
              </c:pt>
              <c:pt idx="16">
                <c:v>20.20022765587548</c:v>
              </c:pt>
              <c:pt idx="17">
                <c:v>21.177783216688368</c:v>
              </c:pt>
              <c:pt idx="18">
                <c:v>22.156110218393444</c:v>
              </c:pt>
              <c:pt idx="19">
                <c:v>23.135377162372347</c:v>
              </c:pt>
              <c:pt idx="20">
                <c:v>23.65483180251206</c:v>
              </c:pt>
            </c:numLit>
          </c:xVal>
          <c:yVal>
            <c:numLit>
              <c:formatCode>General</c:formatCode>
              <c:ptCount val="21"/>
              <c:pt idx="0">
                <c:v>5.1500787616026219E-3</c:v>
              </c:pt>
              <c:pt idx="1">
                <c:v>5.5238197122248938E-3</c:v>
              </c:pt>
              <c:pt idx="2">
                <c:v>5.9216027558486456E-3</c:v>
              </c:pt>
              <c:pt idx="3">
                <c:v>6.3447832889701929E-3</c:v>
              </c:pt>
              <c:pt idx="4">
                <c:v>6.7947842027213596E-3</c:v>
              </c:pt>
              <c:pt idx="5">
                <c:v>7.2730991178380543E-3</c:v>
              </c:pt>
              <c:pt idx="6">
                <c:v>7.781452769305296E-3</c:v>
              </c:pt>
              <c:pt idx="7">
                <c:v>8.3213558142954808E-3</c:v>
              </c:pt>
              <c:pt idx="8">
                <c:v>8.8945375406884828E-3</c:v>
              </c:pt>
              <c:pt idx="9">
                <c:v>9.5028131214741039E-3</c:v>
              </c:pt>
              <c:pt idx="10">
                <c:v>1.0148087977263168E-2</c:v>
              </c:pt>
              <c:pt idx="11">
                <c:v>1.0832362423004708E-2</c:v>
              </c:pt>
              <c:pt idx="12">
                <c:v>1.1557736623789566E-2</c:v>
              </c:pt>
              <c:pt idx="13">
                <c:v>1.2326415887099727E-2</c:v>
              </c:pt>
              <c:pt idx="14">
                <c:v>1.3140716321613845E-2</c:v>
              </c:pt>
              <c:pt idx="15">
                <c:v>1.4003070895725766E-2</c:v>
              </c:pt>
              <c:pt idx="16">
                <c:v>1.4916035932318635E-2</c:v>
              </c:pt>
              <c:pt idx="17">
                <c:v>1.5882298080097952E-2</c:v>
              </c:pt>
              <c:pt idx="18">
                <c:v>1.6904681805977675E-2</c:v>
              </c:pt>
              <c:pt idx="19">
                <c:v>1.7986157457680306E-2</c:v>
              </c:pt>
              <c:pt idx="20">
                <c:v>1.8584360404457909E-2</c:v>
              </c:pt>
            </c:numLit>
          </c:yVal>
          <c:smooth val="1"/>
          <c:extLst>
            <c:ext xmlns:c16="http://schemas.microsoft.com/office/drawing/2014/chart" uri="{C3380CC4-5D6E-409C-BE32-E72D297353CC}">
              <c16:uniqueId val="{0000006C-20FF-4040-9B44-602C31C3F4C1}"/>
            </c:ext>
          </c:extLst>
        </c:ser>
        <c:ser>
          <c:idx val="79"/>
          <c:order val="79"/>
          <c:tx>
            <c:v>RH=95_Label</c:v>
          </c:tx>
          <c:spPr>
            <a:ln w="3175">
              <a:solidFill>
                <a:srgbClr val="0000FF"/>
              </a:solidFill>
              <a:prstDash val="solid"/>
            </a:ln>
          </c:spPr>
          <c:marker>
            <c:symbol val="none"/>
          </c:marker>
          <c:dLbls>
            <c:dLbl>
              <c:idx val="0"/>
              <c:tx>
                <c:rich>
                  <a:bodyPr rot="-348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95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D-20FF-4040-9B44-602C31C3F4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23.899975266563242</c:v>
              </c:pt>
            </c:numLit>
          </c:xVal>
          <c:yVal>
            <c:numLit>
              <c:formatCode>General</c:formatCode>
              <c:ptCount val="1"/>
              <c:pt idx="0">
                <c:v>1.887273459870089E-2</c:v>
              </c:pt>
            </c:numLit>
          </c:yVal>
          <c:smooth val="0"/>
          <c:extLst>
            <c:ext xmlns:c16="http://schemas.microsoft.com/office/drawing/2014/chart" uri="{C3380CC4-5D6E-409C-BE32-E72D297353CC}">
              <c16:uniqueId val="{0000006E-20FF-4040-9B44-602C31C3F4C1}"/>
            </c:ext>
          </c:extLst>
        </c:ser>
        <c:ser>
          <c:idx val="80"/>
          <c:order val="80"/>
          <c:tx>
            <c:v>RH=95_2</c:v>
          </c:tx>
          <c:spPr>
            <a:ln w="3175">
              <a:solidFill>
                <a:srgbClr val="0000FF"/>
              </a:solidFill>
              <a:prstDash val="solid"/>
            </a:ln>
          </c:spPr>
          <c:marker>
            <c:symbol val="none"/>
          </c:marker>
          <c:xVal>
            <c:numLit>
              <c:formatCode>General</c:formatCode>
              <c:ptCount val="15"/>
              <c:pt idx="0">
                <c:v>24.243308436413216</c:v>
              </c:pt>
              <c:pt idx="1">
                <c:v>25.225189821207071</c:v>
              </c:pt>
              <c:pt idx="2">
                <c:v>26.208638356334774</c:v>
              </c:pt>
              <c:pt idx="3">
                <c:v>27.193890751050116</c:v>
              </c:pt>
              <c:pt idx="4">
                <c:v>28.181203240062626</c:v>
              </c:pt>
              <c:pt idx="5">
                <c:v>29.170852943546347</c:v>
              </c:pt>
              <c:pt idx="6">
                <c:v>30.163139332641901</c:v>
              </c:pt>
              <c:pt idx="7">
                <c:v>31.158385811108786</c:v>
              </c:pt>
              <c:pt idx="8">
                <c:v>32.156941425074045</c:v>
              </c:pt>
              <c:pt idx="9">
                <c:v>33.159182714285301</c:v>
              </c:pt>
              <c:pt idx="10">
                <c:v>34.165515719936757</c:v>
              </c:pt>
              <c:pt idx="11">
                <c:v>35.176378166027028</c:v>
              </c:pt>
              <c:pt idx="12">
                <c:v>36.192241833362694</c:v>
              </c:pt>
              <c:pt idx="13">
                <c:v>37.213615147782654</c:v>
              </c:pt>
              <c:pt idx="14">
                <c:v>33.621562011400414</c:v>
              </c:pt>
            </c:numLit>
          </c:xVal>
          <c:yVal>
            <c:numLit>
              <c:formatCode>General</c:formatCode>
              <c:ptCount val="15"/>
              <c:pt idx="0">
                <c:v>1.9283320859184057E-2</c:v>
              </c:pt>
              <c:pt idx="1">
                <c:v>2.0501710426676936E-2</c:v>
              </c:pt>
              <c:pt idx="2">
                <c:v>2.1789587089421334E-2</c:v>
              </c:pt>
              <c:pt idx="3">
                <c:v>2.3150628701456469E-2</c:v>
              </c:pt>
              <c:pt idx="4">
                <c:v>2.4588712008722775E-2</c:v>
              </c:pt>
              <c:pt idx="5">
                <c:v>2.6107925677992385E-2</c:v>
              </c:pt>
              <c:pt idx="6">
                <c:v>2.7712584444850481E-2</c:v>
              </c:pt>
              <c:pt idx="7">
                <c:v>2.9407244496529976E-2</c:v>
              </c:pt>
              <c:pt idx="8">
                <c:v>3.1196720218989966E-2</c:v>
              </c:pt>
              <c:pt idx="9">
                <c:v>3.3086102453028524E-2</c:v>
              </c:pt>
              <c:pt idx="10">
                <c:v>3.5080778421720527E-2</c:v>
              </c:pt>
              <c:pt idx="11">
                <c:v>3.7186453511361871E-2</c:v>
              </c:pt>
              <c:pt idx="12">
                <c:v>3.9409175110790888E-2</c:v>
              </c:pt>
              <c:pt idx="13">
                <c:v>4.1755358739872586E-2</c:v>
              </c:pt>
              <c:pt idx="14">
                <c:v>3.4000000000000002E-2</c:v>
              </c:pt>
            </c:numLit>
          </c:yVal>
          <c:smooth val="1"/>
          <c:extLst>
            <c:ext xmlns:c16="http://schemas.microsoft.com/office/drawing/2014/chart" uri="{C3380CC4-5D6E-409C-BE32-E72D297353CC}">
              <c16:uniqueId val="{0000006F-20FF-4040-9B44-602C31C3F4C1}"/>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A01A-4E2F-96EB-3213037981EC}"/>
            </c:ext>
          </c:extLst>
        </c:ser>
        <c:ser>
          <c:idx val="1"/>
          <c:order val="1"/>
          <c:tx>
            <c:v>t=-10</c:v>
          </c:tx>
          <c:spPr>
            <a:ln w="3175">
              <a:solidFill>
                <a:srgbClr val="3366FF"/>
              </a:solidFill>
              <a:prstDash val="solid"/>
            </a:ln>
          </c:spPr>
          <c:marker>
            <c:symbol val="none"/>
          </c:marker>
          <c:dLbls>
            <c:dLbl>
              <c:idx val="0"/>
              <c:layout>
                <c:manualLayout>
                  <c:x val="-1.8663194444444444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c:v>
              </c:pt>
              <c:pt idx="1">
                <c:v>-10.178169782224485</c:v>
              </c:pt>
            </c:numLit>
          </c:xVal>
          <c:yVal>
            <c:numLit>
              <c:formatCode>General</c:formatCode>
              <c:ptCount val="2"/>
              <c:pt idx="0">
                <c:v>0</c:v>
              </c:pt>
              <c:pt idx="1">
                <c:v>1.6060824455002901E-3</c:v>
              </c:pt>
            </c:numLit>
          </c:yVal>
          <c:smooth val="0"/>
          <c:extLst>
            <c:ext xmlns:c16="http://schemas.microsoft.com/office/drawing/2014/chart" uri="{C3380CC4-5D6E-409C-BE32-E72D297353CC}">
              <c16:uniqueId val="{00000002-A01A-4E2F-96EB-3213037981EC}"/>
            </c:ext>
          </c:extLst>
        </c:ser>
        <c:ser>
          <c:idx val="2"/>
          <c:order val="2"/>
          <c:tx>
            <c:v>t=-9</c:v>
          </c:tx>
          <c:spPr>
            <a:ln w="3175">
              <a:solidFill>
                <a:srgbClr val="3366FF"/>
              </a:solidFill>
              <a:prstDash val="solid"/>
            </a:ln>
          </c:spPr>
          <c:marker>
            <c:symbol val="none"/>
          </c:marker>
          <c:xVal>
            <c:numLit>
              <c:formatCode>General</c:formatCode>
              <c:ptCount val="2"/>
              <c:pt idx="0">
                <c:v>-9</c:v>
              </c:pt>
              <c:pt idx="1">
                <c:v>-9.1914446576012097</c:v>
              </c:pt>
            </c:numLit>
          </c:xVal>
          <c:yVal>
            <c:numLit>
              <c:formatCode>General</c:formatCode>
              <c:ptCount val="2"/>
              <c:pt idx="0">
                <c:v>0</c:v>
              </c:pt>
              <c:pt idx="1">
                <c:v>1.754996587815E-3</c:v>
              </c:pt>
            </c:numLit>
          </c:yVal>
          <c:smooth val="0"/>
          <c:extLst>
            <c:ext xmlns:c16="http://schemas.microsoft.com/office/drawing/2014/chart" uri="{C3380CC4-5D6E-409C-BE32-E72D297353CC}">
              <c16:uniqueId val="{00000003-A01A-4E2F-96EB-3213037981EC}"/>
            </c:ext>
          </c:extLst>
        </c:ser>
        <c:ser>
          <c:idx val="3"/>
          <c:order val="3"/>
          <c:tx>
            <c:v>t=-8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c:v>
              </c:pt>
              <c:pt idx="1">
                <c:v>-8.2055155451094635</c:v>
              </c:pt>
            </c:numLit>
          </c:xVal>
          <c:yVal>
            <c:numLit>
              <c:formatCode>General</c:formatCode>
              <c:ptCount val="2"/>
              <c:pt idx="0">
                <c:v>0</c:v>
              </c:pt>
              <c:pt idx="1">
                <c:v>1.9164686538757701E-3</c:v>
              </c:pt>
            </c:numLit>
          </c:yVal>
          <c:smooth val="0"/>
          <c:extLst>
            <c:ext xmlns:c16="http://schemas.microsoft.com/office/drawing/2014/chart" uri="{C3380CC4-5D6E-409C-BE32-E72D297353CC}">
              <c16:uniqueId val="{00000005-A01A-4E2F-96EB-3213037981EC}"/>
            </c:ext>
          </c:extLst>
        </c:ser>
        <c:ser>
          <c:idx val="4"/>
          <c:order val="4"/>
          <c:tx>
            <c:v>t=-7</c:v>
          </c:tx>
          <c:spPr>
            <a:ln w="3175">
              <a:solidFill>
                <a:srgbClr val="3366FF"/>
              </a:solidFill>
              <a:prstDash val="solid"/>
            </a:ln>
          </c:spPr>
          <c:marker>
            <c:symbol val="none"/>
          </c:marker>
          <c:xVal>
            <c:numLit>
              <c:formatCode>General</c:formatCode>
              <c:ptCount val="2"/>
              <c:pt idx="0">
                <c:v>-7</c:v>
              </c:pt>
              <c:pt idx="1">
                <c:v>-7.22041332968442</c:v>
              </c:pt>
            </c:numLit>
          </c:xVal>
          <c:yVal>
            <c:numLit>
              <c:formatCode>General</c:formatCode>
              <c:ptCount val="2"/>
              <c:pt idx="0">
                <c:v>0</c:v>
              </c:pt>
              <c:pt idx="1">
                <c:v>2.0914526472602E-3</c:v>
              </c:pt>
            </c:numLit>
          </c:yVal>
          <c:smooth val="0"/>
          <c:extLst>
            <c:ext xmlns:c16="http://schemas.microsoft.com/office/drawing/2014/chart" uri="{C3380CC4-5D6E-409C-BE32-E72D297353CC}">
              <c16:uniqueId val="{00000006-A01A-4E2F-96EB-3213037981EC}"/>
            </c:ext>
          </c:extLst>
        </c:ser>
        <c:ser>
          <c:idx val="5"/>
          <c:order val="5"/>
          <c:tx>
            <c:v>t=-6</c:v>
          </c:tx>
          <c:spPr>
            <a:ln w="3175">
              <a:solidFill>
                <a:srgbClr val="3366FF"/>
              </a:solidFill>
              <a:prstDash val="solid"/>
            </a:ln>
          </c:spPr>
          <c:marker>
            <c:symbol val="none"/>
          </c:marker>
          <c:dLbls>
            <c:dLbl>
              <c:idx val="0"/>
              <c:layout>
                <c:manualLayout>
                  <c:x val="-1.5625000000000017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c:v>
              </c:pt>
              <c:pt idx="1">
                <c:v>-6.2361685593886991</c:v>
              </c:pt>
            </c:numLit>
          </c:xVal>
          <c:yVal>
            <c:numLit>
              <c:formatCode>General</c:formatCode>
              <c:ptCount val="2"/>
              <c:pt idx="0">
                <c:v>0</c:v>
              </c:pt>
              <c:pt idx="1">
                <c:v>2.28096746106981E-3</c:v>
              </c:pt>
            </c:numLit>
          </c:yVal>
          <c:smooth val="0"/>
          <c:extLst>
            <c:ext xmlns:c16="http://schemas.microsoft.com/office/drawing/2014/chart" uri="{C3380CC4-5D6E-409C-BE32-E72D297353CC}">
              <c16:uniqueId val="{00000008-A01A-4E2F-96EB-3213037981EC}"/>
            </c:ext>
          </c:extLst>
        </c:ser>
        <c:ser>
          <c:idx val="6"/>
          <c:order val="6"/>
          <c:tx>
            <c:v>t=-5</c:v>
          </c:tx>
          <c:spPr>
            <a:ln w="3175">
              <a:solidFill>
                <a:srgbClr val="3366FF"/>
              </a:solidFill>
              <a:prstDash val="solid"/>
            </a:ln>
          </c:spPr>
          <c:marker>
            <c:symbol val="none"/>
          </c:marker>
          <c:xVal>
            <c:numLit>
              <c:formatCode>General</c:formatCode>
              <c:ptCount val="2"/>
              <c:pt idx="0">
                <c:v>-5</c:v>
              </c:pt>
              <c:pt idx="1">
                <c:v>-5.2528112525852375</c:v>
              </c:pt>
            </c:numLit>
          </c:xVal>
          <c:yVal>
            <c:numLit>
              <c:formatCode>General</c:formatCode>
              <c:ptCount val="2"/>
              <c:pt idx="0">
                <c:v>0</c:v>
              </c:pt>
              <c:pt idx="1">
                <c:v>2.4861008807502299E-3</c:v>
              </c:pt>
            </c:numLit>
          </c:yVal>
          <c:smooth val="0"/>
          <c:extLst>
            <c:ext xmlns:c16="http://schemas.microsoft.com/office/drawing/2014/chart" uri="{C3380CC4-5D6E-409C-BE32-E72D297353CC}">
              <c16:uniqueId val="{00000009-A01A-4E2F-96EB-3213037981EC}"/>
            </c:ext>
          </c:extLst>
        </c:ser>
        <c:ser>
          <c:idx val="7"/>
          <c:order val="7"/>
          <c:tx>
            <c:v>t=-4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c:v>
              </c:pt>
              <c:pt idx="1">
                <c:v>-4.2703706848883494</c:v>
              </c:pt>
            </c:numLit>
          </c:xVal>
          <c:yVal>
            <c:numLit>
              <c:formatCode>General</c:formatCode>
              <c:ptCount val="2"/>
              <c:pt idx="0">
                <c:v>0</c:v>
              </c:pt>
              <c:pt idx="1">
                <c:v>2.7080138291286299E-3</c:v>
              </c:pt>
            </c:numLit>
          </c:yVal>
          <c:smooth val="0"/>
          <c:extLst>
            <c:ext xmlns:c16="http://schemas.microsoft.com/office/drawing/2014/chart" uri="{C3380CC4-5D6E-409C-BE32-E72D297353CC}">
              <c16:uniqueId val="{0000000B-A01A-4E2F-96EB-3213037981EC}"/>
            </c:ext>
          </c:extLst>
        </c:ser>
        <c:ser>
          <c:idx val="8"/>
          <c:order val="8"/>
          <c:tx>
            <c:v>t=-3</c:v>
          </c:tx>
          <c:spPr>
            <a:ln w="3175">
              <a:solidFill>
                <a:srgbClr val="3366FF"/>
              </a:solidFill>
              <a:prstDash val="solid"/>
            </a:ln>
          </c:spPr>
          <c:marker>
            <c:symbol val="none"/>
          </c:marker>
          <c:xVal>
            <c:numLit>
              <c:formatCode>General</c:formatCode>
              <c:ptCount val="2"/>
              <c:pt idx="0">
                <c:v>-3</c:v>
              </c:pt>
              <c:pt idx="1">
                <c:v>-3.2888751544738284</c:v>
              </c:pt>
            </c:numLit>
          </c:xVal>
          <c:yVal>
            <c:numLit>
              <c:formatCode>General</c:formatCode>
              <c:ptCount val="2"/>
              <c:pt idx="0">
                <c:v>0</c:v>
              </c:pt>
              <c:pt idx="1">
                <c:v>2.9479448711774302E-3</c:v>
              </c:pt>
            </c:numLit>
          </c:yVal>
          <c:smooth val="0"/>
          <c:extLst>
            <c:ext xmlns:c16="http://schemas.microsoft.com/office/drawing/2014/chart" uri="{C3380CC4-5D6E-409C-BE32-E72D297353CC}">
              <c16:uniqueId val="{0000000C-A01A-4E2F-96EB-3213037981EC}"/>
            </c:ext>
          </c:extLst>
        </c:ser>
        <c:ser>
          <c:idx val="9"/>
          <c:order val="9"/>
          <c:tx>
            <c:v>t=-2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c:v>
              </c:pt>
              <c:pt idx="1">
                <c:v>-2.3083517242375033</c:v>
              </c:pt>
            </c:numLit>
          </c:xVal>
          <c:yVal>
            <c:numLit>
              <c:formatCode>General</c:formatCode>
              <c:ptCount val="2"/>
              <c:pt idx="0">
                <c:v>0</c:v>
              </c:pt>
              <c:pt idx="1">
                <c:v>3.2072149977556701E-3</c:v>
              </c:pt>
            </c:numLit>
          </c:yVal>
          <c:smooth val="0"/>
          <c:extLst>
            <c:ext xmlns:c16="http://schemas.microsoft.com/office/drawing/2014/chart" uri="{C3380CC4-5D6E-409C-BE32-E72D297353CC}">
              <c16:uniqueId val="{0000000E-A01A-4E2F-96EB-3213037981EC}"/>
            </c:ext>
          </c:extLst>
        </c:ser>
        <c:ser>
          <c:idx val="10"/>
          <c:order val="10"/>
          <c:tx>
            <c:v>t=-1</c:v>
          </c:tx>
          <c:spPr>
            <a:ln w="3175">
              <a:solidFill>
                <a:srgbClr val="3366FF"/>
              </a:solidFill>
              <a:prstDash val="solid"/>
            </a:ln>
          </c:spPr>
          <c:marker>
            <c:symbol val="none"/>
          </c:marker>
          <c:xVal>
            <c:numLit>
              <c:formatCode>General</c:formatCode>
              <c:ptCount val="2"/>
              <c:pt idx="0">
                <c:v>-1</c:v>
              </c:pt>
              <c:pt idx="1">
                <c:v>-1.3288259391909205</c:v>
              </c:pt>
            </c:numLit>
          </c:xVal>
          <c:yVal>
            <c:numLit>
              <c:formatCode>General</c:formatCode>
              <c:ptCount val="2"/>
              <c:pt idx="0">
                <c:v>0</c:v>
              </c:pt>
              <c:pt idx="1">
                <c:v>3.4872327095305301E-3</c:v>
              </c:pt>
            </c:numLit>
          </c:yVal>
          <c:smooth val="0"/>
          <c:extLst>
            <c:ext xmlns:c16="http://schemas.microsoft.com/office/drawing/2014/chart" uri="{C3380CC4-5D6E-409C-BE32-E72D297353CC}">
              <c16:uniqueId val="{0000000F-A01A-4E2F-96EB-3213037981EC}"/>
            </c:ext>
          </c:extLst>
        </c:ser>
        <c:ser>
          <c:idx val="11"/>
          <c:order val="11"/>
          <c:tx>
            <c:v>t=0</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c:v>
              </c:pt>
              <c:pt idx="1">
                <c:v>-0.35032151737137107</c:v>
              </c:pt>
            </c:numLit>
          </c:xVal>
          <c:yVal>
            <c:numLit>
              <c:formatCode>General</c:formatCode>
              <c:ptCount val="2"/>
              <c:pt idx="0">
                <c:v>0</c:v>
              </c:pt>
              <c:pt idx="1">
                <c:v>3.7894994244688099E-3</c:v>
              </c:pt>
            </c:numLit>
          </c:yVal>
          <c:smooth val="0"/>
          <c:extLst>
            <c:ext xmlns:c16="http://schemas.microsoft.com/office/drawing/2014/chart" uri="{C3380CC4-5D6E-409C-BE32-E72D297353CC}">
              <c16:uniqueId val="{00000011-A01A-4E2F-96EB-3213037981EC}"/>
            </c:ext>
          </c:extLst>
        </c:ser>
        <c:ser>
          <c:idx val="12"/>
          <c:order val="12"/>
          <c:tx>
            <c:v>t=1</c:v>
          </c:tx>
          <c:spPr>
            <a:ln w="3175">
              <a:solidFill>
                <a:srgbClr val="3366FF"/>
              </a:solidFill>
              <a:prstDash val="solid"/>
            </a:ln>
          </c:spPr>
          <c:marker>
            <c:symbol val="none"/>
          </c:marker>
          <c:xVal>
            <c:numLit>
              <c:formatCode>General</c:formatCode>
              <c:ptCount val="2"/>
              <c:pt idx="0">
                <c:v>1</c:v>
              </c:pt>
              <c:pt idx="1">
                <c:v>0.63072878902048046</c:v>
              </c:pt>
            </c:numLit>
          </c:xVal>
          <c:yVal>
            <c:numLit>
              <c:formatCode>General</c:formatCode>
              <c:ptCount val="2"/>
              <c:pt idx="0">
                <c:v>0</c:v>
              </c:pt>
              <c:pt idx="1">
                <c:v>4.0760021751744197E-3</c:v>
              </c:pt>
            </c:numLit>
          </c:yVal>
          <c:smooth val="0"/>
          <c:extLst>
            <c:ext xmlns:c16="http://schemas.microsoft.com/office/drawing/2014/chart" uri="{C3380CC4-5D6E-409C-BE32-E72D297353CC}">
              <c16:uniqueId val="{00000012-A01A-4E2F-96EB-3213037981EC}"/>
            </c:ext>
          </c:extLst>
        </c:ser>
        <c:ser>
          <c:idx val="13"/>
          <c:order val="13"/>
          <c:tx>
            <c:v>t=2</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c:v>
              </c:pt>
              <c:pt idx="1">
                <c:v>1.6111719572746133</c:v>
              </c:pt>
            </c:numLit>
          </c:xVal>
          <c:yVal>
            <c:numLit>
              <c:formatCode>General</c:formatCode>
              <c:ptCount val="2"/>
              <c:pt idx="0">
                <c:v>0</c:v>
              </c:pt>
              <c:pt idx="1">
                <c:v>4.3812837251538898E-3</c:v>
              </c:pt>
            </c:numLit>
          </c:yVal>
          <c:smooth val="0"/>
          <c:extLst>
            <c:ext xmlns:c16="http://schemas.microsoft.com/office/drawing/2014/chart" uri="{C3380CC4-5D6E-409C-BE32-E72D297353CC}">
              <c16:uniqueId val="{00000014-A01A-4E2F-96EB-3213037981EC}"/>
            </c:ext>
          </c:extLst>
        </c:ser>
        <c:ser>
          <c:idx val="14"/>
          <c:order val="14"/>
          <c:tx>
            <c:v>t=3</c:v>
          </c:tx>
          <c:spPr>
            <a:ln w="3175">
              <a:solidFill>
                <a:srgbClr val="3366FF"/>
              </a:solidFill>
              <a:prstDash val="solid"/>
            </a:ln>
          </c:spPr>
          <c:marker>
            <c:symbol val="none"/>
          </c:marker>
          <c:xVal>
            <c:numLit>
              <c:formatCode>General</c:formatCode>
              <c:ptCount val="2"/>
              <c:pt idx="0">
                <c:v>3</c:v>
              </c:pt>
              <c:pt idx="1">
                <c:v>2.5909827527240186</c:v>
              </c:pt>
            </c:numLit>
          </c:xVal>
          <c:yVal>
            <c:numLit>
              <c:formatCode>General</c:formatCode>
              <c:ptCount val="2"/>
              <c:pt idx="0">
                <c:v>0</c:v>
              </c:pt>
              <c:pt idx="1">
                <c:v>4.7068331132422503E-3</c:v>
              </c:pt>
            </c:numLit>
          </c:yVal>
          <c:smooth val="0"/>
          <c:extLst>
            <c:ext xmlns:c16="http://schemas.microsoft.com/office/drawing/2014/chart" uri="{C3380CC4-5D6E-409C-BE32-E72D297353CC}">
              <c16:uniqueId val="{00000015-A01A-4E2F-96EB-3213037981EC}"/>
            </c:ext>
          </c:extLst>
        </c:ser>
        <c:ser>
          <c:idx val="15"/>
          <c:order val="15"/>
          <c:tx>
            <c:v>t=4</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6-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c:v>
              </c:pt>
              <c:pt idx="1">
                <c:v>3.5701735744985212</c:v>
              </c:pt>
            </c:numLit>
          </c:xVal>
          <c:yVal>
            <c:numLit>
              <c:formatCode>General</c:formatCode>
              <c:ptCount val="2"/>
              <c:pt idx="0">
                <c:v>0</c:v>
              </c:pt>
              <c:pt idx="1">
                <c:v>5.0538263680982602E-3</c:v>
              </c:pt>
            </c:numLit>
          </c:yVal>
          <c:smooth val="0"/>
          <c:extLst>
            <c:ext xmlns:c16="http://schemas.microsoft.com/office/drawing/2014/chart" uri="{C3380CC4-5D6E-409C-BE32-E72D297353CC}">
              <c16:uniqueId val="{00000017-A01A-4E2F-96EB-3213037981EC}"/>
            </c:ext>
          </c:extLst>
        </c:ser>
        <c:ser>
          <c:idx val="16"/>
          <c:order val="16"/>
          <c:tx>
            <c:v>t=5</c:v>
          </c:tx>
          <c:spPr>
            <a:ln w="3175">
              <a:solidFill>
                <a:srgbClr val="3366FF"/>
              </a:solidFill>
              <a:prstDash val="solid"/>
            </a:ln>
          </c:spPr>
          <c:marker>
            <c:symbol val="none"/>
          </c:marker>
          <c:xVal>
            <c:numLit>
              <c:formatCode>General</c:formatCode>
              <c:ptCount val="2"/>
              <c:pt idx="0">
                <c:v>5</c:v>
              </c:pt>
              <c:pt idx="1">
                <c:v>4.5487605635344499</c:v>
              </c:pt>
            </c:numLit>
          </c:xVal>
          <c:yVal>
            <c:numLit>
              <c:formatCode>General</c:formatCode>
              <c:ptCount val="2"/>
              <c:pt idx="0">
                <c:v>0</c:v>
              </c:pt>
              <c:pt idx="1">
                <c:v>5.4234990810554801E-3</c:v>
              </c:pt>
            </c:numLit>
          </c:yVal>
          <c:smooth val="0"/>
          <c:extLst>
            <c:ext xmlns:c16="http://schemas.microsoft.com/office/drawing/2014/chart" uri="{C3380CC4-5D6E-409C-BE32-E72D297353CC}">
              <c16:uniqueId val="{00000018-A01A-4E2F-96EB-3213037981EC}"/>
            </c:ext>
          </c:extLst>
        </c:ser>
        <c:ser>
          <c:idx val="17"/>
          <c:order val="17"/>
          <c:tx>
            <c:v>t=6</c:v>
          </c:tx>
          <c:spPr>
            <a:ln w="3175">
              <a:solidFill>
                <a:srgbClr val="3366FF"/>
              </a:solidFill>
              <a:prstDash val="solid"/>
            </a:ln>
          </c:spPr>
          <c:marker>
            <c:symbol val="none"/>
          </c:marker>
          <c:dLbls>
            <c:dLbl>
              <c:idx val="0"/>
              <c:layout>
                <c:manualLayout>
                  <c:x val="-1.2586805555555587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9-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c:v>
              </c:pt>
              <c:pt idx="1">
                <c:v>5.5267544089063207</c:v>
              </c:pt>
            </c:numLit>
          </c:xVal>
          <c:yVal>
            <c:numLit>
              <c:formatCode>General</c:formatCode>
              <c:ptCount val="2"/>
              <c:pt idx="0">
                <c:v>0</c:v>
              </c:pt>
              <c:pt idx="1">
                <c:v>5.8172661857312001E-3</c:v>
              </c:pt>
            </c:numLit>
          </c:yVal>
          <c:smooth val="0"/>
          <c:extLst>
            <c:ext xmlns:c16="http://schemas.microsoft.com/office/drawing/2014/chart" uri="{C3380CC4-5D6E-409C-BE32-E72D297353CC}">
              <c16:uniqueId val="{0000001A-A01A-4E2F-96EB-3213037981EC}"/>
            </c:ext>
          </c:extLst>
        </c:ser>
        <c:ser>
          <c:idx val="18"/>
          <c:order val="18"/>
          <c:tx>
            <c:v>t=7</c:v>
          </c:tx>
          <c:spPr>
            <a:ln w="3175">
              <a:solidFill>
                <a:srgbClr val="3366FF"/>
              </a:solidFill>
              <a:prstDash val="solid"/>
            </a:ln>
          </c:spPr>
          <c:marker>
            <c:symbol val="none"/>
          </c:marker>
          <c:xVal>
            <c:numLit>
              <c:formatCode>General</c:formatCode>
              <c:ptCount val="2"/>
              <c:pt idx="0">
                <c:v>7</c:v>
              </c:pt>
              <c:pt idx="1">
                <c:v>6.5041883174927406</c:v>
              </c:pt>
            </c:numLit>
          </c:xVal>
          <c:yVal>
            <c:numLit>
              <c:formatCode>General</c:formatCode>
              <c:ptCount val="2"/>
              <c:pt idx="0">
                <c:v>0</c:v>
              </c:pt>
              <c:pt idx="1">
                <c:v>6.2363910052801001E-3</c:v>
              </c:pt>
            </c:numLit>
          </c:yVal>
          <c:smooth val="0"/>
          <c:extLst>
            <c:ext xmlns:c16="http://schemas.microsoft.com/office/drawing/2014/chart" uri="{C3380CC4-5D6E-409C-BE32-E72D297353CC}">
              <c16:uniqueId val="{0000001B-A01A-4E2F-96EB-3213037981EC}"/>
            </c:ext>
          </c:extLst>
        </c:ser>
        <c:ser>
          <c:idx val="19"/>
          <c:order val="19"/>
          <c:tx>
            <c:v>t=8</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C-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c:v>
              </c:pt>
              <c:pt idx="1">
                <c:v>7.481091633037142</c:v>
              </c:pt>
            </c:numLit>
          </c:xVal>
          <c:yVal>
            <c:numLit>
              <c:formatCode>General</c:formatCode>
              <c:ptCount val="2"/>
              <c:pt idx="0">
                <c:v>0</c:v>
              </c:pt>
              <c:pt idx="1">
                <c:v>6.68230692735069E-3</c:v>
              </c:pt>
            </c:numLit>
          </c:yVal>
          <c:smooth val="0"/>
          <c:extLst>
            <c:ext xmlns:c16="http://schemas.microsoft.com/office/drawing/2014/chart" uri="{C3380CC4-5D6E-409C-BE32-E72D297353CC}">
              <c16:uniqueId val="{0000001D-A01A-4E2F-96EB-3213037981EC}"/>
            </c:ext>
          </c:extLst>
        </c:ser>
        <c:ser>
          <c:idx val="20"/>
          <c:order val="20"/>
          <c:tx>
            <c:v>t=9</c:v>
          </c:tx>
          <c:spPr>
            <a:ln w="3175">
              <a:solidFill>
                <a:srgbClr val="3366FF"/>
              </a:solidFill>
              <a:prstDash val="solid"/>
            </a:ln>
          </c:spPr>
          <c:marker>
            <c:symbol val="none"/>
          </c:marker>
          <c:xVal>
            <c:numLit>
              <c:formatCode>General</c:formatCode>
              <c:ptCount val="2"/>
              <c:pt idx="0">
                <c:v>9</c:v>
              </c:pt>
              <c:pt idx="1">
                <c:v>8.4574988517709855</c:v>
              </c:pt>
            </c:numLit>
          </c:xVal>
          <c:yVal>
            <c:numLit>
              <c:formatCode>General</c:formatCode>
              <c:ptCount val="2"/>
              <c:pt idx="0">
                <c:v>0</c:v>
              </c:pt>
              <c:pt idx="1">
                <c:v>7.1565192121477803E-3</c:v>
              </c:pt>
            </c:numLit>
          </c:yVal>
          <c:smooth val="0"/>
          <c:extLst>
            <c:ext xmlns:c16="http://schemas.microsoft.com/office/drawing/2014/chart" uri="{C3380CC4-5D6E-409C-BE32-E72D297353CC}">
              <c16:uniqueId val="{0000001E-A01A-4E2F-96EB-3213037981EC}"/>
            </c:ext>
          </c:extLst>
        </c:ser>
        <c:ser>
          <c:idx val="21"/>
          <c:order val="21"/>
          <c:tx>
            <c:v>t=10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F-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c:v>
              </c:pt>
              <c:pt idx="1">
                <c:v>9.4334500278774112</c:v>
              </c:pt>
            </c:numLit>
          </c:xVal>
          <c:yVal>
            <c:numLit>
              <c:formatCode>General</c:formatCode>
              <c:ptCount val="2"/>
              <c:pt idx="0">
                <c:v>0</c:v>
              </c:pt>
              <c:pt idx="1">
                <c:v>7.6606084940231802E-3</c:v>
              </c:pt>
            </c:numLit>
          </c:yVal>
          <c:smooth val="0"/>
          <c:extLst>
            <c:ext xmlns:c16="http://schemas.microsoft.com/office/drawing/2014/chart" uri="{C3380CC4-5D6E-409C-BE32-E72D297353CC}">
              <c16:uniqueId val="{00000020-A01A-4E2F-96EB-3213037981EC}"/>
            </c:ext>
          </c:extLst>
        </c:ser>
        <c:ser>
          <c:idx val="22"/>
          <c:order val="22"/>
          <c:tx>
            <c:v>t=11</c:v>
          </c:tx>
          <c:spPr>
            <a:ln w="3175">
              <a:solidFill>
                <a:srgbClr val="3366FF"/>
              </a:solidFill>
              <a:prstDash val="solid"/>
            </a:ln>
          </c:spPr>
          <c:marker>
            <c:symbol val="none"/>
          </c:marker>
          <c:xVal>
            <c:numLit>
              <c:formatCode>General</c:formatCode>
              <c:ptCount val="2"/>
              <c:pt idx="0">
                <c:v>11</c:v>
              </c:pt>
              <c:pt idx="1">
                <c:v>10.408979273270996</c:v>
              </c:pt>
            </c:numLit>
          </c:xVal>
          <c:yVal>
            <c:numLit>
              <c:formatCode>General</c:formatCode>
              <c:ptCount val="2"/>
              <c:pt idx="0">
                <c:v>0</c:v>
              </c:pt>
              <c:pt idx="1">
                <c:v>8.1963999323046207E-3</c:v>
              </c:pt>
            </c:numLit>
          </c:yVal>
          <c:smooth val="0"/>
          <c:extLst>
            <c:ext xmlns:c16="http://schemas.microsoft.com/office/drawing/2014/chart" uri="{C3380CC4-5D6E-409C-BE32-E72D297353CC}">
              <c16:uniqueId val="{00000021-A01A-4E2F-96EB-3213037981EC}"/>
            </c:ext>
          </c:extLst>
        </c:ser>
        <c:ser>
          <c:idx val="23"/>
          <c:order val="23"/>
          <c:tx>
            <c:v>t=12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2-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c:v>
              </c:pt>
              <c:pt idx="1">
                <c:v>11.384149975978485</c:v>
              </c:pt>
            </c:numLit>
          </c:xVal>
          <c:yVal>
            <c:numLit>
              <c:formatCode>General</c:formatCode>
              <c:ptCount val="2"/>
              <c:pt idx="0">
                <c:v>0</c:v>
              </c:pt>
              <c:pt idx="1">
                <c:v>8.7654941166616408E-3</c:v>
              </c:pt>
            </c:numLit>
          </c:yVal>
          <c:smooth val="0"/>
          <c:extLst>
            <c:ext xmlns:c16="http://schemas.microsoft.com/office/drawing/2014/chart" uri="{C3380CC4-5D6E-409C-BE32-E72D297353CC}">
              <c16:uniqueId val="{00000023-A01A-4E2F-96EB-3213037981EC}"/>
            </c:ext>
          </c:extLst>
        </c:ser>
        <c:ser>
          <c:idx val="24"/>
          <c:order val="24"/>
          <c:tx>
            <c:v>t=13</c:v>
          </c:tx>
          <c:spPr>
            <a:ln w="3175">
              <a:solidFill>
                <a:srgbClr val="3366FF"/>
              </a:solidFill>
              <a:prstDash val="solid"/>
            </a:ln>
          </c:spPr>
          <c:marker>
            <c:symbol val="none"/>
          </c:marker>
          <c:xVal>
            <c:numLit>
              <c:formatCode>General</c:formatCode>
              <c:ptCount val="2"/>
              <c:pt idx="0">
                <c:v>13</c:v>
              </c:pt>
              <c:pt idx="1">
                <c:v>12.359021518730225</c:v>
              </c:pt>
            </c:numLit>
          </c:xVal>
          <c:yVal>
            <c:numLit>
              <c:formatCode>General</c:formatCode>
              <c:ptCount val="2"/>
              <c:pt idx="0">
                <c:v>0</c:v>
              </c:pt>
              <c:pt idx="1">
                <c:v>9.3697232222812107E-3</c:v>
              </c:pt>
            </c:numLit>
          </c:yVal>
          <c:smooth val="0"/>
          <c:extLst>
            <c:ext xmlns:c16="http://schemas.microsoft.com/office/drawing/2014/chart" uri="{C3380CC4-5D6E-409C-BE32-E72D297353CC}">
              <c16:uniqueId val="{00000024-A01A-4E2F-96EB-3213037981EC}"/>
            </c:ext>
          </c:extLst>
        </c:ser>
        <c:ser>
          <c:idx val="25"/>
          <c:order val="25"/>
          <c:tx>
            <c:v>t=14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5-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c:v>
              </c:pt>
              <c:pt idx="1">
                <c:v>13.333660721764184</c:v>
              </c:pt>
            </c:numLit>
          </c:xVal>
          <c:yVal>
            <c:numLit>
              <c:formatCode>General</c:formatCode>
              <c:ptCount val="2"/>
              <c:pt idx="0">
                <c:v>0</c:v>
              </c:pt>
              <c:pt idx="1">
                <c:v>1.00110112590387E-2</c:v>
              </c:pt>
            </c:numLit>
          </c:yVal>
          <c:smooth val="0"/>
          <c:extLst>
            <c:ext xmlns:c16="http://schemas.microsoft.com/office/drawing/2014/chart" uri="{C3380CC4-5D6E-409C-BE32-E72D297353CC}">
              <c16:uniqueId val="{00000026-A01A-4E2F-96EB-3213037981EC}"/>
            </c:ext>
          </c:extLst>
        </c:ser>
        <c:ser>
          <c:idx val="26"/>
          <c:order val="26"/>
          <c:tx>
            <c:v>t=15</c:v>
          </c:tx>
          <c:spPr>
            <a:ln w="3175">
              <a:solidFill>
                <a:srgbClr val="3366FF"/>
              </a:solidFill>
              <a:prstDash val="solid"/>
            </a:ln>
          </c:spPr>
          <c:marker>
            <c:symbol val="none"/>
          </c:marker>
          <c:xVal>
            <c:numLit>
              <c:formatCode>General</c:formatCode>
              <c:ptCount val="2"/>
              <c:pt idx="0">
                <c:v>15</c:v>
              </c:pt>
              <c:pt idx="1">
                <c:v>14.308142384050464</c:v>
              </c:pt>
            </c:numLit>
          </c:xVal>
          <c:yVal>
            <c:numLit>
              <c:formatCode>General</c:formatCode>
              <c:ptCount val="2"/>
              <c:pt idx="0">
                <c:v>0</c:v>
              </c:pt>
              <c:pt idx="1">
                <c:v>1.06913788271157E-2</c:v>
              </c:pt>
            </c:numLit>
          </c:yVal>
          <c:smooth val="0"/>
          <c:extLst>
            <c:ext xmlns:c16="http://schemas.microsoft.com/office/drawing/2014/chart" uri="{C3380CC4-5D6E-409C-BE32-E72D297353CC}">
              <c16:uniqueId val="{00000027-A01A-4E2F-96EB-3213037981EC}"/>
            </c:ext>
          </c:extLst>
        </c:ser>
        <c:ser>
          <c:idx val="27"/>
          <c:order val="27"/>
          <c:tx>
            <c:v>t=16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8-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c:v>
              </c:pt>
              <c:pt idx="1">
                <c:v>15.282549857324684</c:v>
              </c:pt>
            </c:numLit>
          </c:xVal>
          <c:yVal>
            <c:numLit>
              <c:formatCode>General</c:formatCode>
              <c:ptCount val="2"/>
              <c:pt idx="0">
                <c:v>0</c:v>
              </c:pt>
              <c:pt idx="1">
                <c:v>1.14129481899331E-2</c:v>
              </c:pt>
            </c:numLit>
          </c:yVal>
          <c:smooth val="0"/>
          <c:extLst>
            <c:ext xmlns:c16="http://schemas.microsoft.com/office/drawing/2014/chart" uri="{C3380CC4-5D6E-409C-BE32-E72D297353CC}">
              <c16:uniqueId val="{00000029-A01A-4E2F-96EB-3213037981EC}"/>
            </c:ext>
          </c:extLst>
        </c:ser>
        <c:ser>
          <c:idx val="28"/>
          <c:order val="28"/>
          <c:tx>
            <c:v>t=17</c:v>
          </c:tx>
          <c:spPr>
            <a:ln w="3175">
              <a:solidFill>
                <a:srgbClr val="3366FF"/>
              </a:solidFill>
              <a:prstDash val="solid"/>
            </a:ln>
          </c:spPr>
          <c:marker>
            <c:symbol val="none"/>
          </c:marker>
          <c:xVal>
            <c:numLit>
              <c:formatCode>General</c:formatCode>
              <c:ptCount val="2"/>
              <c:pt idx="0">
                <c:v>17</c:v>
              </c:pt>
              <c:pt idx="1">
                <c:v>16.256975655314989</c:v>
              </c:pt>
            </c:numLit>
          </c:xVal>
          <c:yVal>
            <c:numLit>
              <c:formatCode>General</c:formatCode>
              <c:ptCount val="2"/>
              <c:pt idx="0">
                <c:v>0</c:v>
              </c:pt>
              <c:pt idx="1">
                <c:v>1.2177948692621701E-2</c:v>
              </c:pt>
            </c:numLit>
          </c:yVal>
          <c:smooth val="0"/>
          <c:extLst>
            <c:ext xmlns:c16="http://schemas.microsoft.com/office/drawing/2014/chart" uri="{C3380CC4-5D6E-409C-BE32-E72D297353CC}">
              <c16:uniqueId val="{0000002A-A01A-4E2F-96EB-3213037981EC}"/>
            </c:ext>
          </c:extLst>
        </c:ser>
        <c:ser>
          <c:idx val="29"/>
          <c:order val="29"/>
          <c:tx>
            <c:v>t=18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B-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c:v>
              </c:pt>
              <c:pt idx="1">
                <c:v>17.231522100796575</c:v>
              </c:pt>
            </c:numLit>
          </c:xVal>
          <c:yVal>
            <c:numLit>
              <c:formatCode>General</c:formatCode>
              <c:ptCount val="2"/>
              <c:pt idx="0">
                <c:v>0</c:v>
              </c:pt>
              <c:pt idx="1">
                <c:v>1.29887225571009E-2</c:v>
              </c:pt>
            </c:numLit>
          </c:yVal>
          <c:smooth val="0"/>
          <c:extLst>
            <c:ext xmlns:c16="http://schemas.microsoft.com/office/drawing/2014/chart" uri="{C3380CC4-5D6E-409C-BE32-E72D297353CC}">
              <c16:uniqueId val="{0000002C-A01A-4E2F-96EB-3213037981EC}"/>
            </c:ext>
          </c:extLst>
        </c:ser>
        <c:ser>
          <c:idx val="30"/>
          <c:order val="30"/>
          <c:tx>
            <c:v>t=19</c:v>
          </c:tx>
          <c:spPr>
            <a:ln w="3175">
              <a:solidFill>
                <a:srgbClr val="3366FF"/>
              </a:solidFill>
              <a:prstDash val="solid"/>
            </a:ln>
          </c:spPr>
          <c:marker>
            <c:symbol val="none"/>
          </c:marker>
          <c:xVal>
            <c:numLit>
              <c:formatCode>General</c:formatCode>
              <c:ptCount val="2"/>
              <c:pt idx="0">
                <c:v>19</c:v>
              </c:pt>
              <c:pt idx="1">
                <c:v>18.206302013385109</c:v>
              </c:pt>
            </c:numLit>
          </c:xVal>
          <c:yVal>
            <c:numLit>
              <c:formatCode>General</c:formatCode>
              <c:ptCount val="2"/>
              <c:pt idx="0">
                <c:v>0</c:v>
              </c:pt>
              <c:pt idx="1">
                <c:v>1.38477310880087E-2</c:v>
              </c:pt>
            </c:numLit>
          </c:yVal>
          <c:smooth val="0"/>
          <c:extLst>
            <c:ext xmlns:c16="http://schemas.microsoft.com/office/drawing/2014/chart" uri="{C3380CC4-5D6E-409C-BE32-E72D297353CC}">
              <c16:uniqueId val="{0000002D-A01A-4E2F-96EB-3213037981EC}"/>
            </c:ext>
          </c:extLst>
        </c:ser>
        <c:ser>
          <c:idx val="31"/>
          <c:order val="31"/>
          <c:tx>
            <c:v>t=20</c:v>
          </c:tx>
          <c:spPr>
            <a:ln w="3175">
              <a:solidFill>
                <a:srgbClr val="3366FF"/>
              </a:solidFill>
              <a:prstDash val="solid"/>
            </a:ln>
          </c:spPr>
          <c:marker>
            <c:symbol val="none"/>
          </c:marker>
          <c:dLbls>
            <c:dLbl>
              <c:idx val="0"/>
              <c:layout>
                <c:manualLayout>
                  <c:x val="-1.5625000000000062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E-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c:v>
              </c:pt>
              <c:pt idx="1">
                <c:v>19.181439441292415</c:v>
              </c:pt>
            </c:numLit>
          </c:xVal>
          <c:yVal>
            <c:numLit>
              <c:formatCode>General</c:formatCode>
              <c:ptCount val="2"/>
              <c:pt idx="0">
                <c:v>0</c:v>
              </c:pt>
              <c:pt idx="1">
                <c:v>1.4757561327237099E-2</c:v>
              </c:pt>
            </c:numLit>
          </c:yVal>
          <c:smooth val="0"/>
          <c:extLst>
            <c:ext xmlns:c16="http://schemas.microsoft.com/office/drawing/2014/chart" uri="{C3380CC4-5D6E-409C-BE32-E72D297353CC}">
              <c16:uniqueId val="{0000002F-A01A-4E2F-96EB-3213037981EC}"/>
            </c:ext>
          </c:extLst>
        </c:ser>
        <c:ser>
          <c:idx val="32"/>
          <c:order val="32"/>
          <c:tx>
            <c:v>t=21</c:v>
          </c:tx>
          <c:spPr>
            <a:ln w="3175">
              <a:solidFill>
                <a:srgbClr val="3366FF"/>
              </a:solidFill>
              <a:prstDash val="solid"/>
            </a:ln>
          </c:spPr>
          <c:marker>
            <c:symbol val="none"/>
          </c:marker>
          <c:xVal>
            <c:numLit>
              <c:formatCode>General</c:formatCode>
              <c:ptCount val="2"/>
              <c:pt idx="0">
                <c:v>21</c:v>
              </c:pt>
              <c:pt idx="1">
                <c:v>20.157070440615996</c:v>
              </c:pt>
            </c:numLit>
          </c:xVal>
          <c:yVal>
            <c:numLit>
              <c:formatCode>General</c:formatCode>
              <c:ptCount val="2"/>
              <c:pt idx="0">
                <c:v>0</c:v>
              </c:pt>
              <c:pt idx="1">
                <c:v>1.5720933198744999E-2</c:v>
              </c:pt>
            </c:numLit>
          </c:yVal>
          <c:smooth val="0"/>
          <c:extLst>
            <c:ext xmlns:c16="http://schemas.microsoft.com/office/drawing/2014/chart" uri="{C3380CC4-5D6E-409C-BE32-E72D297353CC}">
              <c16:uniqueId val="{00000030-A01A-4E2F-96EB-3213037981EC}"/>
            </c:ext>
          </c:extLst>
        </c:ser>
        <c:ser>
          <c:idx val="33"/>
          <c:order val="33"/>
          <c:tx>
            <c:v>t=22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1-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c:v>
              </c:pt>
              <c:pt idx="1">
                <c:v>21.133343906124988</c:v>
              </c:pt>
            </c:numLit>
          </c:xVal>
          <c:yVal>
            <c:numLit>
              <c:formatCode>General</c:formatCode>
              <c:ptCount val="2"/>
              <c:pt idx="0">
                <c:v>0</c:v>
              </c:pt>
              <c:pt idx="1">
                <c:v>1.6740707189674801E-2</c:v>
              </c:pt>
            </c:numLit>
          </c:yVal>
          <c:smooth val="0"/>
          <c:extLst>
            <c:ext xmlns:c16="http://schemas.microsoft.com/office/drawing/2014/chart" uri="{C3380CC4-5D6E-409C-BE32-E72D297353CC}">
              <c16:uniqueId val="{00000032-A01A-4E2F-96EB-3213037981EC}"/>
            </c:ext>
          </c:extLst>
        </c:ser>
        <c:ser>
          <c:idx val="34"/>
          <c:order val="34"/>
          <c:tx>
            <c:v>t=23</c:v>
          </c:tx>
          <c:spPr>
            <a:ln w="3175">
              <a:solidFill>
                <a:srgbClr val="3366FF"/>
              </a:solidFill>
              <a:prstDash val="solid"/>
            </a:ln>
          </c:spPr>
          <c:marker>
            <c:symbol val="none"/>
          </c:marker>
          <c:xVal>
            <c:numLit>
              <c:formatCode>General</c:formatCode>
              <c:ptCount val="2"/>
              <c:pt idx="0">
                <c:v>23</c:v>
              </c:pt>
              <c:pt idx="1">
                <c:v>22.110422457943038</c:v>
              </c:pt>
            </c:numLit>
          </c:xVal>
          <c:yVal>
            <c:numLit>
              <c:formatCode>General</c:formatCode>
              <c:ptCount val="2"/>
              <c:pt idx="0">
                <c:v>0</c:v>
              </c:pt>
              <c:pt idx="1">
                <c:v>1.7819892618663902E-2</c:v>
              </c:pt>
            </c:numLit>
          </c:yVal>
          <c:smooth val="0"/>
          <c:extLst>
            <c:ext xmlns:c16="http://schemas.microsoft.com/office/drawing/2014/chart" uri="{C3380CC4-5D6E-409C-BE32-E72D297353CC}">
              <c16:uniqueId val="{00000033-A01A-4E2F-96EB-3213037981EC}"/>
            </c:ext>
          </c:extLst>
        </c:ser>
        <c:ser>
          <c:idx val="35"/>
          <c:order val="35"/>
          <c:tx>
            <c:v>t=24</c:v>
          </c:tx>
          <c:spPr>
            <a:ln w="3175">
              <a:solidFill>
                <a:srgbClr val="3366FF"/>
              </a:solidFill>
              <a:prstDash val="solid"/>
            </a:ln>
          </c:spPr>
          <c:marker>
            <c:symbol val="none"/>
          </c:marker>
          <c:dLbls>
            <c:dLbl>
              <c:idx val="0"/>
              <c:layout>
                <c:manualLayout>
                  <c:x val="-1.5625000000000062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4-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c:v>
              </c:pt>
              <c:pt idx="1">
                <c:v>23.088483389020521</c:v>
              </c:pt>
            </c:numLit>
          </c:xVal>
          <c:yVal>
            <c:numLit>
              <c:formatCode>General</c:formatCode>
              <c:ptCount val="2"/>
              <c:pt idx="0">
                <c:v>0</c:v>
              </c:pt>
              <c:pt idx="1">
                <c:v>1.8961656547670701E-2</c:v>
              </c:pt>
            </c:numLit>
          </c:yVal>
          <c:smooth val="0"/>
          <c:extLst>
            <c:ext xmlns:c16="http://schemas.microsoft.com/office/drawing/2014/chart" uri="{C3380CC4-5D6E-409C-BE32-E72D297353CC}">
              <c16:uniqueId val="{00000035-A01A-4E2F-96EB-3213037981EC}"/>
            </c:ext>
          </c:extLst>
        </c:ser>
        <c:ser>
          <c:idx val="36"/>
          <c:order val="36"/>
          <c:tx>
            <c:v>t=25</c:v>
          </c:tx>
          <c:spPr>
            <a:ln w="3175">
              <a:solidFill>
                <a:srgbClr val="3366FF"/>
              </a:solidFill>
              <a:prstDash val="solid"/>
            </a:ln>
          </c:spPr>
          <c:marker>
            <c:symbol val="none"/>
          </c:marker>
          <c:xVal>
            <c:numLit>
              <c:formatCode>General</c:formatCode>
              <c:ptCount val="2"/>
              <c:pt idx="0">
                <c:v>25</c:v>
              </c:pt>
              <c:pt idx="1">
                <c:v>24.067719678840422</c:v>
              </c:pt>
            </c:numLit>
          </c:xVal>
          <c:yVal>
            <c:numLit>
              <c:formatCode>General</c:formatCode>
              <c:ptCount val="2"/>
              <c:pt idx="0">
                <c:v>0</c:v>
              </c:pt>
              <c:pt idx="1">
                <c:v>2.0169333399710401E-2</c:v>
              </c:pt>
            </c:numLit>
          </c:yVal>
          <c:smooth val="0"/>
          <c:extLst>
            <c:ext xmlns:c16="http://schemas.microsoft.com/office/drawing/2014/chart" uri="{C3380CC4-5D6E-409C-BE32-E72D297353CC}">
              <c16:uniqueId val="{00000036-A01A-4E2F-96EB-3213037981EC}"/>
            </c:ext>
          </c:extLst>
        </c:ser>
        <c:ser>
          <c:idx val="37"/>
          <c:order val="37"/>
          <c:tx>
            <c:v>t=26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7-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c:v>
              </c:pt>
              <c:pt idx="1">
                <c:v>25.048321472690549</c:v>
              </c:pt>
            </c:numLit>
          </c:xVal>
          <c:yVal>
            <c:numLit>
              <c:formatCode>General</c:formatCode>
              <c:ptCount val="2"/>
              <c:pt idx="0">
                <c:v>0</c:v>
              </c:pt>
              <c:pt idx="1">
                <c:v>2.14468772059432E-2</c:v>
              </c:pt>
            </c:numLit>
          </c:yVal>
          <c:smooth val="0"/>
          <c:extLst>
            <c:ext xmlns:c16="http://schemas.microsoft.com/office/drawing/2014/chart" uri="{C3380CC4-5D6E-409C-BE32-E72D297353CC}">
              <c16:uniqueId val="{00000038-A01A-4E2F-96EB-3213037981EC}"/>
            </c:ext>
          </c:extLst>
        </c:ser>
        <c:ser>
          <c:idx val="38"/>
          <c:order val="38"/>
          <c:tx>
            <c:v>t=27</c:v>
          </c:tx>
          <c:spPr>
            <a:ln w="3175">
              <a:solidFill>
                <a:srgbClr val="3366FF"/>
              </a:solidFill>
              <a:prstDash val="solid"/>
            </a:ln>
          </c:spPr>
          <c:marker>
            <c:symbol val="none"/>
          </c:marker>
          <c:xVal>
            <c:numLit>
              <c:formatCode>General</c:formatCode>
              <c:ptCount val="2"/>
              <c:pt idx="0">
                <c:v>27</c:v>
              </c:pt>
              <c:pt idx="1">
                <c:v>26.030535251824297</c:v>
              </c:pt>
            </c:numLit>
          </c:xVal>
          <c:yVal>
            <c:numLit>
              <c:formatCode>General</c:formatCode>
              <c:ptCount val="2"/>
              <c:pt idx="0">
                <c:v>0</c:v>
              </c:pt>
              <c:pt idx="1">
                <c:v>2.2797604877624101E-2</c:v>
              </c:pt>
            </c:numLit>
          </c:yVal>
          <c:smooth val="0"/>
          <c:extLst>
            <c:ext xmlns:c16="http://schemas.microsoft.com/office/drawing/2014/chart" uri="{C3380CC4-5D6E-409C-BE32-E72D297353CC}">
              <c16:uniqueId val="{00000039-A01A-4E2F-96EB-3213037981EC}"/>
            </c:ext>
          </c:extLst>
        </c:ser>
        <c:ser>
          <c:idx val="39"/>
          <c:order val="39"/>
          <c:tx>
            <c:v>t=28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A-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c:v>
              </c:pt>
              <c:pt idx="1">
                <c:v>27.014607998719534</c:v>
              </c:pt>
            </c:numLit>
          </c:xVal>
          <c:yVal>
            <c:numLit>
              <c:formatCode>General</c:formatCode>
              <c:ptCount val="2"/>
              <c:pt idx="0">
                <c:v>0</c:v>
              </c:pt>
              <c:pt idx="1">
                <c:v>2.42254240784005E-2</c:v>
              </c:pt>
            </c:numLit>
          </c:yVal>
          <c:smooth val="0"/>
          <c:extLst>
            <c:ext xmlns:c16="http://schemas.microsoft.com/office/drawing/2014/chart" uri="{C3380CC4-5D6E-409C-BE32-E72D297353CC}">
              <c16:uniqueId val="{0000003B-A01A-4E2F-96EB-3213037981EC}"/>
            </c:ext>
          </c:extLst>
        </c:ser>
        <c:ser>
          <c:idx val="40"/>
          <c:order val="40"/>
          <c:tx>
            <c:v>t=29</c:v>
          </c:tx>
          <c:spPr>
            <a:ln w="3175">
              <a:solidFill>
                <a:srgbClr val="3366FF"/>
              </a:solidFill>
              <a:prstDash val="solid"/>
            </a:ln>
          </c:spPr>
          <c:marker>
            <c:symbol val="none"/>
          </c:marker>
          <c:xVal>
            <c:numLit>
              <c:formatCode>General</c:formatCode>
              <c:ptCount val="2"/>
              <c:pt idx="0">
                <c:v>29</c:v>
              </c:pt>
              <c:pt idx="1">
                <c:v>28.000807254075738</c:v>
              </c:pt>
            </c:numLit>
          </c:xVal>
          <c:yVal>
            <c:numLit>
              <c:formatCode>General</c:formatCode>
              <c:ptCount val="2"/>
              <c:pt idx="0">
                <c:v>0</c:v>
              </c:pt>
              <c:pt idx="1">
                <c:v>2.5734457306702801E-2</c:v>
              </c:pt>
            </c:numLit>
          </c:yVal>
          <c:smooth val="0"/>
          <c:extLst>
            <c:ext xmlns:c16="http://schemas.microsoft.com/office/drawing/2014/chart" uri="{C3380CC4-5D6E-409C-BE32-E72D297353CC}">
              <c16:uniqueId val="{0000003C-A01A-4E2F-96EB-3213037981EC}"/>
            </c:ext>
          </c:extLst>
        </c:ser>
        <c:ser>
          <c:idx val="41"/>
          <c:order val="41"/>
          <c:tx>
            <c:v>t=30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D-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c:v>
              </c:pt>
              <c:pt idx="1">
                <c:v>28.989422570672435</c:v>
              </c:pt>
            </c:numLit>
          </c:xVal>
          <c:yVal>
            <c:numLit>
              <c:formatCode>General</c:formatCode>
              <c:ptCount val="2"/>
              <c:pt idx="0">
                <c:v>0</c:v>
              </c:pt>
              <c:pt idx="1">
                <c:v>2.73290562877294E-2</c:v>
              </c:pt>
            </c:numLit>
          </c:yVal>
          <c:smooth val="0"/>
          <c:extLst>
            <c:ext xmlns:c16="http://schemas.microsoft.com/office/drawing/2014/chart" uri="{C3380CC4-5D6E-409C-BE32-E72D297353CC}">
              <c16:uniqueId val="{0000003E-A01A-4E2F-96EB-3213037981EC}"/>
            </c:ext>
          </c:extLst>
        </c:ser>
        <c:ser>
          <c:idx val="42"/>
          <c:order val="42"/>
          <c:tx>
            <c:v>t=31</c:v>
          </c:tx>
          <c:spPr>
            <a:ln w="3175">
              <a:solidFill>
                <a:srgbClr val="3366FF"/>
              </a:solidFill>
              <a:prstDash val="solid"/>
            </a:ln>
          </c:spPr>
          <c:marker>
            <c:symbol val="none"/>
          </c:marker>
          <c:xVal>
            <c:numLit>
              <c:formatCode>General</c:formatCode>
              <c:ptCount val="2"/>
              <c:pt idx="0">
                <c:v>31</c:v>
              </c:pt>
              <c:pt idx="1">
                <c:v>29.98076708258969</c:v>
              </c:pt>
            </c:numLit>
          </c:xVal>
          <c:yVal>
            <c:numLit>
              <c:formatCode>General</c:formatCode>
              <c:ptCount val="2"/>
              <c:pt idx="0">
                <c:v>0</c:v>
              </c:pt>
              <c:pt idx="1">
                <c:v>2.9013817626337601E-2</c:v>
              </c:pt>
            </c:numLit>
          </c:yVal>
          <c:smooth val="0"/>
          <c:extLst>
            <c:ext xmlns:c16="http://schemas.microsoft.com/office/drawing/2014/chart" uri="{C3380CC4-5D6E-409C-BE32-E72D297353CC}">
              <c16:uniqueId val="{0000003F-A01A-4E2F-96EB-3213037981EC}"/>
            </c:ext>
          </c:extLst>
        </c:ser>
        <c:ser>
          <c:idx val="43"/>
          <c:order val="43"/>
          <c:tx>
            <c:v>t=32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0-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c:v>
              </c:pt>
              <c:pt idx="1">
                <c:v>30.975179201690683</c:v>
              </c:pt>
            </c:numLit>
          </c:xVal>
          <c:yVal>
            <c:numLit>
              <c:formatCode>General</c:formatCode>
              <c:ptCount val="2"/>
              <c:pt idx="0">
                <c:v>0</c:v>
              </c:pt>
              <c:pt idx="1">
                <c:v>3.0793599853619201E-2</c:v>
              </c:pt>
            </c:numLit>
          </c:yVal>
          <c:smooth val="0"/>
          <c:extLst>
            <c:ext xmlns:c16="http://schemas.microsoft.com/office/drawing/2014/chart" uri="{C3380CC4-5D6E-409C-BE32-E72D297353CC}">
              <c16:uniqueId val="{00000041-A01A-4E2F-96EB-3213037981EC}"/>
            </c:ext>
          </c:extLst>
        </c:ser>
        <c:ser>
          <c:idx val="44"/>
          <c:order val="44"/>
          <c:tx>
            <c:v>t=33</c:v>
          </c:tx>
          <c:spPr>
            <a:ln w="3175">
              <a:solidFill>
                <a:srgbClr val="3366FF"/>
              </a:solidFill>
              <a:prstDash val="solid"/>
            </a:ln>
          </c:spPr>
          <c:marker>
            <c:symbol val="none"/>
          </c:marker>
          <c:xVal>
            <c:numLit>
              <c:formatCode>General</c:formatCode>
              <c:ptCount val="2"/>
              <c:pt idx="0">
                <c:v>33</c:v>
              </c:pt>
              <c:pt idx="1">
                <c:v>31.973024454731338</c:v>
              </c:pt>
            </c:numLit>
          </c:xVal>
          <c:yVal>
            <c:numLit>
              <c:formatCode>General</c:formatCode>
              <c:ptCount val="2"/>
              <c:pt idx="0">
                <c:v>0</c:v>
              </c:pt>
              <c:pt idx="1">
                <c:v>3.2673542015821698E-2</c:v>
              </c:pt>
            </c:numLit>
          </c:yVal>
          <c:smooth val="0"/>
          <c:extLst>
            <c:ext xmlns:c16="http://schemas.microsoft.com/office/drawing/2014/chart" uri="{C3380CC4-5D6E-409C-BE32-E72D297353CC}">
              <c16:uniqueId val="{00000042-A01A-4E2F-96EB-3213037981EC}"/>
            </c:ext>
          </c:extLst>
        </c:ser>
        <c:ser>
          <c:idx val="45"/>
          <c:order val="45"/>
          <c:tx>
            <c:v>t=34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3-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c:v>
              </c:pt>
              <c:pt idx="1">
                <c:v>32.994194831013921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4-A01A-4E2F-96EB-3213037981EC}"/>
            </c:ext>
          </c:extLst>
        </c:ser>
        <c:ser>
          <c:idx val="46"/>
          <c:order val="46"/>
          <c:tx>
            <c:v>t=35</c:v>
          </c:tx>
          <c:spPr>
            <a:ln w="3175">
              <a:solidFill>
                <a:srgbClr val="3366FF"/>
              </a:solidFill>
              <a:prstDash val="solid"/>
            </a:ln>
          </c:spPr>
          <c:marker>
            <c:symbol val="none"/>
          </c:marker>
          <c:xVal>
            <c:numLit>
              <c:formatCode>General</c:formatCode>
              <c:ptCount val="2"/>
              <c:pt idx="0">
                <c:v>35</c:v>
              </c:pt>
              <c:pt idx="1">
                <c:v>34.05705765407555</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5-A01A-4E2F-96EB-3213037981EC}"/>
            </c:ext>
          </c:extLst>
        </c:ser>
        <c:ser>
          <c:idx val="47"/>
          <c:order val="47"/>
          <c:tx>
            <c:v>t=36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6-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36</c:v>
              </c:pt>
              <c:pt idx="1">
                <c:v>35.119920477137178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7-A01A-4E2F-96EB-3213037981EC}"/>
            </c:ext>
          </c:extLst>
        </c:ser>
        <c:ser>
          <c:idx val="48"/>
          <c:order val="48"/>
          <c:tx>
            <c:v>t=37</c:v>
          </c:tx>
          <c:spPr>
            <a:ln w="3175">
              <a:solidFill>
                <a:srgbClr val="3366FF"/>
              </a:solidFill>
              <a:prstDash val="solid"/>
            </a:ln>
          </c:spPr>
          <c:marker>
            <c:symbol val="none"/>
          </c:marker>
          <c:xVal>
            <c:numLit>
              <c:formatCode>General</c:formatCode>
              <c:ptCount val="2"/>
              <c:pt idx="0">
                <c:v>37</c:v>
              </c:pt>
              <c:pt idx="1">
                <c:v>36.182783300198807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8-A01A-4E2F-96EB-3213037981EC}"/>
            </c:ext>
          </c:extLst>
        </c:ser>
        <c:ser>
          <c:idx val="49"/>
          <c:order val="49"/>
          <c:tx>
            <c:v>t=38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9-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c:v>
              </c:pt>
              <c:pt idx="1">
                <c:v>37.245646123260443</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A-A01A-4E2F-96EB-3213037981EC}"/>
            </c:ext>
          </c:extLst>
        </c:ser>
        <c:ser>
          <c:idx val="50"/>
          <c:order val="50"/>
          <c:tx>
            <c:v>t=39</c:v>
          </c:tx>
          <c:spPr>
            <a:ln w="3175">
              <a:solidFill>
                <a:srgbClr val="3366FF"/>
              </a:solidFill>
              <a:prstDash val="solid"/>
            </a:ln>
          </c:spPr>
          <c:marker>
            <c:symbol val="none"/>
          </c:marker>
          <c:xVal>
            <c:numLit>
              <c:formatCode>General</c:formatCode>
              <c:ptCount val="2"/>
              <c:pt idx="0">
                <c:v>39</c:v>
              </c:pt>
              <c:pt idx="1">
                <c:v>38.308508946322071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B-A01A-4E2F-96EB-3213037981EC}"/>
            </c:ext>
          </c:extLst>
        </c:ser>
        <c:ser>
          <c:idx val="51"/>
          <c:order val="51"/>
          <c:tx>
            <c:v>t=40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C-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40</c:v>
              </c:pt>
              <c:pt idx="1">
                <c:v>39.3713717693837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D-A01A-4E2F-96EB-3213037981EC}"/>
            </c:ext>
          </c:extLst>
        </c:ser>
        <c:ser>
          <c:idx val="52"/>
          <c:order val="52"/>
          <c:tx>
            <c:v>t=41</c:v>
          </c:tx>
          <c:spPr>
            <a:ln w="3175">
              <a:solidFill>
                <a:srgbClr val="3366FF"/>
              </a:solidFill>
              <a:prstDash val="solid"/>
            </a:ln>
          </c:spPr>
          <c:marker>
            <c:symbol val="none"/>
          </c:marker>
          <c:xVal>
            <c:numLit>
              <c:formatCode>General</c:formatCode>
              <c:ptCount val="2"/>
              <c:pt idx="0">
                <c:v>41</c:v>
              </c:pt>
              <c:pt idx="1">
                <c:v>40.434234592445328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E-A01A-4E2F-96EB-3213037981EC}"/>
            </c:ext>
          </c:extLst>
        </c:ser>
        <c:ser>
          <c:idx val="53"/>
          <c:order val="53"/>
          <c:tx>
            <c:v>t=42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F-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c:v>
              </c:pt>
              <c:pt idx="1">
                <c:v>41.497097415506957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0-A01A-4E2F-96EB-3213037981EC}"/>
            </c:ext>
          </c:extLst>
        </c:ser>
        <c:ser>
          <c:idx val="54"/>
          <c:order val="54"/>
          <c:tx>
            <c:v>t=43</c:v>
          </c:tx>
          <c:spPr>
            <a:ln w="3175">
              <a:solidFill>
                <a:srgbClr val="3366FF"/>
              </a:solidFill>
              <a:prstDash val="solid"/>
            </a:ln>
          </c:spPr>
          <c:marker>
            <c:symbol val="none"/>
          </c:marker>
          <c:xVal>
            <c:numLit>
              <c:formatCode>General</c:formatCode>
              <c:ptCount val="2"/>
              <c:pt idx="0">
                <c:v>43</c:v>
              </c:pt>
              <c:pt idx="1">
                <c:v>42.559960238568586</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1-A01A-4E2F-96EB-3213037981EC}"/>
            </c:ext>
          </c:extLst>
        </c:ser>
        <c:ser>
          <c:idx val="55"/>
          <c:order val="55"/>
          <c:tx>
            <c:v>t=44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2-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44</c:v>
              </c:pt>
              <c:pt idx="1">
                <c:v>43.622823061630221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3-A01A-4E2F-96EB-3213037981EC}"/>
            </c:ext>
          </c:extLst>
        </c:ser>
        <c:ser>
          <c:idx val="56"/>
          <c:order val="56"/>
          <c:tx>
            <c:v>t=45</c:v>
          </c:tx>
          <c:spPr>
            <a:ln w="3175">
              <a:solidFill>
                <a:srgbClr val="3366FF"/>
              </a:solidFill>
              <a:prstDash val="solid"/>
            </a:ln>
          </c:spPr>
          <c:marker>
            <c:symbol val="none"/>
          </c:marker>
          <c:xVal>
            <c:numLit>
              <c:formatCode>General</c:formatCode>
              <c:ptCount val="2"/>
              <c:pt idx="0">
                <c:v>45</c:v>
              </c:pt>
              <c:pt idx="1">
                <c:v>44.68568588469185</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4-A01A-4E2F-96EB-3213037981EC}"/>
            </c:ext>
          </c:extLst>
        </c:ser>
        <c:ser>
          <c:idx val="57"/>
          <c:order val="57"/>
          <c:tx>
            <c:v>t=46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5-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46</c:v>
              </c:pt>
              <c:pt idx="1">
                <c:v>45.748548707753478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6-A01A-4E2F-96EB-3213037981EC}"/>
            </c:ext>
          </c:extLst>
        </c:ser>
        <c:ser>
          <c:idx val="58"/>
          <c:order val="58"/>
          <c:tx>
            <c:v>t=47</c:v>
          </c:tx>
          <c:spPr>
            <a:ln w="3175">
              <a:solidFill>
                <a:srgbClr val="3366FF"/>
              </a:solidFill>
              <a:prstDash val="solid"/>
            </a:ln>
          </c:spPr>
          <c:marker>
            <c:symbol val="none"/>
          </c:marker>
          <c:xVal>
            <c:numLit>
              <c:formatCode>General</c:formatCode>
              <c:ptCount val="2"/>
              <c:pt idx="0">
                <c:v>47</c:v>
              </c:pt>
              <c:pt idx="1">
                <c:v>46.811411530815114</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7-A01A-4E2F-96EB-3213037981EC}"/>
            </c:ext>
          </c:extLst>
        </c:ser>
        <c:ser>
          <c:idx val="59"/>
          <c:order val="59"/>
          <c:tx>
            <c:v>t=48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8-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48</c:v>
              </c:pt>
              <c:pt idx="1">
                <c:v>47.874274353876743</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9-A01A-4E2F-96EB-3213037981EC}"/>
            </c:ext>
          </c:extLst>
        </c:ser>
        <c:ser>
          <c:idx val="60"/>
          <c:order val="60"/>
          <c:tx>
            <c:v>t=49</c:v>
          </c:tx>
          <c:spPr>
            <a:ln w="3175">
              <a:solidFill>
                <a:srgbClr val="3366FF"/>
              </a:solidFill>
              <a:prstDash val="solid"/>
            </a:ln>
          </c:spPr>
          <c:marker>
            <c:symbol val="none"/>
          </c:marker>
          <c:xVal>
            <c:numLit>
              <c:formatCode>General</c:formatCode>
              <c:ptCount val="2"/>
              <c:pt idx="0">
                <c:v>49</c:v>
              </c:pt>
              <c:pt idx="1">
                <c:v>48.937137176938371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A-A01A-4E2F-96EB-3213037981EC}"/>
            </c:ext>
          </c:extLst>
        </c:ser>
        <c:ser>
          <c:idx val="61"/>
          <c:order val="61"/>
          <c:tx>
            <c:v>t=50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B-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50</c:v>
              </c:pt>
              <c:pt idx="1">
                <c:v>50.000000000000007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C-A01A-4E2F-96EB-3213037981EC}"/>
            </c:ext>
          </c:extLst>
        </c:ser>
        <c:ser>
          <c:idx val="62"/>
          <c:order val="62"/>
          <c:tx>
            <c:v/>
          </c:tx>
          <c:spPr>
            <a:ln w="3175">
              <a:solidFill>
                <a:srgbClr val="000000"/>
              </a:solidFill>
              <a:prstDash val="solid"/>
            </a:ln>
          </c:spPr>
          <c:marker>
            <c:symbol val="none"/>
          </c:marker>
          <c:xVal>
            <c:numLit>
              <c:formatCode>General</c:formatCode>
              <c:ptCount val="2"/>
              <c:pt idx="0">
                <c:v>-10.178000000000001</c:v>
              </c:pt>
              <c:pt idx="1">
                <c:v>-10.178000000000001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D-A01A-4E2F-96EB-3213037981EC}"/>
            </c:ext>
          </c:extLst>
        </c:ser>
        <c:ser>
          <c:idx val="63"/>
          <c:order val="63"/>
          <c:tx>
            <c:v/>
          </c:tx>
          <c:spPr>
            <a:ln w="3175">
              <a:solidFill>
                <a:srgbClr val="000000"/>
              </a:solidFill>
              <a:prstDash val="solid"/>
            </a:ln>
          </c:spPr>
          <c:marker>
            <c:symbol val="none"/>
          </c:marker>
          <c:xVal>
            <c:numLit>
              <c:formatCode>General</c:formatCode>
              <c:ptCount val="2"/>
              <c:pt idx="0">
                <c:v>50.8</c:v>
              </c:pt>
              <c:pt idx="1">
                <c:v>50.8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E-A01A-4E2F-96EB-3213037981EC}"/>
            </c:ext>
          </c:extLst>
        </c:ser>
        <c:ser>
          <c:idx val="64"/>
          <c:order val="64"/>
          <c:tx>
            <c:v>乾球温度座標軸ラベル</c:v>
          </c:tx>
          <c:spPr>
            <a:ln w="3175">
              <a:solidFill>
                <a:srgbClr val="000000"/>
              </a:solidFill>
              <a:prstDash val="solid"/>
            </a:ln>
          </c:spPr>
          <c:marker>
            <c:symbol val="none"/>
          </c:marker>
          <c:dLbls>
            <c:dLbl>
              <c:idx val="0"/>
              <c:layout>
                <c:manualLayout>
                  <c:x val="-5.8711040026246782E-2"/>
                  <c:y val="2.6068376068376069E-2"/>
                </c:manualLayout>
              </c:layout>
              <c:tx>
                <c:rich>
                  <a:bodyPr rot="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乾球温度 </a:t>
                    </a:r>
                    <a:r>
                      <a:rPr lang="en-US"/>
                      <a:t>t[℃]</a:t>
                    </a:r>
                  </a:p>
                </c:rich>
              </c:tx>
              <c:spPr>
                <a:solidFill>
                  <a:srgbClr val="FFFFFF"/>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F-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22</c:v>
              </c:pt>
            </c:numLit>
          </c:xVal>
          <c:yVal>
            <c:numLit>
              <c:formatCode>General</c:formatCode>
              <c:ptCount val="1"/>
              <c:pt idx="0">
                <c:v>-3.3333333333333332E-4</c:v>
              </c:pt>
            </c:numLit>
          </c:yVal>
          <c:smooth val="0"/>
          <c:extLst>
            <c:ext xmlns:c16="http://schemas.microsoft.com/office/drawing/2014/chart" uri="{C3380CC4-5D6E-409C-BE32-E72D297353CC}">
              <c16:uniqueId val="{00000060-A01A-4E2F-96EB-3213037981EC}"/>
            </c:ext>
          </c:extLst>
        </c:ser>
        <c:ser>
          <c:idx val="65"/>
          <c:order val="65"/>
          <c:tx>
            <c:v>WB=-8</c:v>
          </c:tx>
          <c:spPr>
            <a:ln w="3175">
              <a:solidFill>
                <a:srgbClr val="3366FF"/>
              </a:solidFill>
              <a:prstDash val="sysDash"/>
            </a:ln>
          </c:spPr>
          <c:marker>
            <c:symbol val="none"/>
          </c:marker>
          <c:dLbls>
            <c:dLbl>
              <c:idx val="0"/>
              <c:layout>
                <c:manualLayout>
                  <c:x val="-2.73093011811023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1-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-8.2055155451094635</c:v>
              </c:pt>
              <c:pt idx="1">
                <c:v>-2.5964270935913616</c:v>
              </c:pt>
            </c:numLit>
          </c:xVal>
          <c:yVal>
            <c:numLit>
              <c:formatCode>General</c:formatCode>
              <c:ptCount val="2"/>
              <c:pt idx="0">
                <c:v>1.9164686538757729E-3</c:v>
              </c:pt>
              <c:pt idx="1">
                <c:v>0</c:v>
              </c:pt>
            </c:numLit>
          </c:yVal>
          <c:smooth val="0"/>
          <c:extLst>
            <c:ext xmlns:c16="http://schemas.microsoft.com/office/drawing/2014/chart" uri="{C3380CC4-5D6E-409C-BE32-E72D297353CC}">
              <c16:uniqueId val="{00000062-A01A-4E2F-96EB-3213037981EC}"/>
            </c:ext>
          </c:extLst>
        </c:ser>
        <c:ser>
          <c:idx val="66"/>
          <c:order val="66"/>
          <c:tx>
            <c:v>WB=-7</c:v>
          </c:tx>
          <c:spPr>
            <a:ln w="3175">
              <a:solidFill>
                <a:srgbClr val="3366FF"/>
              </a:solidFill>
              <a:prstDash val="sysDash"/>
            </a:ln>
          </c:spPr>
          <c:marker>
            <c:symbol val="none"/>
          </c:marker>
          <c:dLbls>
            <c:dLbl>
              <c:idx val="0"/>
              <c:layout>
                <c:manualLayout>
                  <c:x val="-2.73093011811023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3-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-7.22041332968442</c:v>
              </c:pt>
              <c:pt idx="1">
                <c:v>-1.1035359511019402</c:v>
              </c:pt>
            </c:numLit>
          </c:xVal>
          <c:yVal>
            <c:numLit>
              <c:formatCode>General</c:formatCode>
              <c:ptCount val="2"/>
              <c:pt idx="0">
                <c:v>2.0914526472602013E-3</c:v>
              </c:pt>
              <c:pt idx="1">
                <c:v>0</c:v>
              </c:pt>
            </c:numLit>
          </c:yVal>
          <c:smooth val="0"/>
          <c:extLst>
            <c:ext xmlns:c16="http://schemas.microsoft.com/office/drawing/2014/chart" uri="{C3380CC4-5D6E-409C-BE32-E72D297353CC}">
              <c16:uniqueId val="{00000064-A01A-4E2F-96EB-3213037981EC}"/>
            </c:ext>
          </c:extLst>
        </c:ser>
        <c:ser>
          <c:idx val="67"/>
          <c:order val="67"/>
          <c:tx>
            <c:v>WB=-6</c:v>
          </c:tx>
          <c:spPr>
            <a:ln w="3175">
              <a:solidFill>
                <a:srgbClr val="3366FF"/>
              </a:solidFill>
              <a:prstDash val="sysDash"/>
            </a:ln>
          </c:spPr>
          <c:marker>
            <c:symbol val="none"/>
          </c:marker>
          <c:dLbls>
            <c:dLbl>
              <c:idx val="0"/>
              <c:layout>
                <c:manualLayout>
                  <c:x val="-2.730930118110237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5-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-6.2361685593886982</c:v>
              </c:pt>
              <c:pt idx="1">
                <c:v>0.43023773127142068</c:v>
              </c:pt>
            </c:numLit>
          </c:xVal>
          <c:yVal>
            <c:numLit>
              <c:formatCode>General</c:formatCode>
              <c:ptCount val="2"/>
              <c:pt idx="0">
                <c:v>2.2809674610698065E-3</c:v>
              </c:pt>
              <c:pt idx="1">
                <c:v>0</c:v>
              </c:pt>
            </c:numLit>
          </c:yVal>
          <c:smooth val="0"/>
          <c:extLst>
            <c:ext xmlns:c16="http://schemas.microsoft.com/office/drawing/2014/chart" uri="{C3380CC4-5D6E-409C-BE32-E72D297353CC}">
              <c16:uniqueId val="{00000066-A01A-4E2F-96EB-3213037981EC}"/>
            </c:ext>
          </c:extLst>
        </c:ser>
        <c:ser>
          <c:idx val="68"/>
          <c:order val="68"/>
          <c:tx>
            <c:v>WB=-5</c:v>
          </c:tx>
          <c:spPr>
            <a:ln w="3175">
              <a:solidFill>
                <a:srgbClr val="3366FF"/>
              </a:solidFill>
              <a:prstDash val="sysDash"/>
            </a:ln>
          </c:spPr>
          <c:marker>
            <c:symbol val="none"/>
          </c:marker>
          <c:dLbls>
            <c:dLbl>
              <c:idx val="0"/>
              <c:layout>
                <c:manualLayout>
                  <c:x val="-2.7309301181102363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7-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-5.2528112525852375</c:v>
              </c:pt>
              <c:pt idx="1">
                <c:v>2.007950163121949</c:v>
              </c:pt>
            </c:numLit>
          </c:xVal>
          <c:yVal>
            <c:numLit>
              <c:formatCode>General</c:formatCode>
              <c:ptCount val="2"/>
              <c:pt idx="0">
                <c:v>2.4861008807502316E-3</c:v>
              </c:pt>
              <c:pt idx="1">
                <c:v>0</c:v>
              </c:pt>
            </c:numLit>
          </c:yVal>
          <c:smooth val="0"/>
          <c:extLst>
            <c:ext xmlns:c16="http://schemas.microsoft.com/office/drawing/2014/chart" uri="{C3380CC4-5D6E-409C-BE32-E72D297353CC}">
              <c16:uniqueId val="{00000068-A01A-4E2F-96EB-3213037981EC}"/>
            </c:ext>
          </c:extLst>
        </c:ser>
        <c:ser>
          <c:idx val="69"/>
          <c:order val="69"/>
          <c:tx>
            <c:v>WB=-4</c:v>
          </c:tx>
          <c:spPr>
            <a:ln w="3175">
              <a:solidFill>
                <a:srgbClr val="3366FF"/>
              </a:solidFill>
              <a:prstDash val="sysDash"/>
            </a:ln>
          </c:spPr>
          <c:marker>
            <c:symbol val="none"/>
          </c:marker>
          <c:dLbls>
            <c:dLbl>
              <c:idx val="0"/>
              <c:layout>
                <c:manualLayout>
                  <c:x val="-2.730930118110237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9-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-4.2703706848883494</c:v>
              </c:pt>
              <c:pt idx="1">
                <c:v>3.6328626927800842</c:v>
              </c:pt>
            </c:numLit>
          </c:xVal>
          <c:yVal>
            <c:numLit>
              <c:formatCode>General</c:formatCode>
              <c:ptCount val="2"/>
              <c:pt idx="0">
                <c:v>2.7080138291286308E-3</c:v>
              </c:pt>
              <c:pt idx="1">
                <c:v>0</c:v>
              </c:pt>
            </c:numLit>
          </c:yVal>
          <c:smooth val="0"/>
          <c:extLst>
            <c:ext xmlns:c16="http://schemas.microsoft.com/office/drawing/2014/chart" uri="{C3380CC4-5D6E-409C-BE32-E72D297353CC}">
              <c16:uniqueId val="{0000006A-A01A-4E2F-96EB-3213037981EC}"/>
            </c:ext>
          </c:extLst>
        </c:ser>
        <c:ser>
          <c:idx val="70"/>
          <c:order val="70"/>
          <c:tx>
            <c:v>WB=-3</c:v>
          </c:tx>
          <c:spPr>
            <a:ln w="3175">
              <a:solidFill>
                <a:srgbClr val="3366FF"/>
              </a:solidFill>
              <a:prstDash val="sysDash"/>
            </a:ln>
          </c:spPr>
          <c:marker>
            <c:symbol val="none"/>
          </c:marker>
          <c:dLbls>
            <c:dLbl>
              <c:idx val="0"/>
              <c:layout>
                <c:manualLayout>
                  <c:x val="-2.7309301181102377E-2"/>
                  <c:y val="-4.2735042735044301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B-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-3.2888751544738279</c:v>
              </c:pt>
              <c:pt idx="1">
                <c:v>5.3084544187917393</c:v>
              </c:pt>
            </c:numLit>
          </c:xVal>
          <c:yVal>
            <c:numLit>
              <c:formatCode>General</c:formatCode>
              <c:ptCount val="2"/>
              <c:pt idx="0">
                <c:v>2.9479448711774276E-3</c:v>
              </c:pt>
              <c:pt idx="1">
                <c:v>0</c:v>
              </c:pt>
            </c:numLit>
          </c:yVal>
          <c:smooth val="0"/>
          <c:extLst>
            <c:ext xmlns:c16="http://schemas.microsoft.com/office/drawing/2014/chart" uri="{C3380CC4-5D6E-409C-BE32-E72D297353CC}">
              <c16:uniqueId val="{0000006C-A01A-4E2F-96EB-3213037981EC}"/>
            </c:ext>
          </c:extLst>
        </c:ser>
        <c:ser>
          <c:idx val="71"/>
          <c:order val="71"/>
          <c:tx>
            <c:v>WB=-2</c:v>
          </c:tx>
          <c:spPr>
            <a:ln w="3175">
              <a:solidFill>
                <a:srgbClr val="3366FF"/>
              </a:solidFill>
              <a:prstDash val="sysDash"/>
            </a:ln>
          </c:spPr>
          <c:marker>
            <c:symbol val="none"/>
          </c:marker>
          <c:dLbls>
            <c:dLbl>
              <c:idx val="0"/>
              <c:layout>
                <c:manualLayout>
                  <c:x val="-2.7309301181102363E-2"/>
                  <c:y val="-4.2735042735044301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D-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-2.3083517242375029</c:v>
              </c:pt>
              <c:pt idx="1">
                <c:v>7.0384355813391366</c:v>
              </c:pt>
            </c:numLit>
          </c:xVal>
          <c:yVal>
            <c:numLit>
              <c:formatCode>General</c:formatCode>
              <c:ptCount val="2"/>
              <c:pt idx="0">
                <c:v>3.2072149977556683E-3</c:v>
              </c:pt>
              <c:pt idx="1">
                <c:v>0</c:v>
              </c:pt>
            </c:numLit>
          </c:yVal>
          <c:smooth val="0"/>
          <c:extLst>
            <c:ext xmlns:c16="http://schemas.microsoft.com/office/drawing/2014/chart" uri="{C3380CC4-5D6E-409C-BE32-E72D297353CC}">
              <c16:uniqueId val="{0000006E-A01A-4E2F-96EB-3213037981EC}"/>
            </c:ext>
          </c:extLst>
        </c:ser>
        <c:ser>
          <c:idx val="72"/>
          <c:order val="72"/>
          <c:tx>
            <c:v>WB=-1</c:v>
          </c:tx>
          <c:spPr>
            <a:ln w="3175">
              <a:solidFill>
                <a:srgbClr val="3366FF"/>
              </a:solidFill>
              <a:prstDash val="sysDash"/>
            </a:ln>
          </c:spPr>
          <c:marker>
            <c:symbol val="none"/>
          </c:marker>
          <c:dLbls>
            <c:dLbl>
              <c:idx val="0"/>
              <c:layout>
                <c:manualLayout>
                  <c:x val="-2.7309301181102363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F-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-1.3288259391909207</c:v>
              </c:pt>
              <c:pt idx="1">
                <c:v>8.8267617928991733</c:v>
              </c:pt>
            </c:numLit>
          </c:xVal>
          <c:yVal>
            <c:numLit>
              <c:formatCode>General</c:formatCode>
              <c:ptCount val="2"/>
              <c:pt idx="0">
                <c:v>3.4872327095305327E-3</c:v>
              </c:pt>
              <c:pt idx="1">
                <c:v>0</c:v>
              </c:pt>
            </c:numLit>
          </c:yVal>
          <c:smooth val="0"/>
          <c:extLst>
            <c:ext xmlns:c16="http://schemas.microsoft.com/office/drawing/2014/chart" uri="{C3380CC4-5D6E-409C-BE32-E72D297353CC}">
              <c16:uniqueId val="{00000070-A01A-4E2F-96EB-3213037981EC}"/>
            </c:ext>
          </c:extLst>
        </c:ser>
        <c:ser>
          <c:idx val="73"/>
          <c:order val="73"/>
          <c:tx>
            <c:v>WB=0</c:v>
          </c:tx>
          <c:spPr>
            <a:ln w="3175">
              <a:solidFill>
                <a:srgbClr val="3366FF"/>
              </a:solidFill>
              <a:prstDash val="sysDash"/>
            </a:ln>
          </c:spPr>
          <c:marker>
            <c:symbol val="none"/>
          </c:marker>
          <c:dLbls>
            <c:dLbl>
              <c:idx val="0"/>
              <c:layout>
                <c:manualLayout>
                  <c:x val="-2.6025399168853925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1-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-0.35032151737137113</c:v>
              </c:pt>
              <c:pt idx="1">
                <c:v>10.677649173557942</c:v>
              </c:pt>
            </c:numLit>
          </c:xVal>
          <c:yVal>
            <c:numLit>
              <c:formatCode>General</c:formatCode>
              <c:ptCount val="2"/>
              <c:pt idx="0">
                <c:v>3.7894994244688104E-3</c:v>
              </c:pt>
              <c:pt idx="1">
                <c:v>0</c:v>
              </c:pt>
            </c:numLit>
          </c:yVal>
          <c:smooth val="0"/>
          <c:extLst>
            <c:ext xmlns:c16="http://schemas.microsoft.com/office/drawing/2014/chart" uri="{C3380CC4-5D6E-409C-BE32-E72D297353CC}">
              <c16:uniqueId val="{00000072-A01A-4E2F-96EB-3213037981EC}"/>
            </c:ext>
          </c:extLst>
        </c:ser>
        <c:ser>
          <c:idx val="74"/>
          <c:order val="74"/>
          <c:tx>
            <c:v>WB=1</c:v>
          </c:tx>
          <c:spPr>
            <a:ln w="3175">
              <a:solidFill>
                <a:srgbClr val="3366FF"/>
              </a:solidFill>
              <a:prstDash val="sysDash"/>
            </a:ln>
          </c:spPr>
          <c:marker>
            <c:symbol val="none"/>
          </c:marker>
          <c:dLbls>
            <c:dLbl>
              <c:idx val="0"/>
              <c:layout>
                <c:manualLayout>
                  <c:x val="-2.6166338582677195E-2"/>
                  <c:y val="-4.2735042735044301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3-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0.63072878902048002</c:v>
              </c:pt>
              <c:pt idx="1">
                <c:v>11.123857513967971</c:v>
              </c:pt>
            </c:numLit>
          </c:xVal>
          <c:yVal>
            <c:numLit>
              <c:formatCode>General</c:formatCode>
              <c:ptCount val="2"/>
              <c:pt idx="0">
                <c:v>4.076002175174424E-3</c:v>
              </c:pt>
              <c:pt idx="1">
                <c:v>0</c:v>
              </c:pt>
            </c:numLit>
          </c:yVal>
          <c:smooth val="0"/>
          <c:extLst>
            <c:ext xmlns:c16="http://schemas.microsoft.com/office/drawing/2014/chart" uri="{C3380CC4-5D6E-409C-BE32-E72D297353CC}">
              <c16:uniqueId val="{00000074-A01A-4E2F-96EB-3213037981EC}"/>
            </c:ext>
          </c:extLst>
        </c:ser>
        <c:ser>
          <c:idx val="75"/>
          <c:order val="75"/>
          <c:tx>
            <c:v>WB=2</c:v>
          </c:tx>
          <c:spPr>
            <a:ln w="3175">
              <a:solidFill>
                <a:srgbClr val="3366FF"/>
              </a:solidFill>
              <a:prstDash val="sysDash"/>
            </a:ln>
          </c:spPr>
          <c:marker>
            <c:symbol val="none"/>
          </c:marker>
          <c:dLbls>
            <c:dLbl>
              <c:idx val="0"/>
              <c:layout>
                <c:manualLayout>
                  <c:x val="-2.6166338582677164E-2"/>
                  <c:y val="-4.2735042735044301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5-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1.6111719572746135</c:v>
              </c:pt>
              <c:pt idx="1">
                <c:v>12.871977002704231</c:v>
              </c:pt>
            </c:numLit>
          </c:xVal>
          <c:yVal>
            <c:numLit>
              <c:formatCode>General</c:formatCode>
              <c:ptCount val="2"/>
              <c:pt idx="0">
                <c:v>4.3812837251538872E-3</c:v>
              </c:pt>
              <c:pt idx="1">
                <c:v>0</c:v>
              </c:pt>
            </c:numLit>
          </c:yVal>
          <c:smooth val="0"/>
          <c:extLst>
            <c:ext xmlns:c16="http://schemas.microsoft.com/office/drawing/2014/chart" uri="{C3380CC4-5D6E-409C-BE32-E72D297353CC}">
              <c16:uniqueId val="{00000076-A01A-4E2F-96EB-3213037981EC}"/>
            </c:ext>
          </c:extLst>
        </c:ser>
        <c:ser>
          <c:idx val="76"/>
          <c:order val="76"/>
          <c:tx>
            <c:v>WB=3</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7-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2.5909827527240186</c:v>
              </c:pt>
              <c:pt idx="1">
                <c:v>14.668931744288928</c:v>
              </c:pt>
            </c:numLit>
          </c:xVal>
          <c:yVal>
            <c:numLit>
              <c:formatCode>General</c:formatCode>
              <c:ptCount val="2"/>
              <c:pt idx="0">
                <c:v>4.7068331132422495E-3</c:v>
              </c:pt>
              <c:pt idx="1">
                <c:v>0</c:v>
              </c:pt>
            </c:numLit>
          </c:yVal>
          <c:smooth val="0"/>
          <c:extLst>
            <c:ext xmlns:c16="http://schemas.microsoft.com/office/drawing/2014/chart" uri="{C3380CC4-5D6E-409C-BE32-E72D297353CC}">
              <c16:uniqueId val="{00000078-A01A-4E2F-96EB-3213037981EC}"/>
            </c:ext>
          </c:extLst>
        </c:ser>
        <c:ser>
          <c:idx val="77"/>
          <c:order val="77"/>
          <c:tx>
            <c:v>WB=4</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9-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3.5701735744985212</c:v>
              </c:pt>
              <c:pt idx="1">
                <c:v>16.517493982191819</c:v>
              </c:pt>
            </c:numLit>
          </c:xVal>
          <c:yVal>
            <c:numLit>
              <c:formatCode>General</c:formatCode>
              <c:ptCount val="2"/>
              <c:pt idx="0">
                <c:v>5.0538263680982628E-3</c:v>
              </c:pt>
              <c:pt idx="1">
                <c:v>0</c:v>
              </c:pt>
            </c:numLit>
          </c:yVal>
          <c:smooth val="0"/>
          <c:extLst>
            <c:ext xmlns:c16="http://schemas.microsoft.com/office/drawing/2014/chart" uri="{C3380CC4-5D6E-409C-BE32-E72D297353CC}">
              <c16:uniqueId val="{0000007A-A01A-4E2F-96EB-3213037981EC}"/>
            </c:ext>
          </c:extLst>
        </c:ser>
        <c:ser>
          <c:idx val="78"/>
          <c:order val="78"/>
          <c:tx>
            <c:v>WB=5</c:v>
          </c:tx>
          <c:spPr>
            <a:ln w="3175">
              <a:solidFill>
                <a:srgbClr val="3366FF"/>
              </a:solidFill>
              <a:prstDash val="sysDash"/>
            </a:ln>
          </c:spPr>
          <c:marker>
            <c:symbol val="none"/>
          </c:marker>
          <c:dLbls>
            <c:dLbl>
              <c:idx val="0"/>
              <c:layout>
                <c:manualLayout>
                  <c:x val="-2.6166338582677195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B-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4.5487605635344499</c:v>
              </c:pt>
              <c:pt idx="1">
                <c:v>18.420572472571656</c:v>
              </c:pt>
            </c:numLit>
          </c:xVal>
          <c:yVal>
            <c:numLit>
              <c:formatCode>General</c:formatCode>
              <c:ptCount val="2"/>
              <c:pt idx="0">
                <c:v>5.4234990810554818E-3</c:v>
              </c:pt>
              <c:pt idx="1">
                <c:v>0</c:v>
              </c:pt>
            </c:numLit>
          </c:yVal>
          <c:smooth val="0"/>
          <c:extLst>
            <c:ext xmlns:c16="http://schemas.microsoft.com/office/drawing/2014/chart" uri="{C3380CC4-5D6E-409C-BE32-E72D297353CC}">
              <c16:uniqueId val="{0000007C-A01A-4E2F-96EB-3213037981EC}"/>
            </c:ext>
          </c:extLst>
        </c:ser>
        <c:ser>
          <c:idx val="79"/>
          <c:order val="79"/>
          <c:tx>
            <c:v>WB=6</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D-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5.5267544089063207</c:v>
              </c:pt>
              <c:pt idx="1">
                <c:v>20.381507916128903</c:v>
              </c:pt>
            </c:numLit>
          </c:xVal>
          <c:yVal>
            <c:numLit>
              <c:formatCode>General</c:formatCode>
              <c:ptCount val="2"/>
              <c:pt idx="0">
                <c:v>5.8172661857312045E-3</c:v>
              </c:pt>
              <c:pt idx="1">
                <c:v>0</c:v>
              </c:pt>
            </c:numLit>
          </c:yVal>
          <c:smooth val="0"/>
          <c:extLst>
            <c:ext xmlns:c16="http://schemas.microsoft.com/office/drawing/2014/chart" uri="{C3380CC4-5D6E-409C-BE32-E72D297353CC}">
              <c16:uniqueId val="{0000007E-A01A-4E2F-96EB-3213037981EC}"/>
            </c:ext>
          </c:extLst>
        </c:ser>
        <c:ser>
          <c:idx val="80"/>
          <c:order val="80"/>
          <c:tx>
            <c:v>WB=7</c:v>
          </c:tx>
          <c:spPr>
            <a:ln w="3175">
              <a:solidFill>
                <a:srgbClr val="3366FF"/>
              </a:solidFill>
              <a:prstDash val="sysDash"/>
            </a:ln>
          </c:spPr>
          <c:marker>
            <c:symbol val="none"/>
          </c:marker>
          <c:dLbls>
            <c:dLbl>
              <c:idx val="0"/>
              <c:layout>
                <c:manualLayout>
                  <c:x val="-2.6166338582677195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F-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6.5041883174927406</c:v>
              </c:pt>
              <c:pt idx="1">
                <c:v>22.403253465067159</c:v>
              </c:pt>
            </c:numLit>
          </c:xVal>
          <c:yVal>
            <c:numLit>
              <c:formatCode>General</c:formatCode>
              <c:ptCount val="2"/>
              <c:pt idx="0">
                <c:v>6.236391005280101E-3</c:v>
              </c:pt>
              <c:pt idx="1">
                <c:v>0</c:v>
              </c:pt>
            </c:numLit>
          </c:yVal>
          <c:smooth val="0"/>
          <c:extLst>
            <c:ext xmlns:c16="http://schemas.microsoft.com/office/drawing/2014/chart" uri="{C3380CC4-5D6E-409C-BE32-E72D297353CC}">
              <c16:uniqueId val="{00000080-A01A-4E2F-96EB-3213037981EC}"/>
            </c:ext>
          </c:extLst>
        </c:ser>
        <c:ser>
          <c:idx val="81"/>
          <c:order val="81"/>
          <c:tx>
            <c:v>WB=8</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1-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7.481091633037142</c:v>
              </c:pt>
              <c:pt idx="1">
                <c:v>24.489170236580446</c:v>
              </c:pt>
            </c:numLit>
          </c:xVal>
          <c:yVal>
            <c:numLit>
              <c:formatCode>General</c:formatCode>
              <c:ptCount val="2"/>
              <c:pt idx="0">
                <c:v>6.6823069273506883E-3</c:v>
              </c:pt>
              <c:pt idx="1">
                <c:v>0</c:v>
              </c:pt>
            </c:numLit>
          </c:yVal>
          <c:smooth val="0"/>
          <c:extLst>
            <c:ext xmlns:c16="http://schemas.microsoft.com/office/drawing/2014/chart" uri="{C3380CC4-5D6E-409C-BE32-E72D297353CC}">
              <c16:uniqueId val="{00000082-A01A-4E2F-96EB-3213037981EC}"/>
            </c:ext>
          </c:extLst>
        </c:ser>
        <c:ser>
          <c:idx val="82"/>
          <c:order val="82"/>
          <c:tx>
            <c:v>WB=9</c:v>
          </c:tx>
          <c:spPr>
            <a:ln w="3175">
              <a:solidFill>
                <a:srgbClr val="3366FF"/>
              </a:solidFill>
              <a:prstDash val="sysDash"/>
            </a:ln>
          </c:spPr>
          <c:marker>
            <c:symbol val="none"/>
          </c:marker>
          <c:dLbls>
            <c:dLbl>
              <c:idx val="0"/>
              <c:layout>
                <c:manualLayout>
                  <c:x val="-2.616633858267723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3-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8.4574988517709855</c:v>
              </c:pt>
              <c:pt idx="1">
                <c:v>26.642783276734082</c:v>
              </c:pt>
            </c:numLit>
          </c:xVal>
          <c:yVal>
            <c:numLit>
              <c:formatCode>General</c:formatCode>
              <c:ptCount val="2"/>
              <c:pt idx="0">
                <c:v>7.156519212147776E-3</c:v>
              </c:pt>
              <c:pt idx="1">
                <c:v>0</c:v>
              </c:pt>
            </c:numLit>
          </c:yVal>
          <c:smooth val="0"/>
          <c:extLst>
            <c:ext xmlns:c16="http://schemas.microsoft.com/office/drawing/2014/chart" uri="{C3380CC4-5D6E-409C-BE32-E72D297353CC}">
              <c16:uniqueId val="{00000084-A01A-4E2F-96EB-3213037981EC}"/>
            </c:ext>
          </c:extLst>
        </c:ser>
        <c:ser>
          <c:idx val="83"/>
          <c:order val="83"/>
          <c:tx>
            <c:v>WB=10</c:v>
          </c:tx>
          <c:spPr>
            <a:ln w="3175">
              <a:solidFill>
                <a:srgbClr val="3366FF"/>
              </a:solidFill>
              <a:prstDash val="sysDash"/>
            </a:ln>
          </c:spPr>
          <c:marker>
            <c:symbol val="none"/>
          </c:marker>
          <c:dLbls>
            <c:dLbl>
              <c:idx val="0"/>
              <c:layout>
                <c:manualLayout>
                  <c:x val="-2.7592683727034186E-2"/>
                  <c:y val="-4.273504273504195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5-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9.4334500278774112</c:v>
              </c:pt>
              <c:pt idx="1">
                <c:v>28.867789353857855</c:v>
              </c:pt>
            </c:numLit>
          </c:xVal>
          <c:yVal>
            <c:numLit>
              <c:formatCode>General</c:formatCode>
              <c:ptCount val="2"/>
              <c:pt idx="0">
                <c:v>7.6606084940231836E-3</c:v>
              </c:pt>
              <c:pt idx="1">
                <c:v>0</c:v>
              </c:pt>
            </c:numLit>
          </c:yVal>
          <c:smooth val="0"/>
          <c:extLst>
            <c:ext xmlns:c16="http://schemas.microsoft.com/office/drawing/2014/chart" uri="{C3380CC4-5D6E-409C-BE32-E72D297353CC}">
              <c16:uniqueId val="{00000086-A01A-4E2F-96EB-3213037981EC}"/>
            </c:ext>
          </c:extLst>
        </c:ser>
        <c:ser>
          <c:idx val="84"/>
          <c:order val="84"/>
          <c:tx>
            <c:v>WB=11</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7-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10.408979273270996</c:v>
              </c:pt>
              <c:pt idx="1">
                <c:v>31.168472308176845</c:v>
              </c:pt>
            </c:numLit>
          </c:xVal>
          <c:yVal>
            <c:numLit>
              <c:formatCode>General</c:formatCode>
              <c:ptCount val="2"/>
              <c:pt idx="0">
                <c:v>8.196399932304619E-3</c:v>
              </c:pt>
              <c:pt idx="1">
                <c:v>0</c:v>
              </c:pt>
            </c:numLit>
          </c:yVal>
          <c:smooth val="0"/>
          <c:extLst>
            <c:ext xmlns:c16="http://schemas.microsoft.com/office/drawing/2014/chart" uri="{C3380CC4-5D6E-409C-BE32-E72D297353CC}">
              <c16:uniqueId val="{00000088-A01A-4E2F-96EB-3213037981EC}"/>
            </c:ext>
          </c:extLst>
        </c:ser>
        <c:ser>
          <c:idx val="85"/>
          <c:order val="85"/>
          <c:tx>
            <c:v>WB=12</c:v>
          </c:tx>
          <c:spPr>
            <a:ln w="3175">
              <a:solidFill>
                <a:srgbClr val="3366FF"/>
              </a:solidFill>
              <a:prstDash val="sysDash"/>
            </a:ln>
          </c:spPr>
          <c:marker>
            <c:symbol val="none"/>
          </c:marker>
          <c:dLbls>
            <c:dLbl>
              <c:idx val="0"/>
              <c:layout>
                <c:manualLayout>
                  <c:x val="-2.7592683727034186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9-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11.384149975978485</c:v>
              </c:pt>
              <c:pt idx="1">
                <c:v>33.548547031795728</c:v>
              </c:pt>
            </c:numLit>
          </c:xVal>
          <c:yVal>
            <c:numLit>
              <c:formatCode>General</c:formatCode>
              <c:ptCount val="2"/>
              <c:pt idx="0">
                <c:v>8.7654941166616391E-3</c:v>
              </c:pt>
              <c:pt idx="1">
                <c:v>0</c:v>
              </c:pt>
            </c:numLit>
          </c:yVal>
          <c:smooth val="0"/>
          <c:extLst>
            <c:ext xmlns:c16="http://schemas.microsoft.com/office/drawing/2014/chart" uri="{C3380CC4-5D6E-409C-BE32-E72D297353CC}">
              <c16:uniqueId val="{0000008A-A01A-4E2F-96EB-3213037981EC}"/>
            </c:ext>
          </c:extLst>
        </c:ser>
        <c:ser>
          <c:idx val="86"/>
          <c:order val="86"/>
          <c:tx>
            <c:v>WB=13</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B-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12.359021518730225</c:v>
              </c:pt>
              <c:pt idx="1">
                <c:v>36.012282393767372</c:v>
              </c:pt>
            </c:numLit>
          </c:xVal>
          <c:yVal>
            <c:numLit>
              <c:formatCode>General</c:formatCode>
              <c:ptCount val="2"/>
              <c:pt idx="0">
                <c:v>9.3697232222812125E-3</c:v>
              </c:pt>
              <c:pt idx="1">
                <c:v>0</c:v>
              </c:pt>
            </c:numLit>
          </c:yVal>
          <c:smooth val="0"/>
          <c:extLst>
            <c:ext xmlns:c16="http://schemas.microsoft.com/office/drawing/2014/chart" uri="{C3380CC4-5D6E-409C-BE32-E72D297353CC}">
              <c16:uniqueId val="{0000008C-A01A-4E2F-96EB-3213037981EC}"/>
            </c:ext>
          </c:extLst>
        </c:ser>
        <c:ser>
          <c:idx val="87"/>
          <c:order val="87"/>
          <c:tx>
            <c:v>WB=14</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D-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13.333660721764184</c:v>
              </c:pt>
              <c:pt idx="1">
                <c:v>38.564155654290701</c:v>
              </c:pt>
            </c:numLit>
          </c:xVal>
          <c:yVal>
            <c:numLit>
              <c:formatCode>General</c:formatCode>
              <c:ptCount val="2"/>
              <c:pt idx="0">
                <c:v>1.0011011259038697E-2</c:v>
              </c:pt>
              <c:pt idx="1">
                <c:v>0</c:v>
              </c:pt>
            </c:numLit>
          </c:yVal>
          <c:smooth val="0"/>
          <c:extLst>
            <c:ext xmlns:c16="http://schemas.microsoft.com/office/drawing/2014/chart" uri="{C3380CC4-5D6E-409C-BE32-E72D297353CC}">
              <c16:uniqueId val="{0000008E-A01A-4E2F-96EB-3213037981EC}"/>
            </c:ext>
          </c:extLst>
        </c:ser>
        <c:ser>
          <c:idx val="88"/>
          <c:order val="88"/>
          <c:tx>
            <c:v>WB=15</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F-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14.308142384050468</c:v>
              </c:pt>
              <c:pt idx="1">
                <c:v>41.208863060972398</c:v>
              </c:pt>
            </c:numLit>
          </c:xVal>
          <c:yVal>
            <c:numLit>
              <c:formatCode>General</c:formatCode>
              <c:ptCount val="2"/>
              <c:pt idx="0">
                <c:v>1.0691378827115674E-2</c:v>
              </c:pt>
              <c:pt idx="1">
                <c:v>0</c:v>
              </c:pt>
            </c:numLit>
          </c:yVal>
          <c:smooth val="0"/>
          <c:extLst>
            <c:ext xmlns:c16="http://schemas.microsoft.com/office/drawing/2014/chart" uri="{C3380CC4-5D6E-409C-BE32-E72D297353CC}">
              <c16:uniqueId val="{00000090-A01A-4E2F-96EB-3213037981EC}"/>
            </c:ext>
          </c:extLst>
        </c:ser>
        <c:ser>
          <c:idx val="89"/>
          <c:order val="89"/>
          <c:tx>
            <c:v>WB=16</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1-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15.28254985732468</c:v>
              </c:pt>
              <c:pt idx="1">
                <c:v>43.951331156248742</c:v>
              </c:pt>
            </c:numLit>
          </c:xVal>
          <c:yVal>
            <c:numLit>
              <c:formatCode>General</c:formatCode>
              <c:ptCount val="2"/>
              <c:pt idx="0">
                <c:v>1.1412948189933141E-2</c:v>
              </c:pt>
              <c:pt idx="1">
                <c:v>0</c:v>
              </c:pt>
            </c:numLit>
          </c:yVal>
          <c:smooth val="0"/>
          <c:extLst>
            <c:ext xmlns:c16="http://schemas.microsoft.com/office/drawing/2014/chart" uri="{C3380CC4-5D6E-409C-BE32-E72D297353CC}">
              <c16:uniqueId val="{00000092-A01A-4E2F-96EB-3213037981EC}"/>
            </c:ext>
          </c:extLst>
        </c:ser>
        <c:ser>
          <c:idx val="90"/>
          <c:order val="90"/>
          <c:tx>
            <c:v>WB=17</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3-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16.256975655314989</c:v>
              </c:pt>
              <c:pt idx="1">
                <c:v>46.796728859883913</c:v>
              </c:pt>
            </c:numLit>
          </c:xVal>
          <c:yVal>
            <c:numLit>
              <c:formatCode>General</c:formatCode>
              <c:ptCount val="2"/>
              <c:pt idx="0">
                <c:v>1.2177948692621697E-2</c:v>
              </c:pt>
              <c:pt idx="1">
                <c:v>0</c:v>
              </c:pt>
            </c:numLit>
          </c:yVal>
          <c:smooth val="0"/>
          <c:extLst>
            <c:ext xmlns:c16="http://schemas.microsoft.com/office/drawing/2014/chart" uri="{C3380CC4-5D6E-409C-BE32-E72D297353CC}">
              <c16:uniqueId val="{00000094-A01A-4E2F-96EB-3213037981EC}"/>
            </c:ext>
          </c:extLst>
        </c:ser>
        <c:ser>
          <c:idx val="91"/>
          <c:order val="91"/>
          <c:tx>
            <c:v>WB=18</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5-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17.231522100796575</c:v>
              </c:pt>
              <c:pt idx="1">
                <c:v>49.750480396907207</c:v>
              </c:pt>
            </c:numLit>
          </c:xVal>
          <c:yVal>
            <c:numLit>
              <c:formatCode>General</c:formatCode>
              <c:ptCount val="2"/>
              <c:pt idx="0">
                <c:v>1.29887225571009E-2</c:v>
              </c:pt>
              <c:pt idx="1">
                <c:v>0</c:v>
              </c:pt>
            </c:numLit>
          </c:yVal>
          <c:smooth val="0"/>
          <c:extLst>
            <c:ext xmlns:c16="http://schemas.microsoft.com/office/drawing/2014/chart" uri="{C3380CC4-5D6E-409C-BE32-E72D297353CC}">
              <c16:uniqueId val="{00000096-A01A-4E2F-96EB-3213037981EC}"/>
            </c:ext>
          </c:extLst>
        </c:ser>
        <c:ser>
          <c:idx val="92"/>
          <c:order val="92"/>
          <c:tx>
            <c:v>WB=19</c:v>
          </c:tx>
          <c:spPr>
            <a:ln w="3175">
              <a:solidFill>
                <a:srgbClr val="3366FF"/>
              </a:solidFill>
              <a:prstDash val="sysDash"/>
            </a:ln>
          </c:spPr>
          <c:marker>
            <c:symbol val="none"/>
          </c:marker>
          <c:dLbls>
            <c:dLbl>
              <c:idx val="0"/>
              <c:layout>
                <c:manualLayout>
                  <c:x val="-2.7592683727034186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7-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18.206302013385113</c:v>
              </c:pt>
              <c:pt idx="1">
                <c:v>50.000000000000007</c:v>
              </c:pt>
            </c:numLit>
          </c:xVal>
          <c:yVal>
            <c:numLit>
              <c:formatCode>General</c:formatCode>
              <c:ptCount val="2"/>
              <c:pt idx="0">
                <c:v>1.3847731088008679E-2</c:v>
              </c:pt>
              <c:pt idx="1">
                <c:v>1.127551067863415E-3</c:v>
              </c:pt>
            </c:numLit>
          </c:yVal>
          <c:smooth val="0"/>
          <c:extLst>
            <c:ext xmlns:c16="http://schemas.microsoft.com/office/drawing/2014/chart" uri="{C3380CC4-5D6E-409C-BE32-E72D297353CC}">
              <c16:uniqueId val="{00000098-A01A-4E2F-96EB-3213037981EC}"/>
            </c:ext>
          </c:extLst>
        </c:ser>
        <c:ser>
          <c:idx val="93"/>
          <c:order val="93"/>
          <c:tx>
            <c:v>WB=20</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9-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19.181439441292415</c:v>
              </c:pt>
              <c:pt idx="1">
                <c:v>50</c:v>
              </c:pt>
            </c:numLit>
          </c:xVal>
          <c:yVal>
            <c:numLit>
              <c:formatCode>General</c:formatCode>
              <c:ptCount val="2"/>
              <c:pt idx="0">
                <c:v>1.4757561327237089E-2</c:v>
              </c:pt>
              <c:pt idx="1">
                <c:v>2.4069582383148052E-3</c:v>
              </c:pt>
            </c:numLit>
          </c:yVal>
          <c:smooth val="0"/>
          <c:extLst>
            <c:ext xmlns:c16="http://schemas.microsoft.com/office/drawing/2014/chart" uri="{C3380CC4-5D6E-409C-BE32-E72D297353CC}">
              <c16:uniqueId val="{0000009A-A01A-4E2F-96EB-3213037981EC}"/>
            </c:ext>
          </c:extLst>
        </c:ser>
        <c:ser>
          <c:idx val="94"/>
          <c:order val="94"/>
          <c:tx>
            <c:v>WB=21</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B-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20.157070440616</c:v>
              </c:pt>
              <c:pt idx="1">
                <c:v>50.000000000000007</c:v>
              </c:pt>
            </c:numLit>
          </c:xVal>
          <c:yVal>
            <c:numLit>
              <c:formatCode>General</c:formatCode>
              <c:ptCount val="2"/>
              <c:pt idx="0">
                <c:v>1.5720933198745006E-2</c:v>
              </c:pt>
              <c:pt idx="1">
                <c:v>3.7413398009154331E-3</c:v>
              </c:pt>
            </c:numLit>
          </c:yVal>
          <c:smooth val="0"/>
          <c:extLst>
            <c:ext xmlns:c16="http://schemas.microsoft.com/office/drawing/2014/chart" uri="{C3380CC4-5D6E-409C-BE32-E72D297353CC}">
              <c16:uniqueId val="{0000009C-A01A-4E2F-96EB-3213037981EC}"/>
            </c:ext>
          </c:extLst>
        </c:ser>
        <c:ser>
          <c:idx val="95"/>
          <c:order val="95"/>
          <c:tx>
            <c:v>WB=22</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D-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21.133343906124985</c:v>
              </c:pt>
              <c:pt idx="1">
                <c:v>50</c:v>
              </c:pt>
            </c:numLit>
          </c:xVal>
          <c:yVal>
            <c:numLit>
              <c:formatCode>General</c:formatCode>
              <c:ptCount val="2"/>
              <c:pt idx="0">
                <c:v>1.6740707189674783E-2</c:v>
              </c:pt>
              <c:pt idx="1">
                <c:v>5.1336233039210857E-3</c:v>
              </c:pt>
            </c:numLit>
          </c:yVal>
          <c:smooth val="0"/>
          <c:extLst>
            <c:ext xmlns:c16="http://schemas.microsoft.com/office/drawing/2014/chart" uri="{C3380CC4-5D6E-409C-BE32-E72D297353CC}">
              <c16:uniqueId val="{0000009E-A01A-4E2F-96EB-3213037981EC}"/>
            </c:ext>
          </c:extLst>
        </c:ser>
        <c:ser>
          <c:idx val="96"/>
          <c:order val="96"/>
          <c:tx>
            <c:v>湿球温度座標軸ラベル</c:v>
          </c:tx>
          <c:spPr>
            <a:ln w="3175">
              <a:solidFill>
                <a:srgbClr val="000000"/>
              </a:solidFill>
              <a:prstDash val="solid"/>
            </a:ln>
          </c:spPr>
          <c:marker>
            <c:symbol val="none"/>
          </c:marker>
          <c:dLbls>
            <c:dLbl>
              <c:idx val="0"/>
              <c:layout>
                <c:manualLayout>
                  <c:x val="-7.0025973315835516E-2"/>
                  <c:y val="-7.8346673280123027E-17"/>
                </c:manualLayout>
              </c:layout>
              <c:tx>
                <c:rich>
                  <a:bodyPr rot="17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湿球温度 </a:t>
                    </a:r>
                    <a:r>
                      <a:rPr lang="en-US"/>
                      <a:t>t' [℃]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F-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41.627868005036369</c:v>
              </c:pt>
            </c:numLit>
          </c:xVal>
          <c:yVal>
            <c:numLit>
              <c:formatCode>General</c:formatCode>
              <c:ptCount val="1"/>
              <c:pt idx="0">
                <c:v>8.5000000000000006E-3</c:v>
              </c:pt>
            </c:numLit>
          </c:yVal>
          <c:smooth val="0"/>
          <c:extLst>
            <c:ext xmlns:c16="http://schemas.microsoft.com/office/drawing/2014/chart" uri="{C3380CC4-5D6E-409C-BE32-E72D297353CC}">
              <c16:uniqueId val="{000000A0-A01A-4E2F-96EB-3213037981EC}"/>
            </c:ext>
          </c:extLst>
        </c:ser>
        <c:ser>
          <c:idx val="97"/>
          <c:order val="97"/>
          <c:tx>
            <c:v>WB=23</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1-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22.110422457943038</c:v>
              </c:pt>
              <c:pt idx="1">
                <c:v>50.000000000000007</c:v>
              </c:pt>
            </c:numLit>
          </c:xVal>
          <c:yVal>
            <c:numLit>
              <c:formatCode>General</c:formatCode>
              <c:ptCount val="2"/>
              <c:pt idx="0">
                <c:v>1.7819892618663919E-2</c:v>
              </c:pt>
              <c:pt idx="1">
                <c:v>6.5868911047607297E-3</c:v>
              </c:pt>
            </c:numLit>
          </c:yVal>
          <c:smooth val="0"/>
          <c:extLst>
            <c:ext xmlns:c16="http://schemas.microsoft.com/office/drawing/2014/chart" uri="{C3380CC4-5D6E-409C-BE32-E72D297353CC}">
              <c16:uniqueId val="{000000A2-A01A-4E2F-96EB-3213037981EC}"/>
            </c:ext>
          </c:extLst>
        </c:ser>
        <c:ser>
          <c:idx val="98"/>
          <c:order val="98"/>
          <c:tx>
            <c:v>WB=24</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3-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23.088483389020517</c:v>
              </c:pt>
              <c:pt idx="1">
                <c:v>50</c:v>
              </c:pt>
            </c:numLit>
          </c:xVal>
          <c:yVal>
            <c:numLit>
              <c:formatCode>General</c:formatCode>
              <c:ptCount val="2"/>
              <c:pt idx="0">
                <c:v>1.8961656547670749E-2</c:v>
              </c:pt>
              <c:pt idx="1">
                <c:v>8.1043897142882119E-3</c:v>
              </c:pt>
            </c:numLit>
          </c:yVal>
          <c:smooth val="0"/>
          <c:extLst>
            <c:ext xmlns:c16="http://schemas.microsoft.com/office/drawing/2014/chart" uri="{C3380CC4-5D6E-409C-BE32-E72D297353CC}">
              <c16:uniqueId val="{000000A4-A01A-4E2F-96EB-3213037981EC}"/>
            </c:ext>
          </c:extLst>
        </c:ser>
        <c:ser>
          <c:idx val="99"/>
          <c:order val="99"/>
          <c:tx>
            <c:v>WB=25</c:v>
          </c:tx>
          <c:spPr>
            <a:ln w="3175">
              <a:solidFill>
                <a:srgbClr val="3366FF"/>
              </a:solidFill>
              <a:prstDash val="sysDash"/>
            </a:ln>
          </c:spPr>
          <c:marker>
            <c:symbol val="none"/>
          </c:marker>
          <c:dLbls>
            <c:dLbl>
              <c:idx val="0"/>
              <c:layout>
                <c:manualLayout>
                  <c:x val="-2.7678258967629047E-2"/>
                  <c:y val="-4.273504273504352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5-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24.067719678840426</c:v>
              </c:pt>
              <c:pt idx="1">
                <c:v>50</c:v>
              </c:pt>
            </c:numLit>
          </c:xVal>
          <c:yVal>
            <c:numLit>
              <c:formatCode>General</c:formatCode>
              <c:ptCount val="2"/>
              <c:pt idx="0">
                <c:v>2.0169333399710391E-2</c:v>
              </c:pt>
              <c:pt idx="1">
                <c:v>9.6895398780736056E-3</c:v>
              </c:pt>
            </c:numLit>
          </c:yVal>
          <c:smooth val="0"/>
          <c:extLst>
            <c:ext xmlns:c16="http://schemas.microsoft.com/office/drawing/2014/chart" uri="{C3380CC4-5D6E-409C-BE32-E72D297353CC}">
              <c16:uniqueId val="{000000A6-A01A-4E2F-96EB-3213037981EC}"/>
            </c:ext>
          </c:extLst>
        </c:ser>
        <c:ser>
          <c:idx val="100"/>
          <c:order val="100"/>
          <c:tx>
            <c:v>WB=26</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7-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25.048321472690553</c:v>
              </c:pt>
              <c:pt idx="1">
                <c:v>50.000000000000007</c:v>
              </c:pt>
            </c:numLit>
          </c:xVal>
          <c:yVal>
            <c:numLit>
              <c:formatCode>General</c:formatCode>
              <c:ptCount val="2"/>
              <c:pt idx="0">
                <c:v>2.1446877205943158E-2</c:v>
              </c:pt>
              <c:pt idx="1">
                <c:v>1.1346381384148981E-2</c:v>
              </c:pt>
            </c:numLit>
          </c:yVal>
          <c:smooth val="0"/>
          <c:extLst>
            <c:ext xmlns:c16="http://schemas.microsoft.com/office/drawing/2014/chart" uri="{C3380CC4-5D6E-409C-BE32-E72D297353CC}">
              <c16:uniqueId val="{000000A8-A01A-4E2F-96EB-3213037981EC}"/>
            </c:ext>
          </c:extLst>
        </c:ser>
        <c:ser>
          <c:idx val="101"/>
          <c:order val="101"/>
          <c:tx>
            <c:v>WB=27</c:v>
          </c:tx>
          <c:spPr>
            <a:ln w="3175">
              <a:solidFill>
                <a:srgbClr val="3366FF"/>
              </a:solidFill>
              <a:prstDash val="sysDash"/>
            </a:ln>
          </c:spPr>
          <c:marker>
            <c:symbol val="none"/>
          </c:marker>
          <c:dLbls>
            <c:dLbl>
              <c:idx val="0"/>
              <c:layout>
                <c:manualLayout>
                  <c:x val="-2.767825896762911E-2"/>
                  <c:y val="-4.27350427350431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9-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26.030535251824297</c:v>
              </c:pt>
              <c:pt idx="1">
                <c:v>50</c:v>
              </c:pt>
            </c:numLit>
          </c:xVal>
          <c:yVal>
            <c:numLit>
              <c:formatCode>General</c:formatCode>
              <c:ptCount val="2"/>
              <c:pt idx="0">
                <c:v>2.2797604877624097E-2</c:v>
              </c:pt>
              <c:pt idx="1">
                <c:v>1.3078340322813551E-2</c:v>
              </c:pt>
            </c:numLit>
          </c:yVal>
          <c:smooth val="0"/>
          <c:extLst>
            <c:ext xmlns:c16="http://schemas.microsoft.com/office/drawing/2014/chart" uri="{C3380CC4-5D6E-409C-BE32-E72D297353CC}">
              <c16:uniqueId val="{000000AA-A01A-4E2F-96EB-3213037981EC}"/>
            </c:ext>
          </c:extLst>
        </c:ser>
        <c:ser>
          <c:idx val="102"/>
          <c:order val="102"/>
          <c:tx>
            <c:v>WB=28</c:v>
          </c:tx>
          <c:spPr>
            <a:ln w="3175">
              <a:solidFill>
                <a:srgbClr val="3366FF"/>
              </a:solidFill>
              <a:prstDash val="sysDash"/>
            </a:ln>
          </c:spPr>
          <c:marker>
            <c:symbol val="none"/>
          </c:marker>
          <c:dLbls>
            <c:dLbl>
              <c:idx val="0"/>
              <c:layout>
                <c:manualLayout>
                  <c:x val="-2.767825896762911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B-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27.01460799871953</c:v>
              </c:pt>
              <c:pt idx="1">
                <c:v>50.000000000000007</c:v>
              </c:pt>
            </c:numLit>
          </c:xVal>
          <c:yVal>
            <c:numLit>
              <c:formatCode>General</c:formatCode>
              <c:ptCount val="2"/>
              <c:pt idx="0">
                <c:v>2.4225424078400493E-2</c:v>
              </c:pt>
              <c:pt idx="1">
                <c:v>1.4889434478430795E-2</c:v>
              </c:pt>
            </c:numLit>
          </c:yVal>
          <c:smooth val="0"/>
          <c:extLst>
            <c:ext xmlns:c16="http://schemas.microsoft.com/office/drawing/2014/chart" uri="{C3380CC4-5D6E-409C-BE32-E72D297353CC}">
              <c16:uniqueId val="{000000AC-A01A-4E2F-96EB-3213037981EC}"/>
            </c:ext>
          </c:extLst>
        </c:ser>
        <c:ser>
          <c:idx val="103"/>
          <c:order val="103"/>
          <c:tx>
            <c:v>WB=29</c:v>
          </c:tx>
          <c:spPr>
            <a:ln w="3175">
              <a:solidFill>
                <a:srgbClr val="3366FF"/>
              </a:solidFill>
              <a:prstDash val="sysDash"/>
            </a:ln>
          </c:spPr>
          <c:marker>
            <c:symbol val="none"/>
          </c:marker>
          <c:dLbls>
            <c:dLbl>
              <c:idx val="0"/>
              <c:layout>
                <c:manualLayout>
                  <c:x val="-2.7678258967629047E-2"/>
                  <c:y val="-4.27350427350431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D-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28.000807254075735</c:v>
              </c:pt>
              <c:pt idx="1">
                <c:v>50.000000000000007</c:v>
              </c:pt>
            </c:numLit>
          </c:xVal>
          <c:yVal>
            <c:numLit>
              <c:formatCode>General</c:formatCode>
              <c:ptCount val="2"/>
              <c:pt idx="0">
                <c:v>2.5734457306702815E-2</c:v>
              </c:pt>
              <c:pt idx="1">
                <c:v>1.6783905580143949E-2</c:v>
              </c:pt>
            </c:numLit>
          </c:yVal>
          <c:smooth val="0"/>
          <c:extLst>
            <c:ext xmlns:c16="http://schemas.microsoft.com/office/drawing/2014/chart" uri="{C3380CC4-5D6E-409C-BE32-E72D297353CC}">
              <c16:uniqueId val="{000000AE-A01A-4E2F-96EB-3213037981EC}"/>
            </c:ext>
          </c:extLst>
        </c:ser>
        <c:ser>
          <c:idx val="104"/>
          <c:order val="104"/>
          <c:tx>
            <c:v>WB=30</c:v>
          </c:tx>
          <c:spPr>
            <a:ln w="3175">
              <a:solidFill>
                <a:srgbClr val="3366FF"/>
              </a:solidFill>
              <a:prstDash val="sysDash"/>
            </a:ln>
          </c:spPr>
          <c:marker>
            <c:symbol val="none"/>
          </c:marker>
          <c:dLbls>
            <c:dLbl>
              <c:idx val="0"/>
              <c:layout>
                <c:manualLayout>
                  <c:x val="-2.7678258967629172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F-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28.989422570672435</c:v>
              </c:pt>
              <c:pt idx="1">
                <c:v>50.000000000000007</c:v>
              </c:pt>
            </c:numLit>
          </c:xVal>
          <c:yVal>
            <c:numLit>
              <c:formatCode>General</c:formatCode>
              <c:ptCount val="2"/>
              <c:pt idx="0">
                <c:v>2.73290562877294E-2</c:v>
              </c:pt>
              <c:pt idx="1">
                <c:v>1.876623436362267E-2</c:v>
              </c:pt>
            </c:numLit>
          </c:yVal>
          <c:smooth val="0"/>
          <c:extLst>
            <c:ext xmlns:c16="http://schemas.microsoft.com/office/drawing/2014/chart" uri="{C3380CC4-5D6E-409C-BE32-E72D297353CC}">
              <c16:uniqueId val="{000000B0-A01A-4E2F-96EB-3213037981EC}"/>
            </c:ext>
          </c:extLst>
        </c:ser>
        <c:ser>
          <c:idx val="105"/>
          <c:order val="105"/>
          <c:tx>
            <c:v>WB=31</c:v>
          </c:tx>
          <c:spPr>
            <a:ln w="3175">
              <a:solidFill>
                <a:srgbClr val="3366FF"/>
              </a:solidFill>
              <a:prstDash val="sysDash"/>
            </a:ln>
          </c:spPr>
          <c:marker>
            <c:symbol val="none"/>
          </c:marker>
          <c:dLbls>
            <c:dLbl>
              <c:idx val="0"/>
              <c:layout>
                <c:manualLayout>
                  <c:x val="-2.7678258967629047E-2"/>
                  <c:y val="-4.27350427350429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1-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29.980767082589693</c:v>
              </c:pt>
              <c:pt idx="1">
                <c:v>50.000000000000007</c:v>
              </c:pt>
            </c:numLit>
          </c:xVal>
          <c:yVal>
            <c:numLit>
              <c:formatCode>General</c:formatCode>
              <c:ptCount val="2"/>
              <c:pt idx="0">
                <c:v>2.9013817626337573E-2</c:v>
              </c:pt>
              <c:pt idx="1">
                <c:v>2.0841156947637916E-2</c:v>
              </c:pt>
            </c:numLit>
          </c:yVal>
          <c:smooth val="0"/>
          <c:extLst>
            <c:ext xmlns:c16="http://schemas.microsoft.com/office/drawing/2014/chart" uri="{C3380CC4-5D6E-409C-BE32-E72D297353CC}">
              <c16:uniqueId val="{000000B2-A01A-4E2F-96EB-3213037981EC}"/>
            </c:ext>
          </c:extLst>
        </c:ser>
        <c:ser>
          <c:idx val="106"/>
          <c:order val="106"/>
          <c:tx>
            <c:v>WB=32</c:v>
          </c:tx>
          <c:spPr>
            <a:ln w="3175">
              <a:solidFill>
                <a:srgbClr val="3366FF"/>
              </a:solidFill>
              <a:prstDash val="sysDash"/>
            </a:ln>
          </c:spPr>
          <c:marker>
            <c:symbol val="none"/>
          </c:marker>
          <c:dLbls>
            <c:dLbl>
              <c:idx val="0"/>
              <c:layout>
                <c:manualLayout>
                  <c:x val="-2.7678258967629172E-2"/>
                  <c:y val="-4.27350427350429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3-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30.975179201690683</c:v>
              </c:pt>
              <c:pt idx="1">
                <c:v>50</c:v>
              </c:pt>
            </c:numLit>
          </c:xVal>
          <c:yVal>
            <c:numLit>
              <c:formatCode>General</c:formatCode>
              <c:ptCount val="2"/>
              <c:pt idx="0">
                <c:v>3.0793599853619184E-2</c:v>
              </c:pt>
              <c:pt idx="1">
                <c:v>2.3013682663751679E-2</c:v>
              </c:pt>
            </c:numLit>
          </c:yVal>
          <c:smooth val="0"/>
          <c:extLst>
            <c:ext xmlns:c16="http://schemas.microsoft.com/office/drawing/2014/chart" uri="{C3380CC4-5D6E-409C-BE32-E72D297353CC}">
              <c16:uniqueId val="{000000B4-A01A-4E2F-96EB-3213037981EC}"/>
            </c:ext>
          </c:extLst>
        </c:ser>
        <c:ser>
          <c:idx val="107"/>
          <c:order val="107"/>
          <c:tx>
            <c:v>WB=33</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5-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31.97302445473133</c:v>
              </c:pt>
              <c:pt idx="1">
                <c:v>50.000000000000007</c:v>
              </c:pt>
            </c:numLit>
          </c:xVal>
          <c:yVal>
            <c:numLit>
              <c:formatCode>General</c:formatCode>
              <c:ptCount val="2"/>
              <c:pt idx="0">
                <c:v>3.2673542015821677E-2</c:v>
              </c:pt>
              <c:pt idx="1">
                <c:v>2.5289113493966509E-2</c:v>
              </c:pt>
            </c:numLit>
          </c:yVal>
          <c:smooth val="0"/>
          <c:extLst>
            <c:ext xmlns:c16="http://schemas.microsoft.com/office/drawing/2014/chart" uri="{C3380CC4-5D6E-409C-BE32-E72D297353CC}">
              <c16:uniqueId val="{000000B6-A01A-4E2F-96EB-3213037981EC}"/>
            </c:ext>
          </c:extLst>
        </c:ser>
        <c:ser>
          <c:idx val="108"/>
          <c:order val="108"/>
          <c:tx>
            <c:v>WB=34</c:v>
          </c:tx>
          <c:spPr>
            <a:ln w="3175">
              <a:solidFill>
                <a:srgbClr val="3366FF"/>
              </a:solidFill>
              <a:prstDash val="sysDash"/>
            </a:ln>
          </c:spPr>
          <c:marker>
            <c:symbol val="none"/>
          </c:marker>
          <c:xVal>
            <c:numLit>
              <c:formatCode>General</c:formatCode>
              <c:ptCount val="2"/>
              <c:pt idx="0">
                <c:v>32.974697476126913</c:v>
              </c:pt>
              <c:pt idx="1">
                <c:v>50</c:v>
              </c:pt>
            </c:numLit>
          </c:xVal>
          <c:yVal>
            <c:numLit>
              <c:formatCode>General</c:formatCode>
              <c:ptCount val="2"/>
              <c:pt idx="0">
                <c:v>3.4659083972322924E-2</c:v>
              </c:pt>
              <c:pt idx="1">
                <c:v>2.7673065289994456E-2</c:v>
              </c:pt>
            </c:numLit>
          </c:yVal>
          <c:smooth val="0"/>
          <c:extLst>
            <c:ext xmlns:c16="http://schemas.microsoft.com/office/drawing/2014/chart" uri="{C3380CC4-5D6E-409C-BE32-E72D297353CC}">
              <c16:uniqueId val="{000000B7-A01A-4E2F-96EB-3213037981EC}"/>
            </c:ext>
          </c:extLst>
        </c:ser>
        <c:ser>
          <c:idx val="109"/>
          <c:order val="109"/>
          <c:tx>
            <c:v>WB=</c:v>
          </c:tx>
          <c:spPr>
            <a:ln w="3175">
              <a:solidFill>
                <a:srgbClr val="3366FF"/>
              </a:solidFill>
              <a:prstDash val="sysDash"/>
            </a:ln>
          </c:spPr>
          <c:marker>
            <c:symbol val="none"/>
          </c:marker>
          <c:xVal>
            <c:numLit>
              <c:formatCode>General</c:formatCode>
              <c:ptCount val="2"/>
              <c:pt idx="0">
                <c:v>-0.34054167287274817</c:v>
              </c:pt>
              <c:pt idx="1">
                <c:v>9.4387305875737741</c:v>
              </c:pt>
            </c:numLit>
          </c:xVal>
          <c:yVal>
            <c:numLit>
              <c:formatCode>General</c:formatCode>
              <c:ptCount val="2"/>
              <c:pt idx="0">
                <c:v>3.7926394193890894E-3</c:v>
              </c:pt>
              <c:pt idx="1">
                <c:v>0</c:v>
              </c:pt>
            </c:numLit>
          </c:yVal>
          <c:smooth val="0"/>
          <c:extLst>
            <c:ext xmlns:c16="http://schemas.microsoft.com/office/drawing/2014/chart" uri="{C3380CC4-5D6E-409C-BE32-E72D297353CC}">
              <c16:uniqueId val="{000000B8-A01A-4E2F-96EB-3213037981EC}"/>
            </c:ext>
          </c:extLst>
        </c:ser>
        <c:ser>
          <c:idx val="110"/>
          <c:order val="110"/>
          <c:tx>
            <c:v>３重点（水）</c:v>
          </c:tx>
          <c:spPr>
            <a:ln w="3175">
              <a:solidFill>
                <a:srgbClr val="000000"/>
              </a:solidFill>
              <a:prstDash val="solid"/>
            </a:ln>
          </c:spPr>
          <c:marker>
            <c:symbol val="none"/>
          </c:marker>
          <c:dLbls>
            <c:dLbl>
              <c:idx val="0"/>
              <c:layout>
                <c:manualLayout>
                  <c:x val="-5.8654445538057771E-2"/>
                  <c:y val="0"/>
                </c:manualLayout>
              </c:layout>
              <c:tx>
                <c:rich>
                  <a:bodyPr rot="1680000" vertOverflow="overflow" horzOverflow="overflow" vert="horz" wrap="none" lIns="0" tIns="0" rIns="0" bIns="0" anchor="ctr">
                    <a:spAutoFit/>
                  </a:bodyPr>
                  <a:lstStyle/>
                  <a:p>
                    <a:pPr algn="ctr">
                      <a:defRPr altLang="ja-JP" sz="500" b="0" i="1">
                        <a:solidFill>
                          <a:srgbClr val="000000"/>
                        </a:solidFill>
                        <a:latin typeface="ＭＳ Ｐ明朝"/>
                        <a:ea typeface="ＭＳ Ｐ明朝"/>
                        <a:cs typeface="ＭＳ Ｐ明朝"/>
                      </a:defRPr>
                    </a:pPr>
                    <a:r>
                      <a:rPr lang="en-US" altLang="ja-JP"/>
                      <a:t>0.01[℃](</a:t>
                    </a:r>
                    <a:r>
                      <a:rPr lang="ja-JP" altLang="en-US"/>
                      <a:t>水</a:t>
                    </a:r>
                    <a:r>
                      <a:rPr lang="en-US" altLang="ja-JP"/>
                      <a:t>)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9-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8.4073357008938547</c:v>
              </c:pt>
            </c:numLit>
          </c:xVal>
          <c:yVal>
            <c:numLit>
              <c:formatCode>General</c:formatCode>
              <c:ptCount val="1"/>
              <c:pt idx="0">
                <c:v>4.0000000000000002E-4</c:v>
              </c:pt>
            </c:numLit>
          </c:yVal>
          <c:smooth val="0"/>
          <c:extLst>
            <c:ext xmlns:c16="http://schemas.microsoft.com/office/drawing/2014/chart" uri="{C3380CC4-5D6E-409C-BE32-E72D297353CC}">
              <c16:uniqueId val="{000000BA-A01A-4E2F-96EB-3213037981EC}"/>
            </c:ext>
          </c:extLst>
        </c:ser>
        <c:ser>
          <c:idx val="111"/>
          <c:order val="111"/>
          <c:tx>
            <c:v>v=0.74</c:v>
          </c:tx>
          <c:spPr>
            <a:ln w="3175">
              <a:solidFill>
                <a:srgbClr val="008000"/>
              </a:solidFill>
              <a:prstDash val="sysDash"/>
            </a:ln>
          </c:spPr>
          <c:marker>
            <c:symbol val="none"/>
          </c:marker>
          <c:dLbls>
            <c:dLbl>
              <c:idx val="0"/>
              <c:layout>
                <c:manualLayout>
                  <c:x val="5.208333333333333E-3"/>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B-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-10.874709529952851</c:v>
              </c:pt>
              <c:pt idx="1">
                <c:v>-12.627751070674329</c:v>
              </c:pt>
            </c:numLit>
          </c:xVal>
          <c:yVal>
            <c:numLit>
              <c:formatCode>General</c:formatCode>
              <c:ptCount val="2"/>
              <c:pt idx="0">
                <c:v>-2E-3</c:v>
              </c:pt>
              <c:pt idx="1">
                <c:v>1.2790120976206793E-3</c:v>
              </c:pt>
            </c:numLit>
          </c:yVal>
          <c:smooth val="0"/>
          <c:extLst>
            <c:ext xmlns:c16="http://schemas.microsoft.com/office/drawing/2014/chart" uri="{C3380CC4-5D6E-409C-BE32-E72D297353CC}">
              <c16:uniqueId val="{000000BC-A01A-4E2F-96EB-3213037981EC}"/>
            </c:ext>
          </c:extLst>
        </c:ser>
        <c:ser>
          <c:idx val="112"/>
          <c:order val="112"/>
          <c:tx>
            <c:v>v=0.75</c:v>
          </c:tx>
          <c:spPr>
            <a:ln w="3175">
              <a:solidFill>
                <a:srgbClr val="008000"/>
              </a:solidFill>
              <a:prstDash val="sysDash"/>
            </a:ln>
          </c:spPr>
          <c:marker>
            <c:symbol val="none"/>
          </c:marker>
          <c:dLbls>
            <c:dLbl>
              <c:idx val="0"/>
              <c:layout>
                <c:manualLayout>
                  <c:x val="-2.0516595581802282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0.75</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D-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-7.346503939454391</c:v>
              </c:pt>
              <c:pt idx="1">
                <c:v>-9.3395938494272617</c:v>
              </c:pt>
            </c:numLit>
          </c:xVal>
          <c:yVal>
            <c:numLit>
              <c:formatCode>General</c:formatCode>
              <c:ptCount val="2"/>
              <c:pt idx="0">
                <c:v>-2E-3</c:v>
              </c:pt>
              <c:pt idx="1">
                <c:v>1.7336224881504504E-3</c:v>
              </c:pt>
            </c:numLit>
          </c:yVal>
          <c:smooth val="0"/>
          <c:extLst>
            <c:ext xmlns:c16="http://schemas.microsoft.com/office/drawing/2014/chart" uri="{C3380CC4-5D6E-409C-BE32-E72D297353CC}">
              <c16:uniqueId val="{000000BE-A01A-4E2F-96EB-3213037981EC}"/>
            </c:ext>
          </c:extLst>
        </c:ser>
        <c:ser>
          <c:idx val="113"/>
          <c:order val="113"/>
          <c:tx>
            <c:v>v=0.76</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F-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-3.818269416168651</c:v>
              </c:pt>
              <c:pt idx="1">
                <c:v>-6.119387602312834</c:v>
              </c:pt>
            </c:numLit>
          </c:xVal>
          <c:yVal>
            <c:numLit>
              <c:formatCode>General</c:formatCode>
              <c:ptCount val="2"/>
              <c:pt idx="0">
                <c:v>-2E-3</c:v>
              </c:pt>
              <c:pt idx="1">
                <c:v>2.3170227284918499E-3</c:v>
              </c:pt>
            </c:numLit>
          </c:yVal>
          <c:smooth val="0"/>
          <c:extLst>
            <c:ext xmlns:c16="http://schemas.microsoft.com/office/drawing/2014/chart" uri="{C3380CC4-5D6E-409C-BE32-E72D297353CC}">
              <c16:uniqueId val="{000000C0-A01A-4E2F-96EB-3213037981EC}"/>
            </c:ext>
          </c:extLst>
        </c:ser>
        <c:ser>
          <c:idx val="114"/>
          <c:order val="114"/>
          <c:tx>
            <c:v>v=0.77</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0.77</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1-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-0.29000596009563406</c:v>
              </c:pt>
              <c:pt idx="1">
                <c:v>-2.9645734567715794</c:v>
              </c:pt>
            </c:numLit>
          </c:xVal>
          <c:yVal>
            <c:numLit>
              <c:formatCode>General</c:formatCode>
              <c:ptCount val="2"/>
              <c:pt idx="0">
                <c:v>-2E-3</c:v>
              </c:pt>
              <c:pt idx="1">
                <c:v>3.0249300014924445E-3</c:v>
              </c:pt>
            </c:numLit>
          </c:yVal>
          <c:smooth val="0"/>
          <c:extLst>
            <c:ext xmlns:c16="http://schemas.microsoft.com/office/drawing/2014/chart" uri="{C3380CC4-5D6E-409C-BE32-E72D297353CC}">
              <c16:uniqueId val="{000000C2-A01A-4E2F-96EB-3213037981EC}"/>
            </c:ext>
          </c:extLst>
        </c:ser>
        <c:ser>
          <c:idx val="115"/>
          <c:order val="115"/>
          <c:tx>
            <c:v>v=0.78</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3-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3.2382960730270849</c:v>
              </c:pt>
              <c:pt idx="1">
                <c:v>0.10285584873451092</c:v>
              </c:pt>
            </c:numLit>
          </c:xVal>
          <c:yVal>
            <c:numLit>
              <c:formatCode>General</c:formatCode>
              <c:ptCount val="2"/>
              <c:pt idx="0">
                <c:v>-2E-3</c:v>
              </c:pt>
              <c:pt idx="1">
                <c:v>3.8991736467227744E-3</c:v>
              </c:pt>
            </c:numLit>
          </c:yVal>
          <c:smooth val="0"/>
          <c:extLst>
            <c:ext xmlns:c16="http://schemas.microsoft.com/office/drawing/2014/chart" uri="{C3380CC4-5D6E-409C-BE32-E72D297353CC}">
              <c16:uniqueId val="{000000C4-A01A-4E2F-96EB-3213037981EC}"/>
            </c:ext>
          </c:extLst>
        </c:ser>
        <c:ser>
          <c:idx val="116"/>
          <c:order val="116"/>
          <c:tx>
            <c:v>v=0.79</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0.79</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5-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6.7666270389370791</c:v>
              </c:pt>
              <c:pt idx="1">
                <c:v>3.1098962435210065</c:v>
              </c:pt>
            </c:numLit>
          </c:xVal>
          <c:yVal>
            <c:numLit>
              <c:formatCode>General</c:formatCode>
              <c:ptCount val="2"/>
              <c:pt idx="0">
                <c:v>-2E-3</c:v>
              </c:pt>
              <c:pt idx="1">
                <c:v>4.8895504212206229E-3</c:v>
              </c:pt>
            </c:numLit>
          </c:yVal>
          <c:smooth val="0"/>
          <c:extLst>
            <c:ext xmlns:c16="http://schemas.microsoft.com/office/drawing/2014/chart" uri="{C3380CC4-5D6E-409C-BE32-E72D297353CC}">
              <c16:uniqueId val="{000000C6-A01A-4E2F-96EB-3213037981EC}"/>
            </c:ext>
          </c:extLst>
        </c:ser>
        <c:ser>
          <c:idx val="117"/>
          <c:order val="117"/>
          <c:tx>
            <c:v>v=0.80</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7-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10.294991759765564</c:v>
              </c:pt>
              <c:pt idx="1">
                <c:v>6.0465363820865337</c:v>
              </c:pt>
            </c:numLit>
          </c:xVal>
          <c:yVal>
            <c:numLit>
              <c:formatCode>General</c:formatCode>
              <c:ptCount val="2"/>
              <c:pt idx="0">
                <c:v>-2E-3</c:v>
              </c:pt>
              <c:pt idx="1">
                <c:v>6.0153263481791579E-3</c:v>
              </c:pt>
            </c:numLit>
          </c:yVal>
          <c:smooth val="0"/>
          <c:extLst>
            <c:ext xmlns:c16="http://schemas.microsoft.com/office/drawing/2014/chart" uri="{C3380CC4-5D6E-409C-BE32-E72D297353CC}">
              <c16:uniqueId val="{000000C8-A01A-4E2F-96EB-3213037981EC}"/>
            </c:ext>
          </c:extLst>
        </c:ser>
        <c:ser>
          <c:idx val="118"/>
          <c:order val="118"/>
          <c:tx>
            <c:v>v=0.81</c:v>
          </c:tx>
          <c:spPr>
            <a:ln w="3175">
              <a:solidFill>
                <a:srgbClr val="008000"/>
              </a:solidFill>
              <a:prstDash val="sysDash"/>
            </a:ln>
          </c:spPr>
          <c:marker>
            <c:symbol val="none"/>
          </c:marker>
          <c:dLbls>
            <c:dLbl>
              <c:idx val="0"/>
              <c:layout>
                <c:manualLayout>
                  <c:x val="-2.0516595581802338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0.81</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9-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13.823409524037386</c:v>
              </c:pt>
              <c:pt idx="1">
                <c:v>8.8676317339037034</c:v>
              </c:pt>
            </c:numLit>
          </c:xVal>
          <c:yVal>
            <c:numLit>
              <c:formatCode>General</c:formatCode>
              <c:ptCount val="2"/>
              <c:pt idx="0">
                <c:v>-2E-3</c:v>
              </c:pt>
              <c:pt idx="1">
                <c:v>7.3621000293178172E-3</c:v>
              </c:pt>
            </c:numLit>
          </c:yVal>
          <c:smooth val="0"/>
          <c:extLst>
            <c:ext xmlns:c16="http://schemas.microsoft.com/office/drawing/2014/chart" uri="{C3380CC4-5D6E-409C-BE32-E72D297353CC}">
              <c16:uniqueId val="{000000CA-A01A-4E2F-96EB-3213037981EC}"/>
            </c:ext>
          </c:extLst>
        </c:ser>
        <c:ser>
          <c:idx val="119"/>
          <c:order val="119"/>
          <c:tx>
            <c:v>v=0.82</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B-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17.351875509621301</c:v>
              </c:pt>
              <c:pt idx="1">
                <c:v>11.5879733552514</c:v>
              </c:pt>
            </c:numLit>
          </c:xVal>
          <c:yVal>
            <c:numLit>
              <c:formatCode>General</c:formatCode>
              <c:ptCount val="2"/>
              <c:pt idx="0">
                <c:v>-2E-3</c:v>
              </c:pt>
              <c:pt idx="1">
                <c:v>8.9026055794627895E-3</c:v>
              </c:pt>
            </c:numLit>
          </c:yVal>
          <c:smooth val="0"/>
          <c:extLst>
            <c:ext xmlns:c16="http://schemas.microsoft.com/office/drawing/2014/chart" uri="{C3380CC4-5D6E-409C-BE32-E72D297353CC}">
              <c16:uniqueId val="{000000CC-A01A-4E2F-96EB-3213037981EC}"/>
            </c:ext>
          </c:extLst>
        </c:ser>
        <c:ser>
          <c:idx val="120"/>
          <c:order val="120"/>
          <c:tx>
            <c:v>v=0.83</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0.83</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D-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20.880389716517374</c:v>
              </c:pt>
              <c:pt idx="1">
                <c:v>14.20996604398667</c:v>
              </c:pt>
            </c:numLit>
          </c:xVal>
          <c:yVal>
            <c:numLit>
              <c:formatCode>General</c:formatCode>
              <c:ptCount val="2"/>
              <c:pt idx="0">
                <c:v>-2E-3</c:v>
              </c:pt>
              <c:pt idx="1">
                <c:v>1.063281805822703E-2</c:v>
              </c:pt>
            </c:numLit>
          </c:yVal>
          <c:smooth val="0"/>
          <c:extLst>
            <c:ext xmlns:c16="http://schemas.microsoft.com/office/drawing/2014/chart" uri="{C3380CC4-5D6E-409C-BE32-E72D297353CC}">
              <c16:uniqueId val="{000000CE-A01A-4E2F-96EB-3213037981EC}"/>
            </c:ext>
          </c:extLst>
        </c:ser>
        <c:ser>
          <c:idx val="121"/>
          <c:order val="121"/>
          <c:tx>
            <c:v>v=0.84</c:v>
          </c:tx>
          <c:spPr>
            <a:ln w="3175">
              <a:solidFill>
                <a:srgbClr val="008000"/>
              </a:solidFill>
              <a:prstDash val="sysDash"/>
            </a:ln>
          </c:spPr>
          <c:marker>
            <c:symbol val="none"/>
          </c:marker>
          <c:dLbls>
            <c:dLbl>
              <c:idx val="0"/>
              <c:layout>
                <c:manualLayout>
                  <c:x val="-2.0516595581802338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F-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24.408952144725578</c:v>
              </c:pt>
              <c:pt idx="1">
                <c:v>16.735689922847381</c:v>
              </c:pt>
            </c:numLit>
          </c:xVal>
          <c:yVal>
            <c:numLit>
              <c:formatCode>General</c:formatCode>
              <c:ptCount val="2"/>
              <c:pt idx="0">
                <c:v>-2E-3</c:v>
              </c:pt>
              <c:pt idx="1">
                <c:v>1.2549255938049455E-2</c:v>
              </c:pt>
            </c:numLit>
          </c:yVal>
          <c:smooth val="0"/>
          <c:extLst>
            <c:ext xmlns:c16="http://schemas.microsoft.com/office/drawing/2014/chart" uri="{C3380CC4-5D6E-409C-BE32-E72D297353CC}">
              <c16:uniqueId val="{000000D0-A01A-4E2F-96EB-3213037981EC}"/>
            </c:ext>
          </c:extLst>
        </c:ser>
        <c:ser>
          <c:idx val="122"/>
          <c:order val="122"/>
          <c:tx>
            <c:v>v=0.85</c:v>
          </c:tx>
          <c:spPr>
            <a:ln w="3175">
              <a:solidFill>
                <a:srgbClr val="008000"/>
              </a:solidFill>
              <a:prstDash val="sysDash"/>
            </a:ln>
          </c:spPr>
          <c:marker>
            <c:symbol val="none"/>
          </c:marker>
          <c:dLbls>
            <c:dLbl>
              <c:idx val="0"/>
              <c:layout>
                <c:manualLayout>
                  <c:x val="-2.0516595581802403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0.85</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1-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27.937577260639554</c:v>
              </c:pt>
              <c:pt idx="1">
                <c:v>19.132489610197876</c:v>
              </c:pt>
            </c:numLit>
          </c:xVal>
          <c:yVal>
            <c:numLit>
              <c:formatCode>General</c:formatCode>
              <c:ptCount val="2"/>
              <c:pt idx="0">
                <c:v>-2E-3</c:v>
              </c:pt>
              <c:pt idx="1">
                <c:v>1.4714104666790764E-2</c:v>
              </c:pt>
            </c:numLit>
          </c:yVal>
          <c:smooth val="0"/>
          <c:extLst>
            <c:ext xmlns:c16="http://schemas.microsoft.com/office/drawing/2014/chart" uri="{C3380CC4-5D6E-409C-BE32-E72D297353CC}">
              <c16:uniqueId val="{000000D2-A01A-4E2F-96EB-3213037981EC}"/>
            </c:ext>
          </c:extLst>
        </c:ser>
        <c:ser>
          <c:idx val="123"/>
          <c:order val="123"/>
          <c:tx>
            <c:v>v=0.86</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3-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31.466250597865653</c:v>
              </c:pt>
              <c:pt idx="1">
                <c:v>21.436637215870181</c:v>
              </c:pt>
            </c:numLit>
          </c:xVal>
          <c:yVal>
            <c:numLit>
              <c:formatCode>General</c:formatCode>
              <c:ptCount val="2"/>
              <c:pt idx="0">
                <c:v>-2E-3</c:v>
              </c:pt>
              <c:pt idx="1">
                <c:v>1.7059125433167451E-2</c:v>
              </c:pt>
            </c:numLit>
          </c:yVal>
          <c:smooth val="0"/>
          <c:extLst>
            <c:ext xmlns:c16="http://schemas.microsoft.com/office/drawing/2014/chart" uri="{C3380CC4-5D6E-409C-BE32-E72D297353CC}">
              <c16:uniqueId val="{000000D4-A01A-4E2F-96EB-3213037981EC}"/>
            </c:ext>
          </c:extLst>
        </c:ser>
        <c:ser>
          <c:idx val="124"/>
          <c:order val="124"/>
          <c:tx>
            <c:v>v=0.87</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0.87</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5-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34.994981800666295</c:v>
              </c:pt>
              <c:pt idx="1">
                <c:v>23.626528674080483</c:v>
              </c:pt>
            </c:numLit>
          </c:xVal>
          <c:yVal>
            <c:numLit>
              <c:formatCode>General</c:formatCode>
              <c:ptCount val="2"/>
              <c:pt idx="0">
                <c:v>-2E-3</c:v>
              </c:pt>
              <c:pt idx="1">
                <c:v>1.9625497050405307E-2</c:v>
              </c:pt>
            </c:numLit>
          </c:yVal>
          <c:smooth val="0"/>
          <c:extLst>
            <c:ext xmlns:c16="http://schemas.microsoft.com/office/drawing/2014/chart" uri="{C3380CC4-5D6E-409C-BE32-E72D297353CC}">
              <c16:uniqueId val="{000000D6-A01A-4E2F-96EB-3213037981EC}"/>
            </c:ext>
          </c:extLst>
        </c:ser>
        <c:ser>
          <c:idx val="125"/>
          <c:order val="125"/>
          <c:tx>
            <c:v>v=0.88</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7-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38.523761224779079</c:v>
              </c:pt>
              <c:pt idx="1">
                <c:v>25.72596822985491</c:v>
              </c:pt>
            </c:numLit>
          </c:xVal>
          <c:yVal>
            <c:numLit>
              <c:formatCode>General</c:formatCode>
              <c:ptCount val="2"/>
              <c:pt idx="0">
                <c:v>-2E-3</c:v>
              </c:pt>
              <c:pt idx="1">
                <c:v>2.2368358237637633E-2</c:v>
              </c:pt>
            </c:numLit>
          </c:yVal>
          <c:smooth val="0"/>
          <c:extLst>
            <c:ext xmlns:c16="http://schemas.microsoft.com/office/drawing/2014/chart" uri="{C3380CC4-5D6E-409C-BE32-E72D297353CC}">
              <c16:uniqueId val="{000000D8-A01A-4E2F-96EB-3213037981EC}"/>
            </c:ext>
          </c:extLst>
        </c:ser>
        <c:ser>
          <c:idx val="126"/>
          <c:order val="126"/>
          <c:tx>
            <c:v>v=0.89</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0.89</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9-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42.052593692335194</c:v>
              </c:pt>
              <c:pt idx="1">
                <c:v>27.72425869616541</c:v>
              </c:pt>
            </c:numLit>
          </c:xVal>
          <c:yVal>
            <c:numLit>
              <c:formatCode>General</c:formatCode>
              <c:ptCount val="2"/>
              <c:pt idx="0">
                <c:v>-2E-3</c:v>
              </c:pt>
              <c:pt idx="1">
                <c:v>2.5308122919637729E-2</c:v>
              </c:pt>
            </c:numLit>
          </c:yVal>
          <c:smooth val="0"/>
          <c:extLst>
            <c:ext xmlns:c16="http://schemas.microsoft.com/office/drawing/2014/chart" uri="{C3380CC4-5D6E-409C-BE32-E72D297353CC}">
              <c16:uniqueId val="{000000DA-A01A-4E2F-96EB-3213037981EC}"/>
            </c:ext>
          </c:extLst>
        </c:ser>
        <c:ser>
          <c:idx val="127"/>
          <c:order val="127"/>
          <c:tx>
            <c:v>v=0.90</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0.90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B-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45.581474381203442</c:v>
              </c:pt>
              <c:pt idx="1">
                <c:v>29.633142341393423</c:v>
              </c:pt>
            </c:numLit>
          </c:xVal>
          <c:yVal>
            <c:numLit>
              <c:formatCode>General</c:formatCode>
              <c:ptCount val="2"/>
              <c:pt idx="0">
                <c:v>-2E-3</c:v>
              </c:pt>
              <c:pt idx="1">
                <c:v>2.8422628005840736E-2</c:v>
              </c:pt>
            </c:numLit>
          </c:yVal>
          <c:smooth val="0"/>
          <c:extLst>
            <c:ext xmlns:c16="http://schemas.microsoft.com/office/drawing/2014/chart" uri="{C3380CC4-5D6E-409C-BE32-E72D297353CC}">
              <c16:uniqueId val="{000000DC-A01A-4E2F-96EB-3213037981EC}"/>
            </c:ext>
          </c:extLst>
        </c:ser>
        <c:ser>
          <c:idx val="128"/>
          <c:order val="128"/>
          <c:tx>
            <c:v>比容積座標軸ラベル</c:v>
          </c:tx>
          <c:spPr>
            <a:ln w="3175">
              <a:solidFill>
                <a:srgbClr val="000000"/>
              </a:solidFill>
              <a:prstDash val="solid"/>
            </a:ln>
          </c:spPr>
          <c:marker>
            <c:symbol val="none"/>
          </c:marker>
          <c:dLbls>
            <c:dLbl>
              <c:idx val="0"/>
              <c:layout>
                <c:manualLayout>
                  <c:x val="-6.1712325021872266E-2"/>
                  <c:y val="-1.5669334656024605E-16"/>
                </c:manualLayout>
              </c:layout>
              <c:tx>
                <c:rich>
                  <a:bodyPr rot="41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比容積 </a:t>
                    </a:r>
                    <a:r>
                      <a:rPr lang="en-US"/>
                      <a:t>v [㎥/kg(DA)]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D-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42.563511521595515</c:v>
              </c:pt>
            </c:numLit>
          </c:xVal>
          <c:yVal>
            <c:numLit>
              <c:formatCode>General</c:formatCode>
              <c:ptCount val="1"/>
              <c:pt idx="0">
                <c:v>3.7777777777777779E-3</c:v>
              </c:pt>
            </c:numLit>
          </c:yVal>
          <c:smooth val="0"/>
          <c:extLst>
            <c:ext xmlns:c16="http://schemas.microsoft.com/office/drawing/2014/chart" uri="{C3380CC4-5D6E-409C-BE32-E72D297353CC}">
              <c16:uniqueId val="{000000DE-A01A-4E2F-96EB-3213037981EC}"/>
            </c:ext>
          </c:extLst>
        </c:ser>
        <c:ser>
          <c:idx val="129"/>
          <c:order val="129"/>
          <c:tx>
            <c:v>v=0.91</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0.91</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F-A01A-4E2F-96EB-3213037981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49.110398469252601</c:v>
              </c:pt>
              <c:pt idx="1">
                <c:v>31.464049181568054</c:v>
              </c:pt>
            </c:numLit>
          </c:xVal>
          <c:yVal>
            <c:numLit>
              <c:formatCode>General</c:formatCode>
              <c:ptCount val="2"/>
              <c:pt idx="0">
                <c:v>-2E-3</c:v>
              </c:pt>
              <c:pt idx="1">
                <c:v>3.1690233026367066E-2</c:v>
              </c:pt>
            </c:numLit>
          </c:yVal>
          <c:smooth val="0"/>
          <c:extLst>
            <c:ext xmlns:c16="http://schemas.microsoft.com/office/drawing/2014/chart" uri="{C3380CC4-5D6E-409C-BE32-E72D297353CC}">
              <c16:uniqueId val="{000000E0-A01A-4E2F-96EB-3213037981EC}"/>
            </c:ext>
          </c:extLst>
        </c:ser>
        <c:ser>
          <c:idx val="130"/>
          <c:order val="130"/>
          <c:tx>
            <c:v>v=0.92</c:v>
          </c:tx>
          <c:spPr>
            <a:ln w="3175">
              <a:solidFill>
                <a:srgbClr val="008000"/>
              </a:solidFill>
              <a:prstDash val="sysDash"/>
            </a:ln>
          </c:spPr>
          <c:marker>
            <c:symbol val="none"/>
          </c:marker>
          <c:xVal>
            <c:numLit>
              <c:formatCode>General</c:formatCode>
              <c:ptCount val="2"/>
              <c:pt idx="0">
                <c:v>50.000000000000007</c:v>
              </c:pt>
              <c:pt idx="1">
                <c:v>33.20563456585235</c:v>
              </c:pt>
            </c:numLit>
          </c:xVal>
          <c:yVal>
            <c:numLit>
              <c:formatCode>General</c:formatCode>
              <c:ptCount val="2"/>
              <c:pt idx="0">
                <c:v>3.0653695250419501E-3</c:v>
              </c:pt>
              <c:pt idx="1">
                <c:v>3.5132435574301686E-2</c:v>
              </c:pt>
            </c:numLit>
          </c:yVal>
          <c:smooth val="0"/>
          <c:extLst>
            <c:ext xmlns:c16="http://schemas.microsoft.com/office/drawing/2014/chart" uri="{C3380CC4-5D6E-409C-BE32-E72D297353CC}">
              <c16:uniqueId val="{000000E1-A01A-4E2F-96EB-3213037981EC}"/>
            </c:ext>
          </c:extLst>
        </c:ser>
        <c:ser>
          <c:idx val="131"/>
          <c:order val="131"/>
          <c:tx>
            <c:v>v=0.93</c:v>
          </c:tx>
          <c:spPr>
            <a:ln w="3175">
              <a:solidFill>
                <a:srgbClr val="008000"/>
              </a:solidFill>
              <a:prstDash val="sysDash"/>
            </a:ln>
          </c:spPr>
          <c:marker>
            <c:symbol val="none"/>
          </c:marker>
          <c:xVal>
            <c:numLit>
              <c:formatCode>General</c:formatCode>
              <c:ptCount val="2"/>
              <c:pt idx="0">
                <c:v>50</c:v>
              </c:pt>
              <c:pt idx="1">
                <c:v>34.880212439001525</c:v>
              </c:pt>
            </c:numLit>
          </c:xVal>
          <c:yVal>
            <c:numLit>
              <c:formatCode>General</c:formatCode>
              <c:ptCount val="2"/>
              <c:pt idx="0">
                <c:v>9.8592094813579195E-3</c:v>
              </c:pt>
              <c:pt idx="1">
                <c:v>3.8706868703065465E-2</c:v>
              </c:pt>
            </c:numLit>
          </c:yVal>
          <c:smooth val="0"/>
          <c:extLst>
            <c:ext xmlns:c16="http://schemas.microsoft.com/office/drawing/2014/chart" uri="{C3380CC4-5D6E-409C-BE32-E72D297353CC}">
              <c16:uniqueId val="{000000E2-A01A-4E2F-96EB-3213037981EC}"/>
            </c:ext>
          </c:extLst>
        </c:ser>
        <c:ser>
          <c:idx val="132"/>
          <c:order val="132"/>
          <c:tx>
            <c:v>v=0.94</c:v>
          </c:tx>
          <c:spPr>
            <a:ln w="3175">
              <a:solidFill>
                <a:srgbClr val="008000"/>
              </a:solidFill>
              <a:prstDash val="sysDash"/>
            </a:ln>
          </c:spPr>
          <c:marker>
            <c:symbol val="none"/>
          </c:marker>
          <c:xVal>
            <c:numLit>
              <c:formatCode>General</c:formatCode>
              <c:ptCount val="2"/>
              <c:pt idx="0">
                <c:v>50</c:v>
              </c:pt>
              <c:pt idx="1">
                <c:v>36.476119220319418</c:v>
              </c:pt>
            </c:numLit>
          </c:xVal>
          <c:yVal>
            <c:numLit>
              <c:formatCode>General</c:formatCode>
              <c:ptCount val="2"/>
              <c:pt idx="0">
                <c:v>1.66530494376738E-2</c:v>
              </c:pt>
              <c:pt idx="1">
                <c:v>4.2435563802655646E-2</c:v>
              </c:pt>
            </c:numLit>
          </c:yVal>
          <c:smooth val="0"/>
          <c:extLst>
            <c:ext xmlns:c16="http://schemas.microsoft.com/office/drawing/2014/chart" uri="{C3380CC4-5D6E-409C-BE32-E72D297353CC}">
              <c16:uniqueId val="{000000E3-A01A-4E2F-96EB-3213037981EC}"/>
            </c:ext>
          </c:extLst>
        </c:ser>
        <c:ser>
          <c:idx val="133"/>
          <c:order val="133"/>
          <c:tx>
            <c:v>v=0.95</c:v>
          </c:tx>
          <c:spPr>
            <a:ln w="3175">
              <a:solidFill>
                <a:srgbClr val="008000"/>
              </a:solidFill>
              <a:prstDash val="sysDash"/>
            </a:ln>
          </c:spPr>
          <c:marker>
            <c:symbol val="none"/>
          </c:marker>
          <c:xVal>
            <c:numLit>
              <c:formatCode>General</c:formatCode>
              <c:ptCount val="2"/>
              <c:pt idx="0">
                <c:v>50.000000000000007</c:v>
              </c:pt>
              <c:pt idx="1">
                <c:v>38.015405459513772</c:v>
              </c:pt>
            </c:numLit>
          </c:xVal>
          <c:yVal>
            <c:numLit>
              <c:formatCode>General</c:formatCode>
              <c:ptCount val="2"/>
              <c:pt idx="0">
                <c:v>2.3446889393989801E-2</c:v>
              </c:pt>
              <c:pt idx="1">
                <c:v>4.627659477409355E-2</c:v>
              </c:pt>
            </c:numLit>
          </c:yVal>
          <c:smooth val="0"/>
          <c:extLst>
            <c:ext xmlns:c16="http://schemas.microsoft.com/office/drawing/2014/chart" uri="{C3380CC4-5D6E-409C-BE32-E72D297353CC}">
              <c16:uniqueId val="{000000E4-A01A-4E2F-96EB-3213037981EC}"/>
            </c:ext>
          </c:extLst>
        </c:ser>
        <c:ser>
          <c:idx val="134"/>
          <c:order val="134"/>
          <c:tx>
            <c:v>v=0.96</c:v>
          </c:tx>
          <c:spPr>
            <a:ln w="3175">
              <a:solidFill>
                <a:srgbClr val="008000"/>
              </a:solidFill>
              <a:prstDash val="sysDash"/>
            </a:ln>
          </c:spPr>
          <c:marker>
            <c:symbol val="none"/>
          </c:marker>
          <c:xVal>
            <c:numLit>
              <c:formatCode>General</c:formatCode>
              <c:ptCount val="2"/>
              <c:pt idx="0">
                <c:v>50</c:v>
              </c:pt>
              <c:pt idx="1">
                <c:v>39.486187318525538</c:v>
              </c:pt>
            </c:numLit>
          </c:xVal>
          <c:yVal>
            <c:numLit>
              <c:formatCode>General</c:formatCode>
              <c:ptCount val="2"/>
              <c:pt idx="0">
                <c:v>3.0240729350305799E-2</c:v>
              </c:pt>
              <c:pt idx="1">
                <c:v>5.0252361654891983E-2</c:v>
              </c:pt>
            </c:numLit>
          </c:yVal>
          <c:smooth val="0"/>
          <c:extLst>
            <c:ext xmlns:c16="http://schemas.microsoft.com/office/drawing/2014/chart" uri="{C3380CC4-5D6E-409C-BE32-E72D297353CC}">
              <c16:uniqueId val="{000000E5-A01A-4E2F-96EB-3213037981EC}"/>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F63B-495A-AC03-B7A914A72F1A}"/>
            </c:ext>
          </c:extLst>
        </c:ser>
        <c:ser>
          <c:idx val="1"/>
          <c:order val="1"/>
          <c:tx>
            <c:v>冷房SHF参照ライン</c:v>
          </c:tx>
          <c:spPr>
            <a:ln w="3175">
              <a:solidFill>
                <a:srgbClr val="008000"/>
              </a:solidFill>
              <a:prstDash val="solid"/>
            </a:ln>
          </c:spPr>
          <c:marker>
            <c:symbol val="none"/>
          </c:marker>
          <c:dPt>
            <c:idx val="0"/>
            <c:marker/>
            <c:bubble3D val="0"/>
            <c:spPr>
              <a:ln w="3175">
                <a:solidFill>
                  <a:srgbClr val="008000"/>
                </a:solidFill>
                <a:prstDash val="solid"/>
              </a:ln>
              <a:effectLst/>
            </c:spPr>
            <c:extLst>
              <c:ext xmlns:c16="http://schemas.microsoft.com/office/drawing/2014/chart" uri="{C3380CC4-5D6E-409C-BE32-E72D297353CC}">
                <c16:uniqueId val="{00000002-F63B-495A-AC03-B7A914A72F1A}"/>
              </c:ext>
            </c:extLst>
          </c:dPt>
          <c:dPt>
            <c:idx val="1"/>
            <c:marker>
              <c:symbol val="circle"/>
              <c:size val="3"/>
              <c:spPr>
                <a:solidFill>
                  <a:srgbClr val="000000"/>
                </a:solidFill>
                <a:ln>
                  <a:solidFill>
                    <a:srgbClr val="000000"/>
                  </a:solidFill>
                  <a:prstDash val="solid"/>
                </a:ln>
              </c:spPr>
            </c:marker>
            <c:bubble3D val="0"/>
            <c:spPr>
              <a:ln w="3175">
                <a:solidFill>
                  <a:srgbClr val="008000"/>
                </a:solidFill>
                <a:prstDash val="solid"/>
              </a:ln>
              <a:effectLst/>
            </c:spPr>
            <c:extLst>
              <c:ext xmlns:c16="http://schemas.microsoft.com/office/drawing/2014/chart" uri="{C3380CC4-5D6E-409C-BE32-E72D297353CC}">
                <c16:uniqueId val="{00000003-F63B-495A-AC03-B7A914A72F1A}"/>
              </c:ext>
            </c:extLst>
          </c:dPt>
          <c:dLbls>
            <c:dLbl>
              <c:idx val="1"/>
              <c:layout>
                <c:manualLayout>
                  <c:x val="3.4722222222222224E-2"/>
                  <c:y val="5.7692307692307612E-2"/>
                </c:manualLayout>
              </c:layout>
              <c:tx>
                <c:rich>
                  <a:bodyPr wrap="square" lIns="38100" tIns="19050" rIns="38100" bIns="19050" anchor="ctr">
                    <a:spAutoFit/>
                  </a:bodyPr>
                  <a:lstStyle/>
                  <a:p>
                    <a:pPr algn="ctr">
                      <a:defRPr altLang="en-US" sz="700" b="0" i="0" u="none" strike="noStrike" baseline="0">
                        <a:latin typeface="ＭＳ Ｐゴシック"/>
                        <a:ea typeface="ＭＳ Ｐゴシック"/>
                        <a:cs typeface="ＭＳ Ｐゴシック"/>
                      </a:defRPr>
                    </a:pPr>
                    <a:r>
                      <a:rPr lang="ja-JP"/>
                      <a:t>冷房時 </a:t>
                    </a:r>
                    <a:r>
                      <a:rPr lang="en-US"/>
                      <a:t>SHF=0.98 [-]</a:t>
                    </a:r>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3B-495A-AC03-B7A914A72F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7.5219999999999994</c:v>
              </c:pt>
              <c:pt idx="1">
                <c:v>-3.7573164307647193</c:v>
              </c:pt>
            </c:numLit>
          </c:xVal>
          <c:yVal>
            <c:numLit>
              <c:formatCode>General</c:formatCode>
              <c:ptCount val="2"/>
              <c:pt idx="0">
                <c:v>2.0930000000000001E-2</c:v>
              </c:pt>
              <c:pt idx="1">
                <c:v>2.0838150344721491E-2</c:v>
              </c:pt>
            </c:numLit>
          </c:yVal>
          <c:smooth val="0"/>
          <c:extLst>
            <c:ext xmlns:c16="http://schemas.microsoft.com/office/drawing/2014/chart" uri="{C3380CC4-5D6E-409C-BE32-E72D297353CC}">
              <c16:uniqueId val="{00000001-F63B-495A-AC03-B7A914A72F1A}"/>
            </c:ext>
          </c:extLst>
        </c:ser>
        <c:ser>
          <c:idx val="2"/>
          <c:order val="2"/>
          <c:tx>
            <c:v>暖房SHF参照ライン</c:v>
          </c:tx>
          <c:spPr>
            <a:ln w="3175">
              <a:solidFill>
                <a:srgbClr val="FF0000"/>
              </a:solidFill>
              <a:prstDash val="solid"/>
            </a:ln>
          </c:spPr>
          <c:marker>
            <c:symbol val="none"/>
          </c:marker>
          <c:dPt>
            <c:idx val="0"/>
            <c:marker/>
            <c:bubble3D val="0"/>
            <c:spPr>
              <a:ln w="3175">
                <a:solidFill>
                  <a:srgbClr val="FF0000"/>
                </a:solidFill>
                <a:prstDash val="solid"/>
              </a:ln>
              <a:effectLst/>
            </c:spPr>
            <c:extLst>
              <c:ext xmlns:c16="http://schemas.microsoft.com/office/drawing/2014/chart" uri="{C3380CC4-5D6E-409C-BE32-E72D297353CC}">
                <c16:uniqueId val="{00000005-F63B-495A-AC03-B7A914A72F1A}"/>
              </c:ext>
            </c:extLst>
          </c:dPt>
          <c:dPt>
            <c:idx val="1"/>
            <c:marker>
              <c:symbol val="circle"/>
              <c:size val="3"/>
              <c:spPr>
                <a:solidFill>
                  <a:srgbClr val="000000"/>
                </a:solidFill>
                <a:ln>
                  <a:solidFill>
                    <a:srgbClr val="000000"/>
                  </a:solidFill>
                  <a:prstDash val="solid"/>
                </a:ln>
              </c:spPr>
            </c:marker>
            <c:bubble3D val="0"/>
            <c:spPr>
              <a:ln w="3175">
                <a:solidFill>
                  <a:srgbClr val="FF0000"/>
                </a:solidFill>
                <a:prstDash val="solid"/>
              </a:ln>
              <a:effectLst/>
            </c:spPr>
            <c:extLst>
              <c:ext xmlns:c16="http://schemas.microsoft.com/office/drawing/2014/chart" uri="{C3380CC4-5D6E-409C-BE32-E72D297353CC}">
                <c16:uniqueId val="{00000006-F63B-495A-AC03-B7A914A72F1A}"/>
              </c:ext>
            </c:extLst>
          </c:dPt>
          <c:dLbls>
            <c:dLbl>
              <c:idx val="1"/>
              <c:layout>
                <c:manualLayout>
                  <c:x val="3.4722222222222224E-2"/>
                  <c:y val="4.273504273504266E-2"/>
                </c:manualLayout>
              </c:layout>
              <c:tx>
                <c:rich>
                  <a:bodyPr wrap="square" lIns="38100" tIns="19050" rIns="38100" bIns="19050" anchor="ctr">
                    <a:spAutoFit/>
                  </a:bodyPr>
                  <a:lstStyle/>
                  <a:p>
                    <a:pPr algn="ctr">
                      <a:defRPr altLang="en-US" sz="700" b="0" i="0" u="none" strike="noStrike" baseline="0">
                        <a:latin typeface="ＭＳ Ｐゴシック"/>
                        <a:ea typeface="ＭＳ Ｐゴシック"/>
                        <a:cs typeface="ＭＳ Ｐゴシック"/>
                      </a:defRPr>
                    </a:pPr>
                    <a:r>
                      <a:rPr lang="ja-JP"/>
                      <a:t>暖房時 </a:t>
                    </a:r>
                    <a:r>
                      <a:rPr lang="en-US"/>
                      <a:t>SHF=1.00 [-]</a:t>
                    </a:r>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3B-495A-AC03-B7A914A72F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7.5219999999999994</c:v>
              </c:pt>
              <c:pt idx="1">
                <c:v>-3.758</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04-F63B-495A-AC03-B7A914A72F1A}"/>
            </c:ext>
          </c:extLst>
        </c:ser>
        <c:ser>
          <c:idx val="3"/>
          <c:order val="3"/>
          <c:tx>
            <c:v>熱水分比参照ライン</c:v>
          </c:tx>
          <c:spPr>
            <a:ln w="3175">
              <a:solidFill>
                <a:srgbClr val="FF6600"/>
              </a:solidFill>
              <a:prstDash val="solid"/>
            </a:ln>
          </c:spPr>
          <c:marker>
            <c:symbol val="none"/>
          </c:marker>
          <c:dPt>
            <c:idx val="0"/>
            <c:marker/>
            <c:bubble3D val="0"/>
            <c:spPr>
              <a:ln w="3175">
                <a:solidFill>
                  <a:srgbClr val="FF6600"/>
                </a:solidFill>
                <a:prstDash val="solid"/>
              </a:ln>
              <a:effectLst/>
            </c:spPr>
            <c:extLst>
              <c:ext xmlns:c16="http://schemas.microsoft.com/office/drawing/2014/chart" uri="{C3380CC4-5D6E-409C-BE32-E72D297353CC}">
                <c16:uniqueId val="{00000008-F63B-495A-AC03-B7A914A72F1A}"/>
              </c:ext>
            </c:extLst>
          </c:dPt>
          <c:dPt>
            <c:idx val="1"/>
            <c:marker>
              <c:symbol val="circle"/>
              <c:size val="3"/>
              <c:spPr>
                <a:solidFill>
                  <a:srgbClr val="000000"/>
                </a:solidFill>
                <a:ln>
                  <a:solidFill>
                    <a:srgbClr val="000000"/>
                  </a:solidFill>
                  <a:prstDash val="solid"/>
                </a:ln>
              </c:spPr>
            </c:marker>
            <c:bubble3D val="0"/>
            <c:spPr>
              <a:ln w="3175">
                <a:solidFill>
                  <a:srgbClr val="FF6600"/>
                </a:solidFill>
                <a:prstDash val="solid"/>
              </a:ln>
              <a:effectLst/>
            </c:spPr>
            <c:extLst>
              <c:ext xmlns:c16="http://schemas.microsoft.com/office/drawing/2014/chart" uri="{C3380CC4-5D6E-409C-BE32-E72D297353CC}">
                <c16:uniqueId val="{00000009-F63B-495A-AC03-B7A914A72F1A}"/>
              </c:ext>
            </c:extLst>
          </c:dPt>
          <c:dLbls>
            <c:dLbl>
              <c:idx val="1"/>
              <c:layout>
                <c:manualLayout>
                  <c:x val="3.4722222222222224E-2"/>
                  <c:y val="7.4786324786324784E-2"/>
                </c:manualLayout>
              </c:layout>
              <c:tx>
                <c:rich>
                  <a:bodyPr wrap="square" lIns="38100" tIns="19050" rIns="38100" bIns="19050" anchor="ctr">
                    <a:spAutoFit/>
                  </a:bodyPr>
                  <a:lstStyle/>
                  <a:p>
                    <a:pPr algn="ctr">
                      <a:defRPr altLang="en-US" sz="700" b="0" i="0" u="none" strike="noStrike" baseline="0">
                        <a:latin typeface="ＭＳ Ｐゴシック"/>
                        <a:ea typeface="ＭＳ Ｐゴシック"/>
                        <a:cs typeface="ＭＳ Ｐゴシック"/>
                      </a:defRPr>
                    </a:pPr>
                    <a:r>
                      <a:rPr lang="ja-JP"/>
                      <a:t>加湿用蒸気熱水分比</a:t>
                    </a:r>
                    <a:r>
                      <a:rPr lang="en-US"/>
                      <a:t>=2,676 [kJ/kg]</a:t>
                    </a:r>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3B-495A-AC03-B7A914A72F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7.5219999999999994</c:v>
              </c:pt>
              <c:pt idx="1">
                <c:v>8.3645183408506067</c:v>
              </c:pt>
            </c:numLit>
          </c:xVal>
          <c:yVal>
            <c:numLit>
              <c:formatCode>General</c:formatCode>
              <c:ptCount val="2"/>
              <c:pt idx="0">
                <c:v>2.0930000000000001E-2</c:v>
              </c:pt>
              <c:pt idx="1">
                <c:v>3.1266261596289167E-2</c:v>
              </c:pt>
            </c:numLit>
          </c:yVal>
          <c:smooth val="0"/>
          <c:extLst>
            <c:ext xmlns:c16="http://schemas.microsoft.com/office/drawing/2014/chart" uri="{C3380CC4-5D6E-409C-BE32-E72D297353CC}">
              <c16:uniqueId val="{00000007-F63B-495A-AC03-B7A914A72F1A}"/>
            </c:ext>
          </c:extLst>
        </c:ser>
        <c:ser>
          <c:idx val="4"/>
          <c:order val="4"/>
          <c:tx>
            <c:v>外気-冷却コイル入口</c:v>
          </c:tx>
          <c:spPr>
            <a:ln w="12700">
              <a:solidFill>
                <a:srgbClr val="000000"/>
              </a:solidFill>
              <a:prstDash val="solid"/>
            </a:ln>
          </c:spPr>
          <c:marker>
            <c:symbol val="circle"/>
            <c:size val="6"/>
            <c:spPr>
              <a:solidFill>
                <a:srgbClr val="FFFFFF"/>
              </a:solidFill>
              <a:ln>
                <a:solidFill>
                  <a:srgbClr val="000000"/>
                </a:solidFill>
                <a:prstDash val="solid"/>
              </a:ln>
            </c:spPr>
          </c:marker>
          <c:dLbls>
            <c:dLbl>
              <c:idx val="1"/>
              <c:layout>
                <c:manualLayout>
                  <c:x val="-2.2569444444444444E-2"/>
                  <c:y val="-1.645299145299153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①</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3B-495A-AC03-B7A914A72F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33.13944850894633</c:v>
              </c:pt>
              <c:pt idx="1">
                <c:v>33.13944850894633</c:v>
              </c:pt>
            </c:numLit>
          </c:xVal>
          <c:yVal>
            <c:numLit>
              <c:formatCode>General</c:formatCode>
              <c:ptCount val="2"/>
              <c:pt idx="0">
                <c:v>1.8600000000000002E-2</c:v>
              </c:pt>
              <c:pt idx="1">
                <c:v>1.8600000000000002E-2</c:v>
              </c:pt>
            </c:numLit>
          </c:yVal>
          <c:smooth val="0"/>
          <c:extLst>
            <c:ext xmlns:c16="http://schemas.microsoft.com/office/drawing/2014/chart" uri="{C3380CC4-5D6E-409C-BE32-E72D297353CC}">
              <c16:uniqueId val="{0000000A-F63B-495A-AC03-B7A914A72F1A}"/>
            </c:ext>
          </c:extLst>
        </c:ser>
        <c:ser>
          <c:idx val="5"/>
          <c:order val="5"/>
          <c:tx>
            <c:v>冷却プロセス</c:v>
          </c:tx>
          <c:spPr>
            <a:ln w="25400">
              <a:solidFill>
                <a:srgbClr val="008000"/>
              </a:solidFill>
              <a:prstDash val="solid"/>
            </a:ln>
          </c:spPr>
          <c:marker>
            <c:symbol val="circle"/>
            <c:size val="6"/>
            <c:spPr>
              <a:solidFill>
                <a:srgbClr val="FFFFFF"/>
              </a:solidFill>
              <a:ln>
                <a:solidFill>
                  <a:srgbClr val="000000"/>
                </a:solidFill>
                <a:prstDash val="solid"/>
              </a:ln>
            </c:spPr>
          </c:marker>
          <c:dLbls>
            <c:dLbl>
              <c:idx val="1"/>
              <c:layout>
                <c:manualLayout>
                  <c:x val="-3.6458333333333398E-2"/>
                  <c:y val="0"/>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②</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63B-495A-AC03-B7A914A72F1A}"/>
                </c:ext>
              </c:extLst>
            </c:dLbl>
            <c:dLbl>
              <c:idx val="2"/>
              <c:layout>
                <c:manualLayout>
                  <c:x val="-2.2569444444444444E-2"/>
                  <c:y val="-1.645299145299153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③</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63B-495A-AC03-B7A914A72F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3"/>
              <c:pt idx="0">
                <c:v>33.13944850894633</c:v>
              </c:pt>
              <c:pt idx="1">
                <c:v>13.016140469184892</c:v>
              </c:pt>
              <c:pt idx="2">
                <c:v>14.28758778528827</c:v>
              </c:pt>
            </c:numLit>
          </c:xVal>
          <c:yVal>
            <c:numLit>
              <c:formatCode>General</c:formatCode>
              <c:ptCount val="3"/>
              <c:pt idx="0">
                <c:v>1.8600000000000002E-2</c:v>
              </c:pt>
              <c:pt idx="1">
                <c:v>9.2800000000000001E-3</c:v>
              </c:pt>
              <c:pt idx="2">
                <c:v>9.2800000000000001E-3</c:v>
              </c:pt>
            </c:numLit>
          </c:yVal>
          <c:smooth val="0"/>
          <c:extLst>
            <c:ext xmlns:c16="http://schemas.microsoft.com/office/drawing/2014/chart" uri="{C3380CC4-5D6E-409C-BE32-E72D297353CC}">
              <c16:uniqueId val="{0000000C-F63B-495A-AC03-B7A914A72F1A}"/>
            </c:ext>
          </c:extLst>
        </c:ser>
        <c:ser>
          <c:idx val="6"/>
          <c:order val="6"/>
          <c:tx>
            <c:v>冷房時室内変化プロセス</c:v>
          </c:tx>
          <c:spPr>
            <a:ln w="12700">
              <a:solidFill>
                <a:srgbClr val="000000"/>
              </a:solidFill>
              <a:prstDash val="sysDash"/>
            </a:ln>
          </c:spPr>
          <c:marker>
            <c:symbol val="circle"/>
            <c:size val="6"/>
            <c:spPr>
              <a:solidFill>
                <a:srgbClr val="FFFFFF"/>
              </a:solidFill>
              <a:ln>
                <a:solidFill>
                  <a:srgbClr val="000000"/>
                </a:solidFill>
                <a:prstDash val="solid"/>
              </a:ln>
            </c:spPr>
          </c:marker>
          <c:dLbls>
            <c:dLbl>
              <c:idx val="1"/>
              <c:layout>
                <c:manualLayout>
                  <c:x val="-8.6805555555555559E-3"/>
                  <c:y val="0"/>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④</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63B-495A-AC03-B7A914A72F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14.28758778528827</c:v>
              </c:pt>
              <c:pt idx="1">
                <c:v>23.552934393638171</c:v>
              </c:pt>
            </c:numLit>
          </c:xVal>
          <c:yVal>
            <c:numLit>
              <c:formatCode>General</c:formatCode>
              <c:ptCount val="2"/>
              <c:pt idx="0">
                <c:v>9.2800000000000001E-3</c:v>
              </c:pt>
              <c:pt idx="1">
                <c:v>9.2999999999999992E-3</c:v>
              </c:pt>
            </c:numLit>
          </c:yVal>
          <c:smooth val="0"/>
          <c:extLst>
            <c:ext xmlns:c16="http://schemas.microsoft.com/office/drawing/2014/chart" uri="{C3380CC4-5D6E-409C-BE32-E72D297353CC}">
              <c16:uniqueId val="{0000000F-F63B-495A-AC03-B7A914A72F1A}"/>
            </c:ext>
          </c:extLst>
        </c:ser>
        <c:ser>
          <c:idx val="7"/>
          <c:order val="7"/>
          <c:tx>
            <c:v>暖房時外気ポイント-ミキシングポイントプロセス</c:v>
          </c:tx>
          <c:spPr>
            <a:ln w="12700">
              <a:solidFill>
                <a:srgbClr val="000000"/>
              </a:solidFill>
              <a:prstDash val="solid"/>
            </a:ln>
          </c:spPr>
          <c:marker>
            <c:symbol val="circle"/>
            <c:size val="6"/>
            <c:spPr>
              <a:solidFill>
                <a:srgbClr val="FFFFFF"/>
              </a:solidFill>
              <a:ln>
                <a:solidFill>
                  <a:srgbClr val="000000"/>
                </a:solidFill>
                <a:prstDash val="solid"/>
              </a:ln>
            </c:spPr>
          </c:marker>
          <c:dLbls>
            <c:dLbl>
              <c:idx val="1"/>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⑤</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63B-495A-AC03-B7A914A72F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-0.43019999999999997</c:v>
              </c:pt>
              <c:pt idx="1">
                <c:v>-0.43019999999999997</c:v>
              </c:pt>
            </c:numLit>
          </c:xVal>
          <c:yVal>
            <c:numLit>
              <c:formatCode>General</c:formatCode>
              <c:ptCount val="2"/>
              <c:pt idx="0">
                <c:v>1.4E-3</c:v>
              </c:pt>
              <c:pt idx="1">
                <c:v>1.4E-3</c:v>
              </c:pt>
            </c:numLit>
          </c:yVal>
          <c:smooth val="0"/>
          <c:extLst>
            <c:ext xmlns:c16="http://schemas.microsoft.com/office/drawing/2014/chart" uri="{C3380CC4-5D6E-409C-BE32-E72D297353CC}">
              <c16:uniqueId val="{00000011-F63B-495A-AC03-B7A914A72F1A}"/>
            </c:ext>
          </c:extLst>
        </c:ser>
        <c:ser>
          <c:idx val="8"/>
          <c:order val="8"/>
          <c:tx>
            <c:v>暖房加熱プロセス</c:v>
          </c:tx>
          <c:spPr>
            <a:ln w="25400">
              <a:solidFill>
                <a:srgbClr val="FF0000"/>
              </a:solidFill>
              <a:prstDash val="solid"/>
            </a:ln>
          </c:spPr>
          <c:marker>
            <c:symbol val="circle"/>
            <c:size val="6"/>
            <c:spPr>
              <a:solidFill>
                <a:srgbClr val="FFFFFF"/>
              </a:solidFill>
              <a:ln>
                <a:solidFill>
                  <a:srgbClr val="000000"/>
                </a:solidFill>
                <a:prstDash val="solid"/>
              </a:ln>
            </c:spPr>
          </c:marker>
          <c:dLbls>
            <c:dLbl>
              <c:idx val="1"/>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⑥</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63B-495A-AC03-B7A914A72F1A}"/>
                </c:ext>
              </c:extLst>
            </c:dLbl>
            <c:dLbl>
              <c:idx val="2"/>
              <c:layout>
                <c:manualLayout>
                  <c:x val="-2.2569444444444572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⑦</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63B-495A-AC03-B7A914A72F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3"/>
              <c:pt idx="0">
                <c:v>-0.43019999999999997</c:v>
              </c:pt>
              <c:pt idx="1">
                <c:v>31.782967514910535</c:v>
              </c:pt>
              <c:pt idx="2">
                <c:v>32.431768043737577</c:v>
              </c:pt>
            </c:numLit>
          </c:xVal>
          <c:yVal>
            <c:numLit>
              <c:formatCode>General</c:formatCode>
              <c:ptCount val="3"/>
              <c:pt idx="0">
                <c:v>1.4E-3</c:v>
              </c:pt>
              <c:pt idx="1">
                <c:v>1.4E-3</c:v>
              </c:pt>
              <c:pt idx="2">
                <c:v>9.3399999999999993E-3</c:v>
              </c:pt>
            </c:numLit>
          </c:yVal>
          <c:smooth val="0"/>
          <c:extLst>
            <c:ext xmlns:c16="http://schemas.microsoft.com/office/drawing/2014/chart" uri="{C3380CC4-5D6E-409C-BE32-E72D297353CC}">
              <c16:uniqueId val="{00000013-F63B-495A-AC03-B7A914A72F1A}"/>
            </c:ext>
          </c:extLst>
        </c:ser>
        <c:ser>
          <c:idx val="9"/>
          <c:order val="9"/>
          <c:tx>
            <c:v>暖房時室内変化プロセス</c:v>
          </c:tx>
          <c:spPr>
            <a:ln w="12700">
              <a:solidFill>
                <a:srgbClr val="000000"/>
              </a:solidFill>
              <a:prstDash val="sysDash"/>
            </a:ln>
          </c:spPr>
          <c:marker>
            <c:symbol val="circle"/>
            <c:size val="6"/>
            <c:spPr>
              <a:solidFill>
                <a:srgbClr val="FFFFFF"/>
              </a:solidFill>
              <a:ln>
                <a:solidFill>
                  <a:srgbClr val="000000"/>
                </a:solidFill>
                <a:prstDash val="solid"/>
              </a:ln>
            </c:spPr>
          </c:marker>
          <c:dLbls>
            <c:dLbl>
              <c:idx val="1"/>
              <c:layout>
                <c:manualLayout>
                  <c:x val="-1.3888888888888888E-2"/>
                  <c:y val="1.645299145299153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⑧</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63B-495A-AC03-B7A914A72F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32.431768043737577</c:v>
              </c:pt>
              <c:pt idx="1">
                <c:v>23.552934393638171</c:v>
              </c:pt>
            </c:numLit>
          </c:xVal>
          <c:yVal>
            <c:numLit>
              <c:formatCode>General</c:formatCode>
              <c:ptCount val="2"/>
              <c:pt idx="0">
                <c:v>9.3399999999999993E-3</c:v>
              </c:pt>
              <c:pt idx="1">
                <c:v>9.2999999999999992E-3</c:v>
              </c:pt>
            </c:numLit>
          </c:yVal>
          <c:smooth val="0"/>
          <c:extLst>
            <c:ext xmlns:c16="http://schemas.microsoft.com/office/drawing/2014/chart" uri="{C3380CC4-5D6E-409C-BE32-E72D297353CC}">
              <c16:uniqueId val="{00000016-F63B-495A-AC03-B7A914A72F1A}"/>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DA2F-4ADF-A349-9EBD07809C31}"/>
            </c:ext>
          </c:extLst>
        </c:ser>
        <c:ser>
          <c:idx val="1"/>
          <c:order val="1"/>
          <c:tx>
            <c:v>比エンタルピ座標軸</c:v>
          </c:tx>
          <c:spPr>
            <a:ln w="3175">
              <a:solidFill>
                <a:srgbClr val="000000"/>
              </a:solidFill>
              <a:prstDash val="solid"/>
            </a:ln>
          </c:spPr>
          <c:marker>
            <c:symbol val="none"/>
          </c:marker>
          <c:xVal>
            <c:numLit>
              <c:formatCode>General</c:formatCode>
              <c:ptCount val="2"/>
              <c:pt idx="0">
                <c:v>-10.178169782224485</c:v>
              </c:pt>
              <c:pt idx="1">
                <c:v>26.408799999999999</c:v>
              </c:pt>
            </c:numLit>
          </c:xVal>
          <c:yVal>
            <c:numLit>
              <c:formatCode>General</c:formatCode>
              <c:ptCount val="2"/>
              <c:pt idx="0">
                <c:v>2.4560824455002899E-3</c:v>
              </c:pt>
              <c:pt idx="1">
                <c:v>3.4000000000000002E-2</c:v>
              </c:pt>
            </c:numLit>
          </c:yVal>
          <c:smooth val="0"/>
          <c:extLst>
            <c:ext xmlns:c16="http://schemas.microsoft.com/office/drawing/2014/chart" uri="{C3380CC4-5D6E-409C-BE32-E72D297353CC}">
              <c16:uniqueId val="{00000001-DA2F-4ADF-A349-9EBD07809C31}"/>
            </c:ext>
          </c:extLst>
        </c:ser>
        <c:ser>
          <c:idx val="2"/>
          <c:order val="2"/>
          <c:tx>
            <c:v>比エンタルピ座標軸ラベル</c:v>
          </c:tx>
          <c:spPr>
            <a:ln w="3175">
              <a:solidFill>
                <a:srgbClr val="000000"/>
              </a:solidFill>
              <a:prstDash val="solid"/>
            </a:ln>
          </c:spPr>
          <c:marker>
            <c:symbol val="none"/>
          </c:marker>
          <c:dLbls>
            <c:dLbl>
              <c:idx val="0"/>
              <c:layout>
                <c:manualLayout>
                  <c:x val="-7.7204861111111106E-2"/>
                  <c:y val="-3.9173336640061513E-17"/>
                </c:manualLayout>
              </c:layout>
              <c:tx>
                <c:rich>
                  <a:bodyPr rot="-29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比エンタルピ </a:t>
                    </a:r>
                    <a:r>
                      <a:rPr lang="en-US"/>
                      <a:t>h [kJ/kg(DA)]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11.774012087110206</c:v>
              </c:pt>
            </c:numLit>
          </c:xVal>
          <c:yVal>
            <c:numLit>
              <c:formatCode>General</c:formatCode>
              <c:ptCount val="1"/>
              <c:pt idx="0">
                <c:v>2.1382432978200118E-2</c:v>
              </c:pt>
            </c:numLit>
          </c:yVal>
          <c:smooth val="0"/>
          <c:extLst>
            <c:ext xmlns:c16="http://schemas.microsoft.com/office/drawing/2014/chart" uri="{C3380CC4-5D6E-409C-BE32-E72D297353CC}">
              <c16:uniqueId val="{00000003-DA2F-4ADF-A349-9EBD07809C31}"/>
            </c:ext>
          </c:extLst>
        </c:ser>
        <c:ser>
          <c:idx val="3"/>
          <c:order val="3"/>
          <c:tx>
            <c:v>h=-9</c:v>
          </c:tx>
          <c:spPr>
            <a:ln w="3175">
              <a:solidFill>
                <a:srgbClr val="808080"/>
              </a:solidFill>
              <a:prstDash val="solid"/>
            </a:ln>
          </c:spPr>
          <c:marker>
            <c:symbol val="none"/>
          </c:marker>
          <c:xVal>
            <c:numLit>
              <c:formatCode>General</c:formatCode>
              <c:ptCount val="2"/>
              <c:pt idx="0">
                <c:v>-11.760874015442164</c:v>
              </c:pt>
              <c:pt idx="1">
                <c:v>-11.460874015442165</c:v>
              </c:pt>
            </c:numLit>
          </c:xVal>
          <c:yVal>
            <c:numLit>
              <c:formatCode>General</c:formatCode>
              <c:ptCount val="2"/>
              <c:pt idx="0">
                <c:v>1.0915340244929911E-3</c:v>
              </c:pt>
              <c:pt idx="1">
                <c:v>9.7292658151792533E-4</c:v>
              </c:pt>
            </c:numLit>
          </c:yVal>
          <c:smooth val="0"/>
          <c:extLst>
            <c:ext xmlns:c16="http://schemas.microsoft.com/office/drawing/2014/chart" uri="{C3380CC4-5D6E-409C-BE32-E72D297353CC}">
              <c16:uniqueId val="{00000004-DA2F-4ADF-A349-9EBD07809C31}"/>
            </c:ext>
          </c:extLst>
        </c:ser>
        <c:ser>
          <c:idx val="4"/>
          <c:order val="4"/>
          <c:tx>
            <c:v>h=-8</c:v>
          </c:tx>
          <c:spPr>
            <a:ln w="3175">
              <a:solidFill>
                <a:srgbClr val="808080"/>
              </a:solidFill>
              <a:prstDash val="solid"/>
            </a:ln>
          </c:spPr>
          <c:marker>
            <c:symbol val="none"/>
          </c:marker>
          <c:xVal>
            <c:numLit>
              <c:formatCode>General</c:formatCode>
              <c:ptCount val="2"/>
              <c:pt idx="0">
                <c:v>-11.452465233740831</c:v>
              </c:pt>
              <c:pt idx="1">
                <c:v>-11.152465233740831</c:v>
              </c:pt>
            </c:numLit>
          </c:xVal>
          <c:yVal>
            <c:numLit>
              <c:formatCode>General</c:formatCode>
              <c:ptCount val="2"/>
              <c:pt idx="0">
                <c:v>1.3574325463158354E-3</c:v>
              </c:pt>
              <c:pt idx="1">
                <c:v>1.2394792183822454E-3</c:v>
              </c:pt>
            </c:numLit>
          </c:yVal>
          <c:smooth val="0"/>
          <c:extLst>
            <c:ext xmlns:c16="http://schemas.microsoft.com/office/drawing/2014/chart" uri="{C3380CC4-5D6E-409C-BE32-E72D297353CC}">
              <c16:uniqueId val="{00000005-DA2F-4ADF-A349-9EBD07809C31}"/>
            </c:ext>
          </c:extLst>
        </c:ser>
        <c:ser>
          <c:idx val="5"/>
          <c:order val="5"/>
          <c:tx>
            <c:v>h=-7</c:v>
          </c:tx>
          <c:spPr>
            <a:ln w="3175">
              <a:solidFill>
                <a:srgbClr val="808080"/>
              </a:solidFill>
              <a:prstDash val="solid"/>
            </a:ln>
          </c:spPr>
          <c:marker>
            <c:symbol val="none"/>
          </c:marker>
          <c:xVal>
            <c:numLit>
              <c:formatCode>General</c:formatCode>
              <c:ptCount val="2"/>
              <c:pt idx="0">
                <c:v>-11.144056452039498</c:v>
              </c:pt>
              <c:pt idx="1">
                <c:v>-10.844056452039498</c:v>
              </c:pt>
            </c:numLit>
          </c:xVal>
          <c:yVal>
            <c:numLit>
              <c:formatCode>General</c:formatCode>
              <c:ptCount val="2"/>
              <c:pt idx="0">
                <c:v>1.6233310681386798E-3</c:v>
              </c:pt>
              <c:pt idx="1">
                <c:v>1.5058135279994939E-3</c:v>
              </c:pt>
            </c:numLit>
          </c:yVal>
          <c:smooth val="0"/>
          <c:extLst>
            <c:ext xmlns:c16="http://schemas.microsoft.com/office/drawing/2014/chart" uri="{C3380CC4-5D6E-409C-BE32-E72D297353CC}">
              <c16:uniqueId val="{00000006-DA2F-4ADF-A349-9EBD07809C31}"/>
            </c:ext>
          </c:extLst>
        </c:ser>
        <c:ser>
          <c:idx val="6"/>
          <c:order val="6"/>
          <c:tx>
            <c:v>h=-6</c:v>
          </c:tx>
          <c:spPr>
            <a:ln w="3175">
              <a:solidFill>
                <a:srgbClr val="808080"/>
              </a:solidFill>
              <a:prstDash val="solid"/>
            </a:ln>
          </c:spPr>
          <c:marker>
            <c:symbol val="none"/>
          </c:marker>
          <c:xVal>
            <c:numLit>
              <c:formatCode>General</c:formatCode>
              <c:ptCount val="2"/>
              <c:pt idx="0">
                <c:v>-10.835647670338163</c:v>
              </c:pt>
              <c:pt idx="1">
                <c:v>-10.535647670338165</c:v>
              </c:pt>
            </c:numLit>
          </c:xVal>
          <c:yVal>
            <c:numLit>
              <c:formatCode>General</c:formatCode>
              <c:ptCount val="2"/>
              <c:pt idx="0">
                <c:v>1.8892295899615242E-3</c:v>
              </c:pt>
              <c:pt idx="1">
                <c:v>1.7720231854368492E-3</c:v>
              </c:pt>
            </c:numLit>
          </c:yVal>
          <c:smooth val="0"/>
          <c:extLst>
            <c:ext xmlns:c16="http://schemas.microsoft.com/office/drawing/2014/chart" uri="{C3380CC4-5D6E-409C-BE32-E72D297353CC}">
              <c16:uniqueId val="{00000007-DA2F-4ADF-A349-9EBD07809C31}"/>
            </c:ext>
          </c:extLst>
        </c:ser>
        <c:ser>
          <c:idx val="7"/>
          <c:order val="7"/>
          <c:tx>
            <c:v>h=-5</c:v>
          </c:tx>
          <c:spPr>
            <a:ln w="3175">
              <a:solidFill>
                <a:srgbClr val="808080"/>
              </a:solidFill>
              <a:prstDash val="solid"/>
            </a:ln>
          </c:spPr>
          <c:marker>
            <c:symbol val="none"/>
          </c:marker>
          <c:dLbls>
            <c:dLbl>
              <c:idx val="0"/>
              <c:layout>
                <c:manualLayout>
                  <c:x val="-5.2083333333333296E-3"/>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-10.52723888863683</c:v>
              </c:pt>
              <c:pt idx="1">
                <c:v>-5</c:v>
              </c:pt>
            </c:numLit>
          </c:xVal>
          <c:yVal>
            <c:numLit>
              <c:formatCode>General</c:formatCode>
              <c:ptCount val="2"/>
              <c:pt idx="0">
                <c:v>2.1551281117843687E-3</c:v>
              </c:pt>
              <c:pt idx="1">
                <c:v>0</c:v>
              </c:pt>
            </c:numLit>
          </c:yVal>
          <c:smooth val="0"/>
          <c:extLst>
            <c:ext xmlns:c16="http://schemas.microsoft.com/office/drawing/2014/chart" uri="{C3380CC4-5D6E-409C-BE32-E72D297353CC}">
              <c16:uniqueId val="{00000009-DA2F-4ADF-A349-9EBD07809C31}"/>
            </c:ext>
          </c:extLst>
        </c:ser>
        <c:ser>
          <c:idx val="8"/>
          <c:order val="8"/>
          <c:tx>
            <c:v>h=-4</c:v>
          </c:tx>
          <c:spPr>
            <a:ln w="3175">
              <a:solidFill>
                <a:srgbClr val="808080"/>
              </a:solidFill>
              <a:prstDash val="solid"/>
            </a:ln>
          </c:spPr>
          <c:marker>
            <c:symbol val="none"/>
          </c:marker>
          <c:xVal>
            <c:numLit>
              <c:formatCode>General</c:formatCode>
              <c:ptCount val="2"/>
              <c:pt idx="0">
                <c:v>-10.218830106935497</c:v>
              </c:pt>
              <c:pt idx="1">
                <c:v>-9.9188301069354967</c:v>
              </c:pt>
            </c:numLit>
          </c:xVal>
          <c:yVal>
            <c:numLit>
              <c:formatCode>General</c:formatCode>
              <c:ptCount val="2"/>
              <c:pt idx="0">
                <c:v>2.4210266336072133E-3</c:v>
              </c:pt>
              <c:pt idx="1">
                <c:v>2.3042348934257033E-3</c:v>
              </c:pt>
            </c:numLit>
          </c:yVal>
          <c:smooth val="0"/>
          <c:extLst>
            <c:ext xmlns:c16="http://schemas.microsoft.com/office/drawing/2014/chart" uri="{C3380CC4-5D6E-409C-BE32-E72D297353CC}">
              <c16:uniqueId val="{0000000A-DA2F-4ADF-A349-9EBD07809C31}"/>
            </c:ext>
          </c:extLst>
        </c:ser>
        <c:ser>
          <c:idx val="9"/>
          <c:order val="9"/>
          <c:tx>
            <c:v>h=-3</c:v>
          </c:tx>
          <c:spPr>
            <a:ln w="3175">
              <a:solidFill>
                <a:srgbClr val="808080"/>
              </a:solidFill>
              <a:prstDash val="solid"/>
            </a:ln>
          </c:spPr>
          <c:marker>
            <c:symbol val="none"/>
          </c:marker>
          <c:xVal>
            <c:numLit>
              <c:formatCode>General</c:formatCode>
              <c:ptCount val="2"/>
              <c:pt idx="0">
                <c:v>-9.9104213252341626</c:v>
              </c:pt>
              <c:pt idx="1">
                <c:v>-9.6104213252341637</c:v>
              </c:pt>
            </c:numLit>
          </c:xVal>
          <c:yVal>
            <c:numLit>
              <c:formatCode>General</c:formatCode>
              <c:ptCount val="2"/>
              <c:pt idx="0">
                <c:v>2.6869251554300574E-3</c:v>
              </c:pt>
              <c:pt idx="1">
                <c:v>2.5702784983462792E-3</c:v>
              </c:pt>
            </c:numLit>
          </c:yVal>
          <c:smooth val="0"/>
          <c:extLst>
            <c:ext xmlns:c16="http://schemas.microsoft.com/office/drawing/2014/chart" uri="{C3380CC4-5D6E-409C-BE32-E72D297353CC}">
              <c16:uniqueId val="{0000000B-DA2F-4ADF-A349-9EBD07809C31}"/>
            </c:ext>
          </c:extLst>
        </c:ser>
        <c:ser>
          <c:idx val="10"/>
          <c:order val="10"/>
          <c:tx>
            <c:v>h=-2</c:v>
          </c:tx>
          <c:spPr>
            <a:ln w="3175">
              <a:solidFill>
                <a:srgbClr val="808080"/>
              </a:solidFill>
              <a:prstDash val="solid"/>
            </a:ln>
          </c:spPr>
          <c:marker>
            <c:symbol val="none"/>
          </c:marker>
          <c:xVal>
            <c:numLit>
              <c:formatCode>General</c:formatCode>
              <c:ptCount val="2"/>
              <c:pt idx="0">
                <c:v>-9.6020125435328296</c:v>
              </c:pt>
              <c:pt idx="1">
                <c:v>-9.3020125435328289</c:v>
              </c:pt>
            </c:numLit>
          </c:xVal>
          <c:yVal>
            <c:numLit>
              <c:formatCode>General</c:formatCode>
              <c:ptCount val="2"/>
              <c:pt idx="0">
                <c:v>2.952823677252902E-3</c:v>
              </c:pt>
              <c:pt idx="1">
                <c:v>2.8362957054687095E-3</c:v>
              </c:pt>
            </c:numLit>
          </c:yVal>
          <c:smooth val="0"/>
          <c:extLst>
            <c:ext xmlns:c16="http://schemas.microsoft.com/office/drawing/2014/chart" uri="{C3380CC4-5D6E-409C-BE32-E72D297353CC}">
              <c16:uniqueId val="{0000000C-DA2F-4ADF-A349-9EBD07809C31}"/>
            </c:ext>
          </c:extLst>
        </c:ser>
        <c:ser>
          <c:idx val="11"/>
          <c:order val="11"/>
          <c:tx>
            <c:v>h=-1</c:v>
          </c:tx>
          <c:spPr>
            <a:ln w="3175">
              <a:solidFill>
                <a:srgbClr val="808080"/>
              </a:solidFill>
              <a:prstDash val="solid"/>
            </a:ln>
          </c:spPr>
          <c:marker>
            <c:symbol val="none"/>
          </c:marker>
          <c:xVal>
            <c:numLit>
              <c:formatCode>General</c:formatCode>
              <c:ptCount val="2"/>
              <c:pt idx="0">
                <c:v>-9.2936037618314966</c:v>
              </c:pt>
              <c:pt idx="1">
                <c:v>-8.9936037618314959</c:v>
              </c:pt>
            </c:numLit>
          </c:xVal>
          <c:yVal>
            <c:numLit>
              <c:formatCode>General</c:formatCode>
              <c:ptCount val="2"/>
              <c:pt idx="0">
                <c:v>3.2187221990757462E-3</c:v>
              </c:pt>
              <c:pt idx="1">
                <c:v>3.102293118611757E-3</c:v>
              </c:pt>
            </c:numLit>
          </c:yVal>
          <c:smooth val="0"/>
          <c:extLst>
            <c:ext xmlns:c16="http://schemas.microsoft.com/office/drawing/2014/chart" uri="{C3380CC4-5D6E-409C-BE32-E72D297353CC}">
              <c16:uniqueId val="{0000000D-DA2F-4ADF-A349-9EBD07809C31}"/>
            </c:ext>
          </c:extLst>
        </c:ser>
        <c:ser>
          <c:idx val="12"/>
          <c:order val="12"/>
          <c:tx>
            <c:v>h=0</c:v>
          </c:tx>
          <c:spPr>
            <a:ln w="3175">
              <a:solidFill>
                <a:srgbClr val="808080"/>
              </a:solidFill>
              <a:prstDash val="solid"/>
            </a:ln>
          </c:spPr>
          <c:marker>
            <c:symbol val="none"/>
          </c:marker>
          <c:dLbls>
            <c:dLbl>
              <c:idx val="0"/>
              <c:layout>
                <c:manualLayout>
                  <c:x val="-2.8094242125984253E-2"/>
                  <c:y val="-6.52567467528113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-8.9851949801301618</c:v>
              </c:pt>
              <c:pt idx="1">
                <c:v>0</c:v>
              </c:pt>
            </c:numLit>
          </c:xVal>
          <c:yVal>
            <c:numLit>
              <c:formatCode>General</c:formatCode>
              <c:ptCount val="2"/>
              <c:pt idx="0">
                <c:v>3.4846207208985907E-3</c:v>
              </c:pt>
              <c:pt idx="1">
                <c:v>0</c:v>
              </c:pt>
            </c:numLit>
          </c:yVal>
          <c:smooth val="0"/>
          <c:extLst>
            <c:ext xmlns:c16="http://schemas.microsoft.com/office/drawing/2014/chart" uri="{C3380CC4-5D6E-409C-BE32-E72D297353CC}">
              <c16:uniqueId val="{0000000F-DA2F-4ADF-A349-9EBD07809C31}"/>
            </c:ext>
          </c:extLst>
        </c:ser>
        <c:ser>
          <c:idx val="13"/>
          <c:order val="13"/>
          <c:tx>
            <c:v>h=1</c:v>
          </c:tx>
          <c:spPr>
            <a:ln w="3175">
              <a:solidFill>
                <a:srgbClr val="808080"/>
              </a:solidFill>
              <a:prstDash val="solid"/>
            </a:ln>
          </c:spPr>
          <c:marker>
            <c:symbol val="none"/>
          </c:marker>
          <c:xVal>
            <c:numLit>
              <c:formatCode>General</c:formatCode>
              <c:ptCount val="2"/>
              <c:pt idx="0">
                <c:v>-8.6767861984288288</c:v>
              </c:pt>
              <c:pt idx="1">
                <c:v>-8.3767861984288281</c:v>
              </c:pt>
            </c:numLit>
          </c:xVal>
          <c:yVal>
            <c:numLit>
              <c:formatCode>General</c:formatCode>
              <c:ptCount val="2"/>
              <c:pt idx="0">
                <c:v>3.7505192427214353E-3</c:v>
              </c:pt>
              <c:pt idx="1">
                <c:v>3.6342455388548439E-3</c:v>
              </c:pt>
            </c:numLit>
          </c:yVal>
          <c:smooth val="0"/>
          <c:extLst>
            <c:ext xmlns:c16="http://schemas.microsoft.com/office/drawing/2014/chart" uri="{C3380CC4-5D6E-409C-BE32-E72D297353CC}">
              <c16:uniqueId val="{00000010-DA2F-4ADF-A349-9EBD07809C31}"/>
            </c:ext>
          </c:extLst>
        </c:ser>
        <c:ser>
          <c:idx val="14"/>
          <c:order val="14"/>
          <c:tx>
            <c:v>h=2</c:v>
          </c:tx>
          <c:spPr>
            <a:ln w="3175">
              <a:solidFill>
                <a:srgbClr val="808080"/>
              </a:solidFill>
              <a:prstDash val="solid"/>
            </a:ln>
          </c:spPr>
          <c:marker>
            <c:symbol val="none"/>
          </c:marker>
          <c:xVal>
            <c:numLit>
              <c:formatCode>General</c:formatCode>
              <c:ptCount val="2"/>
              <c:pt idx="0">
                <c:v>-8.3683774167274958</c:v>
              </c:pt>
              <c:pt idx="1">
                <c:v>-8.0683774167274951</c:v>
              </c:pt>
            </c:numLit>
          </c:xVal>
          <c:yVal>
            <c:numLit>
              <c:formatCode>General</c:formatCode>
              <c:ptCount val="2"/>
              <c:pt idx="0">
                <c:v>4.0164177645442799E-3</c:v>
              </c:pt>
              <c:pt idx="1">
                <c:v>3.9002062030882552E-3</c:v>
              </c:pt>
            </c:numLit>
          </c:yVal>
          <c:smooth val="0"/>
          <c:extLst>
            <c:ext xmlns:c16="http://schemas.microsoft.com/office/drawing/2014/chart" uri="{C3380CC4-5D6E-409C-BE32-E72D297353CC}">
              <c16:uniqueId val="{00000011-DA2F-4ADF-A349-9EBD07809C31}"/>
            </c:ext>
          </c:extLst>
        </c:ser>
        <c:ser>
          <c:idx val="15"/>
          <c:order val="15"/>
          <c:tx>
            <c:v>h=3</c:v>
          </c:tx>
          <c:spPr>
            <a:ln w="3175">
              <a:solidFill>
                <a:srgbClr val="808080"/>
              </a:solidFill>
              <a:prstDash val="solid"/>
            </a:ln>
          </c:spPr>
          <c:marker>
            <c:symbol val="none"/>
          </c:marker>
          <c:xVal>
            <c:numLit>
              <c:formatCode>General</c:formatCode>
              <c:ptCount val="2"/>
              <c:pt idx="0">
                <c:v>-8.059968635026161</c:v>
              </c:pt>
              <c:pt idx="1">
                <c:v>-7.7599686350261612</c:v>
              </c:pt>
            </c:numLit>
          </c:xVal>
          <c:yVal>
            <c:numLit>
              <c:formatCode>General</c:formatCode>
              <c:ptCount val="2"/>
              <c:pt idx="0">
                <c:v>4.282316286367124E-3</c:v>
              </c:pt>
              <c:pt idx="1">
                <c:v>4.1661590956639247E-3</c:v>
              </c:pt>
            </c:numLit>
          </c:yVal>
          <c:smooth val="0"/>
          <c:extLst>
            <c:ext xmlns:c16="http://schemas.microsoft.com/office/drawing/2014/chart" uri="{C3380CC4-5D6E-409C-BE32-E72D297353CC}">
              <c16:uniqueId val="{00000012-DA2F-4ADF-A349-9EBD07809C31}"/>
            </c:ext>
          </c:extLst>
        </c:ser>
        <c:ser>
          <c:idx val="16"/>
          <c:order val="16"/>
          <c:tx>
            <c:v>h=4</c:v>
          </c:tx>
          <c:spPr>
            <a:ln w="3175">
              <a:solidFill>
                <a:srgbClr val="808080"/>
              </a:solidFill>
              <a:prstDash val="solid"/>
            </a:ln>
          </c:spPr>
          <c:marker>
            <c:symbol val="none"/>
          </c:marker>
          <c:xVal>
            <c:numLit>
              <c:formatCode>General</c:formatCode>
              <c:ptCount val="2"/>
              <c:pt idx="0">
                <c:v>-7.751559853324828</c:v>
              </c:pt>
              <c:pt idx="1">
                <c:v>-7.4515598533248282</c:v>
              </c:pt>
            </c:numLit>
          </c:xVal>
          <c:yVal>
            <c:numLit>
              <c:formatCode>General</c:formatCode>
              <c:ptCount val="2"/>
              <c:pt idx="0">
                <c:v>4.5482148081899682E-3</c:v>
              </c:pt>
              <c:pt idx="1">
                <c:v>4.4321055886916774E-3</c:v>
              </c:pt>
            </c:numLit>
          </c:yVal>
          <c:smooth val="0"/>
          <c:extLst>
            <c:ext xmlns:c16="http://schemas.microsoft.com/office/drawing/2014/chart" uri="{C3380CC4-5D6E-409C-BE32-E72D297353CC}">
              <c16:uniqueId val="{00000013-DA2F-4ADF-A349-9EBD07809C31}"/>
            </c:ext>
          </c:extLst>
        </c:ser>
        <c:ser>
          <c:idx val="17"/>
          <c:order val="17"/>
          <c:tx>
            <c:v>h=5</c:v>
          </c:tx>
          <c:spPr>
            <a:ln w="3175">
              <a:solidFill>
                <a:srgbClr val="808080"/>
              </a:solidFill>
              <a:prstDash val="solid"/>
            </a:ln>
          </c:spPr>
          <c:marker>
            <c:symbol val="none"/>
          </c:marker>
          <c:dLbls>
            <c:dLbl>
              <c:idx val="0"/>
              <c:layout>
                <c:manualLayout>
                  <c:x val="-2.809424212598426E-2"/>
                  <c:y val="-6.52567467528113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-7.4431510716234941</c:v>
              </c:pt>
              <c:pt idx="1">
                <c:v>5</c:v>
              </c:pt>
            </c:numLit>
          </c:xVal>
          <c:yVal>
            <c:numLit>
              <c:formatCode>General</c:formatCode>
              <c:ptCount val="2"/>
              <c:pt idx="0">
                <c:v>4.8141133300128132E-3</c:v>
              </c:pt>
              <c:pt idx="1">
                <c:v>0</c:v>
              </c:pt>
            </c:numLit>
          </c:yVal>
          <c:smooth val="0"/>
          <c:extLst>
            <c:ext xmlns:c16="http://schemas.microsoft.com/office/drawing/2014/chart" uri="{C3380CC4-5D6E-409C-BE32-E72D297353CC}">
              <c16:uniqueId val="{00000015-DA2F-4ADF-A349-9EBD07809C31}"/>
            </c:ext>
          </c:extLst>
        </c:ser>
        <c:ser>
          <c:idx val="18"/>
          <c:order val="18"/>
          <c:tx>
            <c:v>h=6</c:v>
          </c:tx>
          <c:spPr>
            <a:ln w="3175">
              <a:solidFill>
                <a:srgbClr val="808080"/>
              </a:solidFill>
              <a:prstDash val="solid"/>
            </a:ln>
          </c:spPr>
          <c:marker>
            <c:symbol val="none"/>
          </c:marker>
          <c:xVal>
            <c:numLit>
              <c:formatCode>General</c:formatCode>
              <c:ptCount val="2"/>
              <c:pt idx="0">
                <c:v>-7.1347422899221611</c:v>
              </c:pt>
              <c:pt idx="1">
                <c:v>-6.8347422899221613</c:v>
              </c:pt>
            </c:numLit>
          </c:xVal>
          <c:yVal>
            <c:numLit>
              <c:formatCode>General</c:formatCode>
              <c:ptCount val="2"/>
              <c:pt idx="0">
                <c:v>5.0800118518356573E-3</c:v>
              </c:pt>
              <c:pt idx="1">
                <c:v>4.9639834196128175E-3</c:v>
              </c:pt>
            </c:numLit>
          </c:yVal>
          <c:smooth val="0"/>
          <c:extLst>
            <c:ext xmlns:c16="http://schemas.microsoft.com/office/drawing/2014/chart" uri="{C3380CC4-5D6E-409C-BE32-E72D297353CC}">
              <c16:uniqueId val="{00000016-DA2F-4ADF-A349-9EBD07809C31}"/>
            </c:ext>
          </c:extLst>
        </c:ser>
        <c:ser>
          <c:idx val="19"/>
          <c:order val="19"/>
          <c:tx>
            <c:v>h=7</c:v>
          </c:tx>
          <c:spPr>
            <a:ln w="3175">
              <a:solidFill>
                <a:srgbClr val="808080"/>
              </a:solidFill>
              <a:prstDash val="solid"/>
            </a:ln>
          </c:spPr>
          <c:marker>
            <c:symbol val="none"/>
          </c:marker>
          <c:xVal>
            <c:numLit>
              <c:formatCode>General</c:formatCode>
              <c:ptCount val="2"/>
              <c:pt idx="0">
                <c:v>-6.8263335082208272</c:v>
              </c:pt>
              <c:pt idx="1">
                <c:v>-6.5263335082208274</c:v>
              </c:pt>
            </c:numLit>
          </c:xVal>
          <c:yVal>
            <c:numLit>
              <c:formatCode>General</c:formatCode>
              <c:ptCount val="2"/>
              <c:pt idx="0">
                <c:v>5.3459103736585014E-3</c:v>
              </c:pt>
              <c:pt idx="1">
                <c:v>5.2299162736214972E-3</c:v>
              </c:pt>
            </c:numLit>
          </c:yVal>
          <c:smooth val="0"/>
          <c:extLst>
            <c:ext xmlns:c16="http://schemas.microsoft.com/office/drawing/2014/chart" uri="{C3380CC4-5D6E-409C-BE32-E72D297353CC}">
              <c16:uniqueId val="{00000017-DA2F-4ADF-A349-9EBD07809C31}"/>
            </c:ext>
          </c:extLst>
        </c:ser>
        <c:ser>
          <c:idx val="20"/>
          <c:order val="20"/>
          <c:tx>
            <c:v>h=8</c:v>
          </c:tx>
          <c:spPr>
            <a:ln w="3175">
              <a:solidFill>
                <a:srgbClr val="808080"/>
              </a:solidFill>
              <a:prstDash val="solid"/>
            </a:ln>
          </c:spPr>
          <c:marker>
            <c:symbol val="none"/>
          </c:marker>
          <c:xVal>
            <c:numLit>
              <c:formatCode>General</c:formatCode>
              <c:ptCount val="2"/>
              <c:pt idx="0">
                <c:v>-6.5179247265194933</c:v>
              </c:pt>
              <c:pt idx="1">
                <c:v>-6.2179247265194935</c:v>
              </c:pt>
            </c:numLit>
          </c:xVal>
          <c:yVal>
            <c:numLit>
              <c:formatCode>General</c:formatCode>
              <c:ptCount val="2"/>
              <c:pt idx="0">
                <c:v>5.6118088954813464E-3</c:v>
              </c:pt>
              <c:pt idx="1">
                <c:v>5.4958458566615404E-3</c:v>
              </c:pt>
            </c:numLit>
          </c:yVal>
          <c:smooth val="0"/>
          <c:extLst>
            <c:ext xmlns:c16="http://schemas.microsoft.com/office/drawing/2014/chart" uri="{C3380CC4-5D6E-409C-BE32-E72D297353CC}">
              <c16:uniqueId val="{00000018-DA2F-4ADF-A349-9EBD07809C31}"/>
            </c:ext>
          </c:extLst>
        </c:ser>
        <c:ser>
          <c:idx val="21"/>
          <c:order val="21"/>
          <c:tx>
            <c:v>h=9</c:v>
          </c:tx>
          <c:spPr>
            <a:ln w="3175">
              <a:solidFill>
                <a:srgbClr val="808080"/>
              </a:solidFill>
              <a:prstDash val="solid"/>
            </a:ln>
          </c:spPr>
          <c:marker>
            <c:symbol val="none"/>
          </c:marker>
          <c:xVal>
            <c:numLit>
              <c:formatCode>General</c:formatCode>
              <c:ptCount val="2"/>
              <c:pt idx="0">
                <c:v>-6.2095159448181603</c:v>
              </c:pt>
              <c:pt idx="1">
                <c:v>-5.9095159448181604</c:v>
              </c:pt>
            </c:numLit>
          </c:xVal>
          <c:yVal>
            <c:numLit>
              <c:formatCode>General</c:formatCode>
              <c:ptCount val="2"/>
              <c:pt idx="0">
                <c:v>5.8777074173041906E-3</c:v>
              </c:pt>
              <c:pt idx="1">
                <c:v>5.7617726149351506E-3</c:v>
              </c:pt>
            </c:numLit>
          </c:yVal>
          <c:smooth val="0"/>
          <c:extLst>
            <c:ext xmlns:c16="http://schemas.microsoft.com/office/drawing/2014/chart" uri="{C3380CC4-5D6E-409C-BE32-E72D297353CC}">
              <c16:uniqueId val="{00000019-DA2F-4ADF-A349-9EBD07809C31}"/>
            </c:ext>
          </c:extLst>
        </c:ser>
        <c:ser>
          <c:idx val="22"/>
          <c:order val="22"/>
          <c:tx>
            <c:v>h=10</c:v>
          </c:tx>
          <c:spPr>
            <a:ln w="3175">
              <a:solidFill>
                <a:srgbClr val="808080"/>
              </a:solidFill>
              <a:prstDash val="solid"/>
            </a:ln>
          </c:spPr>
          <c:marker>
            <c:symbol val="none"/>
          </c:marker>
          <c:dLbls>
            <c:dLbl>
              <c:idx val="0"/>
              <c:layout>
                <c:manualLayout>
                  <c:x val="-3.0087489063867018E-2"/>
                  <c:y val="-9.34770172959165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-5.9011071631168264</c:v>
              </c:pt>
              <c:pt idx="1">
                <c:v>10</c:v>
              </c:pt>
            </c:numLit>
          </c:xVal>
          <c:yVal>
            <c:numLit>
              <c:formatCode>General</c:formatCode>
              <c:ptCount val="2"/>
              <c:pt idx="0">
                <c:v>6.1436059391270347E-3</c:v>
              </c:pt>
              <c:pt idx="1">
                <c:v>0</c:v>
              </c:pt>
            </c:numLit>
          </c:yVal>
          <c:smooth val="0"/>
          <c:extLst>
            <c:ext xmlns:c16="http://schemas.microsoft.com/office/drawing/2014/chart" uri="{C3380CC4-5D6E-409C-BE32-E72D297353CC}">
              <c16:uniqueId val="{0000001B-DA2F-4ADF-A349-9EBD07809C31}"/>
            </c:ext>
          </c:extLst>
        </c:ser>
        <c:ser>
          <c:idx val="23"/>
          <c:order val="23"/>
          <c:tx>
            <c:v>h=11</c:v>
          </c:tx>
          <c:spPr>
            <a:ln w="3175">
              <a:solidFill>
                <a:srgbClr val="808080"/>
              </a:solidFill>
              <a:prstDash val="solid"/>
            </a:ln>
          </c:spPr>
          <c:marker>
            <c:symbol val="none"/>
          </c:marker>
          <c:xVal>
            <c:numLit>
              <c:formatCode>General</c:formatCode>
              <c:ptCount val="2"/>
              <c:pt idx="0">
                <c:v>-5.5926983814154925</c:v>
              </c:pt>
              <c:pt idx="1">
                <c:v>-5.2926983814154926</c:v>
              </c:pt>
            </c:numLit>
          </c:xVal>
          <c:yVal>
            <c:numLit>
              <c:formatCode>General</c:formatCode>
              <c:ptCount val="2"/>
              <c:pt idx="0">
                <c:v>6.4095044609498797E-3</c:v>
              </c:pt>
              <c:pt idx="1">
                <c:v>6.2936190700336779E-3</c:v>
              </c:pt>
            </c:numLit>
          </c:yVal>
          <c:smooth val="0"/>
          <c:extLst>
            <c:ext xmlns:c16="http://schemas.microsoft.com/office/drawing/2014/chart" uri="{C3380CC4-5D6E-409C-BE32-E72D297353CC}">
              <c16:uniqueId val="{0000001C-DA2F-4ADF-A349-9EBD07809C31}"/>
            </c:ext>
          </c:extLst>
        </c:ser>
        <c:ser>
          <c:idx val="24"/>
          <c:order val="24"/>
          <c:tx>
            <c:v>h=12</c:v>
          </c:tx>
          <c:spPr>
            <a:ln w="3175">
              <a:solidFill>
                <a:srgbClr val="808080"/>
              </a:solidFill>
              <a:prstDash val="solid"/>
            </a:ln>
          </c:spPr>
          <c:marker>
            <c:symbol val="none"/>
          </c:marker>
          <c:xVal>
            <c:numLit>
              <c:formatCode>General</c:formatCode>
              <c:ptCount val="2"/>
              <c:pt idx="0">
                <c:v>-5.2842895997141595</c:v>
              </c:pt>
              <c:pt idx="1">
                <c:v>-4.9842895997141596</c:v>
              </c:pt>
            </c:numLit>
          </c:xVal>
          <c:yVal>
            <c:numLit>
              <c:formatCode>General</c:formatCode>
              <c:ptCount val="2"/>
              <c:pt idx="0">
                <c:v>6.6754029827727239E-3</c:v>
              </c:pt>
              <c:pt idx="1">
                <c:v>6.5595393319539518E-3</c:v>
              </c:pt>
            </c:numLit>
          </c:yVal>
          <c:smooth val="0"/>
          <c:extLst>
            <c:ext xmlns:c16="http://schemas.microsoft.com/office/drawing/2014/chart" uri="{C3380CC4-5D6E-409C-BE32-E72D297353CC}">
              <c16:uniqueId val="{0000001D-DA2F-4ADF-A349-9EBD07809C31}"/>
            </c:ext>
          </c:extLst>
        </c:ser>
        <c:ser>
          <c:idx val="25"/>
          <c:order val="25"/>
          <c:tx>
            <c:v>h=13</c:v>
          </c:tx>
          <c:spPr>
            <a:ln w="3175">
              <a:solidFill>
                <a:srgbClr val="808080"/>
              </a:solidFill>
              <a:prstDash val="solid"/>
            </a:ln>
          </c:spPr>
          <c:marker>
            <c:symbol val="none"/>
          </c:marker>
          <c:xVal>
            <c:numLit>
              <c:formatCode>General</c:formatCode>
              <c:ptCount val="2"/>
              <c:pt idx="0">
                <c:v>-4.9758808180128256</c:v>
              </c:pt>
              <c:pt idx="1">
                <c:v>-4.6758808180128257</c:v>
              </c:pt>
            </c:numLit>
          </c:xVal>
          <c:yVal>
            <c:numLit>
              <c:formatCode>General</c:formatCode>
              <c:ptCount val="2"/>
              <c:pt idx="0">
                <c:v>6.941301504595568E-3</c:v>
              </c:pt>
              <c:pt idx="1">
                <c:v>6.8254579210482186E-3</c:v>
              </c:pt>
            </c:numLit>
          </c:yVal>
          <c:smooth val="0"/>
          <c:extLst>
            <c:ext xmlns:c16="http://schemas.microsoft.com/office/drawing/2014/chart" uri="{C3380CC4-5D6E-409C-BE32-E72D297353CC}">
              <c16:uniqueId val="{0000001E-DA2F-4ADF-A349-9EBD07809C31}"/>
            </c:ext>
          </c:extLst>
        </c:ser>
        <c:ser>
          <c:idx val="26"/>
          <c:order val="26"/>
          <c:tx>
            <c:v>h=14</c:v>
          </c:tx>
          <c:spPr>
            <a:ln w="3175">
              <a:solidFill>
                <a:srgbClr val="808080"/>
              </a:solidFill>
              <a:prstDash val="solid"/>
            </a:ln>
          </c:spPr>
          <c:marker>
            <c:symbol val="none"/>
          </c:marker>
          <c:xVal>
            <c:numLit>
              <c:formatCode>General</c:formatCode>
              <c:ptCount val="2"/>
              <c:pt idx="0">
                <c:v>-4.6674720363114925</c:v>
              </c:pt>
              <c:pt idx="1">
                <c:v>-4.3674720363114918</c:v>
              </c:pt>
            </c:numLit>
          </c:xVal>
          <c:yVal>
            <c:numLit>
              <c:formatCode>General</c:formatCode>
              <c:ptCount val="2"/>
              <c:pt idx="0">
                <c:v>7.207200026418413E-3</c:v>
              </c:pt>
              <c:pt idx="1">
                <c:v>7.0913750232407067E-3</c:v>
              </c:pt>
            </c:numLit>
          </c:yVal>
          <c:smooth val="0"/>
          <c:extLst>
            <c:ext xmlns:c16="http://schemas.microsoft.com/office/drawing/2014/chart" uri="{C3380CC4-5D6E-409C-BE32-E72D297353CC}">
              <c16:uniqueId val="{0000001F-DA2F-4ADF-A349-9EBD07809C31}"/>
            </c:ext>
          </c:extLst>
        </c:ser>
        <c:ser>
          <c:idx val="27"/>
          <c:order val="27"/>
          <c:tx>
            <c:v>h=15</c:v>
          </c:tx>
          <c:spPr>
            <a:ln w="3175">
              <a:solidFill>
                <a:srgbClr val="808080"/>
              </a:solidFill>
              <a:prstDash val="solid"/>
            </a:ln>
          </c:spPr>
          <c:marker>
            <c:symbol val="none"/>
          </c:marker>
          <c:dLbls>
            <c:dLbl>
              <c:idx val="0"/>
              <c:layout>
                <c:manualLayout>
                  <c:x val="-3.0087489063867032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-4.3590632546101586</c:v>
              </c:pt>
              <c:pt idx="1">
                <c:v>15</c:v>
              </c:pt>
            </c:numLit>
          </c:xVal>
          <c:yVal>
            <c:numLit>
              <c:formatCode>General</c:formatCode>
              <c:ptCount val="2"/>
              <c:pt idx="0">
                <c:v>7.4730985482412571E-3</c:v>
              </c:pt>
              <c:pt idx="1">
                <c:v>0</c:v>
              </c:pt>
            </c:numLit>
          </c:yVal>
          <c:smooth val="0"/>
          <c:extLst>
            <c:ext xmlns:c16="http://schemas.microsoft.com/office/drawing/2014/chart" uri="{C3380CC4-5D6E-409C-BE32-E72D297353CC}">
              <c16:uniqueId val="{00000021-DA2F-4ADF-A349-9EBD07809C31}"/>
            </c:ext>
          </c:extLst>
        </c:ser>
        <c:ser>
          <c:idx val="28"/>
          <c:order val="28"/>
          <c:tx>
            <c:v>h=16</c:v>
          </c:tx>
          <c:spPr>
            <a:ln w="3175">
              <a:solidFill>
                <a:srgbClr val="808080"/>
              </a:solidFill>
              <a:prstDash val="solid"/>
            </a:ln>
          </c:spPr>
          <c:marker>
            <c:symbol val="none"/>
          </c:marker>
          <c:xVal>
            <c:numLit>
              <c:formatCode>General</c:formatCode>
              <c:ptCount val="2"/>
              <c:pt idx="0">
                <c:v>-4.0506544729088247</c:v>
              </c:pt>
              <c:pt idx="1">
                <c:v>-3.7506544729088249</c:v>
              </c:pt>
            </c:numLit>
          </c:xVal>
          <c:yVal>
            <c:numLit>
              <c:formatCode>General</c:formatCode>
              <c:ptCount val="2"/>
              <c:pt idx="0">
                <c:v>7.7389970700641013E-3</c:v>
              </c:pt>
              <c:pt idx="1">
                <c:v>7.6232053823585373E-3</c:v>
              </c:pt>
            </c:numLit>
          </c:yVal>
          <c:smooth val="0"/>
          <c:extLst>
            <c:ext xmlns:c16="http://schemas.microsoft.com/office/drawing/2014/chart" uri="{C3380CC4-5D6E-409C-BE32-E72D297353CC}">
              <c16:uniqueId val="{00000022-DA2F-4ADF-A349-9EBD07809C31}"/>
            </c:ext>
          </c:extLst>
        </c:ser>
        <c:ser>
          <c:idx val="29"/>
          <c:order val="29"/>
          <c:tx>
            <c:v>h=17</c:v>
          </c:tx>
          <c:spPr>
            <a:ln w="3175">
              <a:solidFill>
                <a:srgbClr val="808080"/>
              </a:solidFill>
              <a:prstDash val="solid"/>
            </a:ln>
          </c:spPr>
          <c:marker>
            <c:symbol val="none"/>
          </c:marker>
          <c:xVal>
            <c:numLit>
              <c:formatCode>General</c:formatCode>
              <c:ptCount val="2"/>
              <c:pt idx="0">
                <c:v>-3.7422456912074913</c:v>
              </c:pt>
              <c:pt idx="1">
                <c:v>-3.4422456912074915</c:v>
              </c:pt>
            </c:numLit>
          </c:xVal>
          <c:yVal>
            <c:numLit>
              <c:formatCode>General</c:formatCode>
              <c:ptCount val="2"/>
              <c:pt idx="0">
                <c:v>8.0048955918869454E-3</c:v>
              </c:pt>
              <c:pt idx="1">
                <c:v>7.8891188957028839E-3</c:v>
              </c:pt>
            </c:numLit>
          </c:yVal>
          <c:smooth val="0"/>
          <c:extLst>
            <c:ext xmlns:c16="http://schemas.microsoft.com/office/drawing/2014/chart" uri="{C3380CC4-5D6E-409C-BE32-E72D297353CC}">
              <c16:uniqueId val="{00000023-DA2F-4ADF-A349-9EBD07809C31}"/>
            </c:ext>
          </c:extLst>
        </c:ser>
        <c:ser>
          <c:idx val="30"/>
          <c:order val="30"/>
          <c:tx>
            <c:v>h=18</c:v>
          </c:tx>
          <c:spPr>
            <a:ln w="3175">
              <a:solidFill>
                <a:srgbClr val="808080"/>
              </a:solidFill>
              <a:prstDash val="solid"/>
            </a:ln>
          </c:spPr>
          <c:marker>
            <c:symbol val="none"/>
          </c:marker>
          <c:xVal>
            <c:numLit>
              <c:formatCode>General</c:formatCode>
              <c:ptCount val="2"/>
              <c:pt idx="0">
                <c:v>-3.4338369095061578</c:v>
              </c:pt>
              <c:pt idx="1">
                <c:v>-3.1338369095061576</c:v>
              </c:pt>
            </c:numLit>
          </c:xVal>
          <c:yVal>
            <c:numLit>
              <c:formatCode>General</c:formatCode>
              <c:ptCount val="2"/>
              <c:pt idx="0">
                <c:v>8.2707941137097896E-3</c:v>
              </c:pt>
              <c:pt idx="1">
                <c:v>8.1550314416045221E-3</c:v>
              </c:pt>
            </c:numLit>
          </c:yVal>
          <c:smooth val="0"/>
          <c:extLst>
            <c:ext xmlns:c16="http://schemas.microsoft.com/office/drawing/2014/chart" uri="{C3380CC4-5D6E-409C-BE32-E72D297353CC}">
              <c16:uniqueId val="{00000024-DA2F-4ADF-A349-9EBD07809C31}"/>
            </c:ext>
          </c:extLst>
        </c:ser>
        <c:ser>
          <c:idx val="31"/>
          <c:order val="31"/>
          <c:tx>
            <c:v>h=19</c:v>
          </c:tx>
          <c:spPr>
            <a:ln w="3175">
              <a:solidFill>
                <a:srgbClr val="808080"/>
              </a:solidFill>
              <a:prstDash val="solid"/>
            </a:ln>
          </c:spPr>
          <c:marker>
            <c:symbol val="none"/>
          </c:marker>
          <c:xVal>
            <c:numLit>
              <c:formatCode>General</c:formatCode>
              <c:ptCount val="2"/>
              <c:pt idx="0">
                <c:v>-3.1254281278048244</c:v>
              </c:pt>
              <c:pt idx="1">
                <c:v>-2.8254281278048241</c:v>
              </c:pt>
            </c:numLit>
          </c:xVal>
          <c:yVal>
            <c:numLit>
              <c:formatCode>General</c:formatCode>
              <c:ptCount val="2"/>
              <c:pt idx="0">
                <c:v>8.5366926355326354E-3</c:v>
              </c:pt>
              <c:pt idx="1">
                <c:v>8.4209431107837157E-3</c:v>
              </c:pt>
            </c:numLit>
          </c:yVal>
          <c:smooth val="0"/>
          <c:extLst>
            <c:ext xmlns:c16="http://schemas.microsoft.com/office/drawing/2014/chart" uri="{C3380CC4-5D6E-409C-BE32-E72D297353CC}">
              <c16:uniqueId val="{00000025-DA2F-4ADF-A349-9EBD07809C31}"/>
            </c:ext>
          </c:extLst>
        </c:ser>
        <c:ser>
          <c:idx val="32"/>
          <c:order val="32"/>
          <c:tx>
            <c:v>h=20</c:v>
          </c:tx>
          <c:spPr>
            <a:ln w="3175">
              <a:solidFill>
                <a:srgbClr val="808080"/>
              </a:solidFill>
              <a:prstDash val="solid"/>
            </a:ln>
          </c:spPr>
          <c:marker>
            <c:symbol val="none"/>
          </c:marker>
          <c:dLbls>
            <c:dLbl>
              <c:idx val="0"/>
              <c:layout>
                <c:manualLayout>
                  <c:x val="-3.0087489063867018E-2"/>
                  <c:y val="-9.34770172959165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-2.8170193461034905</c:v>
              </c:pt>
              <c:pt idx="1">
                <c:v>20</c:v>
              </c:pt>
            </c:numLit>
          </c:xVal>
          <c:yVal>
            <c:numLit>
              <c:formatCode>General</c:formatCode>
              <c:ptCount val="2"/>
              <c:pt idx="0">
                <c:v>8.8025911573554796E-3</c:v>
              </c:pt>
              <c:pt idx="1">
                <c:v>0</c:v>
              </c:pt>
            </c:numLit>
          </c:yVal>
          <c:smooth val="0"/>
          <c:extLst>
            <c:ext xmlns:c16="http://schemas.microsoft.com/office/drawing/2014/chart" uri="{C3380CC4-5D6E-409C-BE32-E72D297353CC}">
              <c16:uniqueId val="{00000027-DA2F-4ADF-A349-9EBD07809C31}"/>
            </c:ext>
          </c:extLst>
        </c:ser>
        <c:ser>
          <c:idx val="33"/>
          <c:order val="33"/>
          <c:tx>
            <c:v>h=21</c:v>
          </c:tx>
          <c:spPr>
            <a:ln w="3175">
              <a:solidFill>
                <a:srgbClr val="808080"/>
              </a:solidFill>
              <a:prstDash val="solid"/>
            </a:ln>
          </c:spPr>
          <c:marker>
            <c:symbol val="none"/>
          </c:marker>
          <c:xVal>
            <c:numLit>
              <c:formatCode>General</c:formatCode>
              <c:ptCount val="2"/>
              <c:pt idx="0">
                <c:v>-2.508610564402157</c:v>
              </c:pt>
              <c:pt idx="1">
                <c:v>-2.2086105644021572</c:v>
              </c:pt>
            </c:numLit>
          </c:xVal>
          <c:yVal>
            <c:numLit>
              <c:formatCode>General</c:formatCode>
              <c:ptCount val="2"/>
              <c:pt idx="0">
                <c:v>9.0684896791783237E-3</c:v>
              </c:pt>
              <c:pt idx="1">
                <c:v>8.952764128478485E-3</c:v>
              </c:pt>
            </c:numLit>
          </c:yVal>
          <c:smooth val="0"/>
          <c:extLst>
            <c:ext xmlns:c16="http://schemas.microsoft.com/office/drawing/2014/chart" uri="{C3380CC4-5D6E-409C-BE32-E72D297353CC}">
              <c16:uniqueId val="{00000028-DA2F-4ADF-A349-9EBD07809C31}"/>
            </c:ext>
          </c:extLst>
        </c:ser>
        <c:ser>
          <c:idx val="34"/>
          <c:order val="34"/>
          <c:tx>
            <c:v>h=22</c:v>
          </c:tx>
          <c:spPr>
            <a:ln w="3175">
              <a:solidFill>
                <a:srgbClr val="808080"/>
              </a:solidFill>
              <a:prstDash val="solid"/>
            </a:ln>
          </c:spPr>
          <c:marker>
            <c:symbol val="none"/>
          </c:marker>
          <c:xVal>
            <c:numLit>
              <c:formatCode>General</c:formatCode>
              <c:ptCount val="2"/>
              <c:pt idx="0">
                <c:v>-2.2002017827008236</c:v>
              </c:pt>
              <c:pt idx="1">
                <c:v>-1.9002017827008235</c:v>
              </c:pt>
            </c:numLit>
          </c:xVal>
          <c:yVal>
            <c:numLit>
              <c:formatCode>General</c:formatCode>
              <c:ptCount val="2"/>
              <c:pt idx="0">
                <c:v>9.3343882010011679E-3</c:v>
              </c:pt>
              <c:pt idx="1">
                <c:v>9.2186736096335001E-3</c:v>
              </c:pt>
            </c:numLit>
          </c:yVal>
          <c:smooth val="0"/>
          <c:extLst>
            <c:ext xmlns:c16="http://schemas.microsoft.com/office/drawing/2014/chart" uri="{C3380CC4-5D6E-409C-BE32-E72D297353CC}">
              <c16:uniqueId val="{00000029-DA2F-4ADF-A349-9EBD07809C31}"/>
            </c:ext>
          </c:extLst>
        </c:ser>
        <c:ser>
          <c:idx val="35"/>
          <c:order val="35"/>
          <c:tx>
            <c:v>h=23</c:v>
          </c:tx>
          <c:spPr>
            <a:ln w="3175">
              <a:solidFill>
                <a:srgbClr val="808080"/>
              </a:solidFill>
              <a:prstDash val="solid"/>
            </a:ln>
          </c:spPr>
          <c:marker>
            <c:symbol val="none"/>
          </c:marker>
          <c:xVal>
            <c:numLit>
              <c:formatCode>General</c:formatCode>
              <c:ptCount val="2"/>
              <c:pt idx="0">
                <c:v>-1.8917930009994899</c:v>
              </c:pt>
              <c:pt idx="1">
                <c:v>-1.5917930009994898</c:v>
              </c:pt>
            </c:numLit>
          </c:xVal>
          <c:yVal>
            <c:numLit>
              <c:formatCode>General</c:formatCode>
              <c:ptCount val="2"/>
              <c:pt idx="0">
                <c:v>9.600286722824012E-3</c:v>
              </c:pt>
              <c:pt idx="1">
                <c:v>9.484582481802421E-3</c:v>
              </c:pt>
            </c:numLit>
          </c:yVal>
          <c:smooth val="0"/>
          <c:extLst>
            <c:ext xmlns:c16="http://schemas.microsoft.com/office/drawing/2014/chart" uri="{C3380CC4-5D6E-409C-BE32-E72D297353CC}">
              <c16:uniqueId val="{0000002A-DA2F-4ADF-A349-9EBD07809C31}"/>
            </c:ext>
          </c:extLst>
        </c:ser>
        <c:ser>
          <c:idx val="36"/>
          <c:order val="36"/>
          <c:tx>
            <c:v>h=24</c:v>
          </c:tx>
          <c:spPr>
            <a:ln w="3175">
              <a:solidFill>
                <a:srgbClr val="808080"/>
              </a:solidFill>
              <a:prstDash val="solid"/>
            </a:ln>
          </c:spPr>
          <c:marker>
            <c:symbol val="none"/>
          </c:marker>
          <c:xVal>
            <c:numLit>
              <c:formatCode>General</c:formatCode>
              <c:ptCount val="2"/>
              <c:pt idx="0">
                <c:v>-1.5833842192981562</c:v>
              </c:pt>
              <c:pt idx="1">
                <c:v>-1.2833842192981562</c:v>
              </c:pt>
            </c:numLit>
          </c:xVal>
          <c:yVal>
            <c:numLit>
              <c:formatCode>General</c:formatCode>
              <c:ptCount val="2"/>
              <c:pt idx="0">
                <c:v>9.8661852446468561E-3</c:v>
              </c:pt>
              <c:pt idx="1">
                <c:v>9.7504907943730974E-3</c:v>
              </c:pt>
            </c:numLit>
          </c:yVal>
          <c:smooth val="0"/>
          <c:extLst>
            <c:ext xmlns:c16="http://schemas.microsoft.com/office/drawing/2014/chart" uri="{C3380CC4-5D6E-409C-BE32-E72D297353CC}">
              <c16:uniqueId val="{0000002B-DA2F-4ADF-A349-9EBD07809C31}"/>
            </c:ext>
          </c:extLst>
        </c:ser>
        <c:ser>
          <c:idx val="37"/>
          <c:order val="37"/>
          <c:tx>
            <c:v>h=25</c:v>
          </c:tx>
          <c:spPr>
            <a:ln w="3175">
              <a:solidFill>
                <a:srgbClr val="808080"/>
              </a:solidFill>
              <a:prstDash val="solid"/>
            </a:ln>
          </c:spPr>
          <c:marker>
            <c:symbol val="none"/>
          </c:marker>
          <c:dLbls>
            <c:dLbl>
              <c:idx val="0"/>
              <c:layout>
                <c:manualLayout>
                  <c:x val="-3.0087489063867018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25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-1.2749754375968227</c:v>
              </c:pt>
              <c:pt idx="1">
                <c:v>25</c:v>
              </c:pt>
            </c:numLit>
          </c:xVal>
          <c:yVal>
            <c:numLit>
              <c:formatCode>General</c:formatCode>
              <c:ptCount val="2"/>
              <c:pt idx="0">
                <c:v>1.0132083766469702E-2</c:v>
              </c:pt>
              <c:pt idx="1">
                <c:v>0</c:v>
              </c:pt>
            </c:numLit>
          </c:yVal>
          <c:smooth val="0"/>
          <c:extLst>
            <c:ext xmlns:c16="http://schemas.microsoft.com/office/drawing/2014/chart" uri="{C3380CC4-5D6E-409C-BE32-E72D297353CC}">
              <c16:uniqueId val="{0000002D-DA2F-4ADF-A349-9EBD07809C31}"/>
            </c:ext>
          </c:extLst>
        </c:ser>
        <c:ser>
          <c:idx val="38"/>
          <c:order val="38"/>
          <c:tx>
            <c:v>h=26</c:v>
          </c:tx>
          <c:spPr>
            <a:ln w="3175">
              <a:solidFill>
                <a:srgbClr val="808080"/>
              </a:solidFill>
              <a:prstDash val="solid"/>
            </a:ln>
          </c:spPr>
          <c:marker>
            <c:symbol val="none"/>
          </c:marker>
          <c:xVal>
            <c:numLit>
              <c:formatCode>General</c:formatCode>
              <c:ptCount val="2"/>
              <c:pt idx="0">
                <c:v>-0.96656665589548907</c:v>
              </c:pt>
              <c:pt idx="1">
                <c:v>-0.66656665589548902</c:v>
              </c:pt>
            </c:numLit>
          </c:xVal>
          <c:yVal>
            <c:numLit>
              <c:formatCode>General</c:formatCode>
              <c:ptCount val="2"/>
              <c:pt idx="0">
                <c:v>1.0397982288292546E-2</c:v>
              </c:pt>
              <c:pt idx="1">
                <c:v>1.0282305912938853E-2</c:v>
              </c:pt>
            </c:numLit>
          </c:yVal>
          <c:smooth val="0"/>
          <c:extLst>
            <c:ext xmlns:c16="http://schemas.microsoft.com/office/drawing/2014/chart" uri="{C3380CC4-5D6E-409C-BE32-E72D297353CC}">
              <c16:uniqueId val="{0000002E-DA2F-4ADF-A349-9EBD07809C31}"/>
            </c:ext>
          </c:extLst>
        </c:ser>
        <c:ser>
          <c:idx val="39"/>
          <c:order val="39"/>
          <c:tx>
            <c:v>h=27</c:v>
          </c:tx>
          <c:spPr>
            <a:ln w="3175">
              <a:solidFill>
                <a:srgbClr val="808080"/>
              </a:solidFill>
              <a:prstDash val="solid"/>
            </a:ln>
          </c:spPr>
          <c:marker>
            <c:symbol val="none"/>
          </c:marker>
          <c:xVal>
            <c:numLit>
              <c:formatCode>General</c:formatCode>
              <c:ptCount val="2"/>
              <c:pt idx="0">
                <c:v>-0.6581578741941555</c:v>
              </c:pt>
              <c:pt idx="1">
                <c:v>-0.35815787419415551</c:v>
              </c:pt>
            </c:numLit>
          </c:xVal>
          <c:yVal>
            <c:numLit>
              <c:formatCode>General</c:formatCode>
              <c:ptCount val="2"/>
              <c:pt idx="0">
                <c:v>1.066388081011539E-2</c:v>
              </c:pt>
              <c:pt idx="1">
                <c:v>1.0548212794277664E-2</c:v>
              </c:pt>
            </c:numLit>
          </c:yVal>
          <c:smooth val="0"/>
          <c:extLst>
            <c:ext xmlns:c16="http://schemas.microsoft.com/office/drawing/2014/chart" uri="{C3380CC4-5D6E-409C-BE32-E72D297353CC}">
              <c16:uniqueId val="{0000002F-DA2F-4ADF-A349-9EBD07809C31}"/>
            </c:ext>
          </c:extLst>
        </c:ser>
        <c:ser>
          <c:idx val="40"/>
          <c:order val="40"/>
          <c:tx>
            <c:v>h=28</c:v>
          </c:tx>
          <c:spPr>
            <a:ln w="3175">
              <a:solidFill>
                <a:srgbClr val="808080"/>
              </a:solidFill>
              <a:prstDash val="solid"/>
            </a:ln>
          </c:spPr>
          <c:marker>
            <c:symbol val="none"/>
          </c:marker>
          <c:xVal>
            <c:numLit>
              <c:formatCode>General</c:formatCode>
              <c:ptCount val="2"/>
              <c:pt idx="0">
                <c:v>-0.34974909249282188</c:v>
              </c:pt>
              <c:pt idx="1">
                <c:v>-4.9749092492821903E-2</c:v>
              </c:pt>
            </c:numLit>
          </c:xVal>
          <c:yVal>
            <c:numLit>
              <c:formatCode>General</c:formatCode>
              <c:ptCount val="2"/>
              <c:pt idx="0">
                <c:v>1.0929779331938234E-2</c:v>
              </c:pt>
              <c:pt idx="1">
                <c:v>1.0814119267756229E-2</c:v>
              </c:pt>
            </c:numLit>
          </c:yVal>
          <c:smooth val="0"/>
          <c:extLst>
            <c:ext xmlns:c16="http://schemas.microsoft.com/office/drawing/2014/chart" uri="{C3380CC4-5D6E-409C-BE32-E72D297353CC}">
              <c16:uniqueId val="{00000030-DA2F-4ADF-A349-9EBD07809C31}"/>
            </c:ext>
          </c:extLst>
        </c:ser>
        <c:ser>
          <c:idx val="41"/>
          <c:order val="41"/>
          <c:tx>
            <c:v>h=29</c:v>
          </c:tx>
          <c:spPr>
            <a:ln w="3175">
              <a:solidFill>
                <a:srgbClr val="808080"/>
              </a:solidFill>
              <a:prstDash val="solid"/>
            </a:ln>
          </c:spPr>
          <c:marker>
            <c:symbol val="none"/>
          </c:marker>
          <c:xVal>
            <c:numLit>
              <c:formatCode>General</c:formatCode>
              <c:ptCount val="2"/>
              <c:pt idx="0">
                <c:v>-4.1340310791488304E-2</c:v>
              </c:pt>
              <c:pt idx="1">
                <c:v>0.25865968920851168</c:v>
              </c:pt>
            </c:numLit>
          </c:xVal>
          <c:yVal>
            <c:numLit>
              <c:formatCode>General</c:formatCode>
              <c:ptCount val="2"/>
              <c:pt idx="0">
                <c:v>1.1195677853761079E-2</c:v>
              </c:pt>
              <c:pt idx="1">
                <c:v>1.108002536251293E-2</c:v>
              </c:pt>
            </c:numLit>
          </c:yVal>
          <c:smooth val="0"/>
          <c:extLst>
            <c:ext xmlns:c16="http://schemas.microsoft.com/office/drawing/2014/chart" uri="{C3380CC4-5D6E-409C-BE32-E72D297353CC}">
              <c16:uniqueId val="{00000031-DA2F-4ADF-A349-9EBD07809C31}"/>
            </c:ext>
          </c:extLst>
        </c:ser>
        <c:ser>
          <c:idx val="42"/>
          <c:order val="42"/>
          <c:tx>
            <c:v>h=30</c:v>
          </c:tx>
          <c:spPr>
            <a:ln w="3175">
              <a:solidFill>
                <a:srgbClr val="808080"/>
              </a:solidFill>
              <a:prstDash val="solid"/>
            </a:ln>
          </c:spPr>
          <c:marker>
            <c:symbol val="none"/>
          </c:marker>
          <c:dLbls>
            <c:dLbl>
              <c:idx val="0"/>
              <c:layout>
                <c:manualLayout>
                  <c:x val="-3.0087489063867018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0.26706847090984531</c:v>
              </c:pt>
              <c:pt idx="1">
                <c:v>30</c:v>
              </c:pt>
            </c:numLit>
          </c:xVal>
          <c:yVal>
            <c:numLit>
              <c:formatCode>General</c:formatCode>
              <c:ptCount val="2"/>
              <c:pt idx="0">
                <c:v>1.1461576375583923E-2</c:v>
              </c:pt>
              <c:pt idx="1">
                <c:v>0</c:v>
              </c:pt>
            </c:numLit>
          </c:yVal>
          <c:smooth val="0"/>
          <c:extLst>
            <c:ext xmlns:c16="http://schemas.microsoft.com/office/drawing/2014/chart" uri="{C3380CC4-5D6E-409C-BE32-E72D297353CC}">
              <c16:uniqueId val="{00000033-DA2F-4ADF-A349-9EBD07809C31}"/>
            </c:ext>
          </c:extLst>
        </c:ser>
        <c:ser>
          <c:idx val="43"/>
          <c:order val="43"/>
          <c:tx>
            <c:v>h=31</c:v>
          </c:tx>
          <c:spPr>
            <a:ln w="3175">
              <a:solidFill>
                <a:srgbClr val="808080"/>
              </a:solidFill>
              <a:prstDash val="solid"/>
            </a:ln>
          </c:spPr>
          <c:marker>
            <c:symbol val="none"/>
          </c:marker>
          <c:xVal>
            <c:numLit>
              <c:formatCode>General</c:formatCode>
              <c:ptCount val="2"/>
              <c:pt idx="0">
                <c:v>0.57547725261117888</c:v>
              </c:pt>
              <c:pt idx="1">
                <c:v>0.87547725261117881</c:v>
              </c:pt>
            </c:numLit>
          </c:xVal>
          <c:yVal>
            <c:numLit>
              <c:formatCode>General</c:formatCode>
              <c:ptCount val="2"/>
              <c:pt idx="0">
                <c:v>1.1727474897406769E-2</c:v>
              </c:pt>
              <c:pt idx="1">
                <c:v>1.1611836519167163E-2</c:v>
              </c:pt>
            </c:numLit>
          </c:yVal>
          <c:smooth val="0"/>
          <c:extLst>
            <c:ext xmlns:c16="http://schemas.microsoft.com/office/drawing/2014/chart" uri="{C3380CC4-5D6E-409C-BE32-E72D297353CC}">
              <c16:uniqueId val="{00000034-DA2F-4ADF-A349-9EBD07809C31}"/>
            </c:ext>
          </c:extLst>
        </c:ser>
        <c:ser>
          <c:idx val="44"/>
          <c:order val="44"/>
          <c:tx>
            <c:v>h=32</c:v>
          </c:tx>
          <c:spPr>
            <a:ln w="3175">
              <a:solidFill>
                <a:srgbClr val="808080"/>
              </a:solidFill>
              <a:prstDash val="solid"/>
            </a:ln>
          </c:spPr>
          <c:marker>
            <c:symbol val="none"/>
          </c:marker>
          <c:xVal>
            <c:numLit>
              <c:formatCode>General</c:formatCode>
              <c:ptCount val="2"/>
              <c:pt idx="0">
                <c:v>0.88388603431251245</c:v>
              </c:pt>
              <c:pt idx="1">
                <c:v>1.1838860343125124</c:v>
              </c:pt>
            </c:numLit>
          </c:xVal>
          <c:yVal>
            <c:numLit>
              <c:formatCode>General</c:formatCode>
              <c:ptCount val="2"/>
              <c:pt idx="0">
                <c:v>1.1993373419229613E-2</c:v>
              </c:pt>
              <c:pt idx="1">
                <c:v>1.1877741626977646E-2</c:v>
              </c:pt>
            </c:numLit>
          </c:yVal>
          <c:smooth val="0"/>
          <c:extLst>
            <c:ext xmlns:c16="http://schemas.microsoft.com/office/drawing/2014/chart" uri="{C3380CC4-5D6E-409C-BE32-E72D297353CC}">
              <c16:uniqueId val="{00000035-DA2F-4ADF-A349-9EBD07809C31}"/>
            </c:ext>
          </c:extLst>
        </c:ser>
        <c:ser>
          <c:idx val="45"/>
          <c:order val="45"/>
          <c:tx>
            <c:v>h=33</c:v>
          </c:tx>
          <c:spPr>
            <a:ln w="3175">
              <a:solidFill>
                <a:srgbClr val="808080"/>
              </a:solidFill>
              <a:prstDash val="solid"/>
            </a:ln>
          </c:spPr>
          <c:marker>
            <c:symbol val="none"/>
          </c:marker>
          <c:xVal>
            <c:numLit>
              <c:formatCode>General</c:formatCode>
              <c:ptCount val="2"/>
              <c:pt idx="0">
                <c:v>1.192294816013846</c:v>
              </c:pt>
              <c:pt idx="1">
                <c:v>1.4922948160138461</c:v>
              </c:pt>
            </c:numLit>
          </c:xVal>
          <c:yVal>
            <c:numLit>
              <c:formatCode>General</c:formatCode>
              <c:ptCount val="2"/>
              <c:pt idx="0">
                <c:v>1.2259271941052457E-2</c:v>
              </c:pt>
              <c:pt idx="1">
                <c:v>1.214364644839141E-2</c:v>
              </c:pt>
            </c:numLit>
          </c:yVal>
          <c:smooth val="0"/>
          <c:extLst>
            <c:ext xmlns:c16="http://schemas.microsoft.com/office/drawing/2014/chart" uri="{C3380CC4-5D6E-409C-BE32-E72D297353CC}">
              <c16:uniqueId val="{00000036-DA2F-4ADF-A349-9EBD07809C31}"/>
            </c:ext>
          </c:extLst>
        </c:ser>
        <c:ser>
          <c:idx val="46"/>
          <c:order val="46"/>
          <c:tx>
            <c:v>h=34</c:v>
          </c:tx>
          <c:spPr>
            <a:ln w="3175">
              <a:solidFill>
                <a:srgbClr val="808080"/>
              </a:solidFill>
              <a:prstDash val="solid"/>
            </a:ln>
          </c:spPr>
          <c:marker>
            <c:symbol val="none"/>
          </c:marker>
          <c:xVal>
            <c:numLit>
              <c:formatCode>General</c:formatCode>
              <c:ptCount val="2"/>
              <c:pt idx="0">
                <c:v>1.5007035977151797</c:v>
              </c:pt>
              <c:pt idx="1">
                <c:v>1.8007035977151795</c:v>
              </c:pt>
            </c:numLit>
          </c:xVal>
          <c:yVal>
            <c:numLit>
              <c:formatCode>General</c:formatCode>
              <c:ptCount val="2"/>
              <c:pt idx="0">
                <c:v>1.2525170462875301E-2</c:v>
              </c:pt>
              <c:pt idx="1">
                <c:v>1.2409551001692184E-2</c:v>
              </c:pt>
            </c:numLit>
          </c:yVal>
          <c:smooth val="0"/>
          <c:extLst>
            <c:ext xmlns:c16="http://schemas.microsoft.com/office/drawing/2014/chart" uri="{C3380CC4-5D6E-409C-BE32-E72D297353CC}">
              <c16:uniqueId val="{00000037-DA2F-4ADF-A349-9EBD07809C31}"/>
            </c:ext>
          </c:extLst>
        </c:ser>
        <c:ser>
          <c:idx val="47"/>
          <c:order val="47"/>
          <c:tx>
            <c:v>h=35</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35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1.8091123794165131</c:v>
              </c:pt>
              <c:pt idx="1">
                <c:v>35</c:v>
              </c:pt>
            </c:numLit>
          </c:xVal>
          <c:yVal>
            <c:numLit>
              <c:formatCode>General</c:formatCode>
              <c:ptCount val="2"/>
              <c:pt idx="0">
                <c:v>1.2791068984698145E-2</c:v>
              </c:pt>
              <c:pt idx="1">
                <c:v>0</c:v>
              </c:pt>
            </c:numLit>
          </c:yVal>
          <c:smooth val="0"/>
          <c:extLst>
            <c:ext xmlns:c16="http://schemas.microsoft.com/office/drawing/2014/chart" uri="{C3380CC4-5D6E-409C-BE32-E72D297353CC}">
              <c16:uniqueId val="{00000039-DA2F-4ADF-A349-9EBD07809C31}"/>
            </c:ext>
          </c:extLst>
        </c:ser>
        <c:ser>
          <c:idx val="48"/>
          <c:order val="48"/>
          <c:tx>
            <c:v>h=36</c:v>
          </c:tx>
          <c:spPr>
            <a:ln w="3175">
              <a:solidFill>
                <a:srgbClr val="808080"/>
              </a:solidFill>
              <a:prstDash val="solid"/>
            </a:ln>
          </c:spPr>
          <c:marker>
            <c:symbol val="none"/>
          </c:marker>
          <c:xVal>
            <c:numLit>
              <c:formatCode>General</c:formatCode>
              <c:ptCount val="2"/>
              <c:pt idx="0">
                <c:v>2.1175211611178466</c:v>
              </c:pt>
              <c:pt idx="1">
                <c:v>2.4175211611178469</c:v>
              </c:pt>
            </c:numLit>
          </c:xVal>
          <c:yVal>
            <c:numLit>
              <c:formatCode>General</c:formatCode>
              <c:ptCount val="2"/>
              <c:pt idx="0">
                <c:v>1.3056967506520989E-2</c:v>
              </c:pt>
              <c:pt idx="1">
                <c:v>1.2941359369625727E-2</c:v>
              </c:pt>
            </c:numLit>
          </c:yVal>
          <c:smooth val="0"/>
          <c:extLst>
            <c:ext xmlns:c16="http://schemas.microsoft.com/office/drawing/2014/chart" uri="{C3380CC4-5D6E-409C-BE32-E72D297353CC}">
              <c16:uniqueId val="{0000003A-DA2F-4ADF-A349-9EBD07809C31}"/>
            </c:ext>
          </c:extLst>
        </c:ser>
        <c:ser>
          <c:idx val="49"/>
          <c:order val="49"/>
          <c:tx>
            <c:v>h=37</c:v>
          </c:tx>
          <c:spPr>
            <a:ln w="3175">
              <a:solidFill>
                <a:srgbClr val="808080"/>
              </a:solidFill>
              <a:prstDash val="solid"/>
            </a:ln>
          </c:spPr>
          <c:marker>
            <c:symbol val="none"/>
          </c:marker>
          <c:xVal>
            <c:numLit>
              <c:formatCode>General</c:formatCode>
              <c:ptCount val="2"/>
              <c:pt idx="0">
                <c:v>2.4259299428191805</c:v>
              </c:pt>
              <c:pt idx="1">
                <c:v>2.7259299428191803</c:v>
              </c:pt>
            </c:numLit>
          </c:xVal>
          <c:yVal>
            <c:numLit>
              <c:formatCode>General</c:formatCode>
              <c:ptCount val="2"/>
              <c:pt idx="0">
                <c:v>1.3322866028343833E-2</c:v>
              </c:pt>
              <c:pt idx="1">
                <c:v>1.3207263213809909E-2</c:v>
              </c:pt>
            </c:numLit>
          </c:yVal>
          <c:smooth val="0"/>
          <c:extLst>
            <c:ext xmlns:c16="http://schemas.microsoft.com/office/drawing/2014/chart" uri="{C3380CC4-5D6E-409C-BE32-E72D297353CC}">
              <c16:uniqueId val="{0000003B-DA2F-4ADF-A349-9EBD07809C31}"/>
            </c:ext>
          </c:extLst>
        </c:ser>
        <c:ser>
          <c:idx val="50"/>
          <c:order val="50"/>
          <c:tx>
            <c:v>h=38</c:v>
          </c:tx>
          <c:spPr>
            <a:ln w="3175">
              <a:solidFill>
                <a:srgbClr val="808080"/>
              </a:solidFill>
              <a:prstDash val="solid"/>
            </a:ln>
          </c:spPr>
          <c:marker>
            <c:symbol val="none"/>
          </c:marker>
          <c:xVal>
            <c:numLit>
              <c:formatCode>General</c:formatCode>
              <c:ptCount val="2"/>
              <c:pt idx="0">
                <c:v>2.734338724520514</c:v>
              </c:pt>
              <c:pt idx="1">
                <c:v>3.0343387245205138</c:v>
              </c:pt>
            </c:numLit>
          </c:xVal>
          <c:yVal>
            <c:numLit>
              <c:formatCode>General</c:formatCode>
              <c:ptCount val="2"/>
              <c:pt idx="0">
                <c:v>1.3588764550166679E-2</c:v>
              </c:pt>
              <c:pt idx="1">
                <c:v>1.3473166849241543E-2</c:v>
              </c:pt>
            </c:numLit>
          </c:yVal>
          <c:smooth val="0"/>
          <c:extLst>
            <c:ext xmlns:c16="http://schemas.microsoft.com/office/drawing/2014/chart" uri="{C3380CC4-5D6E-409C-BE32-E72D297353CC}">
              <c16:uniqueId val="{0000003C-DA2F-4ADF-A349-9EBD07809C31}"/>
            </c:ext>
          </c:extLst>
        </c:ser>
        <c:ser>
          <c:idx val="51"/>
          <c:order val="51"/>
          <c:tx>
            <c:v>h=39</c:v>
          </c:tx>
          <c:spPr>
            <a:ln w="3175">
              <a:solidFill>
                <a:srgbClr val="808080"/>
              </a:solidFill>
              <a:prstDash val="solid"/>
            </a:ln>
          </c:spPr>
          <c:marker>
            <c:symbol val="none"/>
          </c:marker>
          <c:xVal>
            <c:numLit>
              <c:formatCode>General</c:formatCode>
              <c:ptCount val="2"/>
              <c:pt idx="0">
                <c:v>3.0427475062218474</c:v>
              </c:pt>
              <c:pt idx="1">
                <c:v>3.3427475062218477</c:v>
              </c:pt>
            </c:numLit>
          </c:xVal>
          <c:yVal>
            <c:numLit>
              <c:formatCode>General</c:formatCode>
              <c:ptCount val="2"/>
              <c:pt idx="0">
                <c:v>1.3854663071989523E-2</c:v>
              </c:pt>
              <c:pt idx="1">
                <c:v>1.3739070287965881E-2</c:v>
              </c:pt>
            </c:numLit>
          </c:yVal>
          <c:smooth val="0"/>
          <c:extLst>
            <c:ext xmlns:c16="http://schemas.microsoft.com/office/drawing/2014/chart" uri="{C3380CC4-5D6E-409C-BE32-E72D297353CC}">
              <c16:uniqueId val="{0000003D-DA2F-4ADF-A349-9EBD07809C31}"/>
            </c:ext>
          </c:extLst>
        </c:ser>
        <c:ser>
          <c:idx val="52"/>
          <c:order val="52"/>
          <c:tx>
            <c:v>h=40</c:v>
          </c:tx>
          <c:spPr>
            <a:ln w="3175">
              <a:solidFill>
                <a:srgbClr val="808080"/>
              </a:solidFill>
              <a:prstDash val="solid"/>
            </a:ln>
          </c:spPr>
          <c:marker>
            <c:symbol val="none"/>
          </c:marker>
          <c:dLbls>
            <c:dLbl>
              <c:idx val="0"/>
              <c:layout>
                <c:manualLayout>
                  <c:x val="-3.0087489063867049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40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3.3511562879231813</c:v>
              </c:pt>
              <c:pt idx="1">
                <c:v>40</c:v>
              </c:pt>
            </c:numLit>
          </c:xVal>
          <c:yVal>
            <c:numLit>
              <c:formatCode>General</c:formatCode>
              <c:ptCount val="2"/>
              <c:pt idx="0">
                <c:v>1.4120561593812368E-2</c:v>
              </c:pt>
              <c:pt idx="1">
                <c:v>0</c:v>
              </c:pt>
            </c:numLit>
          </c:yVal>
          <c:smooth val="0"/>
          <c:extLst>
            <c:ext xmlns:c16="http://schemas.microsoft.com/office/drawing/2014/chart" uri="{C3380CC4-5D6E-409C-BE32-E72D297353CC}">
              <c16:uniqueId val="{0000003F-DA2F-4ADF-A349-9EBD07809C31}"/>
            </c:ext>
          </c:extLst>
        </c:ser>
        <c:ser>
          <c:idx val="53"/>
          <c:order val="53"/>
          <c:tx>
            <c:v>h=41</c:v>
          </c:tx>
          <c:spPr>
            <a:ln w="3175">
              <a:solidFill>
                <a:srgbClr val="808080"/>
              </a:solidFill>
              <a:prstDash val="solid"/>
            </a:ln>
          </c:spPr>
          <c:marker>
            <c:symbol val="none"/>
          </c:marker>
          <c:xVal>
            <c:numLit>
              <c:formatCode>General</c:formatCode>
              <c:ptCount val="2"/>
              <c:pt idx="0">
                <c:v>3.6595650696245148</c:v>
              </c:pt>
              <c:pt idx="1">
                <c:v>3.9595650696245146</c:v>
              </c:pt>
            </c:numLit>
          </c:xVal>
          <c:yVal>
            <c:numLit>
              <c:formatCode>General</c:formatCode>
              <c:ptCount val="2"/>
              <c:pt idx="0">
                <c:v>1.4386460115635212E-2</c:v>
              </c:pt>
              <c:pt idx="1">
                <c:v>1.4270876619011833E-2</c:v>
              </c:pt>
            </c:numLit>
          </c:yVal>
          <c:smooth val="0"/>
          <c:extLst>
            <c:ext xmlns:c16="http://schemas.microsoft.com/office/drawing/2014/chart" uri="{C3380CC4-5D6E-409C-BE32-E72D297353CC}">
              <c16:uniqueId val="{00000040-DA2F-4ADF-A349-9EBD07809C31}"/>
            </c:ext>
          </c:extLst>
        </c:ser>
        <c:ser>
          <c:idx val="54"/>
          <c:order val="54"/>
          <c:tx>
            <c:v>h=42</c:v>
          </c:tx>
          <c:spPr>
            <a:ln w="3175">
              <a:solidFill>
                <a:srgbClr val="808080"/>
              </a:solidFill>
              <a:prstDash val="solid"/>
            </a:ln>
          </c:spPr>
          <c:marker>
            <c:symbol val="none"/>
          </c:marker>
          <c:xVal>
            <c:numLit>
              <c:formatCode>General</c:formatCode>
              <c:ptCount val="2"/>
              <c:pt idx="0">
                <c:v>3.9679738513258482</c:v>
              </c:pt>
              <c:pt idx="1">
                <c:v>4.2679738513258485</c:v>
              </c:pt>
            </c:numLit>
          </c:xVal>
          <c:yVal>
            <c:numLit>
              <c:formatCode>General</c:formatCode>
              <c:ptCount val="2"/>
              <c:pt idx="0">
                <c:v>1.4652358637458056E-2</c:v>
              </c:pt>
              <c:pt idx="1">
                <c:v>1.4536779531205505E-2</c:v>
              </c:pt>
            </c:numLit>
          </c:yVal>
          <c:smooth val="0"/>
          <c:extLst>
            <c:ext xmlns:c16="http://schemas.microsoft.com/office/drawing/2014/chart" uri="{C3380CC4-5D6E-409C-BE32-E72D297353CC}">
              <c16:uniqueId val="{00000041-DA2F-4ADF-A349-9EBD07809C31}"/>
            </c:ext>
          </c:extLst>
        </c:ser>
        <c:ser>
          <c:idx val="55"/>
          <c:order val="55"/>
          <c:tx>
            <c:v>h=43</c:v>
          </c:tx>
          <c:spPr>
            <a:ln w="3175">
              <a:solidFill>
                <a:srgbClr val="808080"/>
              </a:solidFill>
              <a:prstDash val="solid"/>
            </a:ln>
          </c:spPr>
          <c:marker>
            <c:symbol val="none"/>
          </c:marker>
          <c:xVal>
            <c:numLit>
              <c:formatCode>General</c:formatCode>
              <c:ptCount val="2"/>
              <c:pt idx="0">
                <c:v>4.2763826330271817</c:v>
              </c:pt>
              <c:pt idx="1">
                <c:v>4.5763826330271815</c:v>
              </c:pt>
            </c:numLit>
          </c:xVal>
          <c:yVal>
            <c:numLit>
              <c:formatCode>General</c:formatCode>
              <c:ptCount val="2"/>
              <c:pt idx="0">
                <c:v>1.49182571592809E-2</c:v>
              </c:pt>
              <c:pt idx="1">
                <c:v>1.4802682286577985E-2</c:v>
              </c:pt>
            </c:numLit>
          </c:yVal>
          <c:smooth val="0"/>
          <c:extLst>
            <c:ext xmlns:c16="http://schemas.microsoft.com/office/drawing/2014/chart" uri="{C3380CC4-5D6E-409C-BE32-E72D297353CC}">
              <c16:uniqueId val="{00000042-DA2F-4ADF-A349-9EBD07809C31}"/>
            </c:ext>
          </c:extLst>
        </c:ser>
        <c:ser>
          <c:idx val="56"/>
          <c:order val="56"/>
          <c:tx>
            <c:v>h=44</c:v>
          </c:tx>
          <c:spPr>
            <a:ln w="3175">
              <a:solidFill>
                <a:srgbClr val="808080"/>
              </a:solidFill>
              <a:prstDash val="solid"/>
            </a:ln>
          </c:spPr>
          <c:marker>
            <c:symbol val="none"/>
          </c:marker>
          <c:xVal>
            <c:numLit>
              <c:formatCode>General</c:formatCode>
              <c:ptCount val="2"/>
              <c:pt idx="0">
                <c:v>4.5847914147285156</c:v>
              </c:pt>
              <c:pt idx="1">
                <c:v>4.8847914147285154</c:v>
              </c:pt>
            </c:numLit>
          </c:xVal>
          <c:yVal>
            <c:numLit>
              <c:formatCode>General</c:formatCode>
              <c:ptCount val="2"/>
              <c:pt idx="0">
                <c:v>1.5184155681103746E-2</c:v>
              </c:pt>
              <c:pt idx="1">
                <c:v>1.5068584893384172E-2</c:v>
              </c:pt>
            </c:numLit>
          </c:yVal>
          <c:smooth val="0"/>
          <c:extLst>
            <c:ext xmlns:c16="http://schemas.microsoft.com/office/drawing/2014/chart" uri="{C3380CC4-5D6E-409C-BE32-E72D297353CC}">
              <c16:uniqueId val="{00000043-DA2F-4ADF-A349-9EBD07809C31}"/>
            </c:ext>
          </c:extLst>
        </c:ser>
        <c:ser>
          <c:idx val="57"/>
          <c:order val="57"/>
          <c:tx>
            <c:v>h=45</c:v>
          </c:tx>
          <c:spPr>
            <a:ln w="3175">
              <a:solidFill>
                <a:srgbClr val="808080"/>
              </a:solidFill>
              <a:prstDash val="solid"/>
            </a:ln>
          </c:spPr>
          <c:marker>
            <c:symbol val="none"/>
          </c:marker>
          <c:dLbls>
            <c:dLbl>
              <c:idx val="0"/>
              <c:layout>
                <c:manualLayout>
                  <c:x val="-3.0087489063867049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45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4-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4.8932001964298495</c:v>
              </c:pt>
              <c:pt idx="1">
                <c:v>45</c:v>
              </c:pt>
            </c:numLit>
          </c:xVal>
          <c:yVal>
            <c:numLit>
              <c:formatCode>General</c:formatCode>
              <c:ptCount val="2"/>
              <c:pt idx="0">
                <c:v>1.545005420292659E-2</c:v>
              </c:pt>
              <c:pt idx="1">
                <c:v>0</c:v>
              </c:pt>
            </c:numLit>
          </c:yVal>
          <c:smooth val="0"/>
          <c:extLst>
            <c:ext xmlns:c16="http://schemas.microsoft.com/office/drawing/2014/chart" uri="{C3380CC4-5D6E-409C-BE32-E72D297353CC}">
              <c16:uniqueId val="{00000045-DA2F-4ADF-A349-9EBD07809C31}"/>
            </c:ext>
          </c:extLst>
        </c:ser>
        <c:ser>
          <c:idx val="58"/>
          <c:order val="58"/>
          <c:tx>
            <c:v>h=46</c:v>
          </c:tx>
          <c:spPr>
            <a:ln w="3175">
              <a:solidFill>
                <a:srgbClr val="808080"/>
              </a:solidFill>
              <a:prstDash val="solid"/>
            </a:ln>
          </c:spPr>
          <c:marker>
            <c:symbol val="none"/>
          </c:marker>
          <c:xVal>
            <c:numLit>
              <c:formatCode>General</c:formatCode>
              <c:ptCount val="2"/>
              <c:pt idx="0">
                <c:v>5.2016089781311825</c:v>
              </c:pt>
              <c:pt idx="1">
                <c:v>5.5016089781311823</c:v>
              </c:pt>
            </c:numLit>
          </c:xVal>
          <c:yVal>
            <c:numLit>
              <c:formatCode>General</c:formatCode>
              <c:ptCount val="2"/>
              <c:pt idx="0">
                <c:v>1.5715952724749432E-2</c:v>
              </c:pt>
              <c:pt idx="1">
                <c:v>1.5600389691518597E-2</c:v>
              </c:pt>
            </c:numLit>
          </c:yVal>
          <c:smooth val="0"/>
          <c:extLst>
            <c:ext xmlns:c16="http://schemas.microsoft.com/office/drawing/2014/chart" uri="{C3380CC4-5D6E-409C-BE32-E72D297353CC}">
              <c16:uniqueId val="{00000046-DA2F-4ADF-A349-9EBD07809C31}"/>
            </c:ext>
          </c:extLst>
        </c:ser>
        <c:ser>
          <c:idx val="59"/>
          <c:order val="59"/>
          <c:tx>
            <c:v>h=47</c:v>
          </c:tx>
          <c:spPr>
            <a:ln w="3175">
              <a:solidFill>
                <a:srgbClr val="808080"/>
              </a:solidFill>
              <a:prstDash val="solid"/>
            </a:ln>
          </c:spPr>
          <c:marker>
            <c:symbol val="none"/>
          </c:marker>
          <c:xVal>
            <c:numLit>
              <c:formatCode>General</c:formatCode>
              <c:ptCount val="2"/>
              <c:pt idx="0">
                <c:v>5.5100177598325164</c:v>
              </c:pt>
              <c:pt idx="1">
                <c:v>5.8100177598325162</c:v>
              </c:pt>
            </c:numLit>
          </c:xVal>
          <c:yVal>
            <c:numLit>
              <c:formatCode>General</c:formatCode>
              <c:ptCount val="2"/>
              <c:pt idx="0">
                <c:v>1.5981851246572278E-2</c:v>
              </c:pt>
              <c:pt idx="1">
                <c:v>1.5866291896697939E-2</c:v>
              </c:pt>
            </c:numLit>
          </c:yVal>
          <c:smooth val="0"/>
          <c:extLst>
            <c:ext xmlns:c16="http://schemas.microsoft.com/office/drawing/2014/chart" uri="{C3380CC4-5D6E-409C-BE32-E72D297353CC}">
              <c16:uniqueId val="{00000047-DA2F-4ADF-A349-9EBD07809C31}"/>
            </c:ext>
          </c:extLst>
        </c:ser>
        <c:ser>
          <c:idx val="60"/>
          <c:order val="60"/>
          <c:tx>
            <c:v>h=48</c:v>
          </c:tx>
          <c:spPr>
            <a:ln w="3175">
              <a:solidFill>
                <a:srgbClr val="808080"/>
              </a:solidFill>
              <a:prstDash val="solid"/>
            </a:ln>
          </c:spPr>
          <c:marker>
            <c:symbol val="none"/>
          </c:marker>
          <c:xVal>
            <c:numLit>
              <c:formatCode>General</c:formatCode>
              <c:ptCount val="2"/>
              <c:pt idx="0">
                <c:v>5.8184265415338503</c:v>
              </c:pt>
              <c:pt idx="1">
                <c:v>6.1184265415338501</c:v>
              </c:pt>
            </c:numLit>
          </c:xVal>
          <c:yVal>
            <c:numLit>
              <c:formatCode>General</c:formatCode>
              <c:ptCount val="2"/>
              <c:pt idx="0">
                <c:v>1.6247749768395124E-2</c:v>
              </c:pt>
              <c:pt idx="1">
                <c:v>1.613219398109577E-2</c:v>
              </c:pt>
            </c:numLit>
          </c:yVal>
          <c:smooth val="0"/>
          <c:extLst>
            <c:ext xmlns:c16="http://schemas.microsoft.com/office/drawing/2014/chart" uri="{C3380CC4-5D6E-409C-BE32-E72D297353CC}">
              <c16:uniqueId val="{00000048-DA2F-4ADF-A349-9EBD07809C31}"/>
            </c:ext>
          </c:extLst>
        </c:ser>
        <c:ser>
          <c:idx val="61"/>
          <c:order val="61"/>
          <c:tx>
            <c:v>h=49</c:v>
          </c:tx>
          <c:spPr>
            <a:ln w="3175">
              <a:solidFill>
                <a:srgbClr val="808080"/>
              </a:solidFill>
              <a:prstDash val="solid"/>
            </a:ln>
          </c:spPr>
          <c:marker>
            <c:symbol val="none"/>
          </c:marker>
          <c:xVal>
            <c:numLit>
              <c:formatCode>General</c:formatCode>
              <c:ptCount val="2"/>
              <c:pt idx="0">
                <c:v>6.1268353232351833</c:v>
              </c:pt>
              <c:pt idx="1">
                <c:v>6.4268353232351831</c:v>
              </c:pt>
            </c:numLit>
          </c:xVal>
          <c:yVal>
            <c:numLit>
              <c:formatCode>General</c:formatCode>
              <c:ptCount val="2"/>
              <c:pt idx="0">
                <c:v>1.6513648290217967E-2</c:v>
              </c:pt>
              <c:pt idx="1">
                <c:v>1.639809595055711E-2</c:v>
              </c:pt>
            </c:numLit>
          </c:yVal>
          <c:smooth val="0"/>
          <c:extLst>
            <c:ext xmlns:c16="http://schemas.microsoft.com/office/drawing/2014/chart" uri="{C3380CC4-5D6E-409C-BE32-E72D297353CC}">
              <c16:uniqueId val="{00000049-DA2F-4ADF-A349-9EBD07809C31}"/>
            </c:ext>
          </c:extLst>
        </c:ser>
        <c:ser>
          <c:idx val="62"/>
          <c:order val="62"/>
          <c:tx>
            <c:v>h=50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A-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6.4352441049365172</c:v>
              </c:pt>
              <c:pt idx="1">
                <c:v>50</c:v>
              </c:pt>
            </c:numLit>
          </c:xVal>
          <c:yVal>
            <c:numLit>
              <c:formatCode>General</c:formatCode>
              <c:ptCount val="2"/>
              <c:pt idx="0">
                <c:v>1.6779546812040812E-2</c:v>
              </c:pt>
              <c:pt idx="1">
                <c:v>0</c:v>
              </c:pt>
            </c:numLit>
          </c:yVal>
          <c:smooth val="0"/>
          <c:extLst>
            <c:ext xmlns:c16="http://schemas.microsoft.com/office/drawing/2014/chart" uri="{C3380CC4-5D6E-409C-BE32-E72D297353CC}">
              <c16:uniqueId val="{0000004B-DA2F-4ADF-A349-9EBD07809C31}"/>
            </c:ext>
          </c:extLst>
        </c:ser>
        <c:ser>
          <c:idx val="63"/>
          <c:order val="63"/>
          <c:tx>
            <c:v>h=51</c:v>
          </c:tx>
          <c:spPr>
            <a:ln w="3175">
              <a:solidFill>
                <a:srgbClr val="808080"/>
              </a:solidFill>
              <a:prstDash val="solid"/>
            </a:ln>
          </c:spPr>
          <c:marker>
            <c:symbol val="none"/>
          </c:marker>
          <c:xVal>
            <c:numLit>
              <c:formatCode>General</c:formatCode>
              <c:ptCount val="2"/>
              <c:pt idx="0">
                <c:v>6.7436528866378502</c:v>
              </c:pt>
              <c:pt idx="1">
                <c:v>7.0436528866378509</c:v>
              </c:pt>
            </c:numLit>
          </c:xVal>
          <c:yVal>
            <c:numLit>
              <c:formatCode>General</c:formatCode>
              <c:ptCount val="2"/>
              <c:pt idx="0">
                <c:v>1.7045445333863655E-2</c:v>
              </c:pt>
              <c:pt idx="1">
                <c:v>1.692989956622358E-2</c:v>
              </c:pt>
            </c:numLit>
          </c:yVal>
          <c:smooth val="0"/>
          <c:extLst>
            <c:ext xmlns:c16="http://schemas.microsoft.com/office/drawing/2014/chart" uri="{C3380CC4-5D6E-409C-BE32-E72D297353CC}">
              <c16:uniqueId val="{0000004C-DA2F-4ADF-A349-9EBD07809C31}"/>
            </c:ext>
          </c:extLst>
        </c:ser>
        <c:ser>
          <c:idx val="64"/>
          <c:order val="64"/>
          <c:tx>
            <c:v>h=52</c:v>
          </c:tx>
          <c:spPr>
            <a:ln w="3175">
              <a:solidFill>
                <a:srgbClr val="808080"/>
              </a:solidFill>
              <a:prstDash val="solid"/>
            </a:ln>
          </c:spPr>
          <c:marker>
            <c:symbol val="none"/>
          </c:marker>
          <c:xVal>
            <c:numLit>
              <c:formatCode>General</c:formatCode>
              <c:ptCount val="2"/>
              <c:pt idx="0">
                <c:v>7.0520616683391841</c:v>
              </c:pt>
              <c:pt idx="1">
                <c:v>7.352061668339184</c:v>
              </c:pt>
            </c:numLit>
          </c:xVal>
          <c:yVal>
            <c:numLit>
              <c:formatCode>General</c:formatCode>
              <c:ptCount val="2"/>
              <c:pt idx="0">
                <c:v>1.7311343855686501E-2</c:v>
              </c:pt>
              <c:pt idx="1">
                <c:v>1.719580122237627E-2</c:v>
              </c:pt>
            </c:numLit>
          </c:yVal>
          <c:smooth val="0"/>
          <c:extLst>
            <c:ext xmlns:c16="http://schemas.microsoft.com/office/drawing/2014/chart" uri="{C3380CC4-5D6E-409C-BE32-E72D297353CC}">
              <c16:uniqueId val="{0000004D-DA2F-4ADF-A349-9EBD07809C31}"/>
            </c:ext>
          </c:extLst>
        </c:ser>
        <c:ser>
          <c:idx val="65"/>
          <c:order val="65"/>
          <c:tx>
            <c:v>h=53</c:v>
          </c:tx>
          <c:spPr>
            <a:ln w="3175">
              <a:solidFill>
                <a:srgbClr val="808080"/>
              </a:solidFill>
              <a:prstDash val="solid"/>
            </a:ln>
          </c:spPr>
          <c:marker>
            <c:symbol val="none"/>
          </c:marker>
          <c:xVal>
            <c:numLit>
              <c:formatCode>General</c:formatCode>
              <c:ptCount val="2"/>
              <c:pt idx="0">
                <c:v>7.360470450040518</c:v>
              </c:pt>
              <c:pt idx="1">
                <c:v>7.6604704500405179</c:v>
              </c:pt>
            </c:numLit>
          </c:xVal>
          <c:yVal>
            <c:numLit>
              <c:formatCode>General</c:formatCode>
              <c:ptCount val="2"/>
              <c:pt idx="0">
                <c:v>1.7577242377509347E-2</c:v>
              </c:pt>
              <c:pt idx="1">
                <c:v>1.7461702783537841E-2</c:v>
              </c:pt>
            </c:numLit>
          </c:yVal>
          <c:smooth val="0"/>
          <c:extLst>
            <c:ext xmlns:c16="http://schemas.microsoft.com/office/drawing/2014/chart" uri="{C3380CC4-5D6E-409C-BE32-E72D297353CC}">
              <c16:uniqueId val="{0000004E-DA2F-4ADF-A349-9EBD07809C31}"/>
            </c:ext>
          </c:extLst>
        </c:ser>
        <c:ser>
          <c:idx val="66"/>
          <c:order val="66"/>
          <c:tx>
            <c:v>h=54</c:v>
          </c:tx>
          <c:spPr>
            <a:ln w="3175">
              <a:solidFill>
                <a:srgbClr val="808080"/>
              </a:solidFill>
              <a:prstDash val="solid"/>
            </a:ln>
          </c:spPr>
          <c:marker>
            <c:symbol val="none"/>
          </c:marker>
          <c:xVal>
            <c:numLit>
              <c:formatCode>General</c:formatCode>
              <c:ptCount val="2"/>
              <c:pt idx="0">
                <c:v>7.668879231741851</c:v>
              </c:pt>
              <c:pt idx="1">
                <c:v>7.9688792317418518</c:v>
              </c:pt>
            </c:numLit>
          </c:xVal>
          <c:yVal>
            <c:numLit>
              <c:formatCode>General</c:formatCode>
              <c:ptCount val="2"/>
              <c:pt idx="0">
                <c:v>1.7843140899332189E-2</c:v>
              </c:pt>
              <c:pt idx="1">
                <c:v>1.772760425396213E-2</c:v>
              </c:pt>
            </c:numLit>
          </c:yVal>
          <c:smooth val="0"/>
          <c:extLst>
            <c:ext xmlns:c16="http://schemas.microsoft.com/office/drawing/2014/chart" uri="{C3380CC4-5D6E-409C-BE32-E72D297353CC}">
              <c16:uniqueId val="{0000004F-DA2F-4ADF-A349-9EBD07809C31}"/>
            </c:ext>
          </c:extLst>
        </c:ser>
        <c:ser>
          <c:idx val="67"/>
          <c:order val="67"/>
          <c:tx>
            <c:v>h=55</c:v>
          </c:tx>
          <c:spPr>
            <a:ln w="3175">
              <a:solidFill>
                <a:srgbClr val="808080"/>
              </a:solidFill>
              <a:prstDash val="solid"/>
            </a:ln>
          </c:spPr>
          <c:marker>
            <c:symbol val="none"/>
          </c:marker>
          <c:dLbls>
            <c:dLbl>
              <c:idx val="0"/>
              <c:layout>
                <c:manualLayout>
                  <c:x val="-3.0087489063867049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0-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7.9772880134431849</c:v>
              </c:pt>
              <c:pt idx="1">
                <c:v>50</c:v>
              </c:pt>
            </c:numLit>
          </c:xVal>
          <c:yVal>
            <c:numLit>
              <c:formatCode>General</c:formatCode>
              <c:ptCount val="2"/>
              <c:pt idx="0">
                <c:v>1.8109039421155035E-2</c:v>
              </c:pt>
              <c:pt idx="1">
                <c:v>1.8118735543562064E-3</c:v>
              </c:pt>
            </c:numLit>
          </c:yVal>
          <c:smooth val="0"/>
          <c:extLst>
            <c:ext xmlns:c16="http://schemas.microsoft.com/office/drawing/2014/chart" uri="{C3380CC4-5D6E-409C-BE32-E72D297353CC}">
              <c16:uniqueId val="{00000051-DA2F-4ADF-A349-9EBD07809C31}"/>
            </c:ext>
          </c:extLst>
        </c:ser>
        <c:ser>
          <c:idx val="68"/>
          <c:order val="68"/>
          <c:tx>
            <c:v>h=56</c:v>
          </c:tx>
          <c:spPr>
            <a:ln w="3175">
              <a:solidFill>
                <a:srgbClr val="808080"/>
              </a:solidFill>
              <a:prstDash val="solid"/>
            </a:ln>
          </c:spPr>
          <c:marker>
            <c:symbol val="none"/>
          </c:marker>
          <c:xVal>
            <c:numLit>
              <c:formatCode>General</c:formatCode>
              <c:ptCount val="2"/>
              <c:pt idx="0">
                <c:v>8.2856967951445188</c:v>
              </c:pt>
              <c:pt idx="1">
                <c:v>8.5856967951445178</c:v>
              </c:pt>
            </c:numLit>
          </c:xVal>
          <c:yVal>
            <c:numLit>
              <c:formatCode>General</c:formatCode>
              <c:ptCount val="2"/>
              <c:pt idx="0">
                <c:v>1.8374937942977877E-2</c:v>
              </c:pt>
              <c:pt idx="1">
                <c:v>1.8259406938381077E-2</c:v>
              </c:pt>
            </c:numLit>
          </c:yVal>
          <c:smooth val="0"/>
          <c:extLst>
            <c:ext xmlns:c16="http://schemas.microsoft.com/office/drawing/2014/chart" uri="{C3380CC4-5D6E-409C-BE32-E72D297353CC}">
              <c16:uniqueId val="{00000052-DA2F-4ADF-A349-9EBD07809C31}"/>
            </c:ext>
          </c:extLst>
        </c:ser>
        <c:ser>
          <c:idx val="69"/>
          <c:order val="69"/>
          <c:tx>
            <c:v>h=57</c:v>
          </c:tx>
          <c:spPr>
            <a:ln w="3175">
              <a:solidFill>
                <a:srgbClr val="808080"/>
              </a:solidFill>
              <a:prstDash val="solid"/>
            </a:ln>
          </c:spPr>
          <c:marker>
            <c:symbol val="none"/>
          </c:marker>
          <c:xVal>
            <c:numLit>
              <c:formatCode>General</c:formatCode>
              <c:ptCount val="2"/>
              <c:pt idx="0">
                <c:v>8.5941055768458519</c:v>
              </c:pt>
              <c:pt idx="1">
                <c:v>8.8941055768458526</c:v>
              </c:pt>
            </c:numLit>
          </c:xVal>
          <c:yVal>
            <c:numLit>
              <c:formatCode>General</c:formatCode>
              <c:ptCount val="2"/>
              <c:pt idx="0">
                <c:v>1.8640836464800723E-2</c:v>
              </c:pt>
              <c:pt idx="1">
                <c:v>1.8525308159703126E-2</c:v>
              </c:pt>
            </c:numLit>
          </c:yVal>
          <c:smooth val="0"/>
          <c:extLst>
            <c:ext xmlns:c16="http://schemas.microsoft.com/office/drawing/2014/chart" uri="{C3380CC4-5D6E-409C-BE32-E72D297353CC}">
              <c16:uniqueId val="{00000053-DA2F-4ADF-A349-9EBD07809C31}"/>
            </c:ext>
          </c:extLst>
        </c:ser>
        <c:ser>
          <c:idx val="70"/>
          <c:order val="70"/>
          <c:tx>
            <c:v>h=58</c:v>
          </c:tx>
          <c:spPr>
            <a:ln w="3175">
              <a:solidFill>
                <a:srgbClr val="808080"/>
              </a:solidFill>
              <a:prstDash val="solid"/>
            </a:ln>
          </c:spPr>
          <c:marker>
            <c:symbol val="none"/>
          </c:marker>
          <c:xVal>
            <c:numLit>
              <c:formatCode>General</c:formatCode>
              <c:ptCount val="2"/>
              <c:pt idx="0">
                <c:v>8.9025143585471849</c:v>
              </c:pt>
              <c:pt idx="1">
                <c:v>9.2025143585471856</c:v>
              </c:pt>
            </c:numLit>
          </c:xVal>
          <c:yVal>
            <c:numLit>
              <c:formatCode>General</c:formatCode>
              <c:ptCount val="2"/>
              <c:pt idx="0">
                <c:v>1.8906734986623566E-2</c:v>
              </c:pt>
              <c:pt idx="1">
                <c:v>1.8791209304974438E-2</c:v>
              </c:pt>
            </c:numLit>
          </c:yVal>
          <c:smooth val="0"/>
          <c:extLst>
            <c:ext xmlns:c16="http://schemas.microsoft.com/office/drawing/2014/chart" uri="{C3380CC4-5D6E-409C-BE32-E72D297353CC}">
              <c16:uniqueId val="{00000054-DA2F-4ADF-A349-9EBD07809C31}"/>
            </c:ext>
          </c:extLst>
        </c:ser>
        <c:ser>
          <c:idx val="71"/>
          <c:order val="71"/>
          <c:tx>
            <c:v>h=59</c:v>
          </c:tx>
          <c:spPr>
            <a:ln w="3175">
              <a:solidFill>
                <a:srgbClr val="808080"/>
              </a:solidFill>
              <a:prstDash val="solid"/>
            </a:ln>
          </c:spPr>
          <c:marker>
            <c:symbol val="none"/>
          </c:marker>
          <c:xVal>
            <c:numLit>
              <c:formatCode>General</c:formatCode>
              <c:ptCount val="2"/>
              <c:pt idx="0">
                <c:v>9.2109231402485197</c:v>
              </c:pt>
              <c:pt idx="1">
                <c:v>9.5109231402485186</c:v>
              </c:pt>
            </c:numLit>
          </c:xVal>
          <c:yVal>
            <c:numLit>
              <c:formatCode>General</c:formatCode>
              <c:ptCount val="2"/>
              <c:pt idx="0">
                <c:v>1.9172633508446411E-2</c:v>
              </c:pt>
              <c:pt idx="1">
                <c:v>1.9057110377364149E-2</c:v>
              </c:pt>
            </c:numLit>
          </c:yVal>
          <c:smooth val="0"/>
          <c:extLst>
            <c:ext xmlns:c16="http://schemas.microsoft.com/office/drawing/2014/chart" uri="{C3380CC4-5D6E-409C-BE32-E72D297353CC}">
              <c16:uniqueId val="{00000055-DA2F-4ADF-A349-9EBD07809C31}"/>
            </c:ext>
          </c:extLst>
        </c:ser>
        <c:ser>
          <c:idx val="72"/>
          <c:order val="72"/>
          <c:tx>
            <c:v>h=60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60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6-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9.5193319219498527</c:v>
              </c:pt>
              <c:pt idx="1">
                <c:v>50</c:v>
              </c:pt>
            </c:numLit>
          </c:xVal>
          <c:yVal>
            <c:numLit>
              <c:formatCode>General</c:formatCode>
              <c:ptCount val="2"/>
              <c:pt idx="0">
                <c:v>1.9438532030269257E-2</c:v>
              </c:pt>
              <c:pt idx="1">
                <c:v>3.7393986121819585E-3</c:v>
              </c:pt>
            </c:numLit>
          </c:yVal>
          <c:smooth val="0"/>
          <c:extLst>
            <c:ext xmlns:c16="http://schemas.microsoft.com/office/drawing/2014/chart" uri="{C3380CC4-5D6E-409C-BE32-E72D297353CC}">
              <c16:uniqueId val="{00000057-DA2F-4ADF-A349-9EBD07809C31}"/>
            </c:ext>
          </c:extLst>
        </c:ser>
        <c:ser>
          <c:idx val="73"/>
          <c:order val="73"/>
          <c:tx>
            <c:v>h=61</c:v>
          </c:tx>
          <c:spPr>
            <a:ln w="3175">
              <a:solidFill>
                <a:srgbClr val="808080"/>
              </a:solidFill>
              <a:prstDash val="solid"/>
            </a:ln>
          </c:spPr>
          <c:marker>
            <c:symbol val="none"/>
          </c:marker>
          <c:xVal>
            <c:numLit>
              <c:formatCode>General</c:formatCode>
              <c:ptCount val="2"/>
              <c:pt idx="0">
                <c:v>9.8277407036511857</c:v>
              </c:pt>
              <c:pt idx="1">
                <c:v>10.127740703651186</c:v>
              </c:pt>
            </c:numLit>
          </c:xVal>
          <c:yVal>
            <c:numLit>
              <c:formatCode>General</c:formatCode>
              <c:ptCount val="2"/>
              <c:pt idx="0">
                <c:v>1.97044305520921E-2</c:v>
              </c:pt>
              <c:pt idx="1">
                <c:v>1.9588912315318657E-2</c:v>
              </c:pt>
            </c:numLit>
          </c:yVal>
          <c:smooth val="0"/>
          <c:extLst>
            <c:ext xmlns:c16="http://schemas.microsoft.com/office/drawing/2014/chart" uri="{C3380CC4-5D6E-409C-BE32-E72D297353CC}">
              <c16:uniqueId val="{00000058-DA2F-4ADF-A349-9EBD07809C31}"/>
            </c:ext>
          </c:extLst>
        </c:ser>
        <c:ser>
          <c:idx val="74"/>
          <c:order val="74"/>
          <c:tx>
            <c:v>h=62</c:v>
          </c:tx>
          <c:spPr>
            <a:ln w="3175">
              <a:solidFill>
                <a:srgbClr val="808080"/>
              </a:solidFill>
              <a:prstDash val="solid"/>
            </a:ln>
          </c:spPr>
          <c:marker>
            <c:symbol val="none"/>
          </c:marker>
          <c:xVal>
            <c:numLit>
              <c:formatCode>General</c:formatCode>
              <c:ptCount val="2"/>
              <c:pt idx="0">
                <c:v>10.13614948535252</c:v>
              </c:pt>
              <c:pt idx="1">
                <c:v>10.436149485352519</c:v>
              </c:pt>
            </c:numLit>
          </c:xVal>
          <c:yVal>
            <c:numLit>
              <c:formatCode>General</c:formatCode>
              <c:ptCount val="2"/>
              <c:pt idx="0">
                <c:v>1.9970329073914946E-2</c:v>
              </c:pt>
              <c:pt idx="1">
                <c:v>1.9854813186399374E-2</c:v>
              </c:pt>
            </c:numLit>
          </c:yVal>
          <c:smooth val="0"/>
          <c:extLst>
            <c:ext xmlns:c16="http://schemas.microsoft.com/office/drawing/2014/chart" uri="{C3380CC4-5D6E-409C-BE32-E72D297353CC}">
              <c16:uniqueId val="{00000059-DA2F-4ADF-A349-9EBD07809C31}"/>
            </c:ext>
          </c:extLst>
        </c:ser>
        <c:ser>
          <c:idx val="75"/>
          <c:order val="75"/>
          <c:tx>
            <c:v>h=63</c:v>
          </c:tx>
          <c:spPr>
            <a:ln w="3175">
              <a:solidFill>
                <a:srgbClr val="808080"/>
              </a:solidFill>
              <a:prstDash val="solid"/>
            </a:ln>
          </c:spPr>
          <c:marker>
            <c:symbol val="none"/>
          </c:marker>
          <c:xVal>
            <c:numLit>
              <c:formatCode>General</c:formatCode>
              <c:ptCount val="2"/>
              <c:pt idx="0">
                <c:v>10.444558267053853</c:v>
              </c:pt>
              <c:pt idx="1">
                <c:v>10.744558267053854</c:v>
              </c:pt>
            </c:numLit>
          </c:xVal>
          <c:yVal>
            <c:numLit>
              <c:formatCode>General</c:formatCode>
              <c:ptCount val="2"/>
              <c:pt idx="0">
                <c:v>2.0236227595737788E-2</c:v>
              </c:pt>
              <c:pt idx="1">
                <c:v>2.012071399565105E-2</c:v>
              </c:pt>
            </c:numLit>
          </c:yVal>
          <c:smooth val="0"/>
          <c:extLst>
            <c:ext xmlns:c16="http://schemas.microsoft.com/office/drawing/2014/chart" uri="{C3380CC4-5D6E-409C-BE32-E72D297353CC}">
              <c16:uniqueId val="{0000005A-DA2F-4ADF-A349-9EBD07809C31}"/>
            </c:ext>
          </c:extLst>
        </c:ser>
        <c:ser>
          <c:idx val="76"/>
          <c:order val="76"/>
          <c:tx>
            <c:v>h=64</c:v>
          </c:tx>
          <c:spPr>
            <a:ln w="3175">
              <a:solidFill>
                <a:srgbClr val="808080"/>
              </a:solidFill>
              <a:prstDash val="solid"/>
            </a:ln>
          </c:spPr>
          <c:marker>
            <c:symbol val="none"/>
          </c:marker>
          <c:xVal>
            <c:numLit>
              <c:formatCode>General</c:formatCode>
              <c:ptCount val="2"/>
              <c:pt idx="0">
                <c:v>10.752967048755186</c:v>
              </c:pt>
              <c:pt idx="1">
                <c:v>11.052967048755187</c:v>
              </c:pt>
            </c:numLit>
          </c:xVal>
          <c:yVal>
            <c:numLit>
              <c:formatCode>General</c:formatCode>
              <c:ptCount val="2"/>
              <c:pt idx="0">
                <c:v>2.0502126117560634E-2</c:v>
              </c:pt>
              <c:pt idx="1">
                <c:v>2.0386614745482871E-2</c:v>
              </c:pt>
            </c:numLit>
          </c:yVal>
          <c:smooth val="0"/>
          <c:extLst>
            <c:ext xmlns:c16="http://schemas.microsoft.com/office/drawing/2014/chart" uri="{C3380CC4-5D6E-409C-BE32-E72D297353CC}">
              <c16:uniqueId val="{0000005B-DA2F-4ADF-A349-9EBD07809C31}"/>
            </c:ext>
          </c:extLst>
        </c:ser>
        <c:ser>
          <c:idx val="77"/>
          <c:order val="77"/>
          <c:tx>
            <c:v>h=65</c:v>
          </c:tx>
          <c:spPr>
            <a:ln w="3175">
              <a:solidFill>
                <a:srgbClr val="808080"/>
              </a:solidFill>
              <a:prstDash val="solid"/>
            </a:ln>
          </c:spPr>
          <c:marker>
            <c:symbol val="none"/>
          </c:marker>
          <c:dLbls>
            <c:dLbl>
              <c:idx val="0"/>
              <c:layout>
                <c:manualLayout>
                  <c:x val="-3.008748906386708E-2"/>
                  <c:y val="-9.347701729591532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65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C-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11.061375830456521</c:v>
              </c:pt>
              <c:pt idx="1">
                <c:v>50</c:v>
              </c:pt>
            </c:numLit>
          </c:xVal>
          <c:yVal>
            <c:numLit>
              <c:formatCode>General</c:formatCode>
              <c:ptCount val="2"/>
              <c:pt idx="0">
                <c:v>2.0768024639383476E-2</c:v>
              </c:pt>
              <c:pt idx="1">
                <c:v>5.6669236700077098E-3</c:v>
              </c:pt>
            </c:numLit>
          </c:yVal>
          <c:smooth val="0"/>
          <c:extLst>
            <c:ext xmlns:c16="http://schemas.microsoft.com/office/drawing/2014/chart" uri="{C3380CC4-5D6E-409C-BE32-E72D297353CC}">
              <c16:uniqueId val="{0000005D-DA2F-4ADF-A349-9EBD07809C31}"/>
            </c:ext>
          </c:extLst>
        </c:ser>
        <c:ser>
          <c:idx val="78"/>
          <c:order val="78"/>
          <c:tx>
            <c:v>h=66</c:v>
          </c:tx>
          <c:spPr>
            <a:ln w="3175">
              <a:solidFill>
                <a:srgbClr val="808080"/>
              </a:solidFill>
              <a:prstDash val="solid"/>
            </a:ln>
          </c:spPr>
          <c:marker>
            <c:symbol val="none"/>
          </c:marker>
          <c:xVal>
            <c:numLit>
              <c:formatCode>General</c:formatCode>
              <c:ptCount val="2"/>
              <c:pt idx="0">
                <c:v>11.369784612157854</c:v>
              </c:pt>
              <c:pt idx="1">
                <c:v>11.669784612157855</c:v>
              </c:pt>
            </c:numLit>
          </c:xVal>
          <c:yVal>
            <c:numLit>
              <c:formatCode>General</c:formatCode>
              <c:ptCount val="2"/>
              <c:pt idx="0">
                <c:v>2.1033923161206322E-2</c:v>
              </c:pt>
              <c:pt idx="1">
                <c:v>2.0918416075913625E-2</c:v>
              </c:pt>
            </c:numLit>
          </c:yVal>
          <c:smooth val="0"/>
          <c:extLst>
            <c:ext xmlns:c16="http://schemas.microsoft.com/office/drawing/2014/chart" uri="{C3380CC4-5D6E-409C-BE32-E72D297353CC}">
              <c16:uniqueId val="{0000005E-DA2F-4ADF-A349-9EBD07809C31}"/>
            </c:ext>
          </c:extLst>
        </c:ser>
        <c:ser>
          <c:idx val="79"/>
          <c:order val="79"/>
          <c:tx>
            <c:v>h=67</c:v>
          </c:tx>
          <c:spPr>
            <a:ln w="3175">
              <a:solidFill>
                <a:srgbClr val="808080"/>
              </a:solidFill>
              <a:prstDash val="solid"/>
            </a:ln>
          </c:spPr>
          <c:marker>
            <c:symbol val="none"/>
          </c:marker>
          <c:xVal>
            <c:numLit>
              <c:formatCode>General</c:formatCode>
              <c:ptCount val="2"/>
              <c:pt idx="0">
                <c:v>11.678193393859187</c:v>
              </c:pt>
              <c:pt idx="1">
                <c:v>11.978193393859188</c:v>
              </c:pt>
            </c:numLit>
          </c:xVal>
          <c:yVal>
            <c:numLit>
              <c:formatCode>General</c:formatCode>
              <c:ptCount val="2"/>
              <c:pt idx="0">
                <c:v>2.1299821683029168E-2</c:v>
              </c:pt>
              <c:pt idx="1">
                <c:v>2.1184316660743805E-2</c:v>
              </c:pt>
            </c:numLit>
          </c:yVal>
          <c:smooth val="0"/>
          <c:extLst>
            <c:ext xmlns:c16="http://schemas.microsoft.com/office/drawing/2014/chart" uri="{C3380CC4-5D6E-409C-BE32-E72D297353CC}">
              <c16:uniqueId val="{0000005F-DA2F-4ADF-A349-9EBD07809C31}"/>
            </c:ext>
          </c:extLst>
        </c:ser>
        <c:ser>
          <c:idx val="80"/>
          <c:order val="80"/>
          <c:tx>
            <c:v>h=68</c:v>
          </c:tx>
          <c:spPr>
            <a:ln w="3175">
              <a:solidFill>
                <a:srgbClr val="808080"/>
              </a:solidFill>
              <a:prstDash val="solid"/>
            </a:ln>
          </c:spPr>
          <c:marker>
            <c:symbol val="none"/>
          </c:marker>
          <c:xVal>
            <c:numLit>
              <c:formatCode>General</c:formatCode>
              <c:ptCount val="2"/>
              <c:pt idx="0">
                <c:v>11.986602175560522</c:v>
              </c:pt>
              <c:pt idx="1">
                <c:v>12.286602175560521</c:v>
              </c:pt>
            </c:numLit>
          </c:xVal>
          <c:yVal>
            <c:numLit>
              <c:formatCode>General</c:formatCode>
              <c:ptCount val="2"/>
              <c:pt idx="0">
                <c:v>2.156572020485201E-2</c:v>
              </c:pt>
              <c:pt idx="1">
                <c:v>2.1450217194630538E-2</c:v>
              </c:pt>
            </c:numLit>
          </c:yVal>
          <c:smooth val="0"/>
          <c:extLst>
            <c:ext xmlns:c16="http://schemas.microsoft.com/office/drawing/2014/chart" uri="{C3380CC4-5D6E-409C-BE32-E72D297353CC}">
              <c16:uniqueId val="{00000060-DA2F-4ADF-A349-9EBD07809C31}"/>
            </c:ext>
          </c:extLst>
        </c:ser>
        <c:ser>
          <c:idx val="81"/>
          <c:order val="81"/>
          <c:tx>
            <c:v>h=69</c:v>
          </c:tx>
          <c:spPr>
            <a:ln w="3175">
              <a:solidFill>
                <a:srgbClr val="808080"/>
              </a:solidFill>
              <a:prstDash val="solid"/>
            </a:ln>
          </c:spPr>
          <c:marker>
            <c:symbol val="none"/>
          </c:marker>
          <c:xVal>
            <c:numLit>
              <c:formatCode>General</c:formatCode>
              <c:ptCount val="2"/>
              <c:pt idx="0">
                <c:v>12.295010957261855</c:v>
              </c:pt>
              <c:pt idx="1">
                <c:v>12.595010957261856</c:v>
              </c:pt>
            </c:numLit>
          </c:xVal>
          <c:yVal>
            <c:numLit>
              <c:formatCode>General</c:formatCode>
              <c:ptCount val="2"/>
              <c:pt idx="0">
                <c:v>2.1831618726674856E-2</c:v>
              </c:pt>
              <c:pt idx="1">
                <c:v>2.1716117679437794E-2</c:v>
              </c:pt>
            </c:numLit>
          </c:yVal>
          <c:smooth val="0"/>
          <c:extLst>
            <c:ext xmlns:c16="http://schemas.microsoft.com/office/drawing/2014/chart" uri="{C3380CC4-5D6E-409C-BE32-E72D297353CC}">
              <c16:uniqueId val="{00000061-DA2F-4ADF-A349-9EBD07809C31}"/>
            </c:ext>
          </c:extLst>
        </c:ser>
        <c:ser>
          <c:idx val="82"/>
          <c:order val="82"/>
          <c:tx>
            <c:v>h=70</c:v>
          </c:tx>
          <c:spPr>
            <a:ln w="3175">
              <a:solidFill>
                <a:srgbClr val="808080"/>
              </a:solidFill>
              <a:prstDash val="solid"/>
            </a:ln>
          </c:spPr>
          <c:marker>
            <c:symbol val="none"/>
          </c:marker>
          <c:dLbls>
            <c:dLbl>
              <c:idx val="0"/>
              <c:layout>
                <c:manualLayout>
                  <c:x val="-3.00874890638670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70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2-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12.603419738963188</c:v>
              </c:pt>
              <c:pt idx="1">
                <c:v>50</c:v>
              </c:pt>
            </c:numLit>
          </c:xVal>
          <c:yVal>
            <c:numLit>
              <c:formatCode>General</c:formatCode>
              <c:ptCount val="2"/>
              <c:pt idx="0">
                <c:v>2.2097517248497699E-2</c:v>
              </c:pt>
              <c:pt idx="1">
                <c:v>7.5944487278334621E-3</c:v>
              </c:pt>
            </c:numLit>
          </c:yVal>
          <c:smooth val="0"/>
          <c:extLst>
            <c:ext xmlns:c16="http://schemas.microsoft.com/office/drawing/2014/chart" uri="{C3380CC4-5D6E-409C-BE32-E72D297353CC}">
              <c16:uniqueId val="{00000063-DA2F-4ADF-A349-9EBD07809C31}"/>
            </c:ext>
          </c:extLst>
        </c:ser>
        <c:ser>
          <c:idx val="83"/>
          <c:order val="83"/>
          <c:tx>
            <c:v>h=71</c:v>
          </c:tx>
          <c:spPr>
            <a:ln w="3175">
              <a:solidFill>
                <a:srgbClr val="808080"/>
              </a:solidFill>
              <a:prstDash val="solid"/>
            </a:ln>
          </c:spPr>
          <c:marker>
            <c:symbol val="none"/>
          </c:marker>
          <c:xVal>
            <c:numLit>
              <c:formatCode>General</c:formatCode>
              <c:ptCount val="2"/>
              <c:pt idx="0">
                <c:v>12.911828520664523</c:v>
              </c:pt>
              <c:pt idx="1">
                <c:v>13.211828520664522</c:v>
              </c:pt>
            </c:numLit>
          </c:xVal>
          <c:yVal>
            <c:numLit>
              <c:formatCode>General</c:formatCode>
              <c:ptCount val="2"/>
              <c:pt idx="0">
                <c:v>2.2363415770320545E-2</c:v>
              </c:pt>
              <c:pt idx="1">
                <c:v>2.2247918508825872E-2</c:v>
              </c:pt>
            </c:numLit>
          </c:yVal>
          <c:smooth val="0"/>
          <c:extLst>
            <c:ext xmlns:c16="http://schemas.microsoft.com/office/drawing/2014/chart" uri="{C3380CC4-5D6E-409C-BE32-E72D297353CC}">
              <c16:uniqueId val="{00000064-DA2F-4ADF-A349-9EBD07809C31}"/>
            </c:ext>
          </c:extLst>
        </c:ser>
        <c:ser>
          <c:idx val="84"/>
          <c:order val="84"/>
          <c:tx>
            <c:v>h=72</c:v>
          </c:tx>
          <c:spPr>
            <a:ln w="3175">
              <a:solidFill>
                <a:srgbClr val="808080"/>
              </a:solidFill>
              <a:prstDash val="solid"/>
            </a:ln>
          </c:spPr>
          <c:marker>
            <c:symbol val="none"/>
          </c:marker>
          <c:xVal>
            <c:numLit>
              <c:formatCode>General</c:formatCode>
              <c:ptCount val="2"/>
              <c:pt idx="0">
                <c:v>13.220237302365856</c:v>
              </c:pt>
              <c:pt idx="1">
                <c:v>13.520237302365857</c:v>
              </c:pt>
            </c:numLit>
          </c:xVal>
          <c:yVal>
            <c:numLit>
              <c:formatCode>General</c:formatCode>
              <c:ptCount val="2"/>
              <c:pt idx="0">
                <c:v>2.262931429214339E-2</c:v>
              </c:pt>
              <c:pt idx="1">
                <c:v>2.2513818856706454E-2</c:v>
              </c:pt>
            </c:numLit>
          </c:yVal>
          <c:smooth val="0"/>
          <c:extLst>
            <c:ext xmlns:c16="http://schemas.microsoft.com/office/drawing/2014/chart" uri="{C3380CC4-5D6E-409C-BE32-E72D297353CC}">
              <c16:uniqueId val="{00000065-DA2F-4ADF-A349-9EBD07809C31}"/>
            </c:ext>
          </c:extLst>
        </c:ser>
        <c:ser>
          <c:idx val="85"/>
          <c:order val="85"/>
          <c:tx>
            <c:v>h=73</c:v>
          </c:tx>
          <c:spPr>
            <a:ln w="3175">
              <a:solidFill>
                <a:srgbClr val="808080"/>
              </a:solidFill>
              <a:prstDash val="solid"/>
            </a:ln>
          </c:spPr>
          <c:marker>
            <c:symbol val="none"/>
          </c:marker>
          <c:xVal>
            <c:numLit>
              <c:formatCode>General</c:formatCode>
              <c:ptCount val="2"/>
              <c:pt idx="0">
                <c:v>13.528646084067189</c:v>
              </c:pt>
              <c:pt idx="1">
                <c:v>13.82864608406719</c:v>
              </c:pt>
            </c:numLit>
          </c:xVal>
          <c:yVal>
            <c:numLit>
              <c:formatCode>General</c:formatCode>
              <c:ptCount val="2"/>
              <c:pt idx="0">
                <c:v>2.2895212813966233E-2</c:v>
              </c:pt>
              <c:pt idx="1">
                <c:v>2.2779719162116654E-2</c:v>
              </c:pt>
            </c:numLit>
          </c:yVal>
          <c:smooth val="0"/>
          <c:extLst>
            <c:ext xmlns:c16="http://schemas.microsoft.com/office/drawing/2014/chart" uri="{C3380CC4-5D6E-409C-BE32-E72D297353CC}">
              <c16:uniqueId val="{00000066-DA2F-4ADF-A349-9EBD07809C31}"/>
            </c:ext>
          </c:extLst>
        </c:ser>
        <c:ser>
          <c:idx val="86"/>
          <c:order val="86"/>
          <c:tx>
            <c:v>h=74</c:v>
          </c:tx>
          <c:spPr>
            <a:ln w="3175">
              <a:solidFill>
                <a:srgbClr val="808080"/>
              </a:solidFill>
              <a:prstDash val="solid"/>
            </a:ln>
          </c:spPr>
          <c:marker>
            <c:symbol val="none"/>
          </c:marker>
          <c:xVal>
            <c:numLit>
              <c:formatCode>General</c:formatCode>
              <c:ptCount val="2"/>
              <c:pt idx="0">
                <c:v>13.837054865768524</c:v>
              </c:pt>
              <c:pt idx="1">
                <c:v>14.137054865768523</c:v>
              </c:pt>
            </c:numLit>
          </c:xVal>
          <c:yVal>
            <c:numLit>
              <c:formatCode>General</c:formatCode>
              <c:ptCount val="2"/>
              <c:pt idx="0">
                <c:v>2.3161111335789079E-2</c:v>
              </c:pt>
              <c:pt idx="1">
                <c:v>2.3045619426521106E-2</c:v>
              </c:pt>
            </c:numLit>
          </c:yVal>
          <c:smooth val="0"/>
          <c:extLst>
            <c:ext xmlns:c16="http://schemas.microsoft.com/office/drawing/2014/chart" uri="{C3380CC4-5D6E-409C-BE32-E72D297353CC}">
              <c16:uniqueId val="{00000067-DA2F-4ADF-A349-9EBD07809C31}"/>
            </c:ext>
          </c:extLst>
        </c:ser>
        <c:ser>
          <c:idx val="87"/>
          <c:order val="87"/>
          <c:tx>
            <c:v>h=75</c:v>
          </c:tx>
          <c:spPr>
            <a:ln w="3175">
              <a:solidFill>
                <a:srgbClr val="808080"/>
              </a:solidFill>
              <a:prstDash val="solid"/>
            </a:ln>
          </c:spPr>
          <c:marker>
            <c:symbol val="none"/>
          </c:marker>
          <c:dLbls>
            <c:dLbl>
              <c:idx val="0"/>
              <c:layout>
                <c:manualLayout>
                  <c:x val="-3.0087489063867018E-2"/>
                  <c:y val="-9.347701729591532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75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8-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14.145463647469857</c:v>
              </c:pt>
              <c:pt idx="1">
                <c:v>50</c:v>
              </c:pt>
            </c:numLit>
          </c:xVal>
          <c:yVal>
            <c:numLit>
              <c:formatCode>General</c:formatCode>
              <c:ptCount val="2"/>
              <c:pt idx="0">
                <c:v>2.3427009857611921E-2</c:v>
              </c:pt>
              <c:pt idx="1">
                <c:v>9.5219737856592126E-3</c:v>
              </c:pt>
            </c:numLit>
          </c:yVal>
          <c:smooth val="0"/>
          <c:extLst>
            <c:ext xmlns:c16="http://schemas.microsoft.com/office/drawing/2014/chart" uri="{C3380CC4-5D6E-409C-BE32-E72D297353CC}">
              <c16:uniqueId val="{00000069-DA2F-4ADF-A349-9EBD07809C31}"/>
            </c:ext>
          </c:extLst>
        </c:ser>
        <c:ser>
          <c:idx val="88"/>
          <c:order val="88"/>
          <c:tx>
            <c:v>h=76</c:v>
          </c:tx>
          <c:spPr>
            <a:ln w="3175">
              <a:solidFill>
                <a:srgbClr val="808080"/>
              </a:solidFill>
              <a:prstDash val="solid"/>
            </a:ln>
          </c:spPr>
          <c:marker>
            <c:symbol val="none"/>
          </c:marker>
          <c:xVal>
            <c:numLit>
              <c:formatCode>General</c:formatCode>
              <c:ptCount val="2"/>
              <c:pt idx="0">
                <c:v>14.45387242917119</c:v>
              </c:pt>
              <c:pt idx="1">
                <c:v>14.75387242917119</c:v>
              </c:pt>
            </c:numLit>
          </c:xVal>
          <c:yVal>
            <c:numLit>
              <c:formatCode>General</c:formatCode>
              <c:ptCount val="2"/>
              <c:pt idx="0">
                <c:v>2.3692908379434767E-2</c:v>
              </c:pt>
              <c:pt idx="1">
                <c:v>2.3577419837842114E-2</c:v>
              </c:pt>
            </c:numLit>
          </c:yVal>
          <c:smooth val="0"/>
          <c:extLst>
            <c:ext xmlns:c16="http://schemas.microsoft.com/office/drawing/2014/chart" uri="{C3380CC4-5D6E-409C-BE32-E72D297353CC}">
              <c16:uniqueId val="{0000006A-DA2F-4ADF-A349-9EBD07809C31}"/>
            </c:ext>
          </c:extLst>
        </c:ser>
        <c:ser>
          <c:idx val="89"/>
          <c:order val="89"/>
          <c:tx>
            <c:v>h=77</c:v>
          </c:tx>
          <c:spPr>
            <a:ln w="3175">
              <a:solidFill>
                <a:srgbClr val="808080"/>
              </a:solidFill>
              <a:prstDash val="solid"/>
            </a:ln>
          </c:spPr>
          <c:marker>
            <c:symbol val="none"/>
          </c:marker>
          <c:xVal>
            <c:numLit>
              <c:formatCode>General</c:formatCode>
              <c:ptCount val="2"/>
              <c:pt idx="0">
                <c:v>14.762281210872525</c:v>
              </c:pt>
              <c:pt idx="1">
                <c:v>15.062281210872523</c:v>
              </c:pt>
            </c:numLit>
          </c:xVal>
          <c:yVal>
            <c:numLit>
              <c:formatCode>General</c:formatCode>
              <c:ptCount val="2"/>
              <c:pt idx="0">
                <c:v>2.3958806901257609E-2</c:v>
              </c:pt>
              <c:pt idx="1">
                <c:v>2.3843319987369743E-2</c:v>
              </c:pt>
            </c:numLit>
          </c:yVal>
          <c:smooth val="0"/>
          <c:extLst>
            <c:ext xmlns:c16="http://schemas.microsoft.com/office/drawing/2014/chart" uri="{C3380CC4-5D6E-409C-BE32-E72D297353CC}">
              <c16:uniqueId val="{0000006B-DA2F-4ADF-A349-9EBD07809C31}"/>
            </c:ext>
          </c:extLst>
        </c:ser>
        <c:ser>
          <c:idx val="90"/>
          <c:order val="90"/>
          <c:tx>
            <c:v>h=78</c:v>
          </c:tx>
          <c:spPr>
            <a:ln w="3175">
              <a:solidFill>
                <a:srgbClr val="808080"/>
              </a:solidFill>
              <a:prstDash val="solid"/>
            </a:ln>
          </c:spPr>
          <c:marker>
            <c:symbol val="none"/>
          </c:marker>
          <c:xVal>
            <c:numLit>
              <c:formatCode>General</c:formatCode>
              <c:ptCount val="2"/>
              <c:pt idx="0">
                <c:v>15.070689992573858</c:v>
              </c:pt>
              <c:pt idx="1">
                <c:v>15.370689992573858</c:v>
              </c:pt>
            </c:numLit>
          </c:xVal>
          <c:yVal>
            <c:numLit>
              <c:formatCode>General</c:formatCode>
              <c:ptCount val="2"/>
              <c:pt idx="0">
                <c:v>2.4224705423080455E-2</c:v>
              </c:pt>
              <c:pt idx="1">
                <c:v>2.4109220101120522E-2</c:v>
              </c:pt>
            </c:numLit>
          </c:yVal>
          <c:smooth val="0"/>
          <c:extLst>
            <c:ext xmlns:c16="http://schemas.microsoft.com/office/drawing/2014/chart" uri="{C3380CC4-5D6E-409C-BE32-E72D297353CC}">
              <c16:uniqueId val="{0000006C-DA2F-4ADF-A349-9EBD07809C31}"/>
            </c:ext>
          </c:extLst>
        </c:ser>
        <c:ser>
          <c:idx val="91"/>
          <c:order val="91"/>
          <c:tx>
            <c:v>h=79</c:v>
          </c:tx>
          <c:spPr>
            <a:ln w="3175">
              <a:solidFill>
                <a:srgbClr val="808080"/>
              </a:solidFill>
              <a:prstDash val="solid"/>
            </a:ln>
          </c:spPr>
          <c:marker>
            <c:symbol val="none"/>
          </c:marker>
          <c:xVal>
            <c:numLit>
              <c:formatCode>General</c:formatCode>
              <c:ptCount val="2"/>
              <c:pt idx="0">
                <c:v>15.379098774275191</c:v>
              </c:pt>
              <c:pt idx="1">
                <c:v>15.679098774275191</c:v>
              </c:pt>
            </c:numLit>
          </c:xVal>
          <c:yVal>
            <c:numLit>
              <c:formatCode>General</c:formatCode>
              <c:ptCount val="2"/>
              <c:pt idx="0">
                <c:v>2.4490603944903301E-2</c:v>
              </c:pt>
              <c:pt idx="1">
                <c:v>2.4375120180261185E-2</c:v>
              </c:pt>
            </c:numLit>
          </c:yVal>
          <c:smooth val="0"/>
          <c:extLst>
            <c:ext xmlns:c16="http://schemas.microsoft.com/office/drawing/2014/chart" uri="{C3380CC4-5D6E-409C-BE32-E72D297353CC}">
              <c16:uniqueId val="{0000006D-DA2F-4ADF-A349-9EBD07809C31}"/>
            </c:ext>
          </c:extLst>
        </c:ser>
        <c:ser>
          <c:idx val="92"/>
          <c:order val="92"/>
          <c:tx>
            <c:v>h=80</c:v>
          </c:tx>
          <c:spPr>
            <a:ln w="3175">
              <a:solidFill>
                <a:srgbClr val="808080"/>
              </a:solidFill>
              <a:prstDash val="solid"/>
            </a:ln>
          </c:spPr>
          <c:marker>
            <c:symbol val="none"/>
          </c:marker>
          <c:dLbls>
            <c:dLbl>
              <c:idx val="0"/>
              <c:layout>
                <c:manualLayout>
                  <c:x val="-3.00874890638670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80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E-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15.687507555976525</c:v>
              </c:pt>
              <c:pt idx="1">
                <c:v>50</c:v>
              </c:pt>
            </c:numLit>
          </c:xVal>
          <c:yVal>
            <c:numLit>
              <c:formatCode>General</c:formatCode>
              <c:ptCount val="2"/>
              <c:pt idx="0">
                <c:v>2.4756502466726144E-2</c:v>
              </c:pt>
              <c:pt idx="1">
                <c:v>1.1449498843484965E-2</c:v>
              </c:pt>
            </c:numLit>
          </c:yVal>
          <c:smooth val="0"/>
          <c:extLst>
            <c:ext xmlns:c16="http://schemas.microsoft.com/office/drawing/2014/chart" uri="{C3380CC4-5D6E-409C-BE32-E72D297353CC}">
              <c16:uniqueId val="{0000006F-DA2F-4ADF-A349-9EBD07809C31}"/>
            </c:ext>
          </c:extLst>
        </c:ser>
        <c:ser>
          <c:idx val="93"/>
          <c:order val="93"/>
          <c:tx>
            <c:v>h=81</c:v>
          </c:tx>
          <c:spPr>
            <a:ln w="3175">
              <a:solidFill>
                <a:srgbClr val="808080"/>
              </a:solidFill>
              <a:prstDash val="solid"/>
            </a:ln>
          </c:spPr>
          <c:marker>
            <c:symbol val="none"/>
          </c:marker>
          <c:xVal>
            <c:numLit>
              <c:formatCode>General</c:formatCode>
              <c:ptCount val="2"/>
              <c:pt idx="0">
                <c:v>15.995916337677858</c:v>
              </c:pt>
              <c:pt idx="1">
                <c:v>16.295916337677859</c:v>
              </c:pt>
            </c:numLit>
          </c:xVal>
          <c:yVal>
            <c:numLit>
              <c:formatCode>General</c:formatCode>
              <c:ptCount val="2"/>
              <c:pt idx="0">
                <c:v>2.5022400988548989E-2</c:v>
              </c:pt>
              <c:pt idx="1">
                <c:v>2.4906920239130846E-2</c:v>
              </c:pt>
            </c:numLit>
          </c:yVal>
          <c:smooth val="0"/>
          <c:extLst>
            <c:ext xmlns:c16="http://schemas.microsoft.com/office/drawing/2014/chart" uri="{C3380CC4-5D6E-409C-BE32-E72D297353CC}">
              <c16:uniqueId val="{00000070-DA2F-4ADF-A349-9EBD07809C31}"/>
            </c:ext>
          </c:extLst>
        </c:ser>
        <c:ser>
          <c:idx val="94"/>
          <c:order val="94"/>
          <c:tx>
            <c:v>h=82</c:v>
          </c:tx>
          <c:spPr>
            <a:ln w="3175">
              <a:solidFill>
                <a:srgbClr val="808080"/>
              </a:solidFill>
              <a:prstDash val="solid"/>
            </a:ln>
          </c:spPr>
          <c:marker>
            <c:symbol val="none"/>
          </c:marker>
          <c:xVal>
            <c:numLit>
              <c:formatCode>General</c:formatCode>
              <c:ptCount val="2"/>
              <c:pt idx="0">
                <c:v>16.304325119379193</c:v>
              </c:pt>
              <c:pt idx="1">
                <c:v>16.60432511937919</c:v>
              </c:pt>
            </c:numLit>
          </c:xVal>
          <c:yVal>
            <c:numLit>
              <c:formatCode>General</c:formatCode>
              <c:ptCount val="2"/>
              <c:pt idx="0">
                <c:v>2.5288299510371832E-2</c:v>
              </c:pt>
              <c:pt idx="1">
                <c:v>2.5172820220952897E-2</c:v>
              </c:pt>
            </c:numLit>
          </c:yVal>
          <c:smooth val="0"/>
          <c:extLst>
            <c:ext xmlns:c16="http://schemas.microsoft.com/office/drawing/2014/chart" uri="{C3380CC4-5D6E-409C-BE32-E72D297353CC}">
              <c16:uniqueId val="{00000071-DA2F-4ADF-A349-9EBD07809C31}"/>
            </c:ext>
          </c:extLst>
        </c:ser>
        <c:ser>
          <c:idx val="95"/>
          <c:order val="95"/>
          <c:tx>
            <c:v>h=83</c:v>
          </c:tx>
          <c:spPr>
            <a:ln w="3175">
              <a:solidFill>
                <a:srgbClr val="808080"/>
              </a:solidFill>
              <a:prstDash val="solid"/>
            </a:ln>
          </c:spPr>
          <c:marker>
            <c:symbol val="none"/>
          </c:marker>
          <c:xVal>
            <c:numLit>
              <c:formatCode>General</c:formatCode>
              <c:ptCount val="2"/>
              <c:pt idx="0">
                <c:v>16.612733901080524</c:v>
              </c:pt>
              <c:pt idx="1">
                <c:v>16.912733901080525</c:v>
              </c:pt>
            </c:numLit>
          </c:xVal>
          <c:yVal>
            <c:numLit>
              <c:formatCode>General</c:formatCode>
              <c:ptCount val="2"/>
              <c:pt idx="0">
                <c:v>2.5554198032194678E-2</c:v>
              </c:pt>
              <c:pt idx="1">
                <c:v>2.5438720172355784E-2</c:v>
              </c:pt>
            </c:numLit>
          </c:yVal>
          <c:smooth val="0"/>
          <c:extLst>
            <c:ext xmlns:c16="http://schemas.microsoft.com/office/drawing/2014/chart" uri="{C3380CC4-5D6E-409C-BE32-E72D297353CC}">
              <c16:uniqueId val="{00000072-DA2F-4ADF-A349-9EBD07809C31}"/>
            </c:ext>
          </c:extLst>
        </c:ser>
        <c:ser>
          <c:idx val="96"/>
          <c:order val="96"/>
          <c:tx>
            <c:v>h=84</c:v>
          </c:tx>
          <c:spPr>
            <a:ln w="3175">
              <a:solidFill>
                <a:srgbClr val="808080"/>
              </a:solidFill>
              <a:prstDash val="solid"/>
            </a:ln>
          </c:spPr>
          <c:marker>
            <c:symbol val="none"/>
          </c:marker>
          <c:xVal>
            <c:numLit>
              <c:formatCode>General</c:formatCode>
              <c:ptCount val="2"/>
              <c:pt idx="0">
                <c:v>16.921142682781859</c:v>
              </c:pt>
              <c:pt idx="1">
                <c:v>17.22114268278186</c:v>
              </c:pt>
            </c:numLit>
          </c:xVal>
          <c:yVal>
            <c:numLit>
              <c:formatCode>General</c:formatCode>
              <c:ptCount val="2"/>
              <c:pt idx="0">
                <c:v>2.5820096554017524E-2</c:v>
              </c:pt>
              <c:pt idx="1">
                <c:v>2.570462009428038E-2</c:v>
              </c:pt>
            </c:numLit>
          </c:yVal>
          <c:smooth val="0"/>
          <c:extLst>
            <c:ext xmlns:c16="http://schemas.microsoft.com/office/drawing/2014/chart" uri="{C3380CC4-5D6E-409C-BE32-E72D297353CC}">
              <c16:uniqueId val="{00000073-DA2F-4ADF-A349-9EBD07809C31}"/>
            </c:ext>
          </c:extLst>
        </c:ser>
        <c:ser>
          <c:idx val="97"/>
          <c:order val="97"/>
          <c:tx>
            <c:v>h=85</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85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4-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17.229551464483194</c:v>
              </c:pt>
              <c:pt idx="1">
                <c:v>50</c:v>
              </c:pt>
            </c:numLit>
          </c:xVal>
          <c:yVal>
            <c:numLit>
              <c:formatCode>General</c:formatCode>
              <c:ptCount val="2"/>
              <c:pt idx="0">
                <c:v>2.6085995075840366E-2</c:v>
              </c:pt>
              <c:pt idx="1">
                <c:v>1.3377023901310717E-2</c:v>
              </c:pt>
            </c:numLit>
          </c:yVal>
          <c:smooth val="0"/>
          <c:extLst>
            <c:ext xmlns:c16="http://schemas.microsoft.com/office/drawing/2014/chart" uri="{C3380CC4-5D6E-409C-BE32-E72D297353CC}">
              <c16:uniqueId val="{00000075-DA2F-4ADF-A349-9EBD07809C31}"/>
            </c:ext>
          </c:extLst>
        </c:ser>
        <c:ser>
          <c:idx val="98"/>
          <c:order val="98"/>
          <c:tx>
            <c:v>h=86</c:v>
          </c:tx>
          <c:spPr>
            <a:ln w="3175">
              <a:solidFill>
                <a:srgbClr val="808080"/>
              </a:solidFill>
              <a:prstDash val="solid"/>
            </a:ln>
          </c:spPr>
          <c:marker>
            <c:symbol val="none"/>
          </c:marker>
          <c:xVal>
            <c:numLit>
              <c:formatCode>General</c:formatCode>
              <c:ptCount val="2"/>
              <c:pt idx="0">
                <c:v>17.537960246184525</c:v>
              </c:pt>
              <c:pt idx="1">
                <c:v>17.837960246184526</c:v>
              </c:pt>
            </c:numLit>
          </c:xVal>
          <c:yVal>
            <c:numLit>
              <c:formatCode>General</c:formatCode>
              <c:ptCount val="2"/>
              <c:pt idx="0">
                <c:v>2.6351893597663212E-2</c:v>
              </c:pt>
              <c:pt idx="1">
                <c:v>2.6236419853268116E-2</c:v>
              </c:pt>
            </c:numLit>
          </c:yVal>
          <c:smooth val="0"/>
          <c:extLst>
            <c:ext xmlns:c16="http://schemas.microsoft.com/office/drawing/2014/chart" uri="{C3380CC4-5D6E-409C-BE32-E72D297353CC}">
              <c16:uniqueId val="{00000076-DA2F-4ADF-A349-9EBD07809C31}"/>
            </c:ext>
          </c:extLst>
        </c:ser>
        <c:ser>
          <c:idx val="99"/>
          <c:order val="99"/>
          <c:tx>
            <c:v>h=87</c:v>
          </c:tx>
          <c:spPr>
            <a:ln w="3175">
              <a:solidFill>
                <a:srgbClr val="808080"/>
              </a:solidFill>
              <a:prstDash val="solid"/>
            </a:ln>
          </c:spPr>
          <c:marker>
            <c:symbol val="none"/>
          </c:marker>
          <c:xVal>
            <c:numLit>
              <c:formatCode>General</c:formatCode>
              <c:ptCount val="2"/>
              <c:pt idx="0">
                <c:v>17.84636902788586</c:v>
              </c:pt>
              <c:pt idx="1">
                <c:v>18.146369027885861</c:v>
              </c:pt>
            </c:numLit>
          </c:xVal>
          <c:yVal>
            <c:numLit>
              <c:formatCode>General</c:formatCode>
              <c:ptCount val="2"/>
              <c:pt idx="0">
                <c:v>2.6617792119486054E-2</c:v>
              </c:pt>
              <c:pt idx="1">
                <c:v>2.6502319692028618E-2</c:v>
              </c:pt>
            </c:numLit>
          </c:yVal>
          <c:smooth val="0"/>
          <c:extLst>
            <c:ext xmlns:c16="http://schemas.microsoft.com/office/drawing/2014/chart" uri="{C3380CC4-5D6E-409C-BE32-E72D297353CC}">
              <c16:uniqueId val="{00000077-DA2F-4ADF-A349-9EBD07809C31}"/>
            </c:ext>
          </c:extLst>
        </c:ser>
        <c:ser>
          <c:idx val="100"/>
          <c:order val="100"/>
          <c:tx>
            <c:v>h=88</c:v>
          </c:tx>
          <c:spPr>
            <a:ln w="3175">
              <a:solidFill>
                <a:srgbClr val="808080"/>
              </a:solidFill>
              <a:prstDash val="solid"/>
            </a:ln>
          </c:spPr>
          <c:marker>
            <c:symbol val="none"/>
          </c:marker>
          <c:xVal>
            <c:numLit>
              <c:formatCode>General</c:formatCode>
              <c:ptCount val="2"/>
              <c:pt idx="0">
                <c:v>18.154777809587195</c:v>
              </c:pt>
              <c:pt idx="1">
                <c:v>18.454777809587192</c:v>
              </c:pt>
            </c:numLit>
          </c:xVal>
          <c:yVal>
            <c:numLit>
              <c:formatCode>General</c:formatCode>
              <c:ptCount val="2"/>
              <c:pt idx="0">
                <c:v>2.68836906413089E-2</c:v>
              </c:pt>
              <c:pt idx="1">
                <c:v>2.6768219504709097E-2</c:v>
              </c:pt>
            </c:numLit>
          </c:yVal>
          <c:smooth val="0"/>
          <c:extLst>
            <c:ext xmlns:c16="http://schemas.microsoft.com/office/drawing/2014/chart" uri="{C3380CC4-5D6E-409C-BE32-E72D297353CC}">
              <c16:uniqueId val="{00000078-DA2F-4ADF-A349-9EBD07809C31}"/>
            </c:ext>
          </c:extLst>
        </c:ser>
        <c:ser>
          <c:idx val="101"/>
          <c:order val="101"/>
          <c:tx>
            <c:v>h=89</c:v>
          </c:tx>
          <c:spPr>
            <a:ln w="3175">
              <a:solidFill>
                <a:srgbClr val="808080"/>
              </a:solidFill>
              <a:prstDash val="solid"/>
            </a:ln>
          </c:spPr>
          <c:marker>
            <c:symbol val="none"/>
          </c:marker>
          <c:xVal>
            <c:numLit>
              <c:formatCode>General</c:formatCode>
              <c:ptCount val="2"/>
              <c:pt idx="0">
                <c:v>18.463186591288526</c:v>
              </c:pt>
              <c:pt idx="1">
                <c:v>18.763186591288527</c:v>
              </c:pt>
            </c:numLit>
          </c:xVal>
          <c:yVal>
            <c:numLit>
              <c:formatCode>General</c:formatCode>
              <c:ptCount val="2"/>
              <c:pt idx="0">
                <c:v>2.7149589163131743E-2</c:v>
              </c:pt>
              <c:pt idx="1">
                <c:v>2.7034119292076671E-2</c:v>
              </c:pt>
            </c:numLit>
          </c:yVal>
          <c:smooth val="0"/>
          <c:extLst>
            <c:ext xmlns:c16="http://schemas.microsoft.com/office/drawing/2014/chart" uri="{C3380CC4-5D6E-409C-BE32-E72D297353CC}">
              <c16:uniqueId val="{00000079-DA2F-4ADF-A349-9EBD07809C31}"/>
            </c:ext>
          </c:extLst>
        </c:ser>
        <c:ser>
          <c:idx val="102"/>
          <c:order val="102"/>
          <c:tx>
            <c:v>h=90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90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A-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18.771595372989861</c:v>
              </c:pt>
              <c:pt idx="1">
                <c:v>50</c:v>
              </c:pt>
            </c:numLit>
          </c:xVal>
          <c:yVal>
            <c:numLit>
              <c:formatCode>General</c:formatCode>
              <c:ptCount val="2"/>
              <c:pt idx="0">
                <c:v>2.7415487684954588E-2</c:v>
              </c:pt>
              <c:pt idx="1">
                <c:v>1.5304548959136469E-2</c:v>
              </c:pt>
            </c:numLit>
          </c:yVal>
          <c:smooth val="0"/>
          <c:extLst>
            <c:ext xmlns:c16="http://schemas.microsoft.com/office/drawing/2014/chart" uri="{C3380CC4-5D6E-409C-BE32-E72D297353CC}">
              <c16:uniqueId val="{0000007B-DA2F-4ADF-A349-9EBD07809C31}"/>
            </c:ext>
          </c:extLst>
        </c:ser>
        <c:ser>
          <c:idx val="103"/>
          <c:order val="103"/>
          <c:tx>
            <c:v>h=91</c:v>
          </c:tx>
          <c:spPr>
            <a:ln w="3175">
              <a:solidFill>
                <a:srgbClr val="808080"/>
              </a:solidFill>
              <a:prstDash val="solid"/>
            </a:ln>
          </c:spPr>
          <c:marker>
            <c:symbol val="none"/>
          </c:marker>
          <c:xVal>
            <c:numLit>
              <c:formatCode>General</c:formatCode>
              <c:ptCount val="2"/>
              <c:pt idx="0">
                <c:v>19.080004154691196</c:v>
              </c:pt>
              <c:pt idx="1">
                <c:v>19.380004154691193</c:v>
              </c:pt>
            </c:numLit>
          </c:xVal>
          <c:yVal>
            <c:numLit>
              <c:formatCode>General</c:formatCode>
              <c:ptCount val="2"/>
              <c:pt idx="0">
                <c:v>2.7681386206777434E-2</c:v>
              </c:pt>
              <c:pt idx="1">
                <c:v>2.7565918793794053E-2</c:v>
              </c:pt>
            </c:numLit>
          </c:yVal>
          <c:smooth val="0"/>
          <c:extLst>
            <c:ext xmlns:c16="http://schemas.microsoft.com/office/drawing/2014/chart" uri="{C3380CC4-5D6E-409C-BE32-E72D297353CC}">
              <c16:uniqueId val="{0000007C-DA2F-4ADF-A349-9EBD07809C31}"/>
            </c:ext>
          </c:extLst>
        </c:ser>
        <c:ser>
          <c:idx val="104"/>
          <c:order val="104"/>
          <c:tx>
            <c:v>h=92</c:v>
          </c:tx>
          <c:spPr>
            <a:ln w="3175">
              <a:solidFill>
                <a:srgbClr val="808080"/>
              </a:solidFill>
              <a:prstDash val="solid"/>
            </a:ln>
          </c:spPr>
          <c:marker>
            <c:symbol val="none"/>
          </c:marker>
          <c:xVal>
            <c:numLit>
              <c:formatCode>General</c:formatCode>
              <c:ptCount val="2"/>
              <c:pt idx="0">
                <c:v>19.388412936392527</c:v>
              </c:pt>
              <c:pt idx="1">
                <c:v>19.688412936392528</c:v>
              </c:pt>
            </c:numLit>
          </c:xVal>
          <c:yVal>
            <c:numLit>
              <c:formatCode>General</c:formatCode>
              <c:ptCount val="2"/>
              <c:pt idx="0">
                <c:v>2.7947284728600277E-2</c:v>
              </c:pt>
              <c:pt idx="1">
                <c:v>2.7831818509534777E-2</c:v>
              </c:pt>
            </c:numLit>
          </c:yVal>
          <c:smooth val="0"/>
          <c:extLst>
            <c:ext xmlns:c16="http://schemas.microsoft.com/office/drawing/2014/chart" uri="{C3380CC4-5D6E-409C-BE32-E72D297353CC}">
              <c16:uniqueId val="{0000007D-DA2F-4ADF-A349-9EBD07809C31}"/>
            </c:ext>
          </c:extLst>
        </c:ser>
        <c:ser>
          <c:idx val="105"/>
          <c:order val="105"/>
          <c:tx>
            <c:v>h=93</c:v>
          </c:tx>
          <c:spPr>
            <a:ln w="3175">
              <a:solidFill>
                <a:srgbClr val="808080"/>
              </a:solidFill>
              <a:prstDash val="solid"/>
            </a:ln>
          </c:spPr>
          <c:marker>
            <c:symbol val="none"/>
          </c:marker>
          <c:xVal>
            <c:numLit>
              <c:formatCode>General</c:formatCode>
              <c:ptCount val="2"/>
              <c:pt idx="0">
                <c:v>19.696821718093862</c:v>
              </c:pt>
              <c:pt idx="1">
                <c:v>19.996821718093862</c:v>
              </c:pt>
            </c:numLit>
          </c:xVal>
          <c:yVal>
            <c:numLit>
              <c:formatCode>General</c:formatCode>
              <c:ptCount val="2"/>
              <c:pt idx="0">
                <c:v>2.8213183250423123E-2</c:v>
              </c:pt>
              <c:pt idx="1">
                <c:v>2.8097718202747063E-2</c:v>
              </c:pt>
            </c:numLit>
          </c:yVal>
          <c:smooth val="0"/>
          <c:extLst>
            <c:ext xmlns:c16="http://schemas.microsoft.com/office/drawing/2014/chart" uri="{C3380CC4-5D6E-409C-BE32-E72D297353CC}">
              <c16:uniqueId val="{0000007E-DA2F-4ADF-A349-9EBD07809C31}"/>
            </c:ext>
          </c:extLst>
        </c:ser>
        <c:ser>
          <c:idx val="106"/>
          <c:order val="106"/>
          <c:tx>
            <c:v>h=94</c:v>
          </c:tx>
          <c:spPr>
            <a:ln w="3175">
              <a:solidFill>
                <a:srgbClr val="808080"/>
              </a:solidFill>
              <a:prstDash val="solid"/>
            </a:ln>
          </c:spPr>
          <c:marker>
            <c:symbol val="none"/>
          </c:marker>
          <c:xVal>
            <c:numLit>
              <c:formatCode>General</c:formatCode>
              <c:ptCount val="2"/>
              <c:pt idx="0">
                <c:v>20.005230499795196</c:v>
              </c:pt>
              <c:pt idx="1">
                <c:v>20.305230499795194</c:v>
              </c:pt>
            </c:numLit>
          </c:xVal>
          <c:yVal>
            <c:numLit>
              <c:formatCode>General</c:formatCode>
              <c:ptCount val="2"/>
              <c:pt idx="0">
                <c:v>2.8479081772245965E-2</c:v>
              </c:pt>
              <c:pt idx="1">
                <c:v>2.8363617874062594E-2</c:v>
              </c:pt>
            </c:numLit>
          </c:yVal>
          <c:smooth val="0"/>
          <c:extLst>
            <c:ext xmlns:c16="http://schemas.microsoft.com/office/drawing/2014/chart" uri="{C3380CC4-5D6E-409C-BE32-E72D297353CC}">
              <c16:uniqueId val="{0000007F-DA2F-4ADF-A349-9EBD07809C31}"/>
            </c:ext>
          </c:extLst>
        </c:ser>
        <c:ser>
          <c:idx val="107"/>
          <c:order val="107"/>
          <c:tx>
            <c:v>h=95</c:v>
          </c:tx>
          <c:spPr>
            <a:ln w="3175">
              <a:solidFill>
                <a:srgbClr val="808080"/>
              </a:solidFill>
              <a:prstDash val="solid"/>
            </a:ln>
          </c:spPr>
          <c:marker>
            <c:symbol val="none"/>
          </c:marker>
          <c:dLbls>
            <c:dLbl>
              <c:idx val="0"/>
              <c:layout>
                <c:manualLayout>
                  <c:x val="-3.0087489063867018E-2"/>
                  <c:y val="-9.347701729591512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95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0-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20.313639281496528</c:v>
              </c:pt>
              <c:pt idx="1">
                <c:v>50</c:v>
              </c:pt>
            </c:numLit>
          </c:xVal>
          <c:yVal>
            <c:numLit>
              <c:formatCode>General</c:formatCode>
              <c:ptCount val="2"/>
              <c:pt idx="0">
                <c:v>2.8744980294068811E-2</c:v>
              </c:pt>
              <c:pt idx="1">
                <c:v>1.723207401696222E-2</c:v>
              </c:pt>
            </c:numLit>
          </c:yVal>
          <c:smooth val="0"/>
          <c:extLst>
            <c:ext xmlns:c16="http://schemas.microsoft.com/office/drawing/2014/chart" uri="{C3380CC4-5D6E-409C-BE32-E72D297353CC}">
              <c16:uniqueId val="{00000081-DA2F-4ADF-A349-9EBD07809C31}"/>
            </c:ext>
          </c:extLst>
        </c:ser>
        <c:ser>
          <c:idx val="108"/>
          <c:order val="108"/>
          <c:tx>
            <c:v>h=96</c:v>
          </c:tx>
          <c:spPr>
            <a:ln w="3175">
              <a:solidFill>
                <a:srgbClr val="808080"/>
              </a:solidFill>
              <a:prstDash val="solid"/>
            </a:ln>
          </c:spPr>
          <c:marker>
            <c:symbol val="none"/>
          </c:marker>
          <c:xVal>
            <c:numLit>
              <c:formatCode>General</c:formatCode>
              <c:ptCount val="2"/>
              <c:pt idx="0">
                <c:v>20.622048063197862</c:v>
              </c:pt>
              <c:pt idx="1">
                <c:v>20.922048063197863</c:v>
              </c:pt>
            </c:numLit>
          </c:xVal>
          <c:yVal>
            <c:numLit>
              <c:formatCode>General</c:formatCode>
              <c:ptCount val="2"/>
              <c:pt idx="0">
                <c:v>2.9010878815891653E-2</c:v>
              </c:pt>
              <c:pt idx="1">
                <c:v>2.8895417153414215E-2</c:v>
              </c:pt>
            </c:numLit>
          </c:yVal>
          <c:smooth val="0"/>
          <c:extLst>
            <c:ext xmlns:c16="http://schemas.microsoft.com/office/drawing/2014/chart" uri="{C3380CC4-5D6E-409C-BE32-E72D297353CC}">
              <c16:uniqueId val="{00000082-DA2F-4ADF-A349-9EBD07809C31}"/>
            </c:ext>
          </c:extLst>
        </c:ser>
        <c:ser>
          <c:idx val="109"/>
          <c:order val="109"/>
          <c:tx>
            <c:v>h=97</c:v>
          </c:tx>
          <c:spPr>
            <a:ln w="3175">
              <a:solidFill>
                <a:srgbClr val="808080"/>
              </a:solidFill>
              <a:prstDash val="solid"/>
            </a:ln>
          </c:spPr>
          <c:marker>
            <c:symbol val="none"/>
          </c:marker>
          <c:xVal>
            <c:numLit>
              <c:formatCode>General</c:formatCode>
              <c:ptCount val="2"/>
              <c:pt idx="0">
                <c:v>20.930456844899197</c:v>
              </c:pt>
              <c:pt idx="1">
                <c:v>21.230456844899194</c:v>
              </c:pt>
            </c:numLit>
          </c:xVal>
          <c:yVal>
            <c:numLit>
              <c:formatCode>General</c:formatCode>
              <c:ptCount val="2"/>
              <c:pt idx="0">
                <c:v>2.9276777337714499E-2</c:v>
              </c:pt>
              <c:pt idx="1">
                <c:v>2.916131676260093E-2</c:v>
              </c:pt>
            </c:numLit>
          </c:yVal>
          <c:smooth val="0"/>
          <c:extLst>
            <c:ext xmlns:c16="http://schemas.microsoft.com/office/drawing/2014/chart" uri="{C3380CC4-5D6E-409C-BE32-E72D297353CC}">
              <c16:uniqueId val="{00000083-DA2F-4ADF-A349-9EBD07809C31}"/>
            </c:ext>
          </c:extLst>
        </c:ser>
        <c:ser>
          <c:idx val="110"/>
          <c:order val="110"/>
          <c:tx>
            <c:v>h=98</c:v>
          </c:tx>
          <c:spPr>
            <a:ln w="3175">
              <a:solidFill>
                <a:srgbClr val="808080"/>
              </a:solidFill>
              <a:prstDash val="solid"/>
            </a:ln>
          </c:spPr>
          <c:marker>
            <c:symbol val="none"/>
          </c:marker>
          <c:xVal>
            <c:numLit>
              <c:formatCode>General</c:formatCode>
              <c:ptCount val="2"/>
              <c:pt idx="0">
                <c:v>21.238865626600528</c:v>
              </c:pt>
              <c:pt idx="1">
                <c:v>21.538865626600529</c:v>
              </c:pt>
            </c:numLit>
          </c:xVal>
          <c:yVal>
            <c:numLit>
              <c:formatCode>General</c:formatCode>
              <c:ptCount val="2"/>
              <c:pt idx="0">
                <c:v>2.9542675859537345E-2</c:v>
              </c:pt>
              <c:pt idx="1">
                <c:v>2.9427216352194103E-2</c:v>
              </c:pt>
            </c:numLit>
          </c:yVal>
          <c:smooth val="0"/>
          <c:extLst>
            <c:ext xmlns:c16="http://schemas.microsoft.com/office/drawing/2014/chart" uri="{C3380CC4-5D6E-409C-BE32-E72D297353CC}">
              <c16:uniqueId val="{00000084-DA2F-4ADF-A349-9EBD07809C31}"/>
            </c:ext>
          </c:extLst>
        </c:ser>
        <c:ser>
          <c:idx val="111"/>
          <c:order val="111"/>
          <c:tx>
            <c:v>h=99</c:v>
          </c:tx>
          <c:spPr>
            <a:ln w="3175">
              <a:solidFill>
                <a:srgbClr val="808080"/>
              </a:solidFill>
              <a:prstDash val="solid"/>
            </a:ln>
          </c:spPr>
          <c:marker>
            <c:symbol val="none"/>
          </c:marker>
          <c:xVal>
            <c:numLit>
              <c:formatCode>General</c:formatCode>
              <c:ptCount val="2"/>
              <c:pt idx="0">
                <c:v>21.547274408301863</c:v>
              </c:pt>
              <c:pt idx="1">
                <c:v>21.847274408301864</c:v>
              </c:pt>
            </c:numLit>
          </c:xVal>
          <c:yVal>
            <c:numLit>
              <c:formatCode>General</c:formatCode>
              <c:ptCount val="2"/>
              <c:pt idx="0">
                <c:v>2.9808574381360187E-2</c:v>
              </c:pt>
              <c:pt idx="1">
                <c:v>2.9693115922718592E-2</c:v>
              </c:pt>
            </c:numLit>
          </c:yVal>
          <c:smooth val="0"/>
          <c:extLst>
            <c:ext xmlns:c16="http://schemas.microsoft.com/office/drawing/2014/chart" uri="{C3380CC4-5D6E-409C-BE32-E72D297353CC}">
              <c16:uniqueId val="{00000085-DA2F-4ADF-A349-9EBD07809C31}"/>
            </c:ext>
          </c:extLst>
        </c:ser>
        <c:ser>
          <c:idx val="112"/>
          <c:order val="112"/>
          <c:tx>
            <c:v>h=100</c:v>
          </c:tx>
          <c:spPr>
            <a:ln w="3175">
              <a:solidFill>
                <a:srgbClr val="808080"/>
              </a:solidFill>
              <a:prstDash val="solid"/>
            </a:ln>
          </c:spPr>
          <c:marker>
            <c:symbol val="none"/>
          </c:marker>
          <c:dLbls>
            <c:dLbl>
              <c:idx val="0"/>
              <c:layout>
                <c:manualLayout>
                  <c:x val="-3.2080736001749779E-2"/>
                  <c:y val="-1.2169728783902031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6-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21.855683190003198</c:v>
              </c:pt>
              <c:pt idx="1">
                <c:v>49.999999999999993</c:v>
              </c:pt>
            </c:numLit>
          </c:xVal>
          <c:yVal>
            <c:numLit>
              <c:formatCode>General</c:formatCode>
              <c:ptCount val="2"/>
              <c:pt idx="0">
                <c:v>3.0074472903183033E-2</c:v>
              </c:pt>
              <c:pt idx="1">
                <c:v>1.9159599074787974E-2</c:v>
              </c:pt>
            </c:numLit>
          </c:yVal>
          <c:smooth val="0"/>
          <c:extLst>
            <c:ext xmlns:c16="http://schemas.microsoft.com/office/drawing/2014/chart" uri="{C3380CC4-5D6E-409C-BE32-E72D297353CC}">
              <c16:uniqueId val="{00000087-DA2F-4ADF-A349-9EBD07809C31}"/>
            </c:ext>
          </c:extLst>
        </c:ser>
        <c:ser>
          <c:idx val="113"/>
          <c:order val="113"/>
          <c:tx>
            <c:v>h=101</c:v>
          </c:tx>
          <c:spPr>
            <a:ln w="3175">
              <a:solidFill>
                <a:srgbClr val="808080"/>
              </a:solidFill>
              <a:prstDash val="solid"/>
            </a:ln>
          </c:spPr>
          <c:marker>
            <c:symbol val="none"/>
          </c:marker>
          <c:xVal>
            <c:numLit>
              <c:formatCode>General</c:formatCode>
              <c:ptCount val="2"/>
              <c:pt idx="0">
                <c:v>22.164091971704529</c:v>
              </c:pt>
              <c:pt idx="1">
                <c:v>22.46409197170453</c:v>
              </c:pt>
            </c:numLit>
          </c:xVal>
          <c:yVal>
            <c:numLit>
              <c:formatCode>General</c:formatCode>
              <c:ptCount val="2"/>
              <c:pt idx="0">
                <c:v>3.0340371425005876E-2</c:v>
              </c:pt>
              <c:pt idx="1">
                <c:v>3.0224915008568904E-2</c:v>
              </c:pt>
            </c:numLit>
          </c:yVal>
          <c:smooth val="0"/>
          <c:extLst>
            <c:ext xmlns:c16="http://schemas.microsoft.com/office/drawing/2014/chart" uri="{C3380CC4-5D6E-409C-BE32-E72D297353CC}">
              <c16:uniqueId val="{00000088-DA2F-4ADF-A349-9EBD07809C31}"/>
            </c:ext>
          </c:extLst>
        </c:ser>
        <c:ser>
          <c:idx val="114"/>
          <c:order val="114"/>
          <c:tx>
            <c:v>h=102</c:v>
          </c:tx>
          <c:spPr>
            <a:ln w="3175">
              <a:solidFill>
                <a:srgbClr val="808080"/>
              </a:solidFill>
              <a:prstDash val="solid"/>
            </a:ln>
          </c:spPr>
          <c:marker>
            <c:symbol val="none"/>
          </c:marker>
          <c:xVal>
            <c:numLit>
              <c:formatCode>General</c:formatCode>
              <c:ptCount val="2"/>
              <c:pt idx="0">
                <c:v>22.472500753405864</c:v>
              </c:pt>
              <c:pt idx="1">
                <c:v>22.772500753405865</c:v>
              </c:pt>
            </c:numLit>
          </c:xVal>
          <c:yVal>
            <c:numLit>
              <c:formatCode>General</c:formatCode>
              <c:ptCount val="2"/>
              <c:pt idx="0">
                <c:v>3.0606269946828722E-2</c:v>
              </c:pt>
              <c:pt idx="1">
                <c:v>3.0490814524854769E-2</c:v>
              </c:pt>
            </c:numLit>
          </c:yVal>
          <c:smooth val="0"/>
          <c:extLst>
            <c:ext xmlns:c16="http://schemas.microsoft.com/office/drawing/2014/chart" uri="{C3380CC4-5D6E-409C-BE32-E72D297353CC}">
              <c16:uniqueId val="{00000089-DA2F-4ADF-A349-9EBD07809C31}"/>
            </c:ext>
          </c:extLst>
        </c:ser>
        <c:ser>
          <c:idx val="115"/>
          <c:order val="115"/>
          <c:tx>
            <c:v>h=103</c:v>
          </c:tx>
          <c:spPr>
            <a:ln w="3175">
              <a:solidFill>
                <a:srgbClr val="808080"/>
              </a:solidFill>
              <a:prstDash val="solid"/>
            </a:ln>
          </c:spPr>
          <c:marker>
            <c:symbol val="none"/>
          </c:marker>
          <c:xVal>
            <c:numLit>
              <c:formatCode>General</c:formatCode>
              <c:ptCount val="2"/>
              <c:pt idx="0">
                <c:v>22.780909535107199</c:v>
              </c:pt>
              <c:pt idx="1">
                <c:v>23.080909535107196</c:v>
              </c:pt>
            </c:numLit>
          </c:xVal>
          <c:yVal>
            <c:numLit>
              <c:formatCode>General</c:formatCode>
              <c:ptCount val="2"/>
              <c:pt idx="0">
                <c:v>3.0872168468651567E-2</c:v>
              </c:pt>
              <c:pt idx="1">
                <c:v>3.0756714023993551E-2</c:v>
              </c:pt>
            </c:numLit>
          </c:yVal>
          <c:smooth val="0"/>
          <c:extLst>
            <c:ext xmlns:c16="http://schemas.microsoft.com/office/drawing/2014/chart" uri="{C3380CC4-5D6E-409C-BE32-E72D297353CC}">
              <c16:uniqueId val="{0000008A-DA2F-4ADF-A349-9EBD07809C31}"/>
            </c:ext>
          </c:extLst>
        </c:ser>
        <c:ser>
          <c:idx val="116"/>
          <c:order val="116"/>
          <c:tx>
            <c:v>h=104</c:v>
          </c:tx>
          <c:spPr>
            <a:ln w="3175">
              <a:solidFill>
                <a:srgbClr val="808080"/>
              </a:solidFill>
              <a:prstDash val="solid"/>
            </a:ln>
          </c:spPr>
          <c:marker>
            <c:symbol val="none"/>
          </c:marker>
          <c:xVal>
            <c:numLit>
              <c:formatCode>General</c:formatCode>
              <c:ptCount val="2"/>
              <c:pt idx="0">
                <c:v>23.08931831680853</c:v>
              </c:pt>
              <c:pt idx="1">
                <c:v>23.389318316808531</c:v>
              </c:pt>
            </c:numLit>
          </c:xVal>
          <c:yVal>
            <c:numLit>
              <c:formatCode>General</c:formatCode>
              <c:ptCount val="2"/>
              <c:pt idx="0">
                <c:v>3.113806699047441E-2</c:v>
              </c:pt>
              <c:pt idx="1">
                <c:v>3.1022613506424938E-2</c:v>
              </c:pt>
            </c:numLit>
          </c:yVal>
          <c:smooth val="0"/>
          <c:extLst>
            <c:ext xmlns:c16="http://schemas.microsoft.com/office/drawing/2014/chart" uri="{C3380CC4-5D6E-409C-BE32-E72D297353CC}">
              <c16:uniqueId val="{0000008B-DA2F-4ADF-A349-9EBD07809C31}"/>
            </c:ext>
          </c:extLst>
        </c:ser>
        <c:ser>
          <c:idx val="117"/>
          <c:order val="117"/>
          <c:tx>
            <c:v>h=105</c:v>
          </c:tx>
          <c:spPr>
            <a:ln w="3175">
              <a:solidFill>
                <a:srgbClr val="808080"/>
              </a:solidFill>
              <a:prstDash val="solid"/>
            </a:ln>
          </c:spPr>
          <c:marker>
            <c:symbol val="none"/>
          </c:marker>
          <c:dLbls>
            <c:dLbl>
              <c:idx val="0"/>
              <c:layout>
                <c:manualLayout>
                  <c:x val="-3.2080736001749842E-2"/>
                  <c:y val="-1.2169728783902012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C-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23.397727098509865</c:v>
              </c:pt>
              <c:pt idx="1">
                <c:v>50</c:v>
              </c:pt>
            </c:numLit>
          </c:xVal>
          <c:yVal>
            <c:numLit>
              <c:formatCode>General</c:formatCode>
              <c:ptCount val="2"/>
              <c:pt idx="0">
                <c:v>3.1403965512297252E-2</c:v>
              </c:pt>
              <c:pt idx="1">
                <c:v>2.1087124132613724E-2</c:v>
              </c:pt>
            </c:numLit>
          </c:yVal>
          <c:smooth val="0"/>
          <c:extLst>
            <c:ext xmlns:c16="http://schemas.microsoft.com/office/drawing/2014/chart" uri="{C3380CC4-5D6E-409C-BE32-E72D297353CC}">
              <c16:uniqueId val="{0000008D-DA2F-4ADF-A349-9EBD07809C31}"/>
            </c:ext>
          </c:extLst>
        </c:ser>
        <c:ser>
          <c:idx val="118"/>
          <c:order val="118"/>
          <c:tx>
            <c:v>h=106</c:v>
          </c:tx>
          <c:spPr>
            <a:ln w="3175">
              <a:solidFill>
                <a:srgbClr val="808080"/>
              </a:solidFill>
              <a:prstDash val="solid"/>
            </a:ln>
          </c:spPr>
          <c:marker>
            <c:symbol val="none"/>
          </c:marker>
          <c:xVal>
            <c:numLit>
              <c:formatCode>General</c:formatCode>
              <c:ptCount val="2"/>
              <c:pt idx="0">
                <c:v>23.7061358802112</c:v>
              </c:pt>
              <c:pt idx="1">
                <c:v>24.006135880211197</c:v>
              </c:pt>
            </c:numLit>
          </c:xVal>
          <c:yVal>
            <c:numLit>
              <c:formatCode>General</c:formatCode>
              <c:ptCount val="2"/>
              <c:pt idx="0">
                <c:v>3.1669864034120102E-2</c:v>
              </c:pt>
              <c:pt idx="1">
                <c:v>3.1554412422850439E-2</c:v>
              </c:pt>
            </c:numLit>
          </c:yVal>
          <c:smooth val="0"/>
          <c:extLst>
            <c:ext xmlns:c16="http://schemas.microsoft.com/office/drawing/2014/chart" uri="{C3380CC4-5D6E-409C-BE32-E72D297353CC}">
              <c16:uniqueId val="{0000008E-DA2F-4ADF-A349-9EBD07809C31}"/>
            </c:ext>
          </c:extLst>
        </c:ser>
        <c:ser>
          <c:idx val="119"/>
          <c:order val="119"/>
          <c:tx>
            <c:v>h=107</c:v>
          </c:tx>
          <c:spPr>
            <a:ln w="3175">
              <a:solidFill>
                <a:srgbClr val="808080"/>
              </a:solidFill>
              <a:prstDash val="solid"/>
            </a:ln>
          </c:spPr>
          <c:marker>
            <c:symbol val="none"/>
          </c:marker>
          <c:xVal>
            <c:numLit>
              <c:formatCode>General</c:formatCode>
              <c:ptCount val="2"/>
              <c:pt idx="0">
                <c:v>24.014544661912531</c:v>
              </c:pt>
              <c:pt idx="1">
                <c:v>24.314544661912532</c:v>
              </c:pt>
            </c:numLit>
          </c:xVal>
          <c:yVal>
            <c:numLit>
              <c:formatCode>General</c:formatCode>
              <c:ptCount val="2"/>
              <c:pt idx="0">
                <c:v>3.1935762555942944E-2</c:v>
              </c:pt>
              <c:pt idx="1">
                <c:v>3.1820311857651898E-2</c:v>
              </c:pt>
            </c:numLit>
          </c:yVal>
          <c:smooth val="0"/>
          <c:extLst>
            <c:ext xmlns:c16="http://schemas.microsoft.com/office/drawing/2014/chart" uri="{C3380CC4-5D6E-409C-BE32-E72D297353CC}">
              <c16:uniqueId val="{0000008F-DA2F-4ADF-A349-9EBD07809C31}"/>
            </c:ext>
          </c:extLst>
        </c:ser>
        <c:ser>
          <c:idx val="120"/>
          <c:order val="120"/>
          <c:tx>
            <c:v>h=108</c:v>
          </c:tx>
          <c:spPr>
            <a:ln w="3175">
              <a:solidFill>
                <a:srgbClr val="808080"/>
              </a:solidFill>
              <a:prstDash val="solid"/>
            </a:ln>
          </c:spPr>
          <c:marker>
            <c:symbol val="none"/>
          </c:marker>
          <c:xVal>
            <c:numLit>
              <c:formatCode>General</c:formatCode>
              <c:ptCount val="2"/>
              <c:pt idx="0">
                <c:v>24.322953443613866</c:v>
              </c:pt>
              <c:pt idx="1">
                <c:v>24.622953443613866</c:v>
              </c:pt>
            </c:numLit>
          </c:xVal>
          <c:yVal>
            <c:numLit>
              <c:formatCode>General</c:formatCode>
              <c:ptCount val="2"/>
              <c:pt idx="0">
                <c:v>3.2201661077765786E-2</c:v>
              </c:pt>
              <c:pt idx="1">
                <c:v>3.2086211277361804E-2</c:v>
              </c:pt>
            </c:numLit>
          </c:yVal>
          <c:smooth val="0"/>
          <c:extLst>
            <c:ext xmlns:c16="http://schemas.microsoft.com/office/drawing/2014/chart" uri="{C3380CC4-5D6E-409C-BE32-E72D297353CC}">
              <c16:uniqueId val="{00000090-DA2F-4ADF-A349-9EBD07809C31}"/>
            </c:ext>
          </c:extLst>
        </c:ser>
        <c:ser>
          <c:idx val="121"/>
          <c:order val="121"/>
          <c:tx>
            <c:v>h=109</c:v>
          </c:tx>
          <c:spPr>
            <a:ln w="3175">
              <a:solidFill>
                <a:srgbClr val="808080"/>
              </a:solidFill>
              <a:prstDash val="solid"/>
            </a:ln>
          </c:spPr>
          <c:marker>
            <c:symbol val="none"/>
          </c:marker>
          <c:xVal>
            <c:numLit>
              <c:formatCode>General</c:formatCode>
              <c:ptCount val="2"/>
              <c:pt idx="0">
                <c:v>24.6313622253152</c:v>
              </c:pt>
              <c:pt idx="1">
                <c:v>24.931362225315198</c:v>
              </c:pt>
            </c:numLit>
          </c:xVal>
          <c:yVal>
            <c:numLit>
              <c:formatCode>General</c:formatCode>
              <c:ptCount val="2"/>
              <c:pt idx="0">
                <c:v>3.2467559599588636E-2</c:v>
              </c:pt>
              <c:pt idx="1">
                <c:v>3.2352110682351297E-2</c:v>
              </c:pt>
            </c:numLit>
          </c:yVal>
          <c:smooth val="0"/>
          <c:extLst>
            <c:ext xmlns:c16="http://schemas.microsoft.com/office/drawing/2014/chart" uri="{C3380CC4-5D6E-409C-BE32-E72D297353CC}">
              <c16:uniqueId val="{00000091-DA2F-4ADF-A349-9EBD07809C31}"/>
            </c:ext>
          </c:extLst>
        </c:ser>
        <c:ser>
          <c:idx val="122"/>
          <c:order val="122"/>
          <c:tx>
            <c:v>h=110</c:v>
          </c:tx>
          <c:spPr>
            <a:ln w="3175">
              <a:solidFill>
                <a:srgbClr val="808080"/>
              </a:solidFill>
              <a:prstDash val="solid"/>
            </a:ln>
          </c:spPr>
          <c:marker>
            <c:symbol val="none"/>
          </c:marker>
          <c:dLbls>
            <c:dLbl>
              <c:idx val="0"/>
              <c:layout>
                <c:manualLayout>
                  <c:x val="-3.2080736001749842E-2"/>
                  <c:y val="-1.2169728783902012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110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2-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24.939771007016532</c:v>
              </c:pt>
              <c:pt idx="1">
                <c:v>50</c:v>
              </c:pt>
            </c:numLit>
          </c:xVal>
          <c:yVal>
            <c:numLit>
              <c:formatCode>General</c:formatCode>
              <c:ptCount val="2"/>
              <c:pt idx="0">
                <c:v>3.2733458121411478E-2</c:v>
              </c:pt>
              <c:pt idx="1">
                <c:v>2.3014649190439475E-2</c:v>
              </c:pt>
            </c:numLit>
          </c:yVal>
          <c:smooth val="0"/>
          <c:extLst>
            <c:ext xmlns:c16="http://schemas.microsoft.com/office/drawing/2014/chart" uri="{C3380CC4-5D6E-409C-BE32-E72D297353CC}">
              <c16:uniqueId val="{00000093-DA2F-4ADF-A349-9EBD07809C31}"/>
            </c:ext>
          </c:extLst>
        </c:ser>
        <c:ser>
          <c:idx val="123"/>
          <c:order val="123"/>
          <c:tx>
            <c:v>h=111</c:v>
          </c:tx>
          <c:spPr>
            <a:ln w="3175">
              <a:solidFill>
                <a:srgbClr val="808080"/>
              </a:solidFill>
              <a:prstDash val="solid"/>
            </a:ln>
          </c:spPr>
          <c:marker>
            <c:symbol val="none"/>
          </c:marker>
          <c:xVal>
            <c:numLit>
              <c:formatCode>General</c:formatCode>
              <c:ptCount val="2"/>
              <c:pt idx="0">
                <c:v>25.248179788717867</c:v>
              </c:pt>
              <c:pt idx="1">
                <c:v>25.548179788717867</c:v>
              </c:pt>
            </c:numLit>
          </c:xVal>
          <c:yVal>
            <c:numLit>
              <c:formatCode>General</c:formatCode>
              <c:ptCount val="2"/>
              <c:pt idx="0">
                <c:v>3.299935664323432E-2</c:v>
              </c:pt>
              <c:pt idx="1">
                <c:v>3.2883909449593671E-2</c:v>
              </c:pt>
            </c:numLit>
          </c:yVal>
          <c:smooth val="0"/>
          <c:extLst>
            <c:ext xmlns:c16="http://schemas.microsoft.com/office/drawing/2014/chart" uri="{C3380CC4-5D6E-409C-BE32-E72D297353CC}">
              <c16:uniqueId val="{00000094-DA2F-4ADF-A349-9EBD07809C31}"/>
            </c:ext>
          </c:extLst>
        </c:ser>
        <c:ser>
          <c:idx val="124"/>
          <c:order val="124"/>
          <c:tx>
            <c:v>h=112</c:v>
          </c:tx>
          <c:spPr>
            <a:ln w="3175">
              <a:solidFill>
                <a:srgbClr val="808080"/>
              </a:solidFill>
              <a:prstDash val="solid"/>
            </a:ln>
          </c:spPr>
          <c:marker>
            <c:symbol val="none"/>
          </c:marker>
          <c:xVal>
            <c:numLit>
              <c:formatCode>General</c:formatCode>
              <c:ptCount val="2"/>
              <c:pt idx="0">
                <c:v>25.556588570419198</c:v>
              </c:pt>
              <c:pt idx="1">
                <c:v>25.856588570419198</c:v>
              </c:pt>
            </c:numLit>
          </c:xVal>
          <c:yVal>
            <c:numLit>
              <c:formatCode>General</c:formatCode>
              <c:ptCount val="2"/>
              <c:pt idx="0">
                <c:v>3.3265255165057163E-2</c:v>
              </c:pt>
              <c:pt idx="1">
                <c:v>3.3149808812530379E-2</c:v>
              </c:pt>
            </c:numLit>
          </c:yVal>
          <c:smooth val="0"/>
          <c:extLst>
            <c:ext xmlns:c16="http://schemas.microsoft.com/office/drawing/2014/chart" uri="{C3380CC4-5D6E-409C-BE32-E72D297353CC}">
              <c16:uniqueId val="{00000095-DA2F-4ADF-A349-9EBD07809C31}"/>
            </c:ext>
          </c:extLst>
        </c:ser>
        <c:ser>
          <c:idx val="125"/>
          <c:order val="125"/>
          <c:tx>
            <c:v>h=113</c:v>
          </c:tx>
          <c:spPr>
            <a:ln w="3175">
              <a:solidFill>
                <a:srgbClr val="808080"/>
              </a:solidFill>
              <a:prstDash val="solid"/>
            </a:ln>
          </c:spPr>
          <c:marker>
            <c:symbol val="none"/>
          </c:marker>
          <c:xVal>
            <c:numLit>
              <c:formatCode>General</c:formatCode>
              <c:ptCount val="2"/>
              <c:pt idx="0">
                <c:v>25.864997352120533</c:v>
              </c:pt>
              <c:pt idx="1">
                <c:v>26.164997352120533</c:v>
              </c:pt>
            </c:numLit>
          </c:xVal>
          <c:yVal>
            <c:numLit>
              <c:formatCode>General</c:formatCode>
              <c:ptCount val="2"/>
              <c:pt idx="0">
                <c:v>3.3531153686880012E-2</c:v>
              </c:pt>
              <c:pt idx="1">
                <c:v>3.341570816211524E-2</c:v>
              </c:pt>
            </c:numLit>
          </c:yVal>
          <c:smooth val="0"/>
          <c:extLst>
            <c:ext xmlns:c16="http://schemas.microsoft.com/office/drawing/2014/chart" uri="{C3380CC4-5D6E-409C-BE32-E72D297353CC}">
              <c16:uniqueId val="{00000096-DA2F-4ADF-A349-9EBD07809C31}"/>
            </c:ext>
          </c:extLst>
        </c:ser>
        <c:ser>
          <c:idx val="126"/>
          <c:order val="126"/>
          <c:tx>
            <c:v>h=114</c:v>
          </c:tx>
          <c:spPr>
            <a:ln w="3175">
              <a:solidFill>
                <a:srgbClr val="808080"/>
              </a:solidFill>
              <a:prstDash val="solid"/>
            </a:ln>
          </c:spPr>
          <c:marker>
            <c:symbol val="none"/>
          </c:marker>
          <c:xVal>
            <c:numLit>
              <c:formatCode>General</c:formatCode>
              <c:ptCount val="2"/>
              <c:pt idx="0">
                <c:v>26.173406133821867</c:v>
              </c:pt>
              <c:pt idx="1">
                <c:v>26.473406133821868</c:v>
              </c:pt>
            </c:numLit>
          </c:xVal>
          <c:yVal>
            <c:numLit>
              <c:formatCode>General</c:formatCode>
              <c:ptCount val="2"/>
              <c:pt idx="0">
                <c:v>3.3797052208702855E-2</c:v>
              </c:pt>
              <c:pt idx="1">
                <c:v>3.3681607498663661E-2</c:v>
              </c:pt>
            </c:numLit>
          </c:yVal>
          <c:smooth val="0"/>
          <c:extLst>
            <c:ext xmlns:c16="http://schemas.microsoft.com/office/drawing/2014/chart" uri="{C3380CC4-5D6E-409C-BE32-E72D297353CC}">
              <c16:uniqueId val="{00000097-DA2F-4ADF-A349-9EBD07809C31}"/>
            </c:ext>
          </c:extLst>
        </c:ser>
        <c:ser>
          <c:idx val="127"/>
          <c:order val="127"/>
          <c:tx>
            <c:v>h=115</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115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8-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26.644135188866791</c:v>
              </c:pt>
              <c:pt idx="1">
                <c:v>49.999999999999993</c:v>
              </c:pt>
            </c:numLit>
          </c:xVal>
          <c:yVal>
            <c:numLit>
              <c:formatCode>General</c:formatCode>
              <c:ptCount val="2"/>
              <c:pt idx="0">
                <c:v>3.4000000000000002E-2</c:v>
              </c:pt>
              <c:pt idx="1">
                <c:v>2.4942174248265229E-2</c:v>
              </c:pt>
            </c:numLit>
          </c:yVal>
          <c:smooth val="0"/>
          <c:extLst>
            <c:ext xmlns:c16="http://schemas.microsoft.com/office/drawing/2014/chart" uri="{C3380CC4-5D6E-409C-BE32-E72D297353CC}">
              <c16:uniqueId val="{00000099-DA2F-4ADF-A349-9EBD07809C31}"/>
            </c:ext>
          </c:extLst>
        </c:ser>
        <c:ser>
          <c:idx val="128"/>
          <c:order val="128"/>
          <c:tx>
            <c:v>h=116</c:v>
          </c:tx>
          <c:spPr>
            <a:ln w="3175">
              <a:solidFill>
                <a:srgbClr val="808080"/>
              </a:solidFill>
              <a:prstDash val="solid"/>
            </a:ln>
          </c:spPr>
          <c:marker>
            <c:symbol val="none"/>
          </c:marker>
          <c:xVal>
            <c:numLit>
              <c:formatCode>General</c:formatCode>
              <c:ptCount val="2"/>
              <c:pt idx="0">
                <c:v>27.638170974155063</c:v>
              </c:pt>
              <c:pt idx="1">
                <c:v>28.210329737551017</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A-DA2F-4ADF-A349-9EBD07809C31}"/>
            </c:ext>
          </c:extLst>
        </c:ser>
        <c:ser>
          <c:idx val="129"/>
          <c:order val="129"/>
          <c:tx>
            <c:v>h=117</c:v>
          </c:tx>
          <c:spPr>
            <a:ln w="3175">
              <a:solidFill>
                <a:srgbClr val="808080"/>
              </a:solidFill>
              <a:prstDash val="solid"/>
            </a:ln>
          </c:spPr>
          <c:marker>
            <c:symbol val="none"/>
          </c:marker>
          <c:xVal>
            <c:numLit>
              <c:formatCode>General</c:formatCode>
              <c:ptCount val="2"/>
              <c:pt idx="0">
                <c:v>28.632206759443335</c:v>
              </c:pt>
              <c:pt idx="1">
                <c:v>29.204365522839289</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B-DA2F-4ADF-A349-9EBD07809C31}"/>
            </c:ext>
          </c:extLst>
        </c:ser>
        <c:ser>
          <c:idx val="130"/>
          <c:order val="130"/>
          <c:tx>
            <c:v>h=118</c:v>
          </c:tx>
          <c:spPr>
            <a:ln w="3175">
              <a:solidFill>
                <a:srgbClr val="808080"/>
              </a:solidFill>
              <a:prstDash val="solid"/>
            </a:ln>
          </c:spPr>
          <c:marker>
            <c:symbol val="none"/>
          </c:marker>
          <c:xVal>
            <c:numLit>
              <c:formatCode>General</c:formatCode>
              <c:ptCount val="2"/>
              <c:pt idx="0">
                <c:v>29.626242544731603</c:v>
              </c:pt>
              <c:pt idx="1">
                <c:v>30.198401308127558</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C-DA2F-4ADF-A349-9EBD07809C31}"/>
            </c:ext>
          </c:extLst>
        </c:ser>
        <c:ser>
          <c:idx val="131"/>
          <c:order val="131"/>
          <c:tx>
            <c:v>h=119</c:v>
          </c:tx>
          <c:spPr>
            <a:ln w="3175">
              <a:solidFill>
                <a:srgbClr val="808080"/>
              </a:solidFill>
              <a:prstDash val="solid"/>
            </a:ln>
          </c:spPr>
          <c:marker>
            <c:symbol val="none"/>
          </c:marker>
          <c:xVal>
            <c:numLit>
              <c:formatCode>General</c:formatCode>
              <c:ptCount val="2"/>
              <c:pt idx="0">
                <c:v>30.620278330019875</c:v>
              </c:pt>
              <c:pt idx="1">
                <c:v>31.19243709341583</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D-DA2F-4ADF-A349-9EBD07809C31}"/>
            </c:ext>
          </c:extLst>
        </c:ser>
        <c:ser>
          <c:idx val="132"/>
          <c:order val="132"/>
          <c:tx>
            <c:v>h=120</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120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E-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31.614314115308144</c:v>
              </c:pt>
              <c:pt idx="1">
                <c:v>50</c:v>
              </c:pt>
            </c:numLit>
          </c:xVal>
          <c:yVal>
            <c:numLit>
              <c:formatCode>General</c:formatCode>
              <c:ptCount val="2"/>
              <c:pt idx="0">
                <c:v>3.4000000000000002E-2</c:v>
              </c:pt>
              <c:pt idx="1">
                <c:v>2.6869699306090979E-2</c:v>
              </c:pt>
            </c:numLit>
          </c:yVal>
          <c:smooth val="0"/>
          <c:extLst>
            <c:ext xmlns:c16="http://schemas.microsoft.com/office/drawing/2014/chart" uri="{C3380CC4-5D6E-409C-BE32-E72D297353CC}">
              <c16:uniqueId val="{0000009F-DA2F-4ADF-A349-9EBD07809C31}"/>
            </c:ext>
          </c:extLst>
        </c:ser>
        <c:ser>
          <c:idx val="133"/>
          <c:order val="133"/>
          <c:tx>
            <c:v>h=121</c:v>
          </c:tx>
          <c:spPr>
            <a:ln w="3175">
              <a:solidFill>
                <a:srgbClr val="808080"/>
              </a:solidFill>
              <a:prstDash val="solid"/>
            </a:ln>
          </c:spPr>
          <c:marker>
            <c:symbol val="none"/>
          </c:marker>
          <c:xVal>
            <c:numLit>
              <c:formatCode>General</c:formatCode>
              <c:ptCount val="2"/>
              <c:pt idx="0">
                <c:v>32.608349900596416</c:v>
              </c:pt>
              <c:pt idx="1">
                <c:v>33.18050866399237</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0-DA2F-4ADF-A349-9EBD07809C31}"/>
            </c:ext>
          </c:extLst>
        </c:ser>
        <c:ser>
          <c:idx val="134"/>
          <c:order val="134"/>
          <c:tx>
            <c:v>h=122</c:v>
          </c:tx>
          <c:spPr>
            <a:ln w="3175">
              <a:solidFill>
                <a:srgbClr val="808080"/>
              </a:solidFill>
              <a:prstDash val="solid"/>
            </a:ln>
          </c:spPr>
          <c:marker>
            <c:symbol val="none"/>
          </c:marker>
          <c:xVal>
            <c:numLit>
              <c:formatCode>General</c:formatCode>
              <c:ptCount val="2"/>
              <c:pt idx="0">
                <c:v>33.602385685884684</c:v>
              </c:pt>
              <c:pt idx="1">
                <c:v>34.174544449280639</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1-DA2F-4ADF-A349-9EBD07809C31}"/>
            </c:ext>
          </c:extLst>
        </c:ser>
        <c:ser>
          <c:idx val="135"/>
          <c:order val="135"/>
          <c:tx>
            <c:v>h=123</c:v>
          </c:tx>
          <c:spPr>
            <a:ln w="3175">
              <a:solidFill>
                <a:srgbClr val="808080"/>
              </a:solidFill>
              <a:prstDash val="solid"/>
            </a:ln>
          </c:spPr>
          <c:marker>
            <c:symbol val="none"/>
          </c:marker>
          <c:xVal>
            <c:numLit>
              <c:formatCode>General</c:formatCode>
              <c:ptCount val="2"/>
              <c:pt idx="0">
                <c:v>34.596421471172953</c:v>
              </c:pt>
              <c:pt idx="1">
                <c:v>35.168580234568914</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2-DA2F-4ADF-A349-9EBD07809C31}"/>
            </c:ext>
          </c:extLst>
        </c:ser>
        <c:ser>
          <c:idx val="136"/>
          <c:order val="136"/>
          <c:tx>
            <c:v>h=124</c:v>
          </c:tx>
          <c:spPr>
            <a:ln w="3175">
              <a:solidFill>
                <a:srgbClr val="808080"/>
              </a:solidFill>
              <a:prstDash val="solid"/>
            </a:ln>
          </c:spPr>
          <c:marker>
            <c:symbol val="none"/>
          </c:marker>
          <c:xVal>
            <c:numLit>
              <c:formatCode>General</c:formatCode>
              <c:ptCount val="2"/>
              <c:pt idx="0">
                <c:v>35.590457256461228</c:v>
              </c:pt>
              <c:pt idx="1">
                <c:v>36.162616019857182</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3-DA2F-4ADF-A349-9EBD07809C31}"/>
            </c:ext>
          </c:extLst>
        </c:ser>
        <c:ser>
          <c:idx val="137"/>
          <c:order val="137"/>
          <c:tx>
            <c:v>h=125</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125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4-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36.584493041749496</c:v>
              </c:pt>
              <c:pt idx="1">
                <c:v>50</c:v>
              </c:pt>
            </c:numLit>
          </c:xVal>
          <c:yVal>
            <c:numLit>
              <c:formatCode>General</c:formatCode>
              <c:ptCount val="2"/>
              <c:pt idx="0">
                <c:v>3.4000000000000002E-2</c:v>
              </c:pt>
              <c:pt idx="1">
                <c:v>2.879722436391673E-2</c:v>
              </c:pt>
            </c:numLit>
          </c:yVal>
          <c:smooth val="0"/>
          <c:extLst>
            <c:ext xmlns:c16="http://schemas.microsoft.com/office/drawing/2014/chart" uri="{C3380CC4-5D6E-409C-BE32-E72D297353CC}">
              <c16:uniqueId val="{000000A5-DA2F-4ADF-A349-9EBD07809C31}"/>
            </c:ext>
          </c:extLst>
        </c:ser>
        <c:ser>
          <c:idx val="138"/>
          <c:order val="138"/>
          <c:tx>
            <c:v>h=126</c:v>
          </c:tx>
          <c:spPr>
            <a:ln w="3175">
              <a:solidFill>
                <a:srgbClr val="808080"/>
              </a:solidFill>
              <a:prstDash val="solid"/>
            </a:ln>
          </c:spPr>
          <c:marker>
            <c:symbol val="none"/>
          </c:marker>
          <c:xVal>
            <c:numLit>
              <c:formatCode>General</c:formatCode>
              <c:ptCount val="2"/>
              <c:pt idx="0">
                <c:v>37.578528827037765</c:v>
              </c:pt>
              <c:pt idx="1">
                <c:v>38.150687590433719</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6-DA2F-4ADF-A349-9EBD07809C31}"/>
            </c:ext>
          </c:extLst>
        </c:ser>
        <c:ser>
          <c:idx val="139"/>
          <c:order val="139"/>
          <c:tx>
            <c:v>h=127</c:v>
          </c:tx>
          <c:spPr>
            <a:ln w="3175">
              <a:solidFill>
                <a:srgbClr val="808080"/>
              </a:solidFill>
              <a:prstDash val="solid"/>
            </a:ln>
          </c:spPr>
          <c:marker>
            <c:symbol val="none"/>
          </c:marker>
          <c:xVal>
            <c:numLit>
              <c:formatCode>General</c:formatCode>
              <c:ptCount val="2"/>
              <c:pt idx="0">
                <c:v>38.57256461232604</c:v>
              </c:pt>
              <c:pt idx="1">
                <c:v>39.144723375721995</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7-DA2F-4ADF-A349-9EBD07809C31}"/>
            </c:ext>
          </c:extLst>
        </c:ser>
        <c:ser>
          <c:idx val="140"/>
          <c:order val="140"/>
          <c:tx>
            <c:v>h=128</c:v>
          </c:tx>
          <c:spPr>
            <a:ln w="3175">
              <a:solidFill>
                <a:srgbClr val="808080"/>
              </a:solidFill>
              <a:prstDash val="solid"/>
            </a:ln>
          </c:spPr>
          <c:marker>
            <c:symbol val="none"/>
          </c:marker>
          <c:xVal>
            <c:numLit>
              <c:formatCode>General</c:formatCode>
              <c:ptCount val="2"/>
              <c:pt idx="0">
                <c:v>39.566600397614309</c:v>
              </c:pt>
              <c:pt idx="1">
                <c:v>40.138759161010263</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8-DA2F-4ADF-A349-9EBD07809C31}"/>
            </c:ext>
          </c:extLst>
        </c:ser>
        <c:ser>
          <c:idx val="141"/>
          <c:order val="141"/>
          <c:tx>
            <c:v>h=129</c:v>
          </c:tx>
          <c:spPr>
            <a:ln w="3175">
              <a:solidFill>
                <a:srgbClr val="808080"/>
              </a:solidFill>
              <a:prstDash val="solid"/>
            </a:ln>
          </c:spPr>
          <c:marker>
            <c:symbol val="none"/>
          </c:marker>
          <c:xVal>
            <c:numLit>
              <c:formatCode>General</c:formatCode>
              <c:ptCount val="2"/>
              <c:pt idx="0">
                <c:v>40.560636182902577</c:v>
              </c:pt>
              <c:pt idx="1">
                <c:v>41.132794946298532</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9-DA2F-4ADF-A349-9EBD07809C31}"/>
            </c:ext>
          </c:extLst>
        </c:ser>
        <c:ser>
          <c:idx val="142"/>
          <c:order val="142"/>
          <c:tx>
            <c:v>h=130</c:v>
          </c:tx>
          <c:spPr>
            <a:ln w="3175">
              <a:solidFill>
                <a:srgbClr val="808080"/>
              </a:solidFill>
              <a:prstDash val="solid"/>
            </a:ln>
          </c:spPr>
          <c:marker>
            <c:symbol val="none"/>
          </c:marker>
          <c:dLbls>
            <c:dLbl>
              <c:idx val="0"/>
              <c:layout>
                <c:manualLayout>
                  <c:x val="-2.9079861111111237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130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A-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41.554671968190846</c:v>
              </c:pt>
              <c:pt idx="1">
                <c:v>50</c:v>
              </c:pt>
            </c:numLit>
          </c:xVal>
          <c:yVal>
            <c:numLit>
              <c:formatCode>General</c:formatCode>
              <c:ptCount val="2"/>
              <c:pt idx="0">
                <c:v>3.4000000000000002E-2</c:v>
              </c:pt>
              <c:pt idx="1">
                <c:v>3.0724749421742484E-2</c:v>
              </c:pt>
            </c:numLit>
          </c:yVal>
          <c:smooth val="0"/>
          <c:extLst>
            <c:ext xmlns:c16="http://schemas.microsoft.com/office/drawing/2014/chart" uri="{C3380CC4-5D6E-409C-BE32-E72D297353CC}">
              <c16:uniqueId val="{000000AB-DA2F-4ADF-A349-9EBD07809C31}"/>
            </c:ext>
          </c:extLst>
        </c:ser>
        <c:ser>
          <c:idx val="143"/>
          <c:order val="143"/>
          <c:tx>
            <c:v>h=131</c:v>
          </c:tx>
          <c:spPr>
            <a:ln w="3175">
              <a:solidFill>
                <a:srgbClr val="808080"/>
              </a:solidFill>
              <a:prstDash val="solid"/>
            </a:ln>
          </c:spPr>
          <c:marker>
            <c:symbol val="none"/>
          </c:marker>
          <c:xVal>
            <c:numLit>
              <c:formatCode>General</c:formatCode>
              <c:ptCount val="2"/>
              <c:pt idx="0">
                <c:v>42.548707753479121</c:v>
              </c:pt>
              <c:pt idx="1">
                <c:v>43.120866516875076</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C-DA2F-4ADF-A349-9EBD07809C31}"/>
            </c:ext>
          </c:extLst>
        </c:ser>
        <c:ser>
          <c:idx val="144"/>
          <c:order val="144"/>
          <c:tx>
            <c:v>h=132</c:v>
          </c:tx>
          <c:spPr>
            <a:ln w="3175">
              <a:solidFill>
                <a:srgbClr val="808080"/>
              </a:solidFill>
              <a:prstDash val="solid"/>
            </a:ln>
          </c:spPr>
          <c:marker>
            <c:symbol val="none"/>
          </c:marker>
          <c:xVal>
            <c:numLit>
              <c:formatCode>General</c:formatCode>
              <c:ptCount val="2"/>
              <c:pt idx="0">
                <c:v>43.54274353876739</c:v>
              </c:pt>
              <c:pt idx="1">
                <c:v>44.114902302163344</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D-DA2F-4ADF-A349-9EBD07809C31}"/>
            </c:ext>
          </c:extLst>
        </c:ser>
        <c:ser>
          <c:idx val="145"/>
          <c:order val="145"/>
          <c:tx>
            <c:v>h=133</c:v>
          </c:tx>
          <c:spPr>
            <a:ln w="3175">
              <a:solidFill>
                <a:srgbClr val="808080"/>
              </a:solidFill>
              <a:prstDash val="solid"/>
            </a:ln>
          </c:spPr>
          <c:marker>
            <c:symbol val="none"/>
          </c:marker>
          <c:xVal>
            <c:numLit>
              <c:formatCode>General</c:formatCode>
              <c:ptCount val="2"/>
              <c:pt idx="0">
                <c:v>44.536779324055658</c:v>
              </c:pt>
              <c:pt idx="1">
                <c:v>45.108938087451612</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E-DA2F-4ADF-A349-9EBD07809C31}"/>
            </c:ext>
          </c:extLst>
        </c:ser>
        <c:ser>
          <c:idx val="146"/>
          <c:order val="146"/>
          <c:tx>
            <c:v>h=134</c:v>
          </c:tx>
          <c:spPr>
            <a:ln w="3175">
              <a:solidFill>
                <a:srgbClr val="808080"/>
              </a:solidFill>
              <a:prstDash val="solid"/>
            </a:ln>
          </c:spPr>
          <c:marker>
            <c:symbol val="none"/>
          </c:marker>
          <c:xVal>
            <c:numLit>
              <c:formatCode>General</c:formatCode>
              <c:ptCount val="2"/>
              <c:pt idx="0">
                <c:v>45.530815109343926</c:v>
              </c:pt>
              <c:pt idx="1">
                <c:v>46.102973872739888</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F-DA2F-4ADF-A349-9EBD07809C31}"/>
            </c:ext>
          </c:extLst>
        </c:ser>
        <c:ser>
          <c:idx val="147"/>
          <c:order val="147"/>
          <c:tx>
            <c:v>h=135</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135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0-DA2F-4ADF-A349-9EBD07809C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46.524850894632202</c:v>
              </c:pt>
              <c:pt idx="1">
                <c:v>50</c:v>
              </c:pt>
            </c:numLit>
          </c:xVal>
          <c:yVal>
            <c:numLit>
              <c:formatCode>General</c:formatCode>
              <c:ptCount val="2"/>
              <c:pt idx="0">
                <c:v>3.4000000000000002E-2</c:v>
              </c:pt>
              <c:pt idx="1">
                <c:v>3.2652274479568234E-2</c:v>
              </c:pt>
            </c:numLit>
          </c:yVal>
          <c:smooth val="0"/>
          <c:extLst>
            <c:ext xmlns:c16="http://schemas.microsoft.com/office/drawing/2014/chart" uri="{C3380CC4-5D6E-409C-BE32-E72D297353CC}">
              <c16:uniqueId val="{000000B1-DA2F-4ADF-A349-9EBD07809C31}"/>
            </c:ext>
          </c:extLst>
        </c:ser>
        <c:ser>
          <c:idx val="148"/>
          <c:order val="148"/>
          <c:tx>
            <c:v>h=136</c:v>
          </c:tx>
          <c:spPr>
            <a:ln w="3175">
              <a:solidFill>
                <a:srgbClr val="808080"/>
              </a:solidFill>
              <a:prstDash val="solid"/>
            </a:ln>
          </c:spPr>
          <c:marker>
            <c:symbol val="none"/>
          </c:marker>
          <c:xVal>
            <c:numLit>
              <c:formatCode>General</c:formatCode>
              <c:ptCount val="2"/>
              <c:pt idx="0">
                <c:v>47.51888667992047</c:v>
              </c:pt>
              <c:pt idx="1">
                <c:v>48.091045443316425</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B2-DA2F-4ADF-A349-9EBD07809C31}"/>
            </c:ext>
          </c:extLst>
        </c:ser>
        <c:ser>
          <c:idx val="149"/>
          <c:order val="149"/>
          <c:tx>
            <c:v>h=137</c:v>
          </c:tx>
          <c:spPr>
            <a:ln w="3175">
              <a:solidFill>
                <a:srgbClr val="808080"/>
              </a:solidFill>
              <a:prstDash val="solid"/>
            </a:ln>
          </c:spPr>
          <c:marker>
            <c:symbol val="none"/>
          </c:marker>
          <c:xVal>
            <c:numLit>
              <c:formatCode>General</c:formatCode>
              <c:ptCount val="2"/>
              <c:pt idx="0">
                <c:v>48.512922465208739</c:v>
              </c:pt>
              <c:pt idx="1">
                <c:v>49.085081228604693</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B3-DA2F-4ADF-A349-9EBD07809C31}"/>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CAC6-4A57-8F2B-A424C9411B7D}"/>
            </c:ext>
          </c:extLst>
        </c:ser>
        <c:ser>
          <c:idx val="1"/>
          <c:order val="1"/>
          <c:tx>
            <c:v>x=0</c:v>
          </c:tx>
          <c:spPr>
            <a:ln w="3175">
              <a:solidFill>
                <a:srgbClr val="000000"/>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-10.178000000000001</c:v>
              </c:pt>
              <c:pt idx="1">
                <c:v>50.8</c:v>
              </c:pt>
            </c:numLit>
          </c:xVal>
          <c:yVal>
            <c:numLit>
              <c:formatCode>General</c:formatCode>
              <c:ptCount val="2"/>
              <c:pt idx="0">
                <c:v>0</c:v>
              </c:pt>
              <c:pt idx="1">
                <c:v>0</c:v>
              </c:pt>
            </c:numLit>
          </c:yVal>
          <c:smooth val="0"/>
          <c:extLst>
            <c:ext xmlns:c16="http://schemas.microsoft.com/office/drawing/2014/chart" uri="{C3380CC4-5D6E-409C-BE32-E72D297353CC}">
              <c16:uniqueId val="{00000002-CAC6-4A57-8F2B-A424C9411B7D}"/>
            </c:ext>
          </c:extLst>
        </c:ser>
        <c:ser>
          <c:idx val="2"/>
          <c:order val="2"/>
          <c:tx>
            <c:v>x=0.0002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2.0000000000000001E-4</c:v>
              </c:pt>
              <c:pt idx="1">
                <c:v>2.0000000000000001E-4</c:v>
              </c:pt>
            </c:numLit>
          </c:yVal>
          <c:smooth val="0"/>
          <c:extLst>
            <c:ext xmlns:c16="http://schemas.microsoft.com/office/drawing/2014/chart" uri="{C3380CC4-5D6E-409C-BE32-E72D297353CC}">
              <c16:uniqueId val="{00000003-CAC6-4A57-8F2B-A424C9411B7D}"/>
            </c:ext>
          </c:extLst>
        </c:ser>
        <c:ser>
          <c:idx val="3"/>
          <c:order val="3"/>
          <c:tx>
            <c:v>x=0.0004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4.0000000000000002E-4</c:v>
              </c:pt>
              <c:pt idx="1">
                <c:v>4.0000000000000002E-4</c:v>
              </c:pt>
            </c:numLit>
          </c:yVal>
          <c:smooth val="0"/>
          <c:extLst>
            <c:ext xmlns:c16="http://schemas.microsoft.com/office/drawing/2014/chart" uri="{C3380CC4-5D6E-409C-BE32-E72D297353CC}">
              <c16:uniqueId val="{00000004-CAC6-4A57-8F2B-A424C9411B7D}"/>
            </c:ext>
          </c:extLst>
        </c:ser>
        <c:ser>
          <c:idx val="4"/>
          <c:order val="4"/>
          <c:tx>
            <c:v>x=0.0006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6.0000000000000006E-4</c:v>
              </c:pt>
              <c:pt idx="1">
                <c:v>6.0000000000000006E-4</c:v>
              </c:pt>
            </c:numLit>
          </c:yVal>
          <c:smooth val="0"/>
          <c:extLst>
            <c:ext xmlns:c16="http://schemas.microsoft.com/office/drawing/2014/chart" uri="{C3380CC4-5D6E-409C-BE32-E72D297353CC}">
              <c16:uniqueId val="{00000005-CAC6-4A57-8F2B-A424C9411B7D}"/>
            </c:ext>
          </c:extLst>
        </c:ser>
        <c:ser>
          <c:idx val="5"/>
          <c:order val="5"/>
          <c:tx>
            <c:v>x=0.0008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8.0000000000000004E-4</c:v>
              </c:pt>
              <c:pt idx="1">
                <c:v>8.0000000000000004E-4</c:v>
              </c:pt>
            </c:numLit>
          </c:yVal>
          <c:smooth val="0"/>
          <c:extLst>
            <c:ext xmlns:c16="http://schemas.microsoft.com/office/drawing/2014/chart" uri="{C3380CC4-5D6E-409C-BE32-E72D297353CC}">
              <c16:uniqueId val="{00000006-CAC6-4A57-8F2B-A424C9411B7D}"/>
            </c:ext>
          </c:extLst>
        </c:ser>
        <c:ser>
          <c:idx val="6"/>
          <c:order val="6"/>
          <c:tx>
            <c:v>x=0.001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-10.289263499005965</c:v>
              </c:pt>
              <c:pt idx="1">
                <c:v>50.8</c:v>
              </c:pt>
            </c:numLit>
          </c:xVal>
          <c:yVal>
            <c:numLit>
              <c:formatCode>General</c:formatCode>
              <c:ptCount val="2"/>
              <c:pt idx="0">
                <c:v>1E-3</c:v>
              </c:pt>
              <c:pt idx="1">
                <c:v>1E-3</c:v>
              </c:pt>
            </c:numLit>
          </c:yVal>
          <c:smooth val="0"/>
          <c:extLst>
            <c:ext xmlns:c16="http://schemas.microsoft.com/office/drawing/2014/chart" uri="{C3380CC4-5D6E-409C-BE32-E72D297353CC}">
              <c16:uniqueId val="{00000008-CAC6-4A57-8F2B-A424C9411B7D}"/>
            </c:ext>
          </c:extLst>
        </c:ser>
        <c:ser>
          <c:idx val="7"/>
          <c:order val="7"/>
          <c:tx>
            <c:v>x=0.0012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1.2000000000000001E-3</c:v>
              </c:pt>
              <c:pt idx="1">
                <c:v>1.2000000000000001E-3</c:v>
              </c:pt>
            </c:numLit>
          </c:yVal>
          <c:smooth val="0"/>
          <c:extLst>
            <c:ext xmlns:c16="http://schemas.microsoft.com/office/drawing/2014/chart" uri="{C3380CC4-5D6E-409C-BE32-E72D297353CC}">
              <c16:uniqueId val="{00000009-CAC6-4A57-8F2B-A424C9411B7D}"/>
            </c:ext>
          </c:extLst>
        </c:ser>
        <c:ser>
          <c:idx val="8"/>
          <c:order val="8"/>
          <c:tx>
            <c:v>x=0.0014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1.4E-3</c:v>
              </c:pt>
              <c:pt idx="1">
                <c:v>1.4E-3</c:v>
              </c:pt>
            </c:numLit>
          </c:yVal>
          <c:smooth val="0"/>
          <c:extLst>
            <c:ext xmlns:c16="http://schemas.microsoft.com/office/drawing/2014/chart" uri="{C3380CC4-5D6E-409C-BE32-E72D297353CC}">
              <c16:uniqueId val="{0000000A-CAC6-4A57-8F2B-A424C9411B7D}"/>
            </c:ext>
          </c:extLst>
        </c:ser>
        <c:ser>
          <c:idx val="9"/>
          <c:order val="9"/>
          <c:tx>
            <c:v>x=0.0016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1.6000000000000001E-3</c:v>
              </c:pt>
              <c:pt idx="1">
                <c:v>1.6000000000000001E-3</c:v>
              </c:pt>
            </c:numLit>
          </c:yVal>
          <c:smooth val="0"/>
          <c:extLst>
            <c:ext xmlns:c16="http://schemas.microsoft.com/office/drawing/2014/chart" uri="{C3380CC4-5D6E-409C-BE32-E72D297353CC}">
              <c16:uniqueId val="{0000000B-CAC6-4A57-8F2B-A424C9411B7D}"/>
            </c:ext>
          </c:extLst>
        </c:ser>
        <c:ser>
          <c:idx val="10"/>
          <c:order val="10"/>
          <c:tx>
            <c:v>x=0.0018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1.8000000000000002E-3</c:v>
              </c:pt>
              <c:pt idx="1">
                <c:v>1.8000000000000002E-3</c:v>
              </c:pt>
            </c:numLit>
          </c:yVal>
          <c:smooth val="0"/>
          <c:extLst>
            <c:ext xmlns:c16="http://schemas.microsoft.com/office/drawing/2014/chart" uri="{C3380CC4-5D6E-409C-BE32-E72D297353CC}">
              <c16:uniqueId val="{0000000C-CAC6-4A57-8F2B-A424C9411B7D}"/>
            </c:ext>
          </c:extLst>
        </c:ser>
        <c:ser>
          <c:idx val="11"/>
          <c:order val="11"/>
          <c:tx>
            <c:v>x=0.002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-7.7226612326043735</c:v>
              </c:pt>
              <c:pt idx="1">
                <c:v>50.8</c:v>
              </c:pt>
            </c:numLit>
          </c:xVal>
          <c:yVal>
            <c:numLit>
              <c:formatCode>General</c:formatCode>
              <c:ptCount val="2"/>
              <c:pt idx="0">
                <c:v>2E-3</c:v>
              </c:pt>
              <c:pt idx="1">
                <c:v>2E-3</c:v>
              </c:pt>
            </c:numLit>
          </c:yVal>
          <c:smooth val="0"/>
          <c:extLst>
            <c:ext xmlns:c16="http://schemas.microsoft.com/office/drawing/2014/chart" uri="{C3380CC4-5D6E-409C-BE32-E72D297353CC}">
              <c16:uniqueId val="{0000000E-CAC6-4A57-8F2B-A424C9411B7D}"/>
            </c:ext>
          </c:extLst>
        </c:ser>
        <c:ser>
          <c:idx val="12"/>
          <c:order val="12"/>
          <c:tx>
            <c:v>x=0.0022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2.2000000000000001E-3</c:v>
              </c:pt>
              <c:pt idx="1">
                <c:v>2.2000000000000001E-3</c:v>
              </c:pt>
            </c:numLit>
          </c:yVal>
          <c:smooth val="0"/>
          <c:extLst>
            <c:ext xmlns:c16="http://schemas.microsoft.com/office/drawing/2014/chart" uri="{C3380CC4-5D6E-409C-BE32-E72D297353CC}">
              <c16:uniqueId val="{0000000F-CAC6-4A57-8F2B-A424C9411B7D}"/>
            </c:ext>
          </c:extLst>
        </c:ser>
        <c:ser>
          <c:idx val="13"/>
          <c:order val="13"/>
          <c:tx>
            <c:v>x=0.0024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2.4000000000000002E-3</c:v>
              </c:pt>
              <c:pt idx="1">
                <c:v>2.4000000000000002E-3</c:v>
              </c:pt>
            </c:numLit>
          </c:yVal>
          <c:smooth val="0"/>
          <c:extLst>
            <c:ext xmlns:c16="http://schemas.microsoft.com/office/drawing/2014/chart" uri="{C3380CC4-5D6E-409C-BE32-E72D297353CC}">
              <c16:uniqueId val="{00000010-CAC6-4A57-8F2B-A424C9411B7D}"/>
            </c:ext>
          </c:extLst>
        </c:ser>
        <c:ser>
          <c:idx val="14"/>
          <c:order val="14"/>
          <c:tx>
            <c:v>x=0.0026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2.6000000000000003E-3</c:v>
              </c:pt>
              <c:pt idx="1">
                <c:v>2.6000000000000003E-3</c:v>
              </c:pt>
            </c:numLit>
          </c:yVal>
          <c:smooth val="0"/>
          <c:extLst>
            <c:ext xmlns:c16="http://schemas.microsoft.com/office/drawing/2014/chart" uri="{C3380CC4-5D6E-409C-BE32-E72D297353CC}">
              <c16:uniqueId val="{00000011-CAC6-4A57-8F2B-A424C9411B7D}"/>
            </c:ext>
          </c:extLst>
        </c:ser>
        <c:ser>
          <c:idx val="15"/>
          <c:order val="15"/>
          <c:tx>
            <c:v>x=0.0028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2.8E-3</c:v>
              </c:pt>
              <c:pt idx="1">
                <c:v>2.8E-3</c:v>
              </c:pt>
            </c:numLit>
          </c:yVal>
          <c:smooth val="0"/>
          <c:extLst>
            <c:ext xmlns:c16="http://schemas.microsoft.com/office/drawing/2014/chart" uri="{C3380CC4-5D6E-409C-BE32-E72D297353CC}">
              <c16:uniqueId val="{00000012-CAC6-4A57-8F2B-A424C9411B7D}"/>
            </c:ext>
          </c:extLst>
        </c:ser>
        <c:ser>
          <c:idx val="16"/>
          <c:order val="16"/>
          <c:tx>
            <c:v>x=0.003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-3.0828113320079522</c:v>
              </c:pt>
              <c:pt idx="1">
                <c:v>50.8</c:v>
              </c:pt>
            </c:numLit>
          </c:xVal>
          <c:yVal>
            <c:numLit>
              <c:formatCode>General</c:formatCode>
              <c:ptCount val="2"/>
              <c:pt idx="0">
                <c:v>3.0000000000000001E-3</c:v>
              </c:pt>
              <c:pt idx="1">
                <c:v>3.0000000000000001E-3</c:v>
              </c:pt>
            </c:numLit>
          </c:yVal>
          <c:smooth val="0"/>
          <c:extLst>
            <c:ext xmlns:c16="http://schemas.microsoft.com/office/drawing/2014/chart" uri="{C3380CC4-5D6E-409C-BE32-E72D297353CC}">
              <c16:uniqueId val="{00000014-CAC6-4A57-8F2B-A424C9411B7D}"/>
            </c:ext>
          </c:extLst>
        </c:ser>
        <c:ser>
          <c:idx val="17"/>
          <c:order val="17"/>
          <c:tx>
            <c:v>x=0.0032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3.2000000000000002E-3</c:v>
              </c:pt>
              <c:pt idx="1">
                <c:v>3.2000000000000002E-3</c:v>
              </c:pt>
            </c:numLit>
          </c:yVal>
          <c:smooth val="0"/>
          <c:extLst>
            <c:ext xmlns:c16="http://schemas.microsoft.com/office/drawing/2014/chart" uri="{C3380CC4-5D6E-409C-BE32-E72D297353CC}">
              <c16:uniqueId val="{00000015-CAC6-4A57-8F2B-A424C9411B7D}"/>
            </c:ext>
          </c:extLst>
        </c:ser>
        <c:ser>
          <c:idx val="18"/>
          <c:order val="18"/>
          <c:tx>
            <c:v>x=0.0034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3.4000000000000002E-3</c:v>
              </c:pt>
              <c:pt idx="1">
                <c:v>3.4000000000000002E-3</c:v>
              </c:pt>
            </c:numLit>
          </c:yVal>
          <c:smooth val="0"/>
          <c:extLst>
            <c:ext xmlns:c16="http://schemas.microsoft.com/office/drawing/2014/chart" uri="{C3380CC4-5D6E-409C-BE32-E72D297353CC}">
              <c16:uniqueId val="{00000016-CAC6-4A57-8F2B-A424C9411B7D}"/>
            </c:ext>
          </c:extLst>
        </c:ser>
        <c:ser>
          <c:idx val="19"/>
          <c:order val="19"/>
          <c:tx>
            <c:v>x=0.0036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3.6000000000000003E-3</c:v>
              </c:pt>
              <c:pt idx="1">
                <c:v>3.6000000000000003E-3</c:v>
              </c:pt>
            </c:numLit>
          </c:yVal>
          <c:smooth val="0"/>
          <c:extLst>
            <c:ext xmlns:c16="http://schemas.microsoft.com/office/drawing/2014/chart" uri="{C3380CC4-5D6E-409C-BE32-E72D297353CC}">
              <c16:uniqueId val="{00000017-CAC6-4A57-8F2B-A424C9411B7D}"/>
            </c:ext>
          </c:extLst>
        </c:ser>
        <c:ser>
          <c:idx val="20"/>
          <c:order val="20"/>
          <c:tx>
            <c:v>x=0.0038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3.8E-3</c:v>
              </c:pt>
              <c:pt idx="1">
                <c:v>3.8E-3</c:v>
              </c:pt>
            </c:numLit>
          </c:yVal>
          <c:smooth val="0"/>
          <c:extLst>
            <c:ext xmlns:c16="http://schemas.microsoft.com/office/drawing/2014/chart" uri="{C3380CC4-5D6E-409C-BE32-E72D297353CC}">
              <c16:uniqueId val="{00000018-CAC6-4A57-8F2B-A424C9411B7D}"/>
            </c:ext>
          </c:extLst>
        </c:ser>
        <c:ser>
          <c:idx val="21"/>
          <c:order val="21"/>
          <c:tx>
            <c:v>x=0.004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0.37569145129224651</c:v>
              </c:pt>
              <c:pt idx="1">
                <c:v>50.8</c:v>
              </c:pt>
            </c:numLit>
          </c:xVal>
          <c:yVal>
            <c:numLit>
              <c:formatCode>General</c:formatCode>
              <c:ptCount val="2"/>
              <c:pt idx="0">
                <c:v>4.0000000000000001E-3</c:v>
              </c:pt>
              <c:pt idx="1">
                <c:v>4.0000000000000001E-3</c:v>
              </c:pt>
            </c:numLit>
          </c:yVal>
          <c:smooth val="0"/>
          <c:extLst>
            <c:ext xmlns:c16="http://schemas.microsoft.com/office/drawing/2014/chart" uri="{C3380CC4-5D6E-409C-BE32-E72D297353CC}">
              <c16:uniqueId val="{0000001A-CAC6-4A57-8F2B-A424C9411B7D}"/>
            </c:ext>
          </c:extLst>
        </c:ser>
        <c:ser>
          <c:idx val="22"/>
          <c:order val="22"/>
          <c:tx>
            <c:v>x=0.0042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4.2000000000000006E-3</c:v>
              </c:pt>
              <c:pt idx="1">
                <c:v>4.2000000000000006E-3</c:v>
              </c:pt>
            </c:numLit>
          </c:yVal>
          <c:smooth val="0"/>
          <c:extLst>
            <c:ext xmlns:c16="http://schemas.microsoft.com/office/drawing/2014/chart" uri="{C3380CC4-5D6E-409C-BE32-E72D297353CC}">
              <c16:uniqueId val="{0000001B-CAC6-4A57-8F2B-A424C9411B7D}"/>
            </c:ext>
          </c:extLst>
        </c:ser>
        <c:ser>
          <c:idx val="23"/>
          <c:order val="23"/>
          <c:tx>
            <c:v>x=0.0044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4.4000000000000003E-3</c:v>
              </c:pt>
              <c:pt idx="1">
                <c:v>4.4000000000000003E-3</c:v>
              </c:pt>
            </c:numLit>
          </c:yVal>
          <c:smooth val="0"/>
          <c:extLst>
            <c:ext xmlns:c16="http://schemas.microsoft.com/office/drawing/2014/chart" uri="{C3380CC4-5D6E-409C-BE32-E72D297353CC}">
              <c16:uniqueId val="{0000001C-CAC6-4A57-8F2B-A424C9411B7D}"/>
            </c:ext>
          </c:extLst>
        </c:ser>
        <c:ser>
          <c:idx val="24"/>
          <c:order val="24"/>
          <c:tx>
            <c:v>x=0.0046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4.5999999999999999E-3</c:v>
              </c:pt>
              <c:pt idx="1">
                <c:v>4.5999999999999999E-3</c:v>
              </c:pt>
            </c:numLit>
          </c:yVal>
          <c:smooth val="0"/>
          <c:extLst>
            <c:ext xmlns:c16="http://schemas.microsoft.com/office/drawing/2014/chart" uri="{C3380CC4-5D6E-409C-BE32-E72D297353CC}">
              <c16:uniqueId val="{0000001D-CAC6-4A57-8F2B-A424C9411B7D}"/>
            </c:ext>
          </c:extLst>
        </c:ser>
        <c:ser>
          <c:idx val="25"/>
          <c:order val="25"/>
          <c:tx>
            <c:v>x=0.0048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4.8000000000000004E-3</c:v>
              </c:pt>
              <c:pt idx="1">
                <c:v>4.8000000000000004E-3</c:v>
              </c:pt>
            </c:numLit>
          </c:yVal>
          <c:smooth val="0"/>
          <c:extLst>
            <c:ext xmlns:c16="http://schemas.microsoft.com/office/drawing/2014/chart" uri="{C3380CC4-5D6E-409C-BE32-E72D297353CC}">
              <c16:uniqueId val="{0000001E-CAC6-4A57-8F2B-A424C9411B7D}"/>
            </c:ext>
          </c:extLst>
        </c:ser>
        <c:ser>
          <c:idx val="26"/>
          <c:order val="26"/>
          <c:tx>
            <c:v>x=0.005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3.4233648111332013</c:v>
              </c:pt>
              <c:pt idx="1">
                <c:v>50.8</c:v>
              </c:pt>
            </c:numLit>
          </c:xVal>
          <c:yVal>
            <c:numLit>
              <c:formatCode>General</c:formatCode>
              <c:ptCount val="2"/>
              <c:pt idx="0">
                <c:v>5.0000000000000001E-3</c:v>
              </c:pt>
              <c:pt idx="1">
                <c:v>5.0000000000000001E-3</c:v>
              </c:pt>
            </c:numLit>
          </c:yVal>
          <c:smooth val="0"/>
          <c:extLst>
            <c:ext xmlns:c16="http://schemas.microsoft.com/office/drawing/2014/chart" uri="{C3380CC4-5D6E-409C-BE32-E72D297353CC}">
              <c16:uniqueId val="{00000020-CAC6-4A57-8F2B-A424C9411B7D}"/>
            </c:ext>
          </c:extLst>
        </c:ser>
        <c:ser>
          <c:idx val="27"/>
          <c:order val="27"/>
          <c:tx>
            <c:v>x=0.0052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5.2000000000000006E-3</c:v>
              </c:pt>
              <c:pt idx="1">
                <c:v>5.2000000000000006E-3</c:v>
              </c:pt>
            </c:numLit>
          </c:yVal>
          <c:smooth val="0"/>
          <c:extLst>
            <c:ext xmlns:c16="http://schemas.microsoft.com/office/drawing/2014/chart" uri="{C3380CC4-5D6E-409C-BE32-E72D297353CC}">
              <c16:uniqueId val="{00000021-CAC6-4A57-8F2B-A424C9411B7D}"/>
            </c:ext>
          </c:extLst>
        </c:ser>
        <c:ser>
          <c:idx val="28"/>
          <c:order val="28"/>
          <c:tx>
            <c:v>x=0.0054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5.4000000000000003E-3</c:v>
              </c:pt>
              <c:pt idx="1">
                <c:v>5.4000000000000003E-3</c:v>
              </c:pt>
            </c:numLit>
          </c:yVal>
          <c:smooth val="0"/>
          <c:extLst>
            <c:ext xmlns:c16="http://schemas.microsoft.com/office/drawing/2014/chart" uri="{C3380CC4-5D6E-409C-BE32-E72D297353CC}">
              <c16:uniqueId val="{00000022-CAC6-4A57-8F2B-A424C9411B7D}"/>
            </c:ext>
          </c:extLst>
        </c:ser>
        <c:ser>
          <c:idx val="29"/>
          <c:order val="29"/>
          <c:tx>
            <c:v>x=0.0056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5.5999999999999999E-3</c:v>
              </c:pt>
              <c:pt idx="1">
                <c:v>5.5999999999999999E-3</c:v>
              </c:pt>
            </c:numLit>
          </c:yVal>
          <c:smooth val="0"/>
          <c:extLst>
            <c:ext xmlns:c16="http://schemas.microsoft.com/office/drawing/2014/chart" uri="{C3380CC4-5D6E-409C-BE32-E72D297353CC}">
              <c16:uniqueId val="{00000023-CAC6-4A57-8F2B-A424C9411B7D}"/>
            </c:ext>
          </c:extLst>
        </c:ser>
        <c:ser>
          <c:idx val="30"/>
          <c:order val="30"/>
          <c:tx>
            <c:v>x=0.0058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5.8000000000000005E-3</c:v>
              </c:pt>
              <c:pt idx="1">
                <c:v>5.8000000000000005E-3</c:v>
              </c:pt>
            </c:numLit>
          </c:yVal>
          <c:smooth val="0"/>
          <c:extLst>
            <c:ext xmlns:c16="http://schemas.microsoft.com/office/drawing/2014/chart" uri="{C3380CC4-5D6E-409C-BE32-E72D297353CC}">
              <c16:uniqueId val="{00000024-CAC6-4A57-8F2B-A424C9411B7D}"/>
            </c:ext>
          </c:extLst>
        </c:ser>
        <c:ser>
          <c:idx val="31"/>
          <c:order val="31"/>
          <c:tx>
            <c:v>x=0.006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5.9567697813121274</c:v>
              </c:pt>
              <c:pt idx="1">
                <c:v>50.8</c:v>
              </c:pt>
            </c:numLit>
          </c:xVal>
          <c:yVal>
            <c:numLit>
              <c:formatCode>General</c:formatCode>
              <c:ptCount val="2"/>
              <c:pt idx="0">
                <c:v>6.0000000000000001E-3</c:v>
              </c:pt>
              <c:pt idx="1">
                <c:v>6.0000000000000001E-3</c:v>
              </c:pt>
            </c:numLit>
          </c:yVal>
          <c:smooth val="0"/>
          <c:extLst>
            <c:ext xmlns:c16="http://schemas.microsoft.com/office/drawing/2014/chart" uri="{C3380CC4-5D6E-409C-BE32-E72D297353CC}">
              <c16:uniqueId val="{00000026-CAC6-4A57-8F2B-A424C9411B7D}"/>
            </c:ext>
          </c:extLst>
        </c:ser>
        <c:ser>
          <c:idx val="32"/>
          <c:order val="32"/>
          <c:tx>
            <c:v>x=0.0062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6.2000000000000006E-3</c:v>
              </c:pt>
              <c:pt idx="1">
                <c:v>6.2000000000000006E-3</c:v>
              </c:pt>
            </c:numLit>
          </c:yVal>
          <c:smooth val="0"/>
          <c:extLst>
            <c:ext xmlns:c16="http://schemas.microsoft.com/office/drawing/2014/chart" uri="{C3380CC4-5D6E-409C-BE32-E72D297353CC}">
              <c16:uniqueId val="{00000027-CAC6-4A57-8F2B-A424C9411B7D}"/>
            </c:ext>
          </c:extLst>
        </c:ser>
        <c:ser>
          <c:idx val="33"/>
          <c:order val="33"/>
          <c:tx>
            <c:v>x=0.0064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6.4000000000000003E-3</c:v>
              </c:pt>
              <c:pt idx="1">
                <c:v>6.4000000000000003E-3</c:v>
              </c:pt>
            </c:numLit>
          </c:yVal>
          <c:smooth val="0"/>
          <c:extLst>
            <c:ext xmlns:c16="http://schemas.microsoft.com/office/drawing/2014/chart" uri="{C3380CC4-5D6E-409C-BE32-E72D297353CC}">
              <c16:uniqueId val="{00000028-CAC6-4A57-8F2B-A424C9411B7D}"/>
            </c:ext>
          </c:extLst>
        </c:ser>
        <c:ser>
          <c:idx val="34"/>
          <c:order val="34"/>
          <c:tx>
            <c:v>x=0.0066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6.6E-3</c:v>
              </c:pt>
              <c:pt idx="1">
                <c:v>6.6E-3</c:v>
              </c:pt>
            </c:numLit>
          </c:yVal>
          <c:smooth val="0"/>
          <c:extLst>
            <c:ext xmlns:c16="http://schemas.microsoft.com/office/drawing/2014/chart" uri="{C3380CC4-5D6E-409C-BE32-E72D297353CC}">
              <c16:uniqueId val="{00000029-CAC6-4A57-8F2B-A424C9411B7D}"/>
            </c:ext>
          </c:extLst>
        </c:ser>
        <c:ser>
          <c:idx val="35"/>
          <c:order val="35"/>
          <c:tx>
            <c:v>x=0.0068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6.8000000000000005E-3</c:v>
              </c:pt>
              <c:pt idx="1">
                <c:v>6.8000000000000005E-3</c:v>
              </c:pt>
            </c:numLit>
          </c:yVal>
          <c:smooth val="0"/>
          <c:extLst>
            <c:ext xmlns:c16="http://schemas.microsoft.com/office/drawing/2014/chart" uri="{C3380CC4-5D6E-409C-BE32-E72D297353CC}">
              <c16:uniqueId val="{0000002A-CAC6-4A57-8F2B-A424C9411B7D}"/>
            </c:ext>
          </c:extLst>
        </c:ser>
        <c:ser>
          <c:idx val="36"/>
          <c:order val="36"/>
          <c:tx>
            <c:v>x=0.007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8.145222266401591</c:v>
              </c:pt>
              <c:pt idx="1">
                <c:v>50.8</c:v>
              </c:pt>
            </c:numLit>
          </c:xVal>
          <c:yVal>
            <c:numLit>
              <c:formatCode>General</c:formatCode>
              <c:ptCount val="2"/>
              <c:pt idx="0">
                <c:v>7.0000000000000001E-3</c:v>
              </c:pt>
              <c:pt idx="1">
                <c:v>7.0000000000000001E-3</c:v>
              </c:pt>
            </c:numLit>
          </c:yVal>
          <c:smooth val="0"/>
          <c:extLst>
            <c:ext xmlns:c16="http://schemas.microsoft.com/office/drawing/2014/chart" uri="{C3380CC4-5D6E-409C-BE32-E72D297353CC}">
              <c16:uniqueId val="{0000002C-CAC6-4A57-8F2B-A424C9411B7D}"/>
            </c:ext>
          </c:extLst>
        </c:ser>
        <c:ser>
          <c:idx val="37"/>
          <c:order val="37"/>
          <c:tx>
            <c:v>x=0.0072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7.2000000000000007E-3</c:v>
              </c:pt>
              <c:pt idx="1">
                <c:v>7.2000000000000007E-3</c:v>
              </c:pt>
            </c:numLit>
          </c:yVal>
          <c:smooth val="0"/>
          <c:extLst>
            <c:ext xmlns:c16="http://schemas.microsoft.com/office/drawing/2014/chart" uri="{C3380CC4-5D6E-409C-BE32-E72D297353CC}">
              <c16:uniqueId val="{0000002D-CAC6-4A57-8F2B-A424C9411B7D}"/>
            </c:ext>
          </c:extLst>
        </c:ser>
        <c:ser>
          <c:idx val="38"/>
          <c:order val="38"/>
          <c:tx>
            <c:v>x=0.0074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7.4000000000000003E-3</c:v>
              </c:pt>
              <c:pt idx="1">
                <c:v>7.4000000000000003E-3</c:v>
              </c:pt>
            </c:numLit>
          </c:yVal>
          <c:smooth val="0"/>
          <c:extLst>
            <c:ext xmlns:c16="http://schemas.microsoft.com/office/drawing/2014/chart" uri="{C3380CC4-5D6E-409C-BE32-E72D297353CC}">
              <c16:uniqueId val="{0000002E-CAC6-4A57-8F2B-A424C9411B7D}"/>
            </c:ext>
          </c:extLst>
        </c:ser>
        <c:ser>
          <c:idx val="39"/>
          <c:order val="39"/>
          <c:tx>
            <c:v>x=0.0076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7.6E-3</c:v>
              </c:pt>
              <c:pt idx="1">
                <c:v>7.6E-3</c:v>
              </c:pt>
            </c:numLit>
          </c:yVal>
          <c:smooth val="0"/>
          <c:extLst>
            <c:ext xmlns:c16="http://schemas.microsoft.com/office/drawing/2014/chart" uri="{C3380CC4-5D6E-409C-BE32-E72D297353CC}">
              <c16:uniqueId val="{0000002F-CAC6-4A57-8F2B-A424C9411B7D}"/>
            </c:ext>
          </c:extLst>
        </c:ser>
        <c:ser>
          <c:idx val="40"/>
          <c:order val="40"/>
          <c:tx>
            <c:v>x=0.0078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7.8000000000000005E-3</c:v>
              </c:pt>
              <c:pt idx="1">
                <c:v>7.8000000000000005E-3</c:v>
              </c:pt>
            </c:numLit>
          </c:yVal>
          <c:smooth val="0"/>
          <c:extLst>
            <c:ext xmlns:c16="http://schemas.microsoft.com/office/drawing/2014/chart" uri="{C3380CC4-5D6E-409C-BE32-E72D297353CC}">
              <c16:uniqueId val="{00000030-CAC6-4A57-8F2B-A424C9411B7D}"/>
            </c:ext>
          </c:extLst>
        </c:ser>
        <c:ser>
          <c:idx val="41"/>
          <c:order val="41"/>
          <c:tx>
            <c:v>x=0.008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10.057816302186881</c:v>
              </c:pt>
              <c:pt idx="1">
                <c:v>50.8</c:v>
              </c:pt>
            </c:numLit>
          </c:xVal>
          <c:yVal>
            <c:numLit>
              <c:formatCode>General</c:formatCode>
              <c:ptCount val="2"/>
              <c:pt idx="0">
                <c:v>8.0000000000000002E-3</c:v>
              </c:pt>
              <c:pt idx="1">
                <c:v>8.0000000000000002E-3</c:v>
              </c:pt>
            </c:numLit>
          </c:yVal>
          <c:smooth val="0"/>
          <c:extLst>
            <c:ext xmlns:c16="http://schemas.microsoft.com/office/drawing/2014/chart" uri="{C3380CC4-5D6E-409C-BE32-E72D297353CC}">
              <c16:uniqueId val="{00000032-CAC6-4A57-8F2B-A424C9411B7D}"/>
            </c:ext>
          </c:extLst>
        </c:ser>
        <c:ser>
          <c:idx val="42"/>
          <c:order val="42"/>
          <c:tx>
            <c:v>x=0.0082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8.2000000000000007E-3</c:v>
              </c:pt>
              <c:pt idx="1">
                <c:v>8.2000000000000007E-3</c:v>
              </c:pt>
            </c:numLit>
          </c:yVal>
          <c:smooth val="0"/>
          <c:extLst>
            <c:ext xmlns:c16="http://schemas.microsoft.com/office/drawing/2014/chart" uri="{C3380CC4-5D6E-409C-BE32-E72D297353CC}">
              <c16:uniqueId val="{00000033-CAC6-4A57-8F2B-A424C9411B7D}"/>
            </c:ext>
          </c:extLst>
        </c:ser>
        <c:ser>
          <c:idx val="43"/>
          <c:order val="43"/>
          <c:tx>
            <c:v>x=0.0084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8.4000000000000012E-3</c:v>
              </c:pt>
              <c:pt idx="1">
                <c:v>8.4000000000000012E-3</c:v>
              </c:pt>
            </c:numLit>
          </c:yVal>
          <c:smooth val="0"/>
          <c:extLst>
            <c:ext xmlns:c16="http://schemas.microsoft.com/office/drawing/2014/chart" uri="{C3380CC4-5D6E-409C-BE32-E72D297353CC}">
              <c16:uniqueId val="{00000034-CAC6-4A57-8F2B-A424C9411B7D}"/>
            </c:ext>
          </c:extLst>
        </c:ser>
        <c:ser>
          <c:idx val="44"/>
          <c:order val="44"/>
          <c:tx>
            <c:v>x=0.0086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8.6E-3</c:v>
              </c:pt>
              <c:pt idx="1">
                <c:v>8.6E-3</c:v>
              </c:pt>
            </c:numLit>
          </c:yVal>
          <c:smooth val="0"/>
          <c:extLst>
            <c:ext xmlns:c16="http://schemas.microsoft.com/office/drawing/2014/chart" uri="{C3380CC4-5D6E-409C-BE32-E72D297353CC}">
              <c16:uniqueId val="{00000035-CAC6-4A57-8F2B-A424C9411B7D}"/>
            </c:ext>
          </c:extLst>
        </c:ser>
        <c:ser>
          <c:idx val="45"/>
          <c:order val="45"/>
          <c:tx>
            <c:v>x=0.0088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8.8000000000000005E-3</c:v>
              </c:pt>
              <c:pt idx="1">
                <c:v>8.8000000000000005E-3</c:v>
              </c:pt>
            </c:numLit>
          </c:yVal>
          <c:smooth val="0"/>
          <c:extLst>
            <c:ext xmlns:c16="http://schemas.microsoft.com/office/drawing/2014/chart" uri="{C3380CC4-5D6E-409C-BE32-E72D297353CC}">
              <c16:uniqueId val="{00000036-CAC6-4A57-8F2B-A424C9411B7D}"/>
            </c:ext>
          </c:extLst>
        </c:ser>
        <c:ser>
          <c:idx val="46"/>
          <c:order val="46"/>
          <c:tx>
            <c:v>x=0.009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11.774330019880717</c:v>
              </c:pt>
              <c:pt idx="1">
                <c:v>50.8</c:v>
              </c:pt>
            </c:numLit>
          </c:xVal>
          <c:yVal>
            <c:numLit>
              <c:formatCode>General</c:formatCode>
              <c:ptCount val="2"/>
              <c:pt idx="0">
                <c:v>9.0000000000000011E-3</c:v>
              </c:pt>
              <c:pt idx="1">
                <c:v>9.0000000000000011E-3</c:v>
              </c:pt>
            </c:numLit>
          </c:yVal>
          <c:smooth val="0"/>
          <c:extLst>
            <c:ext xmlns:c16="http://schemas.microsoft.com/office/drawing/2014/chart" uri="{C3380CC4-5D6E-409C-BE32-E72D297353CC}">
              <c16:uniqueId val="{00000038-CAC6-4A57-8F2B-A424C9411B7D}"/>
            </c:ext>
          </c:extLst>
        </c:ser>
        <c:ser>
          <c:idx val="47"/>
          <c:order val="47"/>
          <c:tx>
            <c:v>x=0.0092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9.1999999999999998E-3</c:v>
              </c:pt>
              <c:pt idx="1">
                <c:v>9.1999999999999998E-3</c:v>
              </c:pt>
            </c:numLit>
          </c:yVal>
          <c:smooth val="0"/>
          <c:extLst>
            <c:ext xmlns:c16="http://schemas.microsoft.com/office/drawing/2014/chart" uri="{C3380CC4-5D6E-409C-BE32-E72D297353CC}">
              <c16:uniqueId val="{00000039-CAC6-4A57-8F2B-A424C9411B7D}"/>
            </c:ext>
          </c:extLst>
        </c:ser>
        <c:ser>
          <c:idx val="48"/>
          <c:order val="48"/>
          <c:tx>
            <c:v>x=0.0094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9.4000000000000004E-3</c:v>
              </c:pt>
              <c:pt idx="1">
                <c:v>9.4000000000000004E-3</c:v>
              </c:pt>
            </c:numLit>
          </c:yVal>
          <c:smooth val="0"/>
          <c:extLst>
            <c:ext xmlns:c16="http://schemas.microsoft.com/office/drawing/2014/chart" uri="{C3380CC4-5D6E-409C-BE32-E72D297353CC}">
              <c16:uniqueId val="{0000003A-CAC6-4A57-8F2B-A424C9411B7D}"/>
            </c:ext>
          </c:extLst>
        </c:ser>
        <c:ser>
          <c:idx val="49"/>
          <c:order val="49"/>
          <c:tx>
            <c:v>x=0.0096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9.6000000000000009E-3</c:v>
              </c:pt>
              <c:pt idx="1">
                <c:v>9.6000000000000009E-3</c:v>
              </c:pt>
            </c:numLit>
          </c:yVal>
          <c:smooth val="0"/>
          <c:extLst>
            <c:ext xmlns:c16="http://schemas.microsoft.com/office/drawing/2014/chart" uri="{C3380CC4-5D6E-409C-BE32-E72D297353CC}">
              <c16:uniqueId val="{0000003B-CAC6-4A57-8F2B-A424C9411B7D}"/>
            </c:ext>
          </c:extLst>
        </c:ser>
        <c:ser>
          <c:idx val="50"/>
          <c:order val="50"/>
          <c:tx>
            <c:v>x=0.0098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9.7999999999999997E-3</c:v>
              </c:pt>
              <c:pt idx="1">
                <c:v>9.7999999999999997E-3</c:v>
              </c:pt>
            </c:numLit>
          </c:yVal>
          <c:smooth val="0"/>
          <c:extLst>
            <c:ext xmlns:c16="http://schemas.microsoft.com/office/drawing/2014/chart" uri="{C3380CC4-5D6E-409C-BE32-E72D297353CC}">
              <c16:uniqueId val="{0000003C-CAC6-4A57-8F2B-A424C9411B7D}"/>
            </c:ext>
          </c:extLst>
        </c:ser>
        <c:ser>
          <c:idx val="51"/>
          <c:order val="51"/>
          <c:tx>
            <c:v>x=0.01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D-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13.314023856858848</c:v>
              </c:pt>
              <c:pt idx="1">
                <c:v>50.8</c:v>
              </c:pt>
            </c:numLit>
          </c:xVal>
          <c:yVal>
            <c:numLit>
              <c:formatCode>General</c:formatCode>
              <c:ptCount val="2"/>
              <c:pt idx="0">
                <c:v>0.01</c:v>
              </c:pt>
              <c:pt idx="1">
                <c:v>0.01</c:v>
              </c:pt>
            </c:numLit>
          </c:yVal>
          <c:smooth val="0"/>
          <c:extLst>
            <c:ext xmlns:c16="http://schemas.microsoft.com/office/drawing/2014/chart" uri="{C3380CC4-5D6E-409C-BE32-E72D297353CC}">
              <c16:uniqueId val="{0000003E-CAC6-4A57-8F2B-A424C9411B7D}"/>
            </c:ext>
          </c:extLst>
        </c:ser>
        <c:ser>
          <c:idx val="52"/>
          <c:order val="52"/>
          <c:tx>
            <c:v>x=0.0102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1.0200000000000001E-2</c:v>
              </c:pt>
              <c:pt idx="1">
                <c:v>1.0200000000000001E-2</c:v>
              </c:pt>
            </c:numLit>
          </c:yVal>
          <c:smooth val="0"/>
          <c:extLst>
            <c:ext xmlns:c16="http://schemas.microsoft.com/office/drawing/2014/chart" uri="{C3380CC4-5D6E-409C-BE32-E72D297353CC}">
              <c16:uniqueId val="{0000003F-CAC6-4A57-8F2B-A424C9411B7D}"/>
            </c:ext>
          </c:extLst>
        </c:ser>
        <c:ser>
          <c:idx val="53"/>
          <c:order val="53"/>
          <c:tx>
            <c:v>x=0.0104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1.0400000000000001E-2</c:v>
              </c:pt>
              <c:pt idx="1">
                <c:v>1.0400000000000001E-2</c:v>
              </c:pt>
            </c:numLit>
          </c:yVal>
          <c:smooth val="0"/>
          <c:extLst>
            <c:ext xmlns:c16="http://schemas.microsoft.com/office/drawing/2014/chart" uri="{C3380CC4-5D6E-409C-BE32-E72D297353CC}">
              <c16:uniqueId val="{00000040-CAC6-4A57-8F2B-A424C9411B7D}"/>
            </c:ext>
          </c:extLst>
        </c:ser>
        <c:ser>
          <c:idx val="54"/>
          <c:order val="54"/>
          <c:tx>
            <c:v>x=0.0106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1.06E-2</c:v>
              </c:pt>
              <c:pt idx="1">
                <c:v>1.06E-2</c:v>
              </c:pt>
            </c:numLit>
          </c:yVal>
          <c:smooth val="0"/>
          <c:extLst>
            <c:ext xmlns:c16="http://schemas.microsoft.com/office/drawing/2014/chart" uri="{C3380CC4-5D6E-409C-BE32-E72D297353CC}">
              <c16:uniqueId val="{00000041-CAC6-4A57-8F2B-A424C9411B7D}"/>
            </c:ext>
          </c:extLst>
        </c:ser>
        <c:ser>
          <c:idx val="55"/>
          <c:order val="55"/>
          <c:tx>
            <c:v>x=0.0108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1.0800000000000001E-2</c:v>
              </c:pt>
              <c:pt idx="1">
                <c:v>1.0800000000000001E-2</c:v>
              </c:pt>
            </c:numLit>
          </c:yVal>
          <c:smooth val="0"/>
          <c:extLst>
            <c:ext xmlns:c16="http://schemas.microsoft.com/office/drawing/2014/chart" uri="{C3380CC4-5D6E-409C-BE32-E72D297353CC}">
              <c16:uniqueId val="{00000042-CAC6-4A57-8F2B-A424C9411B7D}"/>
            </c:ext>
          </c:extLst>
        </c:ser>
        <c:ser>
          <c:idx val="56"/>
          <c:order val="56"/>
          <c:tx>
            <c:v>x=0.011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3-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14.726916302186879</c:v>
              </c:pt>
              <c:pt idx="1">
                <c:v>50.8</c:v>
              </c:pt>
            </c:numLit>
          </c:xVal>
          <c:yVal>
            <c:numLit>
              <c:formatCode>General</c:formatCode>
              <c:ptCount val="2"/>
              <c:pt idx="0">
                <c:v>1.1000000000000001E-2</c:v>
              </c:pt>
              <c:pt idx="1">
                <c:v>1.1000000000000001E-2</c:v>
              </c:pt>
            </c:numLit>
          </c:yVal>
          <c:smooth val="0"/>
          <c:extLst>
            <c:ext xmlns:c16="http://schemas.microsoft.com/office/drawing/2014/chart" uri="{C3380CC4-5D6E-409C-BE32-E72D297353CC}">
              <c16:uniqueId val="{00000044-CAC6-4A57-8F2B-A424C9411B7D}"/>
            </c:ext>
          </c:extLst>
        </c:ser>
        <c:ser>
          <c:idx val="57"/>
          <c:order val="57"/>
          <c:tx>
            <c:v>x=0.0112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1.12E-2</c:v>
              </c:pt>
              <c:pt idx="1">
                <c:v>1.12E-2</c:v>
              </c:pt>
            </c:numLit>
          </c:yVal>
          <c:smooth val="0"/>
          <c:extLst>
            <c:ext xmlns:c16="http://schemas.microsoft.com/office/drawing/2014/chart" uri="{C3380CC4-5D6E-409C-BE32-E72D297353CC}">
              <c16:uniqueId val="{00000045-CAC6-4A57-8F2B-A424C9411B7D}"/>
            </c:ext>
          </c:extLst>
        </c:ser>
        <c:ser>
          <c:idx val="58"/>
          <c:order val="58"/>
          <c:tx>
            <c:v>x=0.0114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1.14E-2</c:v>
              </c:pt>
              <c:pt idx="1">
                <c:v>1.14E-2</c:v>
              </c:pt>
            </c:numLit>
          </c:yVal>
          <c:smooth val="0"/>
          <c:extLst>
            <c:ext xmlns:c16="http://schemas.microsoft.com/office/drawing/2014/chart" uri="{C3380CC4-5D6E-409C-BE32-E72D297353CC}">
              <c16:uniqueId val="{00000046-CAC6-4A57-8F2B-A424C9411B7D}"/>
            </c:ext>
          </c:extLst>
        </c:ser>
        <c:ser>
          <c:idx val="59"/>
          <c:order val="59"/>
          <c:tx>
            <c:v>x=0.0116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1.1600000000000001E-2</c:v>
              </c:pt>
              <c:pt idx="1">
                <c:v>1.1600000000000001E-2</c:v>
              </c:pt>
            </c:numLit>
          </c:yVal>
          <c:smooth val="0"/>
          <c:extLst>
            <c:ext xmlns:c16="http://schemas.microsoft.com/office/drawing/2014/chart" uri="{C3380CC4-5D6E-409C-BE32-E72D297353CC}">
              <c16:uniqueId val="{00000047-CAC6-4A57-8F2B-A424C9411B7D}"/>
            </c:ext>
          </c:extLst>
        </c:ser>
        <c:ser>
          <c:idx val="60"/>
          <c:order val="60"/>
          <c:tx>
            <c:v>x=0.0118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1.18E-2</c:v>
              </c:pt>
              <c:pt idx="1">
                <c:v>1.18E-2</c:v>
              </c:pt>
            </c:numLit>
          </c:yVal>
          <c:smooth val="0"/>
          <c:extLst>
            <c:ext xmlns:c16="http://schemas.microsoft.com/office/drawing/2014/chart" uri="{C3380CC4-5D6E-409C-BE32-E72D297353CC}">
              <c16:uniqueId val="{00000048-CAC6-4A57-8F2B-A424C9411B7D}"/>
            </c:ext>
          </c:extLst>
        </c:ser>
        <c:ser>
          <c:idx val="61"/>
          <c:order val="61"/>
          <c:tx>
            <c:v>x=0.012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16.032730019880717</c:v>
              </c:pt>
              <c:pt idx="1">
                <c:v>50.8</c:v>
              </c:pt>
            </c:numLit>
          </c:xVal>
          <c:yVal>
            <c:numLit>
              <c:formatCode>General</c:formatCode>
              <c:ptCount val="2"/>
              <c:pt idx="0">
                <c:v>1.2E-2</c:v>
              </c:pt>
              <c:pt idx="1">
                <c:v>1.2E-2</c:v>
              </c:pt>
            </c:numLit>
          </c:yVal>
          <c:smooth val="0"/>
          <c:extLst>
            <c:ext xmlns:c16="http://schemas.microsoft.com/office/drawing/2014/chart" uri="{C3380CC4-5D6E-409C-BE32-E72D297353CC}">
              <c16:uniqueId val="{0000004A-CAC6-4A57-8F2B-A424C9411B7D}"/>
            </c:ext>
          </c:extLst>
        </c:ser>
        <c:ser>
          <c:idx val="62"/>
          <c:order val="62"/>
          <c:tx>
            <c:v>x=0.0122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1.2200000000000001E-2</c:v>
              </c:pt>
              <c:pt idx="1">
                <c:v>1.2200000000000001E-2</c:v>
              </c:pt>
            </c:numLit>
          </c:yVal>
          <c:smooth val="0"/>
          <c:extLst>
            <c:ext xmlns:c16="http://schemas.microsoft.com/office/drawing/2014/chart" uri="{C3380CC4-5D6E-409C-BE32-E72D297353CC}">
              <c16:uniqueId val="{0000004B-CAC6-4A57-8F2B-A424C9411B7D}"/>
            </c:ext>
          </c:extLst>
        </c:ser>
        <c:ser>
          <c:idx val="63"/>
          <c:order val="63"/>
          <c:tx>
            <c:v>x=0.0124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1.2400000000000001E-2</c:v>
              </c:pt>
              <c:pt idx="1">
                <c:v>1.2400000000000001E-2</c:v>
              </c:pt>
            </c:numLit>
          </c:yVal>
          <c:smooth val="0"/>
          <c:extLst>
            <c:ext xmlns:c16="http://schemas.microsoft.com/office/drawing/2014/chart" uri="{C3380CC4-5D6E-409C-BE32-E72D297353CC}">
              <c16:uniqueId val="{0000004C-CAC6-4A57-8F2B-A424C9411B7D}"/>
            </c:ext>
          </c:extLst>
        </c:ser>
        <c:ser>
          <c:idx val="64"/>
          <c:order val="64"/>
          <c:tx>
            <c:v>x=0.0126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1.26E-2</c:v>
              </c:pt>
              <c:pt idx="1">
                <c:v>1.26E-2</c:v>
              </c:pt>
            </c:numLit>
          </c:yVal>
          <c:smooth val="0"/>
          <c:extLst>
            <c:ext xmlns:c16="http://schemas.microsoft.com/office/drawing/2014/chart" uri="{C3380CC4-5D6E-409C-BE32-E72D297353CC}">
              <c16:uniqueId val="{0000004D-CAC6-4A57-8F2B-A424C9411B7D}"/>
            </c:ext>
          </c:extLst>
        </c:ser>
        <c:ser>
          <c:idx val="65"/>
          <c:order val="65"/>
          <c:tx>
            <c:v>x=0.0128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1.2800000000000001E-2</c:v>
              </c:pt>
              <c:pt idx="1">
                <c:v>1.2800000000000001E-2</c:v>
              </c:pt>
            </c:numLit>
          </c:yVal>
          <c:smooth val="0"/>
          <c:extLst>
            <c:ext xmlns:c16="http://schemas.microsoft.com/office/drawing/2014/chart" uri="{C3380CC4-5D6E-409C-BE32-E72D297353CC}">
              <c16:uniqueId val="{0000004E-CAC6-4A57-8F2B-A424C9411B7D}"/>
            </c:ext>
          </c:extLst>
        </c:ser>
        <c:ser>
          <c:idx val="66"/>
          <c:order val="66"/>
          <c:tx>
            <c:v>x=0.013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F-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17.241095228628232</c:v>
              </c:pt>
              <c:pt idx="1">
                <c:v>50.8</c:v>
              </c:pt>
            </c:numLit>
          </c:xVal>
          <c:yVal>
            <c:numLit>
              <c:formatCode>General</c:formatCode>
              <c:ptCount val="2"/>
              <c:pt idx="0">
                <c:v>1.3000000000000001E-2</c:v>
              </c:pt>
              <c:pt idx="1">
                <c:v>1.3000000000000001E-2</c:v>
              </c:pt>
            </c:numLit>
          </c:yVal>
          <c:smooth val="0"/>
          <c:extLst>
            <c:ext xmlns:c16="http://schemas.microsoft.com/office/drawing/2014/chart" uri="{C3380CC4-5D6E-409C-BE32-E72D297353CC}">
              <c16:uniqueId val="{00000050-CAC6-4A57-8F2B-A424C9411B7D}"/>
            </c:ext>
          </c:extLst>
        </c:ser>
        <c:ser>
          <c:idx val="67"/>
          <c:order val="67"/>
          <c:tx>
            <c:v>x=0.0132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1.32E-2</c:v>
              </c:pt>
              <c:pt idx="1">
                <c:v>1.32E-2</c:v>
              </c:pt>
            </c:numLit>
          </c:yVal>
          <c:smooth val="0"/>
          <c:extLst>
            <c:ext xmlns:c16="http://schemas.microsoft.com/office/drawing/2014/chart" uri="{C3380CC4-5D6E-409C-BE32-E72D297353CC}">
              <c16:uniqueId val="{00000051-CAC6-4A57-8F2B-A424C9411B7D}"/>
            </c:ext>
          </c:extLst>
        </c:ser>
        <c:ser>
          <c:idx val="68"/>
          <c:order val="68"/>
          <c:tx>
            <c:v>x=0.0134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1.34E-2</c:v>
              </c:pt>
              <c:pt idx="1">
                <c:v>1.34E-2</c:v>
              </c:pt>
            </c:numLit>
          </c:yVal>
          <c:smooth val="0"/>
          <c:extLst>
            <c:ext xmlns:c16="http://schemas.microsoft.com/office/drawing/2014/chart" uri="{C3380CC4-5D6E-409C-BE32-E72D297353CC}">
              <c16:uniqueId val="{00000052-CAC6-4A57-8F2B-A424C9411B7D}"/>
            </c:ext>
          </c:extLst>
        </c:ser>
        <c:ser>
          <c:idx val="69"/>
          <c:order val="69"/>
          <c:tx>
            <c:v>x=0.0136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1.3600000000000001E-2</c:v>
              </c:pt>
              <c:pt idx="1">
                <c:v>1.3600000000000001E-2</c:v>
              </c:pt>
            </c:numLit>
          </c:yVal>
          <c:smooth val="0"/>
          <c:extLst>
            <c:ext xmlns:c16="http://schemas.microsoft.com/office/drawing/2014/chart" uri="{C3380CC4-5D6E-409C-BE32-E72D297353CC}">
              <c16:uniqueId val="{00000053-CAC6-4A57-8F2B-A424C9411B7D}"/>
            </c:ext>
          </c:extLst>
        </c:ser>
        <c:ser>
          <c:idx val="70"/>
          <c:order val="70"/>
          <c:tx>
            <c:v>x=0.0138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1.3800000000000002E-2</c:v>
              </c:pt>
              <c:pt idx="1">
                <c:v>1.3800000000000002E-2</c:v>
              </c:pt>
            </c:numLit>
          </c:yVal>
          <c:smooth val="0"/>
          <c:extLst>
            <c:ext xmlns:c16="http://schemas.microsoft.com/office/drawing/2014/chart" uri="{C3380CC4-5D6E-409C-BE32-E72D297353CC}">
              <c16:uniqueId val="{00000054-CAC6-4A57-8F2B-A424C9411B7D}"/>
            </c:ext>
          </c:extLst>
        </c:ser>
        <c:ser>
          <c:idx val="71"/>
          <c:order val="71"/>
          <c:tx>
            <c:v>x=0.014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18.371974950298213</c:v>
              </c:pt>
              <c:pt idx="1">
                <c:v>50.8</c:v>
              </c:pt>
            </c:numLit>
          </c:xVal>
          <c:yVal>
            <c:numLit>
              <c:formatCode>General</c:formatCode>
              <c:ptCount val="2"/>
              <c:pt idx="0">
                <c:v>1.4E-2</c:v>
              </c:pt>
              <c:pt idx="1">
                <c:v>1.4E-2</c:v>
              </c:pt>
            </c:numLit>
          </c:yVal>
          <c:smooth val="0"/>
          <c:extLst>
            <c:ext xmlns:c16="http://schemas.microsoft.com/office/drawing/2014/chart" uri="{C3380CC4-5D6E-409C-BE32-E72D297353CC}">
              <c16:uniqueId val="{00000056-CAC6-4A57-8F2B-A424C9411B7D}"/>
            </c:ext>
          </c:extLst>
        </c:ser>
        <c:ser>
          <c:idx val="72"/>
          <c:order val="72"/>
          <c:tx>
            <c:v>x=0.0142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1.4200000000000001E-2</c:v>
              </c:pt>
              <c:pt idx="1">
                <c:v>1.4200000000000001E-2</c:v>
              </c:pt>
            </c:numLit>
          </c:yVal>
          <c:smooth val="0"/>
          <c:extLst>
            <c:ext xmlns:c16="http://schemas.microsoft.com/office/drawing/2014/chart" uri="{C3380CC4-5D6E-409C-BE32-E72D297353CC}">
              <c16:uniqueId val="{00000057-CAC6-4A57-8F2B-A424C9411B7D}"/>
            </c:ext>
          </c:extLst>
        </c:ser>
        <c:ser>
          <c:idx val="73"/>
          <c:order val="73"/>
          <c:tx>
            <c:v>x=0.0144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1.4400000000000001E-2</c:v>
              </c:pt>
              <c:pt idx="1">
                <c:v>1.4400000000000001E-2</c:v>
              </c:pt>
            </c:numLit>
          </c:yVal>
          <c:smooth val="0"/>
          <c:extLst>
            <c:ext xmlns:c16="http://schemas.microsoft.com/office/drawing/2014/chart" uri="{C3380CC4-5D6E-409C-BE32-E72D297353CC}">
              <c16:uniqueId val="{00000058-CAC6-4A57-8F2B-A424C9411B7D}"/>
            </c:ext>
          </c:extLst>
        </c:ser>
        <c:ser>
          <c:idx val="74"/>
          <c:order val="74"/>
          <c:tx>
            <c:v>x=0.0146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1.46E-2</c:v>
              </c:pt>
              <c:pt idx="1">
                <c:v>1.46E-2</c:v>
              </c:pt>
            </c:numLit>
          </c:yVal>
          <c:smooth val="0"/>
          <c:extLst>
            <c:ext xmlns:c16="http://schemas.microsoft.com/office/drawing/2014/chart" uri="{C3380CC4-5D6E-409C-BE32-E72D297353CC}">
              <c16:uniqueId val="{00000059-CAC6-4A57-8F2B-A424C9411B7D}"/>
            </c:ext>
          </c:extLst>
        </c:ser>
        <c:ser>
          <c:idx val="75"/>
          <c:order val="75"/>
          <c:tx>
            <c:v>x=0.0148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1.4800000000000001E-2</c:v>
              </c:pt>
              <c:pt idx="1">
                <c:v>1.4800000000000001E-2</c:v>
              </c:pt>
            </c:numLit>
          </c:yVal>
          <c:smooth val="0"/>
          <c:extLst>
            <c:ext xmlns:c16="http://schemas.microsoft.com/office/drawing/2014/chart" uri="{C3380CC4-5D6E-409C-BE32-E72D297353CC}">
              <c16:uniqueId val="{0000005A-CAC6-4A57-8F2B-A424C9411B7D}"/>
            </c:ext>
          </c:extLst>
        </c:ser>
        <c:ser>
          <c:idx val="76"/>
          <c:order val="76"/>
          <c:tx>
            <c:v>x=0.015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B-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19.435202783300202</c:v>
              </c:pt>
              <c:pt idx="1">
                <c:v>50.8</c:v>
              </c:pt>
            </c:numLit>
          </c:xVal>
          <c:yVal>
            <c:numLit>
              <c:formatCode>General</c:formatCode>
              <c:ptCount val="2"/>
              <c:pt idx="0">
                <c:v>1.5000000000000001E-2</c:v>
              </c:pt>
              <c:pt idx="1">
                <c:v>1.5000000000000001E-2</c:v>
              </c:pt>
            </c:numLit>
          </c:yVal>
          <c:smooth val="0"/>
          <c:extLst>
            <c:ext xmlns:c16="http://schemas.microsoft.com/office/drawing/2014/chart" uri="{C3380CC4-5D6E-409C-BE32-E72D297353CC}">
              <c16:uniqueId val="{0000005C-CAC6-4A57-8F2B-A424C9411B7D}"/>
            </c:ext>
          </c:extLst>
        </c:ser>
        <c:ser>
          <c:idx val="77"/>
          <c:order val="77"/>
          <c:tx>
            <c:v>x=0.0152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1.52E-2</c:v>
              </c:pt>
              <c:pt idx="1">
                <c:v>1.52E-2</c:v>
              </c:pt>
            </c:numLit>
          </c:yVal>
          <c:smooth val="0"/>
          <c:extLst>
            <c:ext xmlns:c16="http://schemas.microsoft.com/office/drawing/2014/chart" uri="{C3380CC4-5D6E-409C-BE32-E72D297353CC}">
              <c16:uniqueId val="{0000005D-CAC6-4A57-8F2B-A424C9411B7D}"/>
            </c:ext>
          </c:extLst>
        </c:ser>
        <c:ser>
          <c:idx val="78"/>
          <c:order val="78"/>
          <c:tx>
            <c:v>x=0.0154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1.54E-2</c:v>
              </c:pt>
              <c:pt idx="1">
                <c:v>1.54E-2</c:v>
              </c:pt>
            </c:numLit>
          </c:yVal>
          <c:smooth val="0"/>
          <c:extLst>
            <c:ext xmlns:c16="http://schemas.microsoft.com/office/drawing/2014/chart" uri="{C3380CC4-5D6E-409C-BE32-E72D297353CC}">
              <c16:uniqueId val="{0000005E-CAC6-4A57-8F2B-A424C9411B7D}"/>
            </c:ext>
          </c:extLst>
        </c:ser>
        <c:ser>
          <c:idx val="79"/>
          <c:order val="79"/>
          <c:tx>
            <c:v>x=0.0156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1.5600000000000001E-2</c:v>
              </c:pt>
              <c:pt idx="1">
                <c:v>1.5600000000000001E-2</c:v>
              </c:pt>
            </c:numLit>
          </c:yVal>
          <c:smooth val="0"/>
          <c:extLst>
            <c:ext xmlns:c16="http://schemas.microsoft.com/office/drawing/2014/chart" uri="{C3380CC4-5D6E-409C-BE32-E72D297353CC}">
              <c16:uniqueId val="{0000005F-CAC6-4A57-8F2B-A424C9411B7D}"/>
            </c:ext>
          </c:extLst>
        </c:ser>
        <c:ser>
          <c:idx val="80"/>
          <c:order val="80"/>
          <c:tx>
            <c:v>x=0.0158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1.5800000000000002E-2</c:v>
              </c:pt>
              <c:pt idx="1">
                <c:v>1.5800000000000002E-2</c:v>
              </c:pt>
            </c:numLit>
          </c:yVal>
          <c:smooth val="0"/>
          <c:extLst>
            <c:ext xmlns:c16="http://schemas.microsoft.com/office/drawing/2014/chart" uri="{C3380CC4-5D6E-409C-BE32-E72D297353CC}">
              <c16:uniqueId val="{00000060-CAC6-4A57-8F2B-A424C9411B7D}"/>
            </c:ext>
          </c:extLst>
        </c:ser>
        <c:ser>
          <c:idx val="81"/>
          <c:order val="81"/>
          <c:tx>
            <c:v>x=0.016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1-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20.430390457256465</c:v>
              </c:pt>
              <c:pt idx="1">
                <c:v>50.8</c:v>
              </c:pt>
            </c:numLit>
          </c:xVal>
          <c:yVal>
            <c:numLit>
              <c:formatCode>General</c:formatCode>
              <c:ptCount val="2"/>
              <c:pt idx="0">
                <c:v>1.6E-2</c:v>
              </c:pt>
              <c:pt idx="1">
                <c:v>1.6E-2</c:v>
              </c:pt>
            </c:numLit>
          </c:yVal>
          <c:smooth val="0"/>
          <c:extLst>
            <c:ext xmlns:c16="http://schemas.microsoft.com/office/drawing/2014/chart" uri="{C3380CC4-5D6E-409C-BE32-E72D297353CC}">
              <c16:uniqueId val="{00000062-CAC6-4A57-8F2B-A424C9411B7D}"/>
            </c:ext>
          </c:extLst>
        </c:ser>
        <c:ser>
          <c:idx val="82"/>
          <c:order val="82"/>
          <c:tx>
            <c:v>x=0.0162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1.6199999999999999E-2</c:v>
              </c:pt>
              <c:pt idx="1">
                <c:v>1.6199999999999999E-2</c:v>
              </c:pt>
            </c:numLit>
          </c:yVal>
          <c:smooth val="0"/>
          <c:extLst>
            <c:ext xmlns:c16="http://schemas.microsoft.com/office/drawing/2014/chart" uri="{C3380CC4-5D6E-409C-BE32-E72D297353CC}">
              <c16:uniqueId val="{00000063-CAC6-4A57-8F2B-A424C9411B7D}"/>
            </c:ext>
          </c:extLst>
        </c:ser>
        <c:ser>
          <c:idx val="83"/>
          <c:order val="83"/>
          <c:tx>
            <c:v>x=0.0164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1.6400000000000001E-2</c:v>
              </c:pt>
              <c:pt idx="1">
                <c:v>1.6400000000000001E-2</c:v>
              </c:pt>
            </c:numLit>
          </c:yVal>
          <c:smooth val="0"/>
          <c:extLst>
            <c:ext xmlns:c16="http://schemas.microsoft.com/office/drawing/2014/chart" uri="{C3380CC4-5D6E-409C-BE32-E72D297353CC}">
              <c16:uniqueId val="{00000064-CAC6-4A57-8F2B-A424C9411B7D}"/>
            </c:ext>
          </c:extLst>
        </c:ser>
        <c:ser>
          <c:idx val="84"/>
          <c:order val="84"/>
          <c:tx>
            <c:v>x=0.0166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1.66E-2</c:v>
              </c:pt>
              <c:pt idx="1">
                <c:v>1.66E-2</c:v>
              </c:pt>
            </c:numLit>
          </c:yVal>
          <c:smooth val="0"/>
          <c:extLst>
            <c:ext xmlns:c16="http://schemas.microsoft.com/office/drawing/2014/chart" uri="{C3380CC4-5D6E-409C-BE32-E72D297353CC}">
              <c16:uniqueId val="{00000065-CAC6-4A57-8F2B-A424C9411B7D}"/>
            </c:ext>
          </c:extLst>
        </c:ser>
        <c:ser>
          <c:idx val="85"/>
          <c:order val="85"/>
          <c:tx>
            <c:v>x=0.0168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1.6800000000000002E-2</c:v>
              </c:pt>
              <c:pt idx="1">
                <c:v>1.6800000000000002E-2</c:v>
              </c:pt>
            </c:numLit>
          </c:yVal>
          <c:smooth val="0"/>
          <c:extLst>
            <c:ext xmlns:c16="http://schemas.microsoft.com/office/drawing/2014/chart" uri="{C3380CC4-5D6E-409C-BE32-E72D297353CC}">
              <c16:uniqueId val="{00000066-CAC6-4A57-8F2B-A424C9411B7D}"/>
            </c:ext>
          </c:extLst>
        </c:ser>
        <c:ser>
          <c:idx val="86"/>
          <c:order val="86"/>
          <c:tx>
            <c:v>x=0.017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7-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21.377778330019879</c:v>
              </c:pt>
              <c:pt idx="1">
                <c:v>50.8</c:v>
              </c:pt>
            </c:numLit>
          </c:xVal>
          <c:yVal>
            <c:numLit>
              <c:formatCode>General</c:formatCode>
              <c:ptCount val="2"/>
              <c:pt idx="0">
                <c:v>1.7000000000000001E-2</c:v>
              </c:pt>
              <c:pt idx="1">
                <c:v>1.7000000000000001E-2</c:v>
              </c:pt>
            </c:numLit>
          </c:yVal>
          <c:smooth val="0"/>
          <c:extLst>
            <c:ext xmlns:c16="http://schemas.microsoft.com/office/drawing/2014/chart" uri="{C3380CC4-5D6E-409C-BE32-E72D297353CC}">
              <c16:uniqueId val="{00000068-CAC6-4A57-8F2B-A424C9411B7D}"/>
            </c:ext>
          </c:extLst>
        </c:ser>
        <c:ser>
          <c:idx val="87"/>
          <c:order val="87"/>
          <c:tx>
            <c:v>x=0.0172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1.72E-2</c:v>
              </c:pt>
              <c:pt idx="1">
                <c:v>1.72E-2</c:v>
              </c:pt>
            </c:numLit>
          </c:yVal>
          <c:smooth val="0"/>
          <c:extLst>
            <c:ext xmlns:c16="http://schemas.microsoft.com/office/drawing/2014/chart" uri="{C3380CC4-5D6E-409C-BE32-E72D297353CC}">
              <c16:uniqueId val="{00000069-CAC6-4A57-8F2B-A424C9411B7D}"/>
            </c:ext>
          </c:extLst>
        </c:ser>
        <c:ser>
          <c:idx val="88"/>
          <c:order val="88"/>
          <c:tx>
            <c:v>x=0.0174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1.7400000000000002E-2</c:v>
              </c:pt>
              <c:pt idx="1">
                <c:v>1.7400000000000002E-2</c:v>
              </c:pt>
            </c:numLit>
          </c:yVal>
          <c:smooth val="0"/>
          <c:extLst>
            <c:ext xmlns:c16="http://schemas.microsoft.com/office/drawing/2014/chart" uri="{C3380CC4-5D6E-409C-BE32-E72D297353CC}">
              <c16:uniqueId val="{0000006A-CAC6-4A57-8F2B-A424C9411B7D}"/>
            </c:ext>
          </c:extLst>
        </c:ser>
        <c:ser>
          <c:idx val="89"/>
          <c:order val="89"/>
          <c:tx>
            <c:v>x=0.0176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1.7600000000000001E-2</c:v>
              </c:pt>
              <c:pt idx="1">
                <c:v>1.7600000000000001E-2</c:v>
              </c:pt>
            </c:numLit>
          </c:yVal>
          <c:smooth val="0"/>
          <c:extLst>
            <c:ext xmlns:c16="http://schemas.microsoft.com/office/drawing/2014/chart" uri="{C3380CC4-5D6E-409C-BE32-E72D297353CC}">
              <c16:uniqueId val="{0000006B-CAC6-4A57-8F2B-A424C9411B7D}"/>
            </c:ext>
          </c:extLst>
        </c:ser>
        <c:ser>
          <c:idx val="90"/>
          <c:order val="90"/>
          <c:tx>
            <c:v>x=0.0178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1.78E-2</c:v>
              </c:pt>
              <c:pt idx="1">
                <c:v>1.78E-2</c:v>
              </c:pt>
            </c:numLit>
          </c:yVal>
          <c:smooth val="0"/>
          <c:extLst>
            <c:ext xmlns:c16="http://schemas.microsoft.com/office/drawing/2014/chart" uri="{C3380CC4-5D6E-409C-BE32-E72D297353CC}">
              <c16:uniqueId val="{0000006C-CAC6-4A57-8F2B-A424C9411B7D}"/>
            </c:ext>
          </c:extLst>
        </c:ser>
        <c:ser>
          <c:idx val="91"/>
          <c:order val="91"/>
          <c:tx>
            <c:v>x=0.018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D-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22.266756262425449</c:v>
              </c:pt>
              <c:pt idx="1">
                <c:v>50.8</c:v>
              </c:pt>
            </c:numLit>
          </c:xVal>
          <c:yVal>
            <c:numLit>
              <c:formatCode>General</c:formatCode>
              <c:ptCount val="2"/>
              <c:pt idx="0">
                <c:v>1.8000000000000002E-2</c:v>
              </c:pt>
              <c:pt idx="1">
                <c:v>1.8000000000000002E-2</c:v>
              </c:pt>
            </c:numLit>
          </c:yVal>
          <c:smooth val="0"/>
          <c:extLst>
            <c:ext xmlns:c16="http://schemas.microsoft.com/office/drawing/2014/chart" uri="{C3380CC4-5D6E-409C-BE32-E72D297353CC}">
              <c16:uniqueId val="{0000006E-CAC6-4A57-8F2B-A424C9411B7D}"/>
            </c:ext>
          </c:extLst>
        </c:ser>
        <c:ser>
          <c:idx val="92"/>
          <c:order val="92"/>
          <c:tx>
            <c:v>x=0.0182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1.8200000000000001E-2</c:v>
              </c:pt>
              <c:pt idx="1">
                <c:v>1.8200000000000001E-2</c:v>
              </c:pt>
            </c:numLit>
          </c:yVal>
          <c:smooth val="0"/>
          <c:extLst>
            <c:ext xmlns:c16="http://schemas.microsoft.com/office/drawing/2014/chart" uri="{C3380CC4-5D6E-409C-BE32-E72D297353CC}">
              <c16:uniqueId val="{0000006F-CAC6-4A57-8F2B-A424C9411B7D}"/>
            </c:ext>
          </c:extLst>
        </c:ser>
        <c:ser>
          <c:idx val="93"/>
          <c:order val="93"/>
          <c:tx>
            <c:v>x=0.0184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1.84E-2</c:v>
              </c:pt>
              <c:pt idx="1">
                <c:v>1.84E-2</c:v>
              </c:pt>
            </c:numLit>
          </c:yVal>
          <c:smooth val="0"/>
          <c:extLst>
            <c:ext xmlns:c16="http://schemas.microsoft.com/office/drawing/2014/chart" uri="{C3380CC4-5D6E-409C-BE32-E72D297353CC}">
              <c16:uniqueId val="{00000070-CAC6-4A57-8F2B-A424C9411B7D}"/>
            </c:ext>
          </c:extLst>
        </c:ser>
        <c:ser>
          <c:idx val="94"/>
          <c:order val="94"/>
          <c:tx>
            <c:v>x=0.0186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1.8600000000000002E-2</c:v>
              </c:pt>
              <c:pt idx="1">
                <c:v>1.8600000000000002E-2</c:v>
              </c:pt>
            </c:numLit>
          </c:yVal>
          <c:smooth val="0"/>
          <c:extLst>
            <c:ext xmlns:c16="http://schemas.microsoft.com/office/drawing/2014/chart" uri="{C3380CC4-5D6E-409C-BE32-E72D297353CC}">
              <c16:uniqueId val="{00000071-CAC6-4A57-8F2B-A424C9411B7D}"/>
            </c:ext>
          </c:extLst>
        </c:ser>
        <c:ser>
          <c:idx val="95"/>
          <c:order val="95"/>
          <c:tx>
            <c:v>x=0.0188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1.8800000000000001E-2</c:v>
              </c:pt>
              <c:pt idx="1">
                <c:v>1.8800000000000001E-2</c:v>
              </c:pt>
            </c:numLit>
          </c:yVal>
          <c:smooth val="0"/>
          <c:extLst>
            <c:ext xmlns:c16="http://schemas.microsoft.com/office/drawing/2014/chart" uri="{C3380CC4-5D6E-409C-BE32-E72D297353CC}">
              <c16:uniqueId val="{00000072-CAC6-4A57-8F2B-A424C9411B7D}"/>
            </c:ext>
          </c:extLst>
        </c:ser>
        <c:ser>
          <c:idx val="96"/>
          <c:order val="96"/>
          <c:tx>
            <c:v>x=0.019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3-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23.117694035785291</c:v>
              </c:pt>
              <c:pt idx="1">
                <c:v>50.8</c:v>
              </c:pt>
            </c:numLit>
          </c:xVal>
          <c:yVal>
            <c:numLit>
              <c:formatCode>General</c:formatCode>
              <c:ptCount val="2"/>
              <c:pt idx="0">
                <c:v>1.9E-2</c:v>
              </c:pt>
              <c:pt idx="1">
                <c:v>1.9E-2</c:v>
              </c:pt>
            </c:numLit>
          </c:yVal>
          <c:smooth val="0"/>
          <c:extLst>
            <c:ext xmlns:c16="http://schemas.microsoft.com/office/drawing/2014/chart" uri="{C3380CC4-5D6E-409C-BE32-E72D297353CC}">
              <c16:uniqueId val="{00000074-CAC6-4A57-8F2B-A424C9411B7D}"/>
            </c:ext>
          </c:extLst>
        </c:ser>
        <c:ser>
          <c:idx val="97"/>
          <c:order val="97"/>
          <c:tx>
            <c:v>x=0.0192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1.9200000000000002E-2</c:v>
              </c:pt>
              <c:pt idx="1">
                <c:v>1.9200000000000002E-2</c:v>
              </c:pt>
            </c:numLit>
          </c:yVal>
          <c:smooth val="0"/>
          <c:extLst>
            <c:ext xmlns:c16="http://schemas.microsoft.com/office/drawing/2014/chart" uri="{C3380CC4-5D6E-409C-BE32-E72D297353CC}">
              <c16:uniqueId val="{00000075-CAC6-4A57-8F2B-A424C9411B7D}"/>
            </c:ext>
          </c:extLst>
        </c:ser>
        <c:ser>
          <c:idx val="98"/>
          <c:order val="98"/>
          <c:tx>
            <c:v>x=0.0194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1.9400000000000001E-2</c:v>
              </c:pt>
              <c:pt idx="1">
                <c:v>1.9400000000000001E-2</c:v>
              </c:pt>
            </c:numLit>
          </c:yVal>
          <c:smooth val="0"/>
          <c:extLst>
            <c:ext xmlns:c16="http://schemas.microsoft.com/office/drawing/2014/chart" uri="{C3380CC4-5D6E-409C-BE32-E72D297353CC}">
              <c16:uniqueId val="{00000076-CAC6-4A57-8F2B-A424C9411B7D}"/>
            </c:ext>
          </c:extLst>
        </c:ser>
        <c:ser>
          <c:idx val="99"/>
          <c:order val="99"/>
          <c:tx>
            <c:v>x=0.0196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1.9599999999999999E-2</c:v>
              </c:pt>
              <c:pt idx="1">
                <c:v>1.9599999999999999E-2</c:v>
              </c:pt>
            </c:numLit>
          </c:yVal>
          <c:smooth val="0"/>
          <c:extLst>
            <c:ext xmlns:c16="http://schemas.microsoft.com/office/drawing/2014/chart" uri="{C3380CC4-5D6E-409C-BE32-E72D297353CC}">
              <c16:uniqueId val="{00000077-CAC6-4A57-8F2B-A424C9411B7D}"/>
            </c:ext>
          </c:extLst>
        </c:ser>
        <c:ser>
          <c:idx val="100"/>
          <c:order val="100"/>
          <c:tx>
            <c:v>x=0.0198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1.9800000000000002E-2</c:v>
              </c:pt>
              <c:pt idx="1">
                <c:v>1.9800000000000002E-2</c:v>
              </c:pt>
            </c:numLit>
          </c:yVal>
          <c:smooth val="0"/>
          <c:extLst>
            <c:ext xmlns:c16="http://schemas.microsoft.com/office/drawing/2014/chart" uri="{C3380CC4-5D6E-409C-BE32-E72D297353CC}">
              <c16:uniqueId val="{00000078-CAC6-4A57-8F2B-A424C9411B7D}"/>
            </c:ext>
          </c:extLst>
        </c:ser>
        <c:ser>
          <c:idx val="101"/>
          <c:order val="101"/>
          <c:tx>
            <c:v>x=0.02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9-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23.930369781312127</c:v>
              </c:pt>
              <c:pt idx="1">
                <c:v>50.8</c:v>
              </c:pt>
            </c:numLit>
          </c:xVal>
          <c:yVal>
            <c:numLit>
              <c:formatCode>General</c:formatCode>
              <c:ptCount val="2"/>
              <c:pt idx="0">
                <c:v>0.02</c:v>
              </c:pt>
              <c:pt idx="1">
                <c:v>0.02</c:v>
              </c:pt>
            </c:numLit>
          </c:yVal>
          <c:smooth val="0"/>
          <c:extLst>
            <c:ext xmlns:c16="http://schemas.microsoft.com/office/drawing/2014/chart" uri="{C3380CC4-5D6E-409C-BE32-E72D297353CC}">
              <c16:uniqueId val="{0000007A-CAC6-4A57-8F2B-A424C9411B7D}"/>
            </c:ext>
          </c:extLst>
        </c:ser>
        <c:ser>
          <c:idx val="102"/>
          <c:order val="102"/>
          <c:tx>
            <c:v>x=0.0202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2.0200000000000003E-2</c:v>
              </c:pt>
              <c:pt idx="1">
                <c:v>2.0200000000000003E-2</c:v>
              </c:pt>
            </c:numLit>
          </c:yVal>
          <c:smooth val="0"/>
          <c:extLst>
            <c:ext xmlns:c16="http://schemas.microsoft.com/office/drawing/2014/chart" uri="{C3380CC4-5D6E-409C-BE32-E72D297353CC}">
              <c16:uniqueId val="{0000007B-CAC6-4A57-8F2B-A424C9411B7D}"/>
            </c:ext>
          </c:extLst>
        </c:ser>
        <c:ser>
          <c:idx val="103"/>
          <c:order val="103"/>
          <c:tx>
            <c:v>x=0.0204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2.0400000000000001E-2</c:v>
              </c:pt>
              <c:pt idx="1">
                <c:v>2.0400000000000001E-2</c:v>
              </c:pt>
            </c:numLit>
          </c:yVal>
          <c:smooth val="0"/>
          <c:extLst>
            <c:ext xmlns:c16="http://schemas.microsoft.com/office/drawing/2014/chart" uri="{C3380CC4-5D6E-409C-BE32-E72D297353CC}">
              <c16:uniqueId val="{0000007C-CAC6-4A57-8F2B-A424C9411B7D}"/>
            </c:ext>
          </c:extLst>
        </c:ser>
        <c:ser>
          <c:idx val="104"/>
          <c:order val="104"/>
          <c:tx>
            <c:v>x=0.0206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2.06E-2</c:v>
              </c:pt>
              <c:pt idx="1">
                <c:v>2.06E-2</c:v>
              </c:pt>
            </c:numLit>
          </c:yVal>
          <c:smooth val="0"/>
          <c:extLst>
            <c:ext xmlns:c16="http://schemas.microsoft.com/office/drawing/2014/chart" uri="{C3380CC4-5D6E-409C-BE32-E72D297353CC}">
              <c16:uniqueId val="{0000007D-CAC6-4A57-8F2B-A424C9411B7D}"/>
            </c:ext>
          </c:extLst>
        </c:ser>
        <c:ser>
          <c:idx val="105"/>
          <c:order val="105"/>
          <c:tx>
            <c:v>x=0.0208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2.0800000000000003E-2</c:v>
              </c:pt>
              <c:pt idx="1">
                <c:v>2.0800000000000003E-2</c:v>
              </c:pt>
            </c:numLit>
          </c:yVal>
          <c:smooth val="0"/>
          <c:extLst>
            <c:ext xmlns:c16="http://schemas.microsoft.com/office/drawing/2014/chart" uri="{C3380CC4-5D6E-409C-BE32-E72D297353CC}">
              <c16:uniqueId val="{0000007E-CAC6-4A57-8F2B-A424C9411B7D}"/>
            </c:ext>
          </c:extLst>
        </c:ser>
        <c:ser>
          <c:idx val="106"/>
          <c:order val="106"/>
          <c:tx>
            <c:v>x=0.021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F-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24.714949900596423</c:v>
              </c:pt>
              <c:pt idx="1">
                <c:v>50.8</c:v>
              </c:pt>
            </c:numLit>
          </c:xVal>
          <c:yVal>
            <c:numLit>
              <c:formatCode>General</c:formatCode>
              <c:ptCount val="2"/>
              <c:pt idx="0">
                <c:v>2.1000000000000001E-2</c:v>
              </c:pt>
              <c:pt idx="1">
                <c:v>2.1000000000000001E-2</c:v>
              </c:pt>
            </c:numLit>
          </c:yVal>
          <c:smooth val="0"/>
          <c:extLst>
            <c:ext xmlns:c16="http://schemas.microsoft.com/office/drawing/2014/chart" uri="{C3380CC4-5D6E-409C-BE32-E72D297353CC}">
              <c16:uniqueId val="{00000080-CAC6-4A57-8F2B-A424C9411B7D}"/>
            </c:ext>
          </c:extLst>
        </c:ser>
        <c:ser>
          <c:idx val="107"/>
          <c:order val="107"/>
          <c:tx>
            <c:v>x=0.0212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2.12E-2</c:v>
              </c:pt>
              <c:pt idx="1">
                <c:v>2.12E-2</c:v>
              </c:pt>
            </c:numLit>
          </c:yVal>
          <c:smooth val="0"/>
          <c:extLst>
            <c:ext xmlns:c16="http://schemas.microsoft.com/office/drawing/2014/chart" uri="{C3380CC4-5D6E-409C-BE32-E72D297353CC}">
              <c16:uniqueId val="{00000081-CAC6-4A57-8F2B-A424C9411B7D}"/>
            </c:ext>
          </c:extLst>
        </c:ser>
        <c:ser>
          <c:idx val="108"/>
          <c:order val="108"/>
          <c:tx>
            <c:v>x=0.0214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2.1400000000000002E-2</c:v>
              </c:pt>
              <c:pt idx="1">
                <c:v>2.1400000000000002E-2</c:v>
              </c:pt>
            </c:numLit>
          </c:yVal>
          <c:smooth val="0"/>
          <c:extLst>
            <c:ext xmlns:c16="http://schemas.microsoft.com/office/drawing/2014/chart" uri="{C3380CC4-5D6E-409C-BE32-E72D297353CC}">
              <c16:uniqueId val="{00000082-CAC6-4A57-8F2B-A424C9411B7D}"/>
            </c:ext>
          </c:extLst>
        </c:ser>
        <c:ser>
          <c:idx val="109"/>
          <c:order val="109"/>
          <c:tx>
            <c:v>x=0.0216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2.1600000000000001E-2</c:v>
              </c:pt>
              <c:pt idx="1">
                <c:v>2.1600000000000001E-2</c:v>
              </c:pt>
            </c:numLit>
          </c:yVal>
          <c:smooth val="0"/>
          <c:extLst>
            <c:ext xmlns:c16="http://schemas.microsoft.com/office/drawing/2014/chart" uri="{C3380CC4-5D6E-409C-BE32-E72D297353CC}">
              <c16:uniqueId val="{00000083-CAC6-4A57-8F2B-A424C9411B7D}"/>
            </c:ext>
          </c:extLst>
        </c:ser>
        <c:ser>
          <c:idx val="110"/>
          <c:order val="110"/>
          <c:tx>
            <c:v>x=0.0218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2.18E-2</c:v>
              </c:pt>
              <c:pt idx="1">
                <c:v>2.18E-2</c:v>
              </c:pt>
            </c:numLit>
          </c:yVal>
          <c:smooth val="0"/>
          <c:extLst>
            <c:ext xmlns:c16="http://schemas.microsoft.com/office/drawing/2014/chart" uri="{C3380CC4-5D6E-409C-BE32-E72D297353CC}">
              <c16:uniqueId val="{00000084-CAC6-4A57-8F2B-A424C9411B7D}"/>
            </c:ext>
          </c:extLst>
        </c:ser>
        <c:ser>
          <c:idx val="111"/>
          <c:order val="111"/>
          <c:tx>
            <c:v>x=0.022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5-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25.460861232604376</c:v>
              </c:pt>
              <c:pt idx="1">
                <c:v>50.8</c:v>
              </c:pt>
            </c:numLit>
          </c:xVal>
          <c:yVal>
            <c:numLit>
              <c:formatCode>General</c:formatCode>
              <c:ptCount val="2"/>
              <c:pt idx="0">
                <c:v>2.2000000000000002E-2</c:v>
              </c:pt>
              <c:pt idx="1">
                <c:v>2.2000000000000002E-2</c:v>
              </c:pt>
            </c:numLit>
          </c:yVal>
          <c:smooth val="0"/>
          <c:extLst>
            <c:ext xmlns:c16="http://schemas.microsoft.com/office/drawing/2014/chart" uri="{C3380CC4-5D6E-409C-BE32-E72D297353CC}">
              <c16:uniqueId val="{00000086-CAC6-4A57-8F2B-A424C9411B7D}"/>
            </c:ext>
          </c:extLst>
        </c:ser>
        <c:ser>
          <c:idx val="112"/>
          <c:order val="112"/>
          <c:tx>
            <c:v>x=0.0222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2.2200000000000001E-2</c:v>
              </c:pt>
              <c:pt idx="1">
                <c:v>2.2200000000000001E-2</c:v>
              </c:pt>
            </c:numLit>
          </c:yVal>
          <c:smooth val="0"/>
          <c:extLst>
            <c:ext xmlns:c16="http://schemas.microsoft.com/office/drawing/2014/chart" uri="{C3380CC4-5D6E-409C-BE32-E72D297353CC}">
              <c16:uniqueId val="{00000087-CAC6-4A57-8F2B-A424C9411B7D}"/>
            </c:ext>
          </c:extLst>
        </c:ser>
        <c:ser>
          <c:idx val="113"/>
          <c:order val="113"/>
          <c:tx>
            <c:v>x=0.0224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2.24E-2</c:v>
              </c:pt>
              <c:pt idx="1">
                <c:v>2.24E-2</c:v>
              </c:pt>
            </c:numLit>
          </c:yVal>
          <c:smooth val="0"/>
          <c:extLst>
            <c:ext xmlns:c16="http://schemas.microsoft.com/office/drawing/2014/chart" uri="{C3380CC4-5D6E-409C-BE32-E72D297353CC}">
              <c16:uniqueId val="{00000088-CAC6-4A57-8F2B-A424C9411B7D}"/>
            </c:ext>
          </c:extLst>
        </c:ser>
        <c:ser>
          <c:idx val="114"/>
          <c:order val="114"/>
          <c:tx>
            <c:v>x=0.0226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2.2600000000000002E-2</c:v>
              </c:pt>
              <c:pt idx="1">
                <c:v>2.2600000000000002E-2</c:v>
              </c:pt>
            </c:numLit>
          </c:yVal>
          <c:smooth val="0"/>
          <c:extLst>
            <c:ext xmlns:c16="http://schemas.microsoft.com/office/drawing/2014/chart" uri="{C3380CC4-5D6E-409C-BE32-E72D297353CC}">
              <c16:uniqueId val="{00000089-CAC6-4A57-8F2B-A424C9411B7D}"/>
            </c:ext>
          </c:extLst>
        </c:ser>
        <c:ser>
          <c:idx val="115"/>
          <c:order val="115"/>
          <c:tx>
            <c:v>x=0.0228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2.2800000000000001E-2</c:v>
              </c:pt>
              <c:pt idx="1">
                <c:v>2.2800000000000001E-2</c:v>
              </c:pt>
            </c:numLit>
          </c:yVal>
          <c:smooth val="0"/>
          <c:extLst>
            <c:ext xmlns:c16="http://schemas.microsoft.com/office/drawing/2014/chart" uri="{C3380CC4-5D6E-409C-BE32-E72D297353CC}">
              <c16:uniqueId val="{0000008A-CAC6-4A57-8F2B-A424C9411B7D}"/>
            </c:ext>
          </c:extLst>
        </c:ser>
        <c:ser>
          <c:idx val="116"/>
          <c:order val="116"/>
          <c:tx>
            <c:v>x=0.023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B-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26.178307157057652</c:v>
              </c:pt>
              <c:pt idx="1">
                <c:v>50.8</c:v>
              </c:pt>
            </c:numLit>
          </c:xVal>
          <c:yVal>
            <c:numLit>
              <c:formatCode>General</c:formatCode>
              <c:ptCount val="2"/>
              <c:pt idx="0">
                <c:v>2.3E-2</c:v>
              </c:pt>
              <c:pt idx="1">
                <c:v>2.3E-2</c:v>
              </c:pt>
            </c:numLit>
          </c:yVal>
          <c:smooth val="0"/>
          <c:extLst>
            <c:ext xmlns:c16="http://schemas.microsoft.com/office/drawing/2014/chart" uri="{C3380CC4-5D6E-409C-BE32-E72D297353CC}">
              <c16:uniqueId val="{0000008C-CAC6-4A57-8F2B-A424C9411B7D}"/>
            </c:ext>
          </c:extLst>
        </c:ser>
        <c:ser>
          <c:idx val="117"/>
          <c:order val="117"/>
          <c:tx>
            <c:v>x=0.0232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2.3200000000000002E-2</c:v>
              </c:pt>
              <c:pt idx="1">
                <c:v>2.3200000000000002E-2</c:v>
              </c:pt>
            </c:numLit>
          </c:yVal>
          <c:smooth val="0"/>
          <c:extLst>
            <c:ext xmlns:c16="http://schemas.microsoft.com/office/drawing/2014/chart" uri="{C3380CC4-5D6E-409C-BE32-E72D297353CC}">
              <c16:uniqueId val="{0000008D-CAC6-4A57-8F2B-A424C9411B7D}"/>
            </c:ext>
          </c:extLst>
        </c:ser>
        <c:ser>
          <c:idx val="118"/>
          <c:order val="118"/>
          <c:tx>
            <c:v>x=0.0234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2.3400000000000001E-2</c:v>
              </c:pt>
              <c:pt idx="1">
                <c:v>2.3400000000000001E-2</c:v>
              </c:pt>
            </c:numLit>
          </c:yVal>
          <c:smooth val="0"/>
          <c:extLst>
            <c:ext xmlns:c16="http://schemas.microsoft.com/office/drawing/2014/chart" uri="{C3380CC4-5D6E-409C-BE32-E72D297353CC}">
              <c16:uniqueId val="{0000008E-CAC6-4A57-8F2B-A424C9411B7D}"/>
            </c:ext>
          </c:extLst>
        </c:ser>
        <c:ser>
          <c:idx val="119"/>
          <c:order val="119"/>
          <c:tx>
            <c:v>x=0.0236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2.3599999999999999E-2</c:v>
              </c:pt>
              <c:pt idx="1">
                <c:v>2.3599999999999999E-2</c:v>
              </c:pt>
            </c:numLit>
          </c:yVal>
          <c:smooth val="0"/>
          <c:extLst>
            <c:ext xmlns:c16="http://schemas.microsoft.com/office/drawing/2014/chart" uri="{C3380CC4-5D6E-409C-BE32-E72D297353CC}">
              <c16:uniqueId val="{0000008F-CAC6-4A57-8F2B-A424C9411B7D}"/>
            </c:ext>
          </c:extLst>
        </c:ser>
        <c:ser>
          <c:idx val="120"/>
          <c:order val="120"/>
          <c:tx>
            <c:v>x=0.0238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2.3800000000000002E-2</c:v>
              </c:pt>
              <c:pt idx="1">
                <c:v>2.3800000000000002E-2</c:v>
              </c:pt>
            </c:numLit>
          </c:yVal>
          <c:smooth val="0"/>
          <c:extLst>
            <c:ext xmlns:c16="http://schemas.microsoft.com/office/drawing/2014/chart" uri="{C3380CC4-5D6E-409C-BE32-E72D297353CC}">
              <c16:uniqueId val="{00000090-CAC6-4A57-8F2B-A424C9411B7D}"/>
            </c:ext>
          </c:extLst>
        </c:ser>
        <c:ser>
          <c:idx val="121"/>
          <c:order val="121"/>
          <c:tx>
            <c:v>x=0.024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1-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26.867121272365807</c:v>
              </c:pt>
              <c:pt idx="1">
                <c:v>50.8</c:v>
              </c:pt>
            </c:numLit>
          </c:xVal>
          <c:yVal>
            <c:numLit>
              <c:formatCode>General</c:formatCode>
              <c:ptCount val="2"/>
              <c:pt idx="0">
                <c:v>2.4E-2</c:v>
              </c:pt>
              <c:pt idx="1">
                <c:v>2.4E-2</c:v>
              </c:pt>
            </c:numLit>
          </c:yVal>
          <c:smooth val="0"/>
          <c:extLst>
            <c:ext xmlns:c16="http://schemas.microsoft.com/office/drawing/2014/chart" uri="{C3380CC4-5D6E-409C-BE32-E72D297353CC}">
              <c16:uniqueId val="{00000092-CAC6-4A57-8F2B-A424C9411B7D}"/>
            </c:ext>
          </c:extLst>
        </c:ser>
        <c:ser>
          <c:idx val="122"/>
          <c:order val="122"/>
          <c:tx>
            <c:v>x=0.0242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2.4200000000000003E-2</c:v>
              </c:pt>
              <c:pt idx="1">
                <c:v>2.4200000000000003E-2</c:v>
              </c:pt>
            </c:numLit>
          </c:yVal>
          <c:smooth val="0"/>
          <c:extLst>
            <c:ext xmlns:c16="http://schemas.microsoft.com/office/drawing/2014/chart" uri="{C3380CC4-5D6E-409C-BE32-E72D297353CC}">
              <c16:uniqueId val="{00000093-CAC6-4A57-8F2B-A424C9411B7D}"/>
            </c:ext>
          </c:extLst>
        </c:ser>
        <c:ser>
          <c:idx val="123"/>
          <c:order val="123"/>
          <c:tx>
            <c:v>x=0.0244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2.4400000000000002E-2</c:v>
              </c:pt>
              <c:pt idx="1">
                <c:v>2.4400000000000002E-2</c:v>
              </c:pt>
            </c:numLit>
          </c:yVal>
          <c:smooth val="0"/>
          <c:extLst>
            <c:ext xmlns:c16="http://schemas.microsoft.com/office/drawing/2014/chart" uri="{C3380CC4-5D6E-409C-BE32-E72D297353CC}">
              <c16:uniqueId val="{00000094-CAC6-4A57-8F2B-A424C9411B7D}"/>
            </c:ext>
          </c:extLst>
        </c:ser>
        <c:ser>
          <c:idx val="124"/>
          <c:order val="124"/>
          <c:tx>
            <c:v>x=0.0246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2.46E-2</c:v>
              </c:pt>
              <c:pt idx="1">
                <c:v>2.46E-2</c:v>
              </c:pt>
            </c:numLit>
          </c:yVal>
          <c:smooth val="0"/>
          <c:extLst>
            <c:ext xmlns:c16="http://schemas.microsoft.com/office/drawing/2014/chart" uri="{C3380CC4-5D6E-409C-BE32-E72D297353CC}">
              <c16:uniqueId val="{00000095-CAC6-4A57-8F2B-A424C9411B7D}"/>
            </c:ext>
          </c:extLst>
        </c:ser>
        <c:ser>
          <c:idx val="125"/>
          <c:order val="125"/>
          <c:tx>
            <c:v>x=0.0248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2.4800000000000003E-2</c:v>
              </c:pt>
              <c:pt idx="1">
                <c:v>2.4800000000000003E-2</c:v>
              </c:pt>
            </c:numLit>
          </c:yVal>
          <c:smooth val="0"/>
          <c:extLst>
            <c:ext xmlns:c16="http://schemas.microsoft.com/office/drawing/2014/chart" uri="{C3380CC4-5D6E-409C-BE32-E72D297353CC}">
              <c16:uniqueId val="{00000096-CAC6-4A57-8F2B-A424C9411B7D}"/>
            </c:ext>
          </c:extLst>
        </c:ser>
        <c:ser>
          <c:idx val="126"/>
          <c:order val="126"/>
          <c:tx>
            <c:v>x=0.025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7-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27.527137176938368</c:v>
              </c:pt>
              <c:pt idx="1">
                <c:v>50.8</c:v>
              </c:pt>
            </c:numLit>
          </c:xVal>
          <c:yVal>
            <c:numLit>
              <c:formatCode>General</c:formatCode>
              <c:ptCount val="2"/>
              <c:pt idx="0">
                <c:v>2.5000000000000001E-2</c:v>
              </c:pt>
              <c:pt idx="1">
                <c:v>2.5000000000000001E-2</c:v>
              </c:pt>
            </c:numLit>
          </c:yVal>
          <c:smooth val="0"/>
          <c:extLst>
            <c:ext xmlns:c16="http://schemas.microsoft.com/office/drawing/2014/chart" uri="{C3380CC4-5D6E-409C-BE32-E72D297353CC}">
              <c16:uniqueId val="{00000098-CAC6-4A57-8F2B-A424C9411B7D}"/>
            </c:ext>
          </c:extLst>
        </c:ser>
        <c:ser>
          <c:idx val="127"/>
          <c:order val="127"/>
          <c:tx>
            <c:v>x=0.0252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2.52E-2</c:v>
              </c:pt>
              <c:pt idx="1">
                <c:v>2.52E-2</c:v>
              </c:pt>
            </c:numLit>
          </c:yVal>
          <c:smooth val="0"/>
          <c:extLst>
            <c:ext xmlns:c16="http://schemas.microsoft.com/office/drawing/2014/chart" uri="{C3380CC4-5D6E-409C-BE32-E72D297353CC}">
              <c16:uniqueId val="{00000099-CAC6-4A57-8F2B-A424C9411B7D}"/>
            </c:ext>
          </c:extLst>
        </c:ser>
        <c:ser>
          <c:idx val="128"/>
          <c:order val="128"/>
          <c:tx>
            <c:v>x=0.0254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2.5400000000000002E-2</c:v>
              </c:pt>
              <c:pt idx="1">
                <c:v>2.5400000000000002E-2</c:v>
              </c:pt>
            </c:numLit>
          </c:yVal>
          <c:smooth val="0"/>
          <c:extLst>
            <c:ext xmlns:c16="http://schemas.microsoft.com/office/drawing/2014/chart" uri="{C3380CC4-5D6E-409C-BE32-E72D297353CC}">
              <c16:uniqueId val="{0000009A-CAC6-4A57-8F2B-A424C9411B7D}"/>
            </c:ext>
          </c:extLst>
        </c:ser>
        <c:ser>
          <c:idx val="129"/>
          <c:order val="129"/>
          <c:tx>
            <c:v>x=0.0256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2.5600000000000001E-2</c:v>
              </c:pt>
              <c:pt idx="1">
                <c:v>2.5600000000000001E-2</c:v>
              </c:pt>
            </c:numLit>
          </c:yVal>
          <c:smooth val="0"/>
          <c:extLst>
            <c:ext xmlns:c16="http://schemas.microsoft.com/office/drawing/2014/chart" uri="{C3380CC4-5D6E-409C-BE32-E72D297353CC}">
              <c16:uniqueId val="{0000009B-CAC6-4A57-8F2B-A424C9411B7D}"/>
            </c:ext>
          </c:extLst>
        </c:ser>
        <c:ser>
          <c:idx val="130"/>
          <c:order val="130"/>
          <c:tx>
            <c:v>x=0.0258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2.58E-2</c:v>
              </c:pt>
              <c:pt idx="1">
                <c:v>2.58E-2</c:v>
              </c:pt>
            </c:numLit>
          </c:yVal>
          <c:smooth val="0"/>
          <c:extLst>
            <c:ext xmlns:c16="http://schemas.microsoft.com/office/drawing/2014/chart" uri="{C3380CC4-5D6E-409C-BE32-E72D297353CC}">
              <c16:uniqueId val="{0000009C-CAC6-4A57-8F2B-A424C9411B7D}"/>
            </c:ext>
          </c:extLst>
        </c:ser>
        <c:ser>
          <c:idx val="131"/>
          <c:order val="131"/>
          <c:tx>
            <c:v>x=0.026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D-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28.168669184890657</c:v>
              </c:pt>
              <c:pt idx="1">
                <c:v>50.8</c:v>
              </c:pt>
            </c:numLit>
          </c:xVal>
          <c:yVal>
            <c:numLit>
              <c:formatCode>General</c:formatCode>
              <c:ptCount val="2"/>
              <c:pt idx="0">
                <c:v>2.6000000000000002E-2</c:v>
              </c:pt>
              <c:pt idx="1">
                <c:v>2.6000000000000002E-2</c:v>
              </c:pt>
            </c:numLit>
          </c:yVal>
          <c:smooth val="0"/>
          <c:extLst>
            <c:ext xmlns:c16="http://schemas.microsoft.com/office/drawing/2014/chart" uri="{C3380CC4-5D6E-409C-BE32-E72D297353CC}">
              <c16:uniqueId val="{0000009E-CAC6-4A57-8F2B-A424C9411B7D}"/>
            </c:ext>
          </c:extLst>
        </c:ser>
        <c:ser>
          <c:idx val="132"/>
          <c:order val="132"/>
          <c:tx>
            <c:v>x=0.0262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2.6200000000000001E-2</c:v>
              </c:pt>
              <c:pt idx="1">
                <c:v>2.6200000000000001E-2</c:v>
              </c:pt>
            </c:numLit>
          </c:yVal>
          <c:smooth val="0"/>
          <c:extLst>
            <c:ext xmlns:c16="http://schemas.microsoft.com/office/drawing/2014/chart" uri="{C3380CC4-5D6E-409C-BE32-E72D297353CC}">
              <c16:uniqueId val="{0000009F-CAC6-4A57-8F2B-A424C9411B7D}"/>
            </c:ext>
          </c:extLst>
        </c:ser>
        <c:ser>
          <c:idx val="133"/>
          <c:order val="133"/>
          <c:tx>
            <c:v>x=0.0264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2.64E-2</c:v>
              </c:pt>
              <c:pt idx="1">
                <c:v>2.64E-2</c:v>
              </c:pt>
            </c:numLit>
          </c:yVal>
          <c:smooth val="0"/>
          <c:extLst>
            <c:ext xmlns:c16="http://schemas.microsoft.com/office/drawing/2014/chart" uri="{C3380CC4-5D6E-409C-BE32-E72D297353CC}">
              <c16:uniqueId val="{000000A0-CAC6-4A57-8F2B-A424C9411B7D}"/>
            </c:ext>
          </c:extLst>
        </c:ser>
        <c:ser>
          <c:idx val="134"/>
          <c:order val="134"/>
          <c:tx>
            <c:v>x=0.0266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2.6600000000000002E-2</c:v>
              </c:pt>
              <c:pt idx="1">
                <c:v>2.6600000000000002E-2</c:v>
              </c:pt>
            </c:numLit>
          </c:yVal>
          <c:smooth val="0"/>
          <c:extLst>
            <c:ext xmlns:c16="http://schemas.microsoft.com/office/drawing/2014/chart" uri="{C3380CC4-5D6E-409C-BE32-E72D297353CC}">
              <c16:uniqueId val="{000000A1-CAC6-4A57-8F2B-A424C9411B7D}"/>
            </c:ext>
          </c:extLst>
        </c:ser>
        <c:ser>
          <c:idx val="135"/>
          <c:order val="135"/>
          <c:tx>
            <c:v>x=0.0268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2.6800000000000001E-2</c:v>
              </c:pt>
              <c:pt idx="1">
                <c:v>2.6800000000000001E-2</c:v>
              </c:pt>
            </c:numLit>
          </c:yVal>
          <c:smooth val="0"/>
          <c:extLst>
            <c:ext xmlns:c16="http://schemas.microsoft.com/office/drawing/2014/chart" uri="{C3380CC4-5D6E-409C-BE32-E72D297353CC}">
              <c16:uniqueId val="{000000A2-CAC6-4A57-8F2B-A424C9411B7D}"/>
            </c:ext>
          </c:extLst>
        </c:ser>
        <c:ser>
          <c:idx val="136"/>
          <c:order val="136"/>
          <c:tx>
            <c:v>x=0.027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3-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28.791606361829029</c:v>
              </c:pt>
              <c:pt idx="1">
                <c:v>50.8</c:v>
              </c:pt>
            </c:numLit>
          </c:xVal>
          <c:yVal>
            <c:numLit>
              <c:formatCode>General</c:formatCode>
              <c:ptCount val="2"/>
              <c:pt idx="0">
                <c:v>2.7E-2</c:v>
              </c:pt>
              <c:pt idx="1">
                <c:v>2.7E-2</c:v>
              </c:pt>
            </c:numLit>
          </c:yVal>
          <c:smooth val="0"/>
          <c:extLst>
            <c:ext xmlns:c16="http://schemas.microsoft.com/office/drawing/2014/chart" uri="{C3380CC4-5D6E-409C-BE32-E72D297353CC}">
              <c16:uniqueId val="{000000A4-CAC6-4A57-8F2B-A424C9411B7D}"/>
            </c:ext>
          </c:extLst>
        </c:ser>
        <c:ser>
          <c:idx val="137"/>
          <c:order val="137"/>
          <c:tx>
            <c:v>x=0.0272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2.7200000000000002E-2</c:v>
              </c:pt>
              <c:pt idx="1">
                <c:v>2.7200000000000002E-2</c:v>
              </c:pt>
            </c:numLit>
          </c:yVal>
          <c:smooth val="0"/>
          <c:extLst>
            <c:ext xmlns:c16="http://schemas.microsoft.com/office/drawing/2014/chart" uri="{C3380CC4-5D6E-409C-BE32-E72D297353CC}">
              <c16:uniqueId val="{000000A5-CAC6-4A57-8F2B-A424C9411B7D}"/>
            </c:ext>
          </c:extLst>
        </c:ser>
        <c:ser>
          <c:idx val="138"/>
          <c:order val="138"/>
          <c:tx>
            <c:v>x=0.0274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2.7400000000000001E-2</c:v>
              </c:pt>
              <c:pt idx="1">
                <c:v>2.7400000000000001E-2</c:v>
              </c:pt>
            </c:numLit>
          </c:yVal>
          <c:smooth val="0"/>
          <c:extLst>
            <c:ext xmlns:c16="http://schemas.microsoft.com/office/drawing/2014/chart" uri="{C3380CC4-5D6E-409C-BE32-E72D297353CC}">
              <c16:uniqueId val="{000000A6-CAC6-4A57-8F2B-A424C9411B7D}"/>
            </c:ext>
          </c:extLst>
        </c:ser>
        <c:ser>
          <c:idx val="139"/>
          <c:order val="139"/>
          <c:tx>
            <c:v>x=0.0276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2.7600000000000003E-2</c:v>
              </c:pt>
              <c:pt idx="1">
                <c:v>2.7600000000000003E-2</c:v>
              </c:pt>
            </c:numLit>
          </c:yVal>
          <c:smooth val="0"/>
          <c:extLst>
            <c:ext xmlns:c16="http://schemas.microsoft.com/office/drawing/2014/chart" uri="{C3380CC4-5D6E-409C-BE32-E72D297353CC}">
              <c16:uniqueId val="{000000A7-CAC6-4A57-8F2B-A424C9411B7D}"/>
            </c:ext>
          </c:extLst>
        </c:ser>
        <c:ser>
          <c:idx val="140"/>
          <c:order val="140"/>
          <c:tx>
            <c:v>x=0.0278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2.7800000000000002E-2</c:v>
              </c:pt>
              <c:pt idx="1">
                <c:v>2.7800000000000002E-2</c:v>
              </c:pt>
            </c:numLit>
          </c:yVal>
          <c:smooth val="0"/>
          <c:extLst>
            <c:ext xmlns:c16="http://schemas.microsoft.com/office/drawing/2014/chart" uri="{C3380CC4-5D6E-409C-BE32-E72D297353CC}">
              <c16:uniqueId val="{000000A8-CAC6-4A57-8F2B-A424C9411B7D}"/>
            </c:ext>
          </c:extLst>
        </c:ser>
        <c:ser>
          <c:idx val="141"/>
          <c:order val="141"/>
          <c:tx>
            <c:v>x=0.028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9-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29.385320079522867</c:v>
              </c:pt>
              <c:pt idx="1">
                <c:v>50.8</c:v>
              </c:pt>
            </c:numLit>
          </c:xVal>
          <c:yVal>
            <c:numLit>
              <c:formatCode>General</c:formatCode>
              <c:ptCount val="2"/>
              <c:pt idx="0">
                <c:v>2.8000000000000001E-2</c:v>
              </c:pt>
              <c:pt idx="1">
                <c:v>2.8000000000000001E-2</c:v>
              </c:pt>
            </c:numLit>
          </c:yVal>
          <c:smooth val="0"/>
          <c:extLst>
            <c:ext xmlns:c16="http://schemas.microsoft.com/office/drawing/2014/chart" uri="{C3380CC4-5D6E-409C-BE32-E72D297353CC}">
              <c16:uniqueId val="{000000AA-CAC6-4A57-8F2B-A424C9411B7D}"/>
            </c:ext>
          </c:extLst>
        </c:ser>
        <c:ser>
          <c:idx val="142"/>
          <c:order val="142"/>
          <c:tx>
            <c:v>x=0.0282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2.8200000000000003E-2</c:v>
              </c:pt>
              <c:pt idx="1">
                <c:v>2.8200000000000003E-2</c:v>
              </c:pt>
            </c:numLit>
          </c:yVal>
          <c:smooth val="0"/>
          <c:extLst>
            <c:ext xmlns:c16="http://schemas.microsoft.com/office/drawing/2014/chart" uri="{C3380CC4-5D6E-409C-BE32-E72D297353CC}">
              <c16:uniqueId val="{000000AB-CAC6-4A57-8F2B-A424C9411B7D}"/>
            </c:ext>
          </c:extLst>
        </c:ser>
        <c:ser>
          <c:idx val="143"/>
          <c:order val="143"/>
          <c:tx>
            <c:v>x=0.0284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2.8400000000000002E-2</c:v>
              </c:pt>
              <c:pt idx="1">
                <c:v>2.8400000000000002E-2</c:v>
              </c:pt>
            </c:numLit>
          </c:yVal>
          <c:smooth val="0"/>
          <c:extLst>
            <c:ext xmlns:c16="http://schemas.microsoft.com/office/drawing/2014/chart" uri="{C3380CC4-5D6E-409C-BE32-E72D297353CC}">
              <c16:uniqueId val="{000000AC-CAC6-4A57-8F2B-A424C9411B7D}"/>
            </c:ext>
          </c:extLst>
        </c:ser>
        <c:ser>
          <c:idx val="144"/>
          <c:order val="144"/>
          <c:tx>
            <c:v>x=0.0286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2.86E-2</c:v>
              </c:pt>
              <c:pt idx="1">
                <c:v>2.86E-2</c:v>
              </c:pt>
            </c:numLit>
          </c:yVal>
          <c:smooth val="0"/>
          <c:extLst>
            <c:ext xmlns:c16="http://schemas.microsoft.com/office/drawing/2014/chart" uri="{C3380CC4-5D6E-409C-BE32-E72D297353CC}">
              <c16:uniqueId val="{000000AD-CAC6-4A57-8F2B-A424C9411B7D}"/>
            </c:ext>
          </c:extLst>
        </c:ser>
        <c:ser>
          <c:idx val="145"/>
          <c:order val="145"/>
          <c:tx>
            <c:v>x=0.0288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2.8800000000000003E-2</c:v>
              </c:pt>
              <c:pt idx="1">
                <c:v>2.8800000000000003E-2</c:v>
              </c:pt>
            </c:numLit>
          </c:yVal>
          <c:smooth val="0"/>
          <c:extLst>
            <c:ext xmlns:c16="http://schemas.microsoft.com/office/drawing/2014/chart" uri="{C3380CC4-5D6E-409C-BE32-E72D297353CC}">
              <c16:uniqueId val="{000000AE-CAC6-4A57-8F2B-A424C9411B7D}"/>
            </c:ext>
          </c:extLst>
        </c:ser>
        <c:ser>
          <c:idx val="146"/>
          <c:order val="146"/>
          <c:tx>
            <c:v>x=0.029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F-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29.970716302186883</c:v>
              </c:pt>
              <c:pt idx="1">
                <c:v>50.8</c:v>
              </c:pt>
            </c:numLit>
          </c:xVal>
          <c:yVal>
            <c:numLit>
              <c:formatCode>General</c:formatCode>
              <c:ptCount val="2"/>
              <c:pt idx="0">
                <c:v>2.9000000000000001E-2</c:v>
              </c:pt>
              <c:pt idx="1">
                <c:v>2.9000000000000001E-2</c:v>
              </c:pt>
            </c:numLit>
          </c:yVal>
          <c:smooth val="0"/>
          <c:extLst>
            <c:ext xmlns:c16="http://schemas.microsoft.com/office/drawing/2014/chart" uri="{C3380CC4-5D6E-409C-BE32-E72D297353CC}">
              <c16:uniqueId val="{000000B0-CAC6-4A57-8F2B-A424C9411B7D}"/>
            </c:ext>
          </c:extLst>
        </c:ser>
        <c:ser>
          <c:idx val="147"/>
          <c:order val="147"/>
          <c:tx>
            <c:v>x=0.0292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2.92E-2</c:v>
              </c:pt>
              <c:pt idx="1">
                <c:v>2.92E-2</c:v>
              </c:pt>
            </c:numLit>
          </c:yVal>
          <c:smooth val="0"/>
          <c:extLst>
            <c:ext xmlns:c16="http://schemas.microsoft.com/office/drawing/2014/chart" uri="{C3380CC4-5D6E-409C-BE32-E72D297353CC}">
              <c16:uniqueId val="{000000B1-CAC6-4A57-8F2B-A424C9411B7D}"/>
            </c:ext>
          </c:extLst>
        </c:ser>
        <c:ser>
          <c:idx val="148"/>
          <c:order val="148"/>
          <c:tx>
            <c:v>x=0.0294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2.9400000000000003E-2</c:v>
              </c:pt>
              <c:pt idx="1">
                <c:v>2.9400000000000003E-2</c:v>
              </c:pt>
            </c:numLit>
          </c:yVal>
          <c:smooth val="0"/>
          <c:extLst>
            <c:ext xmlns:c16="http://schemas.microsoft.com/office/drawing/2014/chart" uri="{C3380CC4-5D6E-409C-BE32-E72D297353CC}">
              <c16:uniqueId val="{000000B2-CAC6-4A57-8F2B-A424C9411B7D}"/>
            </c:ext>
          </c:extLst>
        </c:ser>
        <c:ser>
          <c:idx val="149"/>
          <c:order val="149"/>
          <c:tx>
            <c:v>x=0.0296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2.9600000000000001E-2</c:v>
              </c:pt>
              <c:pt idx="1">
                <c:v>2.9600000000000001E-2</c:v>
              </c:pt>
            </c:numLit>
          </c:yVal>
          <c:smooth val="0"/>
          <c:extLst>
            <c:ext xmlns:c16="http://schemas.microsoft.com/office/drawing/2014/chart" uri="{C3380CC4-5D6E-409C-BE32-E72D297353CC}">
              <c16:uniqueId val="{000000B3-CAC6-4A57-8F2B-A424C9411B7D}"/>
            </c:ext>
          </c:extLst>
        </c:ser>
        <c:ser>
          <c:idx val="150"/>
          <c:order val="150"/>
          <c:tx>
            <c:v>x=0.0298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2.98E-2</c:v>
              </c:pt>
              <c:pt idx="1">
                <c:v>2.98E-2</c:v>
              </c:pt>
            </c:numLit>
          </c:yVal>
          <c:smooth val="0"/>
          <c:extLst>
            <c:ext xmlns:c16="http://schemas.microsoft.com/office/drawing/2014/chart" uri="{C3380CC4-5D6E-409C-BE32-E72D297353CC}">
              <c16:uniqueId val="{000000B4-CAC6-4A57-8F2B-A424C9411B7D}"/>
            </c:ext>
          </c:extLst>
        </c:ser>
        <c:ser>
          <c:idx val="151"/>
          <c:order val="151"/>
          <c:tx>
            <c:v>x=0.03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5-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30.537184890656061</c:v>
              </c:pt>
              <c:pt idx="1">
                <c:v>50.8</c:v>
              </c:pt>
            </c:numLit>
          </c:xVal>
          <c:yVal>
            <c:numLit>
              <c:formatCode>General</c:formatCode>
              <c:ptCount val="2"/>
              <c:pt idx="0">
                <c:v>3.0000000000000002E-2</c:v>
              </c:pt>
              <c:pt idx="1">
                <c:v>3.0000000000000002E-2</c:v>
              </c:pt>
            </c:numLit>
          </c:yVal>
          <c:smooth val="0"/>
          <c:extLst>
            <c:ext xmlns:c16="http://schemas.microsoft.com/office/drawing/2014/chart" uri="{C3380CC4-5D6E-409C-BE32-E72D297353CC}">
              <c16:uniqueId val="{000000B6-CAC6-4A57-8F2B-A424C9411B7D}"/>
            </c:ext>
          </c:extLst>
        </c:ser>
        <c:ser>
          <c:idx val="152"/>
          <c:order val="152"/>
          <c:tx>
            <c:v>x=0.0302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3.0200000000000001E-2</c:v>
              </c:pt>
              <c:pt idx="1">
                <c:v>3.0200000000000001E-2</c:v>
              </c:pt>
            </c:numLit>
          </c:yVal>
          <c:smooth val="0"/>
          <c:extLst>
            <c:ext xmlns:c16="http://schemas.microsoft.com/office/drawing/2014/chart" uri="{C3380CC4-5D6E-409C-BE32-E72D297353CC}">
              <c16:uniqueId val="{000000B7-CAC6-4A57-8F2B-A424C9411B7D}"/>
            </c:ext>
          </c:extLst>
        </c:ser>
        <c:ser>
          <c:idx val="153"/>
          <c:order val="153"/>
          <c:tx>
            <c:v>x=0.0304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3.04E-2</c:v>
              </c:pt>
              <c:pt idx="1">
                <c:v>3.04E-2</c:v>
              </c:pt>
            </c:numLit>
          </c:yVal>
          <c:smooth val="0"/>
          <c:extLst>
            <c:ext xmlns:c16="http://schemas.microsoft.com/office/drawing/2014/chart" uri="{C3380CC4-5D6E-409C-BE32-E72D297353CC}">
              <c16:uniqueId val="{000000B8-CAC6-4A57-8F2B-A424C9411B7D}"/>
            </c:ext>
          </c:extLst>
        </c:ser>
        <c:ser>
          <c:idx val="154"/>
          <c:order val="154"/>
          <c:tx>
            <c:v>x=0.0306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3.0600000000000002E-2</c:v>
              </c:pt>
              <c:pt idx="1">
                <c:v>3.0600000000000002E-2</c:v>
              </c:pt>
            </c:numLit>
          </c:yVal>
          <c:smooth val="0"/>
          <c:extLst>
            <c:ext xmlns:c16="http://schemas.microsoft.com/office/drawing/2014/chart" uri="{C3380CC4-5D6E-409C-BE32-E72D297353CC}">
              <c16:uniqueId val="{000000B9-CAC6-4A57-8F2B-A424C9411B7D}"/>
            </c:ext>
          </c:extLst>
        </c:ser>
        <c:ser>
          <c:idx val="155"/>
          <c:order val="155"/>
          <c:tx>
            <c:v>x=0.0308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3.0800000000000001E-2</c:v>
              </c:pt>
              <c:pt idx="1">
                <c:v>3.0800000000000001E-2</c:v>
              </c:pt>
            </c:numLit>
          </c:yVal>
          <c:smooth val="0"/>
          <c:extLst>
            <c:ext xmlns:c16="http://schemas.microsoft.com/office/drawing/2014/chart" uri="{C3380CC4-5D6E-409C-BE32-E72D297353CC}">
              <c16:uniqueId val="{000000BA-CAC6-4A57-8F2B-A424C9411B7D}"/>
            </c:ext>
          </c:extLst>
        </c:ser>
        <c:ser>
          <c:idx val="156"/>
          <c:order val="156"/>
          <c:tx>
            <c:v>x=0.031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B-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31.084614910536782</c:v>
              </c:pt>
              <c:pt idx="1">
                <c:v>50.8</c:v>
              </c:pt>
            </c:numLit>
          </c:xVal>
          <c:yVal>
            <c:numLit>
              <c:formatCode>General</c:formatCode>
              <c:ptCount val="2"/>
              <c:pt idx="0">
                <c:v>3.1E-2</c:v>
              </c:pt>
              <c:pt idx="1">
                <c:v>3.1E-2</c:v>
              </c:pt>
            </c:numLit>
          </c:yVal>
          <c:smooth val="0"/>
          <c:extLst>
            <c:ext xmlns:c16="http://schemas.microsoft.com/office/drawing/2014/chart" uri="{C3380CC4-5D6E-409C-BE32-E72D297353CC}">
              <c16:uniqueId val="{000000BC-CAC6-4A57-8F2B-A424C9411B7D}"/>
            </c:ext>
          </c:extLst>
        </c:ser>
        <c:ser>
          <c:idx val="157"/>
          <c:order val="157"/>
          <c:tx>
            <c:v>x=0.0312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3.1200000000000002E-2</c:v>
              </c:pt>
              <c:pt idx="1">
                <c:v>3.1200000000000002E-2</c:v>
              </c:pt>
            </c:numLit>
          </c:yVal>
          <c:smooth val="0"/>
          <c:extLst>
            <c:ext xmlns:c16="http://schemas.microsoft.com/office/drawing/2014/chart" uri="{C3380CC4-5D6E-409C-BE32-E72D297353CC}">
              <c16:uniqueId val="{000000BD-CAC6-4A57-8F2B-A424C9411B7D}"/>
            </c:ext>
          </c:extLst>
        </c:ser>
        <c:ser>
          <c:idx val="158"/>
          <c:order val="158"/>
          <c:tx>
            <c:v>x=0.0314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3.1400000000000004E-2</c:v>
              </c:pt>
              <c:pt idx="1">
                <c:v>3.1400000000000004E-2</c:v>
              </c:pt>
            </c:numLit>
          </c:yVal>
          <c:smooth val="0"/>
          <c:extLst>
            <c:ext xmlns:c16="http://schemas.microsoft.com/office/drawing/2014/chart" uri="{C3380CC4-5D6E-409C-BE32-E72D297353CC}">
              <c16:uniqueId val="{000000BE-CAC6-4A57-8F2B-A424C9411B7D}"/>
            </c:ext>
          </c:extLst>
        </c:ser>
        <c:ser>
          <c:idx val="159"/>
          <c:order val="159"/>
          <c:tx>
            <c:v>x=0.0316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3.1600000000000003E-2</c:v>
              </c:pt>
              <c:pt idx="1">
                <c:v>3.1600000000000003E-2</c:v>
              </c:pt>
            </c:numLit>
          </c:yVal>
          <c:smooth val="0"/>
          <c:extLst>
            <c:ext xmlns:c16="http://schemas.microsoft.com/office/drawing/2014/chart" uri="{C3380CC4-5D6E-409C-BE32-E72D297353CC}">
              <c16:uniqueId val="{000000BF-CAC6-4A57-8F2B-A424C9411B7D}"/>
            </c:ext>
          </c:extLst>
        </c:ser>
        <c:ser>
          <c:idx val="160"/>
          <c:order val="160"/>
          <c:tx>
            <c:v>x=0.0318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3.1800000000000002E-2</c:v>
              </c:pt>
              <c:pt idx="1">
                <c:v>3.1800000000000002E-2</c:v>
              </c:pt>
            </c:numLit>
          </c:yVal>
          <c:smooth val="0"/>
          <c:extLst>
            <c:ext xmlns:c16="http://schemas.microsoft.com/office/drawing/2014/chart" uri="{C3380CC4-5D6E-409C-BE32-E72D297353CC}">
              <c16:uniqueId val="{000000C0-CAC6-4A57-8F2B-A424C9411B7D}"/>
            </c:ext>
          </c:extLst>
        </c:ser>
        <c:ser>
          <c:idx val="161"/>
          <c:order val="161"/>
          <c:tx>
            <c:v>x=0.032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1-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31.623487077534794</c:v>
              </c:pt>
              <c:pt idx="1">
                <c:v>50.8</c:v>
              </c:pt>
            </c:numLit>
          </c:xVal>
          <c:yVal>
            <c:numLit>
              <c:formatCode>General</c:formatCode>
              <c:ptCount val="2"/>
              <c:pt idx="0">
                <c:v>3.2000000000000001E-2</c:v>
              </c:pt>
              <c:pt idx="1">
                <c:v>3.2000000000000001E-2</c:v>
              </c:pt>
            </c:numLit>
          </c:yVal>
          <c:smooth val="0"/>
          <c:extLst>
            <c:ext xmlns:c16="http://schemas.microsoft.com/office/drawing/2014/chart" uri="{C3380CC4-5D6E-409C-BE32-E72D297353CC}">
              <c16:uniqueId val="{000000C2-CAC6-4A57-8F2B-A424C9411B7D}"/>
            </c:ext>
          </c:extLst>
        </c:ser>
        <c:ser>
          <c:idx val="162"/>
          <c:order val="162"/>
          <c:tx>
            <c:v>x=0.0322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3.2199999999999999E-2</c:v>
              </c:pt>
              <c:pt idx="1">
                <c:v>3.2199999999999999E-2</c:v>
              </c:pt>
            </c:numLit>
          </c:yVal>
          <c:smooth val="0"/>
          <c:extLst>
            <c:ext xmlns:c16="http://schemas.microsoft.com/office/drawing/2014/chart" uri="{C3380CC4-5D6E-409C-BE32-E72D297353CC}">
              <c16:uniqueId val="{000000C3-CAC6-4A57-8F2B-A424C9411B7D}"/>
            </c:ext>
          </c:extLst>
        </c:ser>
        <c:ser>
          <c:idx val="163"/>
          <c:order val="163"/>
          <c:tx>
            <c:v>x=0.0324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3.2399999999999998E-2</c:v>
              </c:pt>
              <c:pt idx="1">
                <c:v>3.2399999999999998E-2</c:v>
              </c:pt>
            </c:numLit>
          </c:yVal>
          <c:smooth val="0"/>
          <c:extLst>
            <c:ext xmlns:c16="http://schemas.microsoft.com/office/drawing/2014/chart" uri="{C3380CC4-5D6E-409C-BE32-E72D297353CC}">
              <c16:uniqueId val="{000000C4-CAC6-4A57-8F2B-A424C9411B7D}"/>
            </c:ext>
          </c:extLst>
        </c:ser>
        <c:ser>
          <c:idx val="164"/>
          <c:order val="164"/>
          <c:tx>
            <c:v>x=0.0326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3.2600000000000004E-2</c:v>
              </c:pt>
              <c:pt idx="1">
                <c:v>3.2600000000000004E-2</c:v>
              </c:pt>
            </c:numLit>
          </c:yVal>
          <c:smooth val="0"/>
          <c:extLst>
            <c:ext xmlns:c16="http://schemas.microsoft.com/office/drawing/2014/chart" uri="{C3380CC4-5D6E-409C-BE32-E72D297353CC}">
              <c16:uniqueId val="{000000C5-CAC6-4A57-8F2B-A424C9411B7D}"/>
            </c:ext>
          </c:extLst>
        </c:ser>
        <c:ser>
          <c:idx val="165"/>
          <c:order val="165"/>
          <c:tx>
            <c:v>x=0.0328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3.2800000000000003E-2</c:v>
              </c:pt>
              <c:pt idx="1">
                <c:v>3.2800000000000003E-2</c:v>
              </c:pt>
            </c:numLit>
          </c:yVal>
          <c:smooth val="0"/>
          <c:extLst>
            <c:ext xmlns:c16="http://schemas.microsoft.com/office/drawing/2014/chart" uri="{C3380CC4-5D6E-409C-BE32-E72D297353CC}">
              <c16:uniqueId val="{000000C6-CAC6-4A57-8F2B-A424C9411B7D}"/>
            </c:ext>
          </c:extLst>
        </c:ser>
        <c:ser>
          <c:idx val="166"/>
          <c:order val="166"/>
          <c:tx>
            <c:v>x=0.033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7-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32.143135785288273</c:v>
              </c:pt>
              <c:pt idx="1">
                <c:v>50.8</c:v>
              </c:pt>
            </c:numLit>
          </c:xVal>
          <c:yVal>
            <c:numLit>
              <c:formatCode>General</c:formatCode>
              <c:ptCount val="2"/>
              <c:pt idx="0">
                <c:v>3.3000000000000002E-2</c:v>
              </c:pt>
              <c:pt idx="1">
                <c:v>3.3000000000000002E-2</c:v>
              </c:pt>
            </c:numLit>
          </c:yVal>
          <c:smooth val="0"/>
          <c:extLst>
            <c:ext xmlns:c16="http://schemas.microsoft.com/office/drawing/2014/chart" uri="{C3380CC4-5D6E-409C-BE32-E72D297353CC}">
              <c16:uniqueId val="{000000C8-CAC6-4A57-8F2B-A424C9411B7D}"/>
            </c:ext>
          </c:extLst>
        </c:ser>
        <c:ser>
          <c:idx val="167"/>
          <c:order val="167"/>
          <c:tx>
            <c:v>x=0.0332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3.32E-2</c:v>
              </c:pt>
              <c:pt idx="1">
                <c:v>3.32E-2</c:v>
              </c:pt>
            </c:numLit>
          </c:yVal>
          <c:smooth val="0"/>
          <c:extLst>
            <c:ext xmlns:c16="http://schemas.microsoft.com/office/drawing/2014/chart" uri="{C3380CC4-5D6E-409C-BE32-E72D297353CC}">
              <c16:uniqueId val="{000000C9-CAC6-4A57-8F2B-A424C9411B7D}"/>
            </c:ext>
          </c:extLst>
        </c:ser>
        <c:ser>
          <c:idx val="168"/>
          <c:order val="168"/>
          <c:tx>
            <c:v>x=0.0334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3.3399999999999999E-2</c:v>
              </c:pt>
              <c:pt idx="1">
                <c:v>3.3399999999999999E-2</c:v>
              </c:pt>
            </c:numLit>
          </c:yVal>
          <c:smooth val="0"/>
          <c:extLst>
            <c:ext xmlns:c16="http://schemas.microsoft.com/office/drawing/2014/chart" uri="{C3380CC4-5D6E-409C-BE32-E72D297353CC}">
              <c16:uniqueId val="{000000CA-CAC6-4A57-8F2B-A424C9411B7D}"/>
            </c:ext>
          </c:extLst>
        </c:ser>
        <c:ser>
          <c:idx val="169"/>
          <c:order val="169"/>
          <c:tx>
            <c:v>x=0.0336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3.3600000000000005E-2</c:v>
              </c:pt>
              <c:pt idx="1">
                <c:v>3.3600000000000005E-2</c:v>
              </c:pt>
            </c:numLit>
          </c:yVal>
          <c:smooth val="0"/>
          <c:extLst>
            <c:ext xmlns:c16="http://schemas.microsoft.com/office/drawing/2014/chart" uri="{C3380CC4-5D6E-409C-BE32-E72D297353CC}">
              <c16:uniqueId val="{000000CB-CAC6-4A57-8F2B-A424C9411B7D}"/>
            </c:ext>
          </c:extLst>
        </c:ser>
        <c:ser>
          <c:idx val="170"/>
          <c:order val="170"/>
          <c:tx>
            <c:v>x=0.0338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3.3800000000000004E-2</c:v>
              </c:pt>
              <c:pt idx="1">
                <c:v>3.3800000000000004E-2</c:v>
              </c:pt>
            </c:numLit>
          </c:yVal>
          <c:smooth val="0"/>
          <c:extLst>
            <c:ext xmlns:c16="http://schemas.microsoft.com/office/drawing/2014/chart" uri="{C3380CC4-5D6E-409C-BE32-E72D297353CC}">
              <c16:uniqueId val="{000000CC-CAC6-4A57-8F2B-A424C9411B7D}"/>
            </c:ext>
          </c:extLst>
        </c:ser>
        <c:ser>
          <c:idx val="171"/>
          <c:order val="171"/>
          <c:tx>
            <c:v>x=0.034</c:v>
          </c:tx>
          <c:spPr>
            <a:ln w="3175">
              <a:solidFill>
                <a:srgbClr val="000000"/>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D-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-10.178000000000001</c:v>
              </c:pt>
              <c:pt idx="1">
                <c:v>50.8</c:v>
              </c:pt>
            </c:numLit>
          </c:xVal>
          <c:yVal>
            <c:numLit>
              <c:formatCode>General</c:formatCode>
              <c:ptCount val="2"/>
              <c:pt idx="0">
                <c:v>3.4000000000000002E-2</c:v>
              </c:pt>
              <c:pt idx="1">
                <c:v>3.4000000000000002E-2</c:v>
              </c:pt>
            </c:numLit>
          </c:yVal>
          <c:smooth val="0"/>
          <c:extLst>
            <c:ext xmlns:c16="http://schemas.microsoft.com/office/drawing/2014/chart" uri="{C3380CC4-5D6E-409C-BE32-E72D297353CC}">
              <c16:uniqueId val="{000000CE-CAC6-4A57-8F2B-A424C9411B7D}"/>
            </c:ext>
          </c:extLst>
        </c:ser>
        <c:ser>
          <c:idx val="172"/>
          <c:order val="172"/>
          <c:tx>
            <c:v>絶対湿度座標軸ラベル</c:v>
          </c:tx>
          <c:spPr>
            <a:ln w="3175">
              <a:solidFill>
                <a:srgbClr val="000000"/>
              </a:solidFill>
              <a:prstDash val="solid"/>
            </a:ln>
          </c:spPr>
          <c:marker>
            <c:symbol val="none"/>
          </c:marker>
          <c:dLbls>
            <c:dLbl>
              <c:idx val="0"/>
              <c:layout>
                <c:manualLayout>
                  <c:x val="3.8194444444444448E-2"/>
                  <c:y val="0"/>
                </c:manualLayout>
              </c:layout>
              <c:tx>
                <c:rich>
                  <a:bodyPr rot="-540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絶対湿度 </a:t>
                    </a:r>
                    <a:r>
                      <a:rPr lang="en-US"/>
                      <a:t>x[kg/kg(DA)]</a:t>
                    </a:r>
                  </a:p>
                </c:rich>
              </c:tx>
              <c:spPr>
                <a:solidFill>
                  <a:srgbClr val="FFFFFF"/>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F-CAC6-4A57-8F2B-A424C9411B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50.8</c:v>
              </c:pt>
            </c:numLit>
          </c:xVal>
          <c:yVal>
            <c:numLit>
              <c:formatCode>General</c:formatCode>
              <c:ptCount val="1"/>
              <c:pt idx="0">
                <c:v>1.7000000000000001E-2</c:v>
              </c:pt>
            </c:numLit>
          </c:yVal>
          <c:smooth val="0"/>
          <c:extLst>
            <c:ext xmlns:c16="http://schemas.microsoft.com/office/drawing/2014/chart" uri="{C3380CC4-5D6E-409C-BE32-E72D297353CC}">
              <c16:uniqueId val="{000000D0-CAC6-4A57-8F2B-A424C9411B7D}"/>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6616-42F6-AC02-49C096B95DA0}"/>
            </c:ext>
          </c:extLst>
        </c:ser>
        <c:ser>
          <c:idx val="1"/>
          <c:order val="1"/>
          <c:spPr>
            <a:ln w="3175">
              <a:solidFill>
                <a:srgbClr val="000000"/>
              </a:solidFill>
              <a:prstDash val="solid"/>
            </a:ln>
          </c:spPr>
          <c:marker>
            <c:symbol val="none"/>
          </c:marker>
          <c:xVal>
            <c:numLit>
              <c:formatCode>General</c:formatCode>
              <c:ptCount val="2"/>
              <c:pt idx="0">
                <c:v>-3.758</c:v>
              </c:pt>
              <c:pt idx="1">
                <c:v>-4.3579999999999997</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01-6616-42F6-AC02-49C096B95DA0}"/>
            </c:ext>
          </c:extLst>
        </c:ser>
        <c:ser>
          <c:idx val="2"/>
          <c:order val="2"/>
          <c:spPr>
            <a:ln w="3175">
              <a:solidFill>
                <a:srgbClr val="000000"/>
              </a:solidFill>
              <a:prstDash val="solid"/>
            </a:ln>
          </c:spPr>
          <c:marker>
            <c:symbol val="none"/>
          </c:marker>
          <c:dLbls>
            <c:dLbl>
              <c:idx val="0"/>
              <c:tx>
                <c:rich>
                  <a:bodyPr rot="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16-42F6-AC02-49C096B95D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-5.1180000000000012</c:v>
              </c:pt>
            </c:numLit>
          </c:xVal>
          <c:yVal>
            <c:numLit>
              <c:formatCode>General</c:formatCode>
              <c:ptCount val="1"/>
              <c:pt idx="0">
                <c:v>2.0930000000000001E-2</c:v>
              </c:pt>
            </c:numLit>
          </c:yVal>
          <c:smooth val="0"/>
          <c:extLst>
            <c:ext xmlns:c16="http://schemas.microsoft.com/office/drawing/2014/chart" uri="{C3380CC4-5D6E-409C-BE32-E72D297353CC}">
              <c16:uniqueId val="{00000003-6616-42F6-AC02-49C096B95DA0}"/>
            </c:ext>
          </c:extLst>
        </c:ser>
        <c:ser>
          <c:idx val="3"/>
          <c:order val="3"/>
          <c:spPr>
            <a:ln w="3175">
              <a:solidFill>
                <a:srgbClr val="000000"/>
              </a:solidFill>
              <a:prstDash val="solid"/>
            </a:ln>
          </c:spPr>
          <c:marker>
            <c:symbol val="none"/>
          </c:marker>
          <c:xVal>
            <c:numLit>
              <c:formatCode>General</c:formatCode>
              <c:ptCount val="2"/>
              <c:pt idx="0">
                <c:v>-3.7573164307647193</c:v>
              </c:pt>
              <c:pt idx="1">
                <c:v>-4.0572985496633294</c:v>
              </c:pt>
            </c:numLit>
          </c:xVal>
          <c:yVal>
            <c:numLit>
              <c:formatCode>General</c:formatCode>
              <c:ptCount val="2"/>
              <c:pt idx="0">
                <c:v>2.0838150344721491E-2</c:v>
              </c:pt>
              <c:pt idx="1">
                <c:v>2.0835727619644421E-2</c:v>
              </c:pt>
            </c:numLit>
          </c:yVal>
          <c:smooth val="0"/>
          <c:extLst>
            <c:ext xmlns:c16="http://schemas.microsoft.com/office/drawing/2014/chart" uri="{C3380CC4-5D6E-409C-BE32-E72D297353CC}">
              <c16:uniqueId val="{00000004-6616-42F6-AC02-49C096B95DA0}"/>
            </c:ext>
          </c:extLst>
        </c:ser>
        <c:ser>
          <c:idx val="4"/>
          <c:order val="4"/>
          <c:spPr>
            <a:ln w="3175">
              <a:solidFill>
                <a:srgbClr val="000000"/>
              </a:solidFill>
              <a:prstDash val="solid"/>
            </a:ln>
          </c:spPr>
          <c:marker>
            <c:symbol val="none"/>
          </c:marker>
          <c:xVal>
            <c:numLit>
              <c:formatCode>General</c:formatCode>
              <c:ptCount val="2"/>
              <c:pt idx="0">
                <c:v>-3.7551514284703731</c:v>
              </c:pt>
              <c:pt idx="1">
                <c:v>-4.0550769139387679</c:v>
              </c:pt>
            </c:numLit>
          </c:xVal>
          <c:yVal>
            <c:numLit>
              <c:formatCode>General</c:formatCode>
              <c:ptCount val="2"/>
              <c:pt idx="0">
                <c:v>2.0742509615122581E-2</c:v>
              </c:pt>
              <c:pt idx="1">
                <c:v>2.0737564151791284E-2</c:v>
              </c:pt>
            </c:numLit>
          </c:yVal>
          <c:smooth val="0"/>
          <c:extLst>
            <c:ext xmlns:c16="http://schemas.microsoft.com/office/drawing/2014/chart" uri="{C3380CC4-5D6E-409C-BE32-E72D297353CC}">
              <c16:uniqueId val="{00000005-6616-42F6-AC02-49C096B95DA0}"/>
            </c:ext>
          </c:extLst>
        </c:ser>
        <c:ser>
          <c:idx val="5"/>
          <c:order val="5"/>
          <c:spPr>
            <a:ln w="3175">
              <a:solidFill>
                <a:srgbClr val="000000"/>
              </a:solidFill>
              <a:prstDash val="solid"/>
            </a:ln>
          </c:spPr>
          <c:marker>
            <c:symbol val="none"/>
          </c:marker>
          <c:xVal>
            <c:numLit>
              <c:formatCode>General</c:formatCode>
              <c:ptCount val="2"/>
              <c:pt idx="0">
                <c:v>-3.7513184851597101</c:v>
              </c:pt>
              <c:pt idx="1">
                <c:v>-4.0511437048590233</c:v>
              </c:pt>
            </c:numLit>
          </c:xVal>
          <c:yVal>
            <c:numLit>
              <c:formatCode>General</c:formatCode>
              <c:ptCount val="2"/>
              <c:pt idx="0">
                <c:v>2.0642878308754005E-2</c:v>
              </c:pt>
              <c:pt idx="1">
                <c:v>2.0635304812162952E-2</c:v>
              </c:pt>
            </c:numLit>
          </c:yVal>
          <c:smooth val="0"/>
          <c:extLst>
            <c:ext xmlns:c16="http://schemas.microsoft.com/office/drawing/2014/chart" uri="{C3380CC4-5D6E-409C-BE32-E72D297353CC}">
              <c16:uniqueId val="{00000006-6616-42F6-AC02-49C096B95DA0}"/>
            </c:ext>
          </c:extLst>
        </c:ser>
        <c:ser>
          <c:idx val="6"/>
          <c:order val="6"/>
          <c:spPr>
            <a:ln w="3175">
              <a:solidFill>
                <a:srgbClr val="000000"/>
              </a:solidFill>
              <a:prstDash val="solid"/>
            </a:ln>
          </c:spPr>
          <c:marker>
            <c:symbol val="none"/>
          </c:marker>
          <c:xVal>
            <c:numLit>
              <c:formatCode>General</c:formatCode>
              <c:ptCount val="2"/>
              <c:pt idx="0">
                <c:v>-3.7456091126033786</c:v>
              </c:pt>
              <c:pt idx="1">
                <c:v>-4.0452849779513329</c:v>
              </c:pt>
            </c:numLit>
          </c:xVal>
          <c:yVal>
            <c:numLit>
              <c:formatCode>General</c:formatCode>
              <c:ptCount val="2"/>
              <c:pt idx="0">
                <c:v>2.0539046809061261E-2</c:v>
              </c:pt>
              <c:pt idx="1">
                <c:v>2.0528734430821465E-2</c:v>
              </c:pt>
            </c:numLit>
          </c:yVal>
          <c:smooth val="0"/>
          <c:extLst>
            <c:ext xmlns:c16="http://schemas.microsoft.com/office/drawing/2014/chart" uri="{C3380CC4-5D6E-409C-BE32-E72D297353CC}">
              <c16:uniqueId val="{00000007-6616-42F6-AC02-49C096B95DA0}"/>
            </c:ext>
          </c:extLst>
        </c:ser>
        <c:ser>
          <c:idx val="7"/>
          <c:order val="7"/>
          <c:spPr>
            <a:ln w="3175">
              <a:solidFill>
                <a:srgbClr val="000000"/>
              </a:solidFill>
              <a:prstDash val="solid"/>
            </a:ln>
          </c:spPr>
          <c:marker>
            <c:symbol val="none"/>
          </c:marker>
          <c:xVal>
            <c:numLit>
              <c:formatCode>General</c:formatCode>
              <c:ptCount val="2"/>
              <c:pt idx="0">
                <c:v>-3.7377902586290985</c:v>
              </c:pt>
              <c:pt idx="1">
                <c:v>-4.3367333533434707</c:v>
              </c:pt>
            </c:numLit>
          </c:xVal>
          <c:yVal>
            <c:numLit>
              <c:formatCode>General</c:formatCode>
              <c:ptCount val="2"/>
              <c:pt idx="0">
                <c:v>2.0430795350641542E-2</c:v>
              </c:pt>
              <c:pt idx="1">
                <c:v>2.0404465069727713E-2</c:v>
              </c:pt>
            </c:numLit>
          </c:yVal>
          <c:smooth val="0"/>
          <c:extLst>
            <c:ext xmlns:c16="http://schemas.microsoft.com/office/drawing/2014/chart" uri="{C3380CC4-5D6E-409C-BE32-E72D297353CC}">
              <c16:uniqueId val="{00000008-6616-42F6-AC02-49C096B95DA0}"/>
            </c:ext>
          </c:extLst>
        </c:ser>
        <c:ser>
          <c:idx val="8"/>
          <c:order val="8"/>
          <c:spPr>
            <a:ln w="3175">
              <a:solidFill>
                <a:srgbClr val="000000"/>
              </a:solidFill>
              <a:prstDash val="solid"/>
            </a:ln>
          </c:spPr>
          <c:marker>
            <c:symbol val="none"/>
          </c:marker>
          <c:dLbls>
            <c:dLbl>
              <c:idx val="0"/>
              <c:tx>
                <c:rich>
                  <a:bodyPr rot="-1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16-42F6-AC02-49C096B95D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-5.0953971933505686</c:v>
              </c:pt>
            </c:numLit>
          </c:xVal>
          <c:yVal>
            <c:numLit>
              <c:formatCode>General</c:formatCode>
              <c:ptCount val="1"/>
              <c:pt idx="0">
                <c:v>2.037114545104227E-2</c:v>
              </c:pt>
            </c:numLit>
          </c:yVal>
          <c:smooth val="0"/>
          <c:extLst>
            <c:ext xmlns:c16="http://schemas.microsoft.com/office/drawing/2014/chart" uri="{C3380CC4-5D6E-409C-BE32-E72D297353CC}">
              <c16:uniqueId val="{0000000A-6616-42F6-AC02-49C096B95DA0}"/>
            </c:ext>
          </c:extLst>
        </c:ser>
        <c:ser>
          <c:idx val="9"/>
          <c:order val="9"/>
          <c:spPr>
            <a:ln w="3175">
              <a:solidFill>
                <a:srgbClr val="000000"/>
              </a:solidFill>
              <a:prstDash val="solid"/>
            </a:ln>
          </c:spPr>
          <c:marker>
            <c:symbol val="none"/>
          </c:marker>
          <c:xVal>
            <c:numLit>
              <c:formatCode>General</c:formatCode>
              <c:ptCount val="2"/>
              <c:pt idx="0">
                <c:v>-3.7276014439375182</c:v>
              </c:pt>
              <c:pt idx="1">
                <c:v>-4.0268062128221214</c:v>
              </c:pt>
            </c:numLit>
          </c:xVal>
          <c:yVal>
            <c:numLit>
              <c:formatCode>General</c:formatCode>
              <c:ptCount val="2"/>
              <c:pt idx="0">
                <c:v>2.0317894135552732E-2</c:v>
              </c:pt>
              <c:pt idx="1">
                <c:v>2.0301747870289474E-2</c:v>
              </c:pt>
            </c:numLit>
          </c:yVal>
          <c:smooth val="0"/>
          <c:extLst>
            <c:ext xmlns:c16="http://schemas.microsoft.com/office/drawing/2014/chart" uri="{C3380CC4-5D6E-409C-BE32-E72D297353CC}">
              <c16:uniqueId val="{0000000B-6616-42F6-AC02-49C096B95DA0}"/>
            </c:ext>
          </c:extLst>
        </c:ser>
        <c:ser>
          <c:idx val="10"/>
          <c:order val="10"/>
          <c:spPr>
            <a:ln w="3175">
              <a:solidFill>
                <a:srgbClr val="000000"/>
              </a:solidFill>
              <a:prstDash val="solid"/>
            </a:ln>
          </c:spPr>
          <c:marker>
            <c:symbol val="none"/>
          </c:marker>
          <c:xVal>
            <c:numLit>
              <c:formatCode>General</c:formatCode>
              <c:ptCount val="2"/>
              <c:pt idx="0">
                <c:v>-3.7147516008544463</c:v>
              </c:pt>
              <c:pt idx="1">
                <c:v>-4.0136201835408292</c:v>
              </c:pt>
            </c:numLit>
          </c:xVal>
          <c:yVal>
            <c:numLit>
              <c:formatCode>General</c:formatCode>
              <c:ptCount val="2"/>
              <c:pt idx="0">
                <c:v>2.0200103644625281E-2</c:v>
              </c:pt>
              <c:pt idx="1">
                <c:v>2.0180849913089945E-2</c:v>
              </c:pt>
            </c:numLit>
          </c:yVal>
          <c:smooth val="0"/>
          <c:extLst>
            <c:ext xmlns:c16="http://schemas.microsoft.com/office/drawing/2014/chart" uri="{C3380CC4-5D6E-409C-BE32-E72D297353CC}">
              <c16:uniqueId val="{0000000C-6616-42F6-AC02-49C096B95DA0}"/>
            </c:ext>
          </c:extLst>
        </c:ser>
        <c:ser>
          <c:idx val="11"/>
          <c:order val="11"/>
          <c:spPr>
            <a:ln w="3175">
              <a:solidFill>
                <a:srgbClr val="000000"/>
              </a:solidFill>
              <a:prstDash val="solid"/>
            </a:ln>
          </c:spPr>
          <c:marker>
            <c:symbol val="none"/>
          </c:marker>
          <c:xVal>
            <c:numLit>
              <c:formatCode>General</c:formatCode>
              <c:ptCount val="2"/>
              <c:pt idx="0">
                <c:v>-3.6989155989247418</c:v>
              </c:pt>
              <c:pt idx="1">
                <c:v>-3.9973698432209668</c:v>
              </c:pt>
            </c:numLit>
          </c:xVal>
          <c:yVal>
            <c:numLit>
              <c:formatCode>General</c:formatCode>
              <c:ptCount val="2"/>
              <c:pt idx="0">
                <c:v>2.0077175197246788E-2</c:v>
              </c:pt>
              <c:pt idx="1">
                <c:v>2.0054678249479638E-2</c:v>
              </c:pt>
            </c:numLit>
          </c:yVal>
          <c:smooth val="0"/>
          <c:extLst>
            <c:ext xmlns:c16="http://schemas.microsoft.com/office/drawing/2014/chart" uri="{C3380CC4-5D6E-409C-BE32-E72D297353CC}">
              <c16:uniqueId val="{0000000D-6616-42F6-AC02-49C096B95DA0}"/>
            </c:ext>
          </c:extLst>
        </c:ser>
        <c:ser>
          <c:idx val="12"/>
          <c:order val="12"/>
          <c:spPr>
            <a:ln w="3175">
              <a:solidFill>
                <a:srgbClr val="000000"/>
              </a:solidFill>
              <a:prstDash val="solid"/>
            </a:ln>
          </c:spPr>
          <c:marker>
            <c:symbol val="none"/>
          </c:marker>
          <c:xVal>
            <c:numLit>
              <c:formatCode>General</c:formatCode>
              <c:ptCount val="2"/>
              <c:pt idx="0">
                <c:v>-3.6797304479524238</c:v>
              </c:pt>
              <c:pt idx="1">
                <c:v>-3.9776826867646431</c:v>
              </c:pt>
            </c:numLit>
          </c:xVal>
          <c:yVal>
            <c:numLit>
              <c:formatCode>General</c:formatCode>
              <c:ptCount val="2"/>
              <c:pt idx="0">
                <c:v>1.9948851824198272E-2</c:v>
              </c:pt>
              <c:pt idx="1">
                <c:v>1.9922969066463295E-2</c:v>
              </c:pt>
            </c:numLit>
          </c:yVal>
          <c:smooth val="0"/>
          <c:extLst>
            <c:ext xmlns:c16="http://schemas.microsoft.com/office/drawing/2014/chart" uri="{C3380CC4-5D6E-409C-BE32-E72D297353CC}">
              <c16:uniqueId val="{0000000E-6616-42F6-AC02-49C096B95DA0}"/>
            </c:ext>
          </c:extLst>
        </c:ser>
        <c:ser>
          <c:idx val="13"/>
          <c:order val="13"/>
          <c:spPr>
            <a:ln w="3175">
              <a:solidFill>
                <a:srgbClr val="000000"/>
              </a:solidFill>
              <a:prstDash val="solid"/>
            </a:ln>
          </c:spPr>
          <c:marker>
            <c:symbol val="none"/>
          </c:marker>
          <c:xVal>
            <c:numLit>
              <c:formatCode>General</c:formatCode>
              <c:ptCount val="2"/>
              <c:pt idx="0">
                <c:v>-3.6567911778075404</c:v>
              </c:pt>
              <c:pt idx="1">
                <c:v>-4.2514973042485202</c:v>
              </c:pt>
            </c:numLit>
          </c:xVal>
          <c:yVal>
            <c:numLit>
              <c:formatCode>General</c:formatCode>
              <c:ptCount val="2"/>
              <c:pt idx="0">
                <c:v>1.9814869530917118E-2</c:v>
              </c:pt>
              <c:pt idx="1">
                <c:v>1.9756045431995016E-2</c:v>
              </c:pt>
            </c:numLit>
          </c:yVal>
          <c:smooth val="0"/>
          <c:extLst>
            <c:ext xmlns:c16="http://schemas.microsoft.com/office/drawing/2014/chart" uri="{C3380CC4-5D6E-409C-BE32-E72D297353CC}">
              <c16:uniqueId val="{0000000F-6616-42F6-AC02-49C096B95DA0}"/>
            </c:ext>
          </c:extLst>
        </c:ser>
        <c:ser>
          <c:idx val="14"/>
          <c:order val="14"/>
          <c:spPr>
            <a:ln w="3175">
              <a:solidFill>
                <a:srgbClr val="000000"/>
              </a:solidFill>
              <a:prstDash val="solid"/>
            </a:ln>
          </c:spPr>
          <c:marker>
            <c:symbol val="none"/>
          </c:marker>
          <c:dLbls>
            <c:dLbl>
              <c:idx val="0"/>
              <c:tx>
                <c:rich>
                  <a:bodyPr rot="-4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616-42F6-AC02-49C096B95D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-5.0048045482834356</c:v>
              </c:pt>
            </c:numLit>
          </c:xVal>
          <c:yVal>
            <c:numLit>
              <c:formatCode>General</c:formatCode>
              <c:ptCount val="1"/>
              <c:pt idx="0">
                <c:v>1.9681605533496679E-2</c:v>
              </c:pt>
            </c:numLit>
          </c:yVal>
          <c:smooth val="0"/>
          <c:extLst>
            <c:ext xmlns:c16="http://schemas.microsoft.com/office/drawing/2014/chart" uri="{C3380CC4-5D6E-409C-BE32-E72D297353CC}">
              <c16:uniqueId val="{00000011-6616-42F6-AC02-49C096B95DA0}"/>
            </c:ext>
          </c:extLst>
        </c:ser>
        <c:ser>
          <c:idx val="15"/>
          <c:order val="15"/>
          <c:spPr>
            <a:ln w="3175">
              <a:solidFill>
                <a:srgbClr val="000000"/>
              </a:solidFill>
              <a:prstDash val="solid"/>
            </a:ln>
          </c:spPr>
          <c:marker>
            <c:symbol val="none"/>
          </c:marker>
          <c:xVal>
            <c:numLit>
              <c:formatCode>General</c:formatCode>
              <c:ptCount val="2"/>
              <c:pt idx="0">
                <c:v>-3.6296464070240311</c:v>
              </c:pt>
              <c:pt idx="1">
                <c:v>-3.9262879289068784</c:v>
              </c:pt>
            </c:numLit>
          </c:xVal>
          <c:yVal>
            <c:numLit>
              <c:formatCode>General</c:formatCode>
              <c:ptCount val="2"/>
              <c:pt idx="0">
                <c:v>1.9674959043059544E-2</c:v>
              </c:pt>
              <c:pt idx="1">
                <c:v>1.9641848560224669E-2</c:v>
              </c:pt>
            </c:numLit>
          </c:yVal>
          <c:smooth val="0"/>
          <c:extLst>
            <c:ext xmlns:c16="http://schemas.microsoft.com/office/drawing/2014/chart" uri="{C3380CC4-5D6E-409C-BE32-E72D297353CC}">
              <c16:uniqueId val="{00000012-6616-42F6-AC02-49C096B95DA0}"/>
            </c:ext>
          </c:extLst>
        </c:ser>
        <c:ser>
          <c:idx val="16"/>
          <c:order val="16"/>
          <c:spPr>
            <a:ln w="3175">
              <a:solidFill>
                <a:srgbClr val="000000"/>
              </a:solidFill>
              <a:prstDash val="solid"/>
            </a:ln>
          </c:spPr>
          <c:marker>
            <c:symbol val="none"/>
          </c:marker>
          <c:xVal>
            <c:numLit>
              <c:formatCode>General</c:formatCode>
              <c:ptCount val="2"/>
              <c:pt idx="0">
                <c:v>-3.5977936301001021</c:v>
              </c:pt>
              <c:pt idx="1">
                <c:v>-3.8936014035493267</c:v>
              </c:pt>
            </c:numLit>
          </c:xVal>
          <c:yVal>
            <c:numLit>
              <c:formatCode>General</c:formatCode>
              <c:ptCount val="2"/>
              <c:pt idx="0">
                <c:v>1.9528848142313003E-2</c:v>
              </c:pt>
              <c:pt idx="1">
                <c:v>1.9491881254637813E-2</c:v>
              </c:pt>
            </c:numLit>
          </c:yVal>
          <c:smooth val="0"/>
          <c:extLst>
            <c:ext xmlns:c16="http://schemas.microsoft.com/office/drawing/2014/chart" uri="{C3380CC4-5D6E-409C-BE32-E72D297353CC}">
              <c16:uniqueId val="{00000013-6616-42F6-AC02-49C096B95DA0}"/>
            </c:ext>
          </c:extLst>
        </c:ser>
        <c:ser>
          <c:idx val="17"/>
          <c:order val="17"/>
          <c:spPr>
            <a:ln w="3175">
              <a:solidFill>
                <a:srgbClr val="000000"/>
              </a:solidFill>
              <a:prstDash val="solid"/>
            </a:ln>
          </c:spPr>
          <c:marker>
            <c:symbol val="none"/>
          </c:marker>
          <c:xVal>
            <c:numLit>
              <c:formatCode>General</c:formatCode>
              <c:ptCount val="2"/>
              <c:pt idx="0">
                <c:v>-3.5606742779232401</c:v>
              </c:pt>
              <c:pt idx="1">
                <c:v>-3.8555103033006843</c:v>
              </c:pt>
            </c:numLit>
          </c:xVal>
          <c:yVal>
            <c:numLit>
              <c:formatCode>General</c:formatCode>
              <c:ptCount val="2"/>
              <c:pt idx="0">
                <c:v>1.9376264717732728E-2</c:v>
              </c:pt>
              <c:pt idx="1">
                <c:v>1.9335269988825475E-2</c:v>
              </c:pt>
            </c:numLit>
          </c:yVal>
          <c:smooth val="0"/>
          <c:extLst>
            <c:ext xmlns:c16="http://schemas.microsoft.com/office/drawing/2014/chart" uri="{C3380CC4-5D6E-409C-BE32-E72D297353CC}">
              <c16:uniqueId val="{00000014-6616-42F6-AC02-49C096B95DA0}"/>
            </c:ext>
          </c:extLst>
        </c:ser>
        <c:ser>
          <c:idx val="18"/>
          <c:order val="18"/>
          <c:spPr>
            <a:ln w="3175">
              <a:solidFill>
                <a:srgbClr val="000000"/>
              </a:solidFill>
              <a:prstDash val="solid"/>
            </a:ln>
          </c:spPr>
          <c:marker>
            <c:symbol val="none"/>
          </c:marker>
          <c:xVal>
            <c:numLit>
              <c:formatCode>General</c:formatCode>
              <c:ptCount val="2"/>
              <c:pt idx="0">
                <c:v>-3.517668638557927</c:v>
              </c:pt>
              <c:pt idx="1">
                <c:v>-3.8113786218780392</c:v>
              </c:pt>
            </c:numLit>
          </c:xVal>
          <c:yVal>
            <c:numLit>
              <c:formatCode>General</c:formatCode>
              <c:ptCount val="2"/>
              <c:pt idx="0">
                <c:v>1.921694067579767E-2</c:v>
              </c:pt>
              <c:pt idx="1">
                <c:v>1.917173944071374E-2</c:v>
              </c:pt>
            </c:numLit>
          </c:yVal>
          <c:smooth val="0"/>
          <c:extLst>
            <c:ext xmlns:c16="http://schemas.microsoft.com/office/drawing/2014/chart" uri="{C3380CC4-5D6E-409C-BE32-E72D297353CC}">
              <c16:uniqueId val="{00000015-6616-42F6-AC02-49C096B95DA0}"/>
            </c:ext>
          </c:extLst>
        </c:ser>
        <c:ser>
          <c:idx val="19"/>
          <c:order val="19"/>
          <c:spPr>
            <a:ln w="3175">
              <a:solidFill>
                <a:srgbClr val="000000"/>
              </a:solidFill>
              <a:prstDash val="solid"/>
            </a:ln>
          </c:spPr>
          <c:marker>
            <c:symbol val="none"/>
          </c:marker>
          <c:xVal>
            <c:numLit>
              <c:formatCode>General</c:formatCode>
              <c:ptCount val="2"/>
              <c:pt idx="0">
                <c:v>-3.4680907686435161</c:v>
              </c:pt>
              <c:pt idx="1">
                <c:v>-4.0529202023993429</c:v>
              </c:pt>
            </c:numLit>
          </c:xVal>
          <c:yVal>
            <c:numLit>
              <c:formatCode>General</c:formatCode>
              <c:ptCount val="2"/>
              <c:pt idx="0">
                <c:v>1.905061686979987E-2</c:v>
              </c:pt>
              <c:pt idx="1">
                <c:v>1.8951450076302702E-2</c:v>
              </c:pt>
            </c:numLit>
          </c:yVal>
          <c:smooth val="0"/>
          <c:extLst>
            <c:ext xmlns:c16="http://schemas.microsoft.com/office/drawing/2014/chart" uri="{C3380CC4-5D6E-409C-BE32-E72D297353CC}">
              <c16:uniqueId val="{00000016-6616-42F6-AC02-49C096B95DA0}"/>
            </c:ext>
          </c:extLst>
        </c:ser>
        <c:ser>
          <c:idx val="20"/>
          <c:order val="20"/>
          <c:spPr>
            <a:ln w="3175">
              <a:solidFill>
                <a:srgbClr val="000000"/>
              </a:solidFill>
              <a:prstDash val="solid"/>
            </a:ln>
          </c:spPr>
          <c:marker>
            <c:symbol val="none"/>
          </c:marker>
          <c:dLbls>
            <c:dLbl>
              <c:idx val="0"/>
              <c:tx>
                <c:rich>
                  <a:bodyPr rot="-7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616-42F6-AC02-49C096B95D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-4.7937399600325126</c:v>
              </c:pt>
            </c:numLit>
          </c:xVal>
          <c:yVal>
            <c:numLit>
              <c:formatCode>General</c:formatCode>
              <c:ptCount val="1"/>
              <c:pt idx="0">
                <c:v>1.8825953904367372E-2</c:v>
              </c:pt>
            </c:numLit>
          </c:yVal>
          <c:smooth val="0"/>
          <c:extLst>
            <c:ext xmlns:c16="http://schemas.microsoft.com/office/drawing/2014/chart" uri="{C3380CC4-5D6E-409C-BE32-E72D297353CC}">
              <c16:uniqueId val="{00000018-6616-42F6-AC02-49C096B95DA0}"/>
            </c:ext>
          </c:extLst>
        </c:ser>
        <c:ser>
          <c:idx val="21"/>
          <c:order val="21"/>
          <c:spPr>
            <a:ln w="3175">
              <a:solidFill>
                <a:srgbClr val="000000"/>
              </a:solidFill>
              <a:prstDash val="solid"/>
            </a:ln>
          </c:spPr>
          <c:marker>
            <c:symbol val="none"/>
          </c:marker>
          <c:xVal>
            <c:numLit>
              <c:formatCode>General</c:formatCode>
              <c:ptCount val="2"/>
              <c:pt idx="0">
                <c:v>-3.4406035633560976</c:v>
              </c:pt>
              <c:pt idx="1">
                <c:v>-3.7322951803470819</c:v>
              </c:pt>
            </c:numLit>
          </c:xVal>
          <c:yVal>
            <c:numLit>
              <c:formatCode>General</c:formatCode>
              <c:ptCount val="2"/>
              <c:pt idx="0">
                <c:v>1.8964752998040003E-2</c:v>
              </c:pt>
              <c:pt idx="1">
                <c:v>1.891289174648661E-2</c:v>
              </c:pt>
            </c:numLit>
          </c:yVal>
          <c:smooth val="0"/>
          <c:extLst>
            <c:ext xmlns:c16="http://schemas.microsoft.com/office/drawing/2014/chart" uri="{C3380CC4-5D6E-409C-BE32-E72D297353CC}">
              <c16:uniqueId val="{00000019-6616-42F6-AC02-49C096B95DA0}"/>
            </c:ext>
          </c:extLst>
        </c:ser>
        <c:ser>
          <c:idx val="22"/>
          <c:order val="22"/>
          <c:spPr>
            <a:ln w="3175">
              <a:solidFill>
                <a:srgbClr val="000000"/>
              </a:solidFill>
              <a:prstDash val="solid"/>
            </a:ln>
          </c:spPr>
          <c:marker>
            <c:symbol val="none"/>
          </c:marker>
          <c:xVal>
            <c:numLit>
              <c:formatCode>General</c:formatCode>
              <c:ptCount val="2"/>
              <c:pt idx="0">
                <c:v>-3.4111835808515791</c:v>
              </c:pt>
              <c:pt idx="1">
                <c:v>-3.7021044990194212</c:v>
              </c:pt>
            </c:numLit>
          </c:xVal>
          <c:yVal>
            <c:numLit>
              <c:formatCode>General</c:formatCode>
              <c:ptCount val="2"/>
              <c:pt idx="0">
                <c:v>1.8877049224379265E-2</c:v>
              </c:pt>
              <c:pt idx="1">
                <c:v>1.8822871269990157E-2</c:v>
              </c:pt>
            </c:numLit>
          </c:yVal>
          <c:smooth val="0"/>
          <c:extLst>
            <c:ext xmlns:c16="http://schemas.microsoft.com/office/drawing/2014/chart" uri="{C3380CC4-5D6E-409C-BE32-E72D297353CC}">
              <c16:uniqueId val="{0000001A-6616-42F6-AC02-49C096B95DA0}"/>
            </c:ext>
          </c:extLst>
        </c:ser>
        <c:ser>
          <c:idx val="23"/>
          <c:order val="23"/>
          <c:spPr>
            <a:ln w="3175">
              <a:solidFill>
                <a:srgbClr val="000000"/>
              </a:solidFill>
              <a:prstDash val="solid"/>
            </a:ln>
          </c:spPr>
          <c:marker>
            <c:symbol val="none"/>
          </c:marker>
          <c:xVal>
            <c:numLit>
              <c:formatCode>General</c:formatCode>
              <c:ptCount val="2"/>
              <c:pt idx="0">
                <c:v>-3.3797243325935047</c:v>
              </c:pt>
              <c:pt idx="1">
                <c:v>-3.6698210225191046</c:v>
              </c:pt>
            </c:numLit>
          </c:xVal>
          <c:yVal>
            <c:numLit>
              <c:formatCode>General</c:formatCode>
              <c:ptCount val="2"/>
              <c:pt idx="0">
                <c:v>1.8787478625185268E-2</c:v>
              </c:pt>
              <c:pt idx="1">
                <c:v>1.8730934348336725E-2</c:v>
              </c:pt>
            </c:numLit>
          </c:yVal>
          <c:smooth val="0"/>
          <c:extLst>
            <c:ext xmlns:c16="http://schemas.microsoft.com/office/drawing/2014/chart" uri="{C3380CC4-5D6E-409C-BE32-E72D297353CC}">
              <c16:uniqueId val="{0000001B-6616-42F6-AC02-49C096B95DA0}"/>
            </c:ext>
          </c:extLst>
        </c:ser>
        <c:ser>
          <c:idx val="24"/>
          <c:order val="24"/>
          <c:spPr>
            <a:ln w="3175">
              <a:solidFill>
                <a:srgbClr val="000000"/>
              </a:solidFill>
              <a:prstDash val="solid"/>
            </a:ln>
          </c:spPr>
          <c:marker>
            <c:symbol val="none"/>
          </c:marker>
          <c:xVal>
            <c:numLit>
              <c:formatCode>General</c:formatCode>
              <c:ptCount val="2"/>
              <c:pt idx="0">
                <c:v>-3.3461143621710736</c:v>
              </c:pt>
              <c:pt idx="1">
                <c:v>-3.6353303523381379</c:v>
              </c:pt>
            </c:numLit>
          </c:xVal>
          <c:yVal>
            <c:numLit>
              <c:formatCode>General</c:formatCode>
              <c:ptCount val="2"/>
              <c:pt idx="0">
                <c:v>1.8696016241449256E-2</c:v>
              </c:pt>
              <c:pt idx="1">
                <c:v>1.8637055329613312E-2</c:v>
              </c:pt>
            </c:numLit>
          </c:yVal>
          <c:smooth val="0"/>
          <c:extLst>
            <c:ext xmlns:c16="http://schemas.microsoft.com/office/drawing/2014/chart" uri="{C3380CC4-5D6E-409C-BE32-E72D297353CC}">
              <c16:uniqueId val="{0000001C-6616-42F6-AC02-49C096B95DA0}"/>
            </c:ext>
          </c:extLst>
        </c:ser>
        <c:ser>
          <c:idx val="25"/>
          <c:order val="25"/>
          <c:spPr>
            <a:ln w="3175">
              <a:solidFill>
                <a:srgbClr val="000000"/>
              </a:solidFill>
              <a:prstDash val="solid"/>
            </a:ln>
          </c:spPr>
          <c:marker>
            <c:symbol val="none"/>
          </c:marker>
          <c:xVal>
            <c:numLit>
              <c:formatCode>General</c:formatCode>
              <c:ptCount val="2"/>
              <c:pt idx="0">
                <c:v>-3.3102371536754234</c:v>
              </c:pt>
              <c:pt idx="1">
                <c:v>-3.8867980751786924</c:v>
              </c:pt>
            </c:numLit>
          </c:xVal>
          <c:yVal>
            <c:numLit>
              <c:formatCode>General</c:formatCode>
              <c:ptCount val="2"/>
              <c:pt idx="0">
                <c:v>1.8602639402078635E-2</c:v>
              </c:pt>
              <c:pt idx="1">
                <c:v>1.8479806553120048E-2</c:v>
              </c:pt>
            </c:numLit>
          </c:yVal>
          <c:smooth val="0"/>
          <c:extLst>
            <c:ext xmlns:c16="http://schemas.microsoft.com/office/drawing/2014/chart" uri="{C3380CC4-5D6E-409C-BE32-E72D297353CC}">
              <c16:uniqueId val="{0000001D-6616-42F6-AC02-49C096B95DA0}"/>
            </c:ext>
          </c:extLst>
        </c:ser>
        <c:ser>
          <c:idx val="26"/>
          <c:order val="26"/>
          <c:spPr>
            <a:ln w="3175">
              <a:solidFill>
                <a:srgbClr val="000000"/>
              </a:solidFill>
              <a:prstDash val="solid"/>
            </a:ln>
          </c:spPr>
          <c:marker>
            <c:symbol val="none"/>
          </c:marker>
          <c:xVal>
            <c:numLit>
              <c:formatCode>General</c:formatCode>
              <c:ptCount val="2"/>
              <c:pt idx="0">
                <c:v>-3.2719710627580656</c:v>
              </c:pt>
              <c:pt idx="1">
                <c:v>-3.5592437900382992</c:v>
              </c:pt>
            </c:numLit>
          </c:xVal>
          <c:yVal>
            <c:numLit>
              <c:formatCode>General</c:formatCode>
              <c:ptCount val="2"/>
              <c:pt idx="0">
                <c:v>1.85073280758347E-2</c:v>
              </c:pt>
              <c:pt idx="1">
                <c:v>1.8443380483584921E-2</c:v>
              </c:pt>
            </c:numLit>
          </c:yVal>
          <c:smooth val="0"/>
          <c:extLst>
            <c:ext xmlns:c16="http://schemas.microsoft.com/office/drawing/2014/chart" uri="{C3380CC4-5D6E-409C-BE32-E72D297353CC}">
              <c16:uniqueId val="{0000001E-6616-42F6-AC02-49C096B95DA0}"/>
            </c:ext>
          </c:extLst>
        </c:ser>
        <c:ser>
          <c:idx val="27"/>
          <c:order val="27"/>
          <c:spPr>
            <a:ln w="3175">
              <a:solidFill>
                <a:srgbClr val="000000"/>
              </a:solidFill>
              <a:prstDash val="solid"/>
            </a:ln>
          </c:spPr>
          <c:marker>
            <c:symbol val="none"/>
          </c:marker>
          <c:xVal>
            <c:numLit>
              <c:formatCode>General</c:formatCode>
              <c:ptCount val="2"/>
              <c:pt idx="0">
                <c:v>-3.2311892749519693</c:v>
              </c:pt>
              <c:pt idx="1">
                <c:v>-3.5173928687057834</c:v>
              </c:pt>
            </c:numLit>
          </c:xVal>
          <c:yVal>
            <c:numLit>
              <c:formatCode>General</c:formatCode>
              <c:ptCount val="2"/>
              <c:pt idx="0">
                <c:v>1.8410065253019303E-2</c:v>
              </c:pt>
              <c:pt idx="1">
                <c:v>1.8343546556689797E-2</c:v>
              </c:pt>
            </c:numLit>
          </c:yVal>
          <c:smooth val="0"/>
          <c:extLst>
            <c:ext xmlns:c16="http://schemas.microsoft.com/office/drawing/2014/chart" uri="{C3380CC4-5D6E-409C-BE32-E72D297353CC}">
              <c16:uniqueId val="{0000001F-6616-42F6-AC02-49C096B95DA0}"/>
            </c:ext>
          </c:extLst>
        </c:ser>
        <c:ser>
          <c:idx val="28"/>
          <c:order val="28"/>
          <c:spPr>
            <a:ln w="3175">
              <a:solidFill>
                <a:srgbClr val="000000"/>
              </a:solidFill>
              <a:prstDash val="solid"/>
            </a:ln>
          </c:spPr>
          <c:marker>
            <c:symbol val="none"/>
          </c:marker>
          <c:xVal>
            <c:numLit>
              <c:formatCode>General</c:formatCode>
              <c:ptCount val="2"/>
              <c:pt idx="0">
                <c:v>-3.1877597963437578</c:v>
              </c:pt>
              <c:pt idx="1">
                <c:v>-3.4728246421453663</c:v>
              </c:pt>
            </c:numLit>
          </c:xVal>
          <c:yVal>
            <c:numLit>
              <c:formatCode>General</c:formatCode>
              <c:ptCount val="2"/>
              <c:pt idx="0">
                <c:v>1.8310837357796605E-2</c:v>
              </c:pt>
              <c:pt idx="1">
                <c:v>1.8241695148370509E-2</c:v>
              </c:pt>
            </c:numLit>
          </c:yVal>
          <c:smooth val="0"/>
          <c:extLst>
            <c:ext xmlns:c16="http://schemas.microsoft.com/office/drawing/2014/chart" uri="{C3380CC4-5D6E-409C-BE32-E72D297353CC}">
              <c16:uniqueId val="{00000020-6616-42F6-AC02-49C096B95DA0}"/>
            </c:ext>
          </c:extLst>
        </c:ser>
        <c:ser>
          <c:idx val="29"/>
          <c:order val="29"/>
          <c:spPr>
            <a:ln w="3175">
              <a:solidFill>
                <a:srgbClr val="000000"/>
              </a:solidFill>
              <a:prstDash val="solid"/>
            </a:ln>
          </c:spPr>
          <c:marker>
            <c:symbol val="none"/>
          </c:marker>
          <c:xVal>
            <c:numLit>
              <c:formatCode>General</c:formatCode>
              <c:ptCount val="2"/>
              <c:pt idx="0">
                <c:v>-3.1415454822086812</c:v>
              </c:pt>
              <c:pt idx="1">
                <c:v>-3.4253983312720453</c:v>
              </c:pt>
            </c:numLit>
          </c:xVal>
          <c:yVal>
            <c:numLit>
              <c:formatCode>General</c:formatCode>
              <c:ptCount val="2"/>
              <c:pt idx="0">
                <c:v>1.820963469175254E-2</c:v>
              </c:pt>
              <c:pt idx="1">
                <c:v>1.8137816256964326E-2</c:v>
              </c:pt>
            </c:numLit>
          </c:yVal>
          <c:smooth val="0"/>
          <c:extLst>
            <c:ext xmlns:c16="http://schemas.microsoft.com/office/drawing/2014/chart" uri="{C3380CC4-5D6E-409C-BE32-E72D297353CC}">
              <c16:uniqueId val="{00000021-6616-42F6-AC02-49C096B95DA0}"/>
            </c:ext>
          </c:extLst>
        </c:ser>
        <c:ser>
          <c:idx val="30"/>
          <c:order val="30"/>
          <c:spPr>
            <a:ln w="3175">
              <a:solidFill>
                <a:srgbClr val="000000"/>
              </a:solidFill>
              <a:prstDash val="solid"/>
            </a:ln>
          </c:spPr>
          <c:marker>
            <c:symbol val="none"/>
          </c:marker>
          <c:xVal>
            <c:numLit>
              <c:formatCode>General</c:formatCode>
              <c:ptCount val="2"/>
              <c:pt idx="0">
                <c:v>-3.0924041097491268</c:v>
              </c:pt>
              <c:pt idx="1">
                <c:v>-3.6575453920736818</c:v>
              </c:pt>
            </c:numLit>
          </c:xVal>
          <c:yVal>
            <c:numLit>
              <c:formatCode>General</c:formatCode>
              <c:ptCount val="2"/>
              <c:pt idx="0">
                <c:v>1.8106451908935582E-2</c:v>
              </c:pt>
              <c:pt idx="1">
                <c:v>1.7957384915551974E-2</c:v>
              </c:pt>
            </c:numLit>
          </c:yVal>
          <c:smooth val="0"/>
          <c:extLst>
            <c:ext xmlns:c16="http://schemas.microsoft.com/office/drawing/2014/chart" uri="{C3380CC4-5D6E-409C-BE32-E72D297353CC}">
              <c16:uniqueId val="{00000022-6616-42F6-AC02-49C096B95DA0}"/>
            </c:ext>
          </c:extLst>
        </c:ser>
        <c:ser>
          <c:idx val="31"/>
          <c:order val="31"/>
          <c:spPr>
            <a:ln w="3175">
              <a:solidFill>
                <a:srgbClr val="000000"/>
              </a:solidFill>
              <a:prstDash val="solid"/>
            </a:ln>
          </c:spPr>
          <c:marker>
            <c:symbol val="none"/>
          </c:marker>
          <c:dLbls>
            <c:dLbl>
              <c:idx val="0"/>
              <c:tx>
                <c:rich>
                  <a:bodyPr rot="-12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616-42F6-AC02-49C096B95D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-4.3734691487420454</c:v>
              </c:pt>
            </c:numLit>
          </c:xVal>
          <c:yVal>
            <c:numLit>
              <c:formatCode>General</c:formatCode>
              <c:ptCount val="1"/>
              <c:pt idx="0">
                <c:v>1.7768728173225303E-2</c:v>
              </c:pt>
            </c:numLit>
          </c:yVal>
          <c:smooth val="0"/>
          <c:extLst>
            <c:ext xmlns:c16="http://schemas.microsoft.com/office/drawing/2014/chart" uri="{C3380CC4-5D6E-409C-BE32-E72D297353CC}">
              <c16:uniqueId val="{00000024-6616-42F6-AC02-49C096B95DA0}"/>
            </c:ext>
          </c:extLst>
        </c:ser>
        <c:ser>
          <c:idx val="32"/>
          <c:order val="32"/>
          <c:spPr>
            <a:ln w="3175">
              <a:solidFill>
                <a:srgbClr val="000000"/>
              </a:solidFill>
              <a:prstDash val="solid"/>
            </a:ln>
          </c:spPr>
          <c:marker>
            <c:symbol val="none"/>
          </c:marker>
          <c:xVal>
            <c:numLit>
              <c:formatCode>General</c:formatCode>
              <c:ptCount val="2"/>
              <c:pt idx="0">
                <c:v>-3.0401885016002286</c:v>
              </c:pt>
              <c:pt idx="1">
                <c:v>-3.3213823853739761</c:v>
              </c:pt>
            </c:numLit>
          </c:xVal>
          <c:yVal>
            <c:numLit>
              <c:formatCode>General</c:formatCode>
              <c:ptCount val="2"/>
              <c:pt idx="0">
                <c:v>1.8001288522178398E-2</c:v>
              </c:pt>
              <c:pt idx="1">
                <c:v>1.79239588608462E-2</c:v>
              </c:pt>
            </c:numLit>
          </c:yVal>
          <c:smooth val="0"/>
          <c:extLst>
            <c:ext xmlns:c16="http://schemas.microsoft.com/office/drawing/2014/chart" uri="{C3380CC4-5D6E-409C-BE32-E72D297353CC}">
              <c16:uniqueId val="{00000025-6616-42F6-AC02-49C096B95DA0}"/>
            </c:ext>
          </c:extLst>
        </c:ser>
        <c:ser>
          <c:idx val="33"/>
          <c:order val="33"/>
          <c:spPr>
            <a:ln w="3175">
              <a:solidFill>
                <a:srgbClr val="000000"/>
              </a:solidFill>
              <a:prstDash val="solid"/>
            </a:ln>
          </c:spPr>
          <c:marker>
            <c:symbol val="none"/>
          </c:marker>
          <c:xVal>
            <c:numLit>
              <c:formatCode>General</c:formatCode>
              <c:ptCount val="2"/>
              <c:pt idx="0">
                <c:v>-2.9847467072668263</c:v>
              </c:pt>
              <c:pt idx="1">
                <c:v>-3.2644856755106595</c:v>
              </c:pt>
            </c:numLit>
          </c:xVal>
          <c:yVal>
            <c:numLit>
              <c:formatCode>General</c:formatCode>
              <c:ptCount val="2"/>
              <c:pt idx="0">
                <c:v>1.7894149439960622E-2</c:v>
              </c:pt>
              <c:pt idx="1">
                <c:v>1.7813984785902574E-2</c:v>
              </c:pt>
            </c:numLit>
          </c:yVal>
          <c:smooth val="0"/>
          <c:extLst>
            <c:ext xmlns:c16="http://schemas.microsoft.com/office/drawing/2014/chart" uri="{C3380CC4-5D6E-409C-BE32-E72D297353CC}">
              <c16:uniqueId val="{00000026-6616-42F6-AC02-49C096B95DA0}"/>
            </c:ext>
          </c:extLst>
        </c:ser>
        <c:ser>
          <c:idx val="34"/>
          <c:order val="34"/>
          <c:spPr>
            <a:ln w="3175">
              <a:solidFill>
                <a:srgbClr val="000000"/>
              </a:solidFill>
              <a:prstDash val="solid"/>
            </a:ln>
          </c:spPr>
          <c:marker>
            <c:symbol val="none"/>
          </c:marker>
          <c:xVal>
            <c:numLit>
              <c:formatCode>General</c:formatCode>
              <c:ptCount val="2"/>
              <c:pt idx="0">
                <c:v>-2.9259222501155961</c:v>
              </c:pt>
              <c:pt idx="1">
                <c:v>-3.2041171702836717</c:v>
              </c:pt>
            </c:numLit>
          </c:xVal>
          <c:yVal>
            <c:numLit>
              <c:formatCode>General</c:formatCode>
              <c:ptCount val="2"/>
              <c:pt idx="0">
                <c:v>1.7785045532430037E-2</c:v>
              </c:pt>
              <c:pt idx="1">
                <c:v>1.7701993219551154E-2</c:v>
              </c:pt>
            </c:numLit>
          </c:yVal>
          <c:smooth val="0"/>
          <c:extLst>
            <c:ext xmlns:c16="http://schemas.microsoft.com/office/drawing/2014/chart" uri="{C3380CC4-5D6E-409C-BE32-E72D297353CC}">
              <c16:uniqueId val="{00000027-6616-42F6-AC02-49C096B95DA0}"/>
            </c:ext>
          </c:extLst>
        </c:ser>
        <c:ser>
          <c:idx val="35"/>
          <c:order val="35"/>
          <c:spPr>
            <a:ln w="3175">
              <a:solidFill>
                <a:srgbClr val="000000"/>
              </a:solidFill>
              <a:prstDash val="solid"/>
            </a:ln>
          </c:spPr>
          <c:marker>
            <c:symbol val="none"/>
          </c:marker>
          <c:xVal>
            <c:numLit>
              <c:formatCode>General</c:formatCode>
              <c:ptCount val="2"/>
              <c:pt idx="0">
                <c:v>-2.8635544479409476</c:v>
              </c:pt>
              <c:pt idx="1">
                <c:v>-3.1401119058801523</c:v>
              </c:pt>
            </c:numLit>
          </c:xVal>
          <c:yVal>
            <c:numLit>
              <c:formatCode>General</c:formatCode>
              <c:ptCount val="2"/>
              <c:pt idx="0">
                <c:v>1.7673994224443108E-2</c:v>
              </c:pt>
              <c:pt idx="1">
                <c:v>1.7588001986049255E-2</c:v>
              </c:pt>
            </c:numLit>
          </c:yVal>
          <c:smooth val="0"/>
          <c:extLst>
            <c:ext xmlns:c16="http://schemas.microsoft.com/office/drawing/2014/chart" uri="{C3380CC4-5D6E-409C-BE32-E72D297353CC}">
              <c16:uniqueId val="{00000028-6616-42F6-AC02-49C096B95DA0}"/>
            </c:ext>
          </c:extLst>
        </c:ser>
        <c:ser>
          <c:idx val="36"/>
          <c:order val="36"/>
          <c:spPr>
            <a:ln w="3175">
              <a:solidFill>
                <a:srgbClr val="000000"/>
              </a:solidFill>
              <a:prstDash val="solid"/>
            </a:ln>
          </c:spPr>
          <c:marker>
            <c:symbol val="none"/>
          </c:marker>
          <c:xVal>
            <c:numLit>
              <c:formatCode>General</c:formatCode>
              <c:ptCount val="2"/>
              <c:pt idx="0">
                <c:v>-2.7974788154258228</c:v>
              </c:pt>
              <c:pt idx="1">
                <c:v>-3.347142064510721</c:v>
              </c:pt>
            </c:numLit>
          </c:xVal>
          <c:yVal>
            <c:numLit>
              <c:formatCode>General</c:formatCode>
              <c:ptCount val="2"/>
              <c:pt idx="0">
                <c:v>1.7561020112610893E-2</c:v>
              </c:pt>
              <c:pt idx="1">
                <c:v>1.7383084173262529E-2</c:v>
              </c:pt>
            </c:numLit>
          </c:yVal>
          <c:smooth val="0"/>
          <c:extLst>
            <c:ext xmlns:c16="http://schemas.microsoft.com/office/drawing/2014/chart" uri="{C3380CC4-5D6E-409C-BE32-E72D297353CC}">
              <c16:uniqueId val="{00000029-6616-42F6-AC02-49C096B95DA0}"/>
            </c:ext>
          </c:extLst>
        </c:ser>
        <c:ser>
          <c:idx val="37"/>
          <c:order val="37"/>
          <c:spPr>
            <a:ln w="3175">
              <a:solidFill>
                <a:srgbClr val="000000"/>
              </a:solidFill>
              <a:prstDash val="solid"/>
            </a:ln>
          </c:spPr>
          <c:marker>
            <c:symbol val="none"/>
          </c:marker>
          <c:xVal>
            <c:numLit>
              <c:formatCode>General</c:formatCode>
              <c:ptCount val="2"/>
              <c:pt idx="0">
                <c:v>-2.7275275569962796</c:v>
              </c:pt>
              <c:pt idx="1">
                <c:v>-3.000512197277649</c:v>
              </c:pt>
            </c:numLit>
          </c:xVal>
          <c:yVal>
            <c:numLit>
              <c:formatCode>General</c:formatCode>
              <c:ptCount val="2"/>
              <c:pt idx="0">
                <c:v>1.7446155602337338E-2</c:v>
              </c:pt>
              <c:pt idx="1">
                <c:v>1.7354129262755674E-2</c:v>
              </c:pt>
            </c:numLit>
          </c:yVal>
          <c:smooth val="0"/>
          <c:extLst>
            <c:ext xmlns:c16="http://schemas.microsoft.com/office/drawing/2014/chart" uri="{C3380CC4-5D6E-409C-BE32-E72D297353CC}">
              <c16:uniqueId val="{0000002A-6616-42F6-AC02-49C096B95DA0}"/>
            </c:ext>
          </c:extLst>
        </c:ser>
        <c:ser>
          <c:idx val="38"/>
          <c:order val="38"/>
          <c:spPr>
            <a:ln w="3175">
              <a:solidFill>
                <a:srgbClr val="000000"/>
              </a:solidFill>
              <a:prstDash val="solid"/>
            </a:ln>
          </c:spPr>
          <c:marker>
            <c:symbol val="none"/>
          </c:marker>
          <c:xVal>
            <c:numLit>
              <c:formatCode>General</c:formatCode>
              <c:ptCount val="2"/>
              <c:pt idx="0">
                <c:v>-2.6535301585852245</c:v>
              </c:pt>
              <c:pt idx="1">
                <c:v>-2.9245703956378155</c:v>
              </c:pt>
            </c:numLit>
          </c:xVal>
          <c:yVal>
            <c:numLit>
              <c:formatCode>General</c:formatCode>
              <c:ptCount val="2"/>
              <c:pt idx="0">
                <c:v>1.7329441559713527E-2</c:v>
              </c:pt>
              <c:pt idx="1">
                <c:v>1.7234322847302124E-2</c:v>
              </c:pt>
            </c:numLit>
          </c:yVal>
          <c:smooth val="0"/>
          <c:extLst>
            <c:ext xmlns:c16="http://schemas.microsoft.com/office/drawing/2014/chart" uri="{C3380CC4-5D6E-409C-BE32-E72D297353CC}">
              <c16:uniqueId val="{0000002B-6616-42F6-AC02-49C096B95DA0}"/>
            </c:ext>
          </c:extLst>
        </c:ser>
        <c:ser>
          <c:idx val="39"/>
          <c:order val="39"/>
          <c:spPr>
            <a:ln w="3175">
              <a:solidFill>
                <a:srgbClr val="000000"/>
              </a:solidFill>
              <a:prstDash val="solid"/>
            </a:ln>
          </c:spPr>
          <c:marker>
            <c:symbol val="none"/>
          </c:marker>
          <c:xVal>
            <c:numLit>
              <c:formatCode>General</c:formatCode>
              <c:ptCount val="2"/>
              <c:pt idx="0">
                <c:v>-2.575314086634803</c:v>
              </c:pt>
              <c:pt idx="1">
                <c:v>-2.8442984434997114</c:v>
              </c:pt>
            </c:numLit>
          </c:xVal>
          <c:yVal>
            <c:numLit>
              <c:formatCode>General</c:formatCode>
              <c:ptCount val="2"/>
              <c:pt idx="0">
                <c:v>1.7210927971887027E-2</c:v>
              </c:pt>
              <c:pt idx="1">
                <c:v>1.7112668261044767E-2</c:v>
              </c:pt>
            </c:numLit>
          </c:yVal>
          <c:smooth val="0"/>
          <c:extLst>
            <c:ext xmlns:c16="http://schemas.microsoft.com/office/drawing/2014/chart" uri="{C3380CC4-5D6E-409C-BE32-E72D297353CC}">
              <c16:uniqueId val="{0000002C-6616-42F6-AC02-49C096B95DA0}"/>
            </c:ext>
          </c:extLst>
        </c:ser>
        <c:ser>
          <c:idx val="40"/>
          <c:order val="40"/>
          <c:spPr>
            <a:ln w="3175">
              <a:solidFill>
                <a:srgbClr val="000000"/>
              </a:solidFill>
              <a:prstDash val="solid"/>
            </a:ln>
          </c:spPr>
          <c:marker>
            <c:symbol val="none"/>
          </c:marker>
          <c:xVal>
            <c:numLit>
              <c:formatCode>General</c:formatCode>
              <c:ptCount val="2"/>
              <c:pt idx="0">
                <c:v>-2.4927056022343019</c:v>
              </c:pt>
              <c:pt idx="1">
                <c:v>-2.7595179345950451</c:v>
              </c:pt>
            </c:numLit>
          </c:xVal>
          <c:yVal>
            <c:numLit>
              <c:formatCode>General</c:formatCode>
              <c:ptCount val="2"/>
              <c:pt idx="0">
                <c:v>1.7090674608169102E-2</c:v>
              </c:pt>
              <c:pt idx="1">
                <c:v>1.6989226782600338E-2</c:v>
              </c:pt>
            </c:numLit>
          </c:yVal>
          <c:smooth val="0"/>
          <c:extLst>
            <c:ext xmlns:c16="http://schemas.microsoft.com/office/drawing/2014/chart" uri="{C3380CC4-5D6E-409C-BE32-E72D297353CC}">
              <c16:uniqueId val="{0000002D-6616-42F6-AC02-49C096B95DA0}"/>
            </c:ext>
          </c:extLst>
        </c:ser>
        <c:ser>
          <c:idx val="41"/>
          <c:order val="41"/>
          <c:spPr>
            <a:ln w="3175">
              <a:solidFill>
                <a:srgbClr val="000000"/>
              </a:solidFill>
              <a:prstDash val="solid"/>
            </a:ln>
          </c:spPr>
          <c:marker>
            <c:symbol val="none"/>
          </c:marker>
          <c:xVal>
            <c:numLit>
              <c:formatCode>General</c:formatCode>
              <c:ptCount val="2"/>
              <c:pt idx="0">
                <c:v>-2.4055306975638757</c:v>
              </c:pt>
              <c:pt idx="1">
                <c:v>-2.9345947649926489</c:v>
              </c:pt>
            </c:numLit>
          </c:xVal>
          <c:yVal>
            <c:numLit>
              <c:formatCode>General</c:formatCode>
              <c:ptCount val="2"/>
              <c:pt idx="0">
                <c:v>1.6968751672690126E-2</c:v>
              </c:pt>
              <c:pt idx="1">
                <c:v>1.6759423705491334E-2</c:v>
              </c:pt>
            </c:numLit>
          </c:yVal>
          <c:smooth val="0"/>
          <c:extLst>
            <c:ext xmlns:c16="http://schemas.microsoft.com/office/drawing/2014/chart" uri="{C3380CC4-5D6E-409C-BE32-E72D297353CC}">
              <c16:uniqueId val="{0000002E-6616-42F6-AC02-49C096B95DA0}"/>
            </c:ext>
          </c:extLst>
        </c:ser>
        <c:ser>
          <c:idx val="42"/>
          <c:order val="42"/>
          <c:spPr>
            <a:ln w="3175">
              <a:solidFill>
                <a:srgbClr val="000000"/>
              </a:solidFill>
              <a:prstDash val="solid"/>
            </a:ln>
          </c:spPr>
          <c:marker>
            <c:symbol val="none"/>
          </c:marker>
          <c:dLbls>
            <c:dLbl>
              <c:idx val="0"/>
              <c:tx>
                <c:rich>
                  <a:bodyPr rot="-16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F-6616-42F6-AC02-49C096B95D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-3.6048866411471585</c:v>
              </c:pt>
            </c:numLit>
          </c:xVal>
          <c:yVal>
            <c:numLit>
              <c:formatCode>General</c:formatCode>
              <c:ptCount val="1"/>
              <c:pt idx="0">
                <c:v>1.649447339505386E-2</c:v>
              </c:pt>
            </c:numLit>
          </c:yVal>
          <c:smooth val="0"/>
          <c:extLst>
            <c:ext xmlns:c16="http://schemas.microsoft.com/office/drawing/2014/chart" uri="{C3380CC4-5D6E-409C-BE32-E72D297353CC}">
              <c16:uniqueId val="{00000030-6616-42F6-AC02-49C096B95DA0}"/>
            </c:ext>
          </c:extLst>
        </c:ser>
        <c:ser>
          <c:idx val="43"/>
          <c:order val="43"/>
          <c:spPr>
            <a:ln w="3175">
              <a:solidFill>
                <a:srgbClr val="000000"/>
              </a:solidFill>
              <a:prstDash val="solid"/>
            </a:ln>
          </c:spPr>
          <c:marker>
            <c:symbol val="none"/>
          </c:marker>
          <c:xVal>
            <c:numLit>
              <c:formatCode>General</c:formatCode>
              <c:ptCount val="2"/>
              <c:pt idx="0">
                <c:v>-2.313616160746133</c:v>
              </c:pt>
              <c:pt idx="1">
                <c:v>-2.5757172835089825</c:v>
              </c:pt>
            </c:numLit>
          </c:xVal>
          <c:yVal>
            <c:numLit>
              <c:formatCode>General</c:formatCode>
              <c:ptCount val="2"/>
              <c:pt idx="0">
                <c:v>1.6845240437890034E-2</c:v>
              </c:pt>
              <c:pt idx="1">
                <c:v>1.6737282465345154E-2</c:v>
              </c:pt>
            </c:numLit>
          </c:yVal>
          <c:smooth val="0"/>
          <c:extLst>
            <c:ext xmlns:c16="http://schemas.microsoft.com/office/drawing/2014/chart" uri="{C3380CC4-5D6E-409C-BE32-E72D297353CC}">
              <c16:uniqueId val="{00000031-6616-42F6-AC02-49C096B95DA0}"/>
            </c:ext>
          </c:extLst>
        </c:ser>
        <c:ser>
          <c:idx val="44"/>
          <c:order val="44"/>
          <c:spPr>
            <a:ln w="3175">
              <a:solidFill>
                <a:srgbClr val="000000"/>
              </a:solidFill>
              <a:prstDash val="solid"/>
            </a:ln>
          </c:spPr>
          <c:marker>
            <c:symbol val="none"/>
          </c:marker>
          <c:xVal>
            <c:numLit>
              <c:formatCode>General</c:formatCode>
              <c:ptCount val="2"/>
              <c:pt idx="0">
                <c:v>-2.216790773750446</c:v>
              </c:pt>
              <c:pt idx="1">
                <c:v>-2.4763434048290445</c:v>
              </c:pt>
            </c:numLit>
          </c:xVal>
          <c:yVal>
            <c:numLit>
              <c:formatCode>General</c:formatCode>
              <c:ptCount val="2"/>
              <c:pt idx="0">
                <c:v>1.6720233846569021E-2</c:v>
              </c:pt>
              <c:pt idx="1">
                <c:v>1.6608958306105915E-2</c:v>
              </c:pt>
            </c:numLit>
          </c:yVal>
          <c:smooth val="0"/>
          <c:extLst>
            <c:ext xmlns:c16="http://schemas.microsoft.com/office/drawing/2014/chart" uri="{C3380CC4-5D6E-409C-BE32-E72D297353CC}">
              <c16:uniqueId val="{00000032-6616-42F6-AC02-49C096B95DA0}"/>
            </c:ext>
          </c:extLst>
        </c:ser>
        <c:ser>
          <c:idx val="45"/>
          <c:order val="45"/>
          <c:spPr>
            <a:ln w="3175">
              <a:solidFill>
                <a:srgbClr val="000000"/>
              </a:solidFill>
              <a:prstDash val="solid"/>
            </a:ln>
          </c:spPr>
          <c:marker>
            <c:symbol val="none"/>
          </c:marker>
          <c:xVal>
            <c:numLit>
              <c:formatCode>General</c:formatCode>
              <c:ptCount val="2"/>
              <c:pt idx="0">
                <c:v>-2.1148866461057976</c:v>
              </c:pt>
              <c:pt idx="1">
                <c:v>-2.3717560940296778</c:v>
              </c:pt>
            </c:numLit>
          </c:xVal>
          <c:yVal>
            <c:numLit>
              <c:formatCode>General</c:formatCode>
              <c:ptCount val="2"/>
              <c:pt idx="0">
                <c:v>1.6593837068668817E-2</c:v>
              </c:pt>
              <c:pt idx="1">
                <c:v>1.6479205804989291E-2</c:v>
              </c:pt>
            </c:numLit>
          </c:yVal>
          <c:smooth val="0"/>
          <c:extLst>
            <c:ext xmlns:c16="http://schemas.microsoft.com/office/drawing/2014/chart" uri="{C3380CC4-5D6E-409C-BE32-E72D297353CC}">
              <c16:uniqueId val="{00000033-6616-42F6-AC02-49C096B95DA0}"/>
            </c:ext>
          </c:extLst>
        </c:ser>
        <c:ser>
          <c:idx val="46"/>
          <c:order val="46"/>
          <c:spPr>
            <a:ln w="3175">
              <a:solidFill>
                <a:srgbClr val="000000"/>
              </a:solidFill>
              <a:prstDash val="solid"/>
            </a:ln>
          </c:spPr>
          <c:marker>
            <c:symbol val="none"/>
          </c:marker>
          <c:xVal>
            <c:numLit>
              <c:formatCode>General</c:formatCode>
              <c:ptCount val="2"/>
              <c:pt idx="0">
                <c:v>-2.0077406848213544</c:v>
              </c:pt>
              <c:pt idx="1">
                <c:v>-2.2617878171027579</c:v>
              </c:pt>
            </c:numLit>
          </c:xVal>
          <c:yVal>
            <c:numLit>
              <c:formatCode>General</c:formatCode>
              <c:ptCount val="2"/>
              <c:pt idx="0">
                <c:v>1.6466167997462634E-2</c:v>
              </c:pt>
              <c:pt idx="1">
                <c:v>1.6348145906530984E-2</c:v>
              </c:pt>
            </c:numLit>
          </c:yVal>
          <c:smooth val="0"/>
          <c:extLst>
            <c:ext xmlns:c16="http://schemas.microsoft.com/office/drawing/2014/chart" uri="{C3380CC4-5D6E-409C-BE32-E72D297353CC}">
              <c16:uniqueId val="{00000034-6616-42F6-AC02-49C096B95DA0}"/>
            </c:ext>
          </c:extLst>
        </c:ser>
        <c:ser>
          <c:idx val="47"/>
          <c:order val="47"/>
          <c:spPr>
            <a:ln w="3175">
              <a:solidFill>
                <a:srgbClr val="000000"/>
              </a:solidFill>
              <a:prstDash val="solid"/>
            </a:ln>
          </c:spPr>
          <c:marker>
            <c:symbol val="none"/>
          </c:marker>
          <c:xVal>
            <c:numLit>
              <c:formatCode>General</c:formatCode>
              <c:ptCount val="2"/>
              <c:pt idx="0">
                <c:v>-1.8951961980647147</c:v>
              </c:pt>
              <c:pt idx="1">
                <c:v>-2.3973910482134464</c:v>
              </c:pt>
            </c:numLit>
          </c:xVal>
          <c:yVal>
            <c:numLit>
              <c:formatCode>General</c:formatCode>
              <c:ptCount val="2"/>
              <c:pt idx="0">
                <c:v>1.6337357668468857E-2</c:v>
              </c:pt>
              <c:pt idx="1">
                <c:v>1.6094504538306124E-2</c:v>
              </c:pt>
            </c:numLit>
          </c:yVal>
          <c:smooth val="0"/>
          <c:extLst>
            <c:ext xmlns:c16="http://schemas.microsoft.com/office/drawing/2014/chart" uri="{C3380CC4-5D6E-409C-BE32-E72D297353CC}">
              <c16:uniqueId val="{00000035-6616-42F6-AC02-49C096B95DA0}"/>
            </c:ext>
          </c:extLst>
        </c:ser>
        <c:ser>
          <c:idx val="48"/>
          <c:order val="48"/>
          <c:spPr>
            <a:ln w="3175">
              <a:solidFill>
                <a:srgbClr val="000000"/>
              </a:solidFill>
              <a:prstDash val="solid"/>
            </a:ln>
          </c:spPr>
          <c:marker>
            <c:symbol val="none"/>
          </c:marker>
          <c:xVal>
            <c:numLit>
              <c:formatCode>General</c:formatCode>
              <c:ptCount val="2"/>
              <c:pt idx="0">
                <c:v>-1.7771046267974688</c:v>
              </c:pt>
              <c:pt idx="1">
                <c:v>-2.0250727985773351</c:v>
              </c:pt>
            </c:numLit>
          </c:xVal>
          <c:yVal>
            <c:numLit>
              <c:formatCode>General</c:formatCode>
              <c:ptCount val="2"/>
              <c:pt idx="0">
                <c:v>1.6207550583249328E-2</c:v>
              </c:pt>
              <c:pt idx="1">
                <c:v>1.60826554977502E-2</c:v>
              </c:pt>
            </c:numLit>
          </c:yVal>
          <c:smooth val="0"/>
          <c:extLst>
            <c:ext xmlns:c16="http://schemas.microsoft.com/office/drawing/2014/chart" uri="{C3380CC4-5D6E-409C-BE32-E72D297353CC}">
              <c16:uniqueId val="{00000036-6616-42F6-AC02-49C096B95DA0}"/>
            </c:ext>
          </c:extLst>
        </c:ser>
        <c:ser>
          <c:idx val="49"/>
          <c:order val="49"/>
          <c:spPr>
            <a:ln w="3175">
              <a:solidFill>
                <a:srgbClr val="000000"/>
              </a:solidFill>
              <a:prstDash val="solid"/>
            </a:ln>
          </c:spPr>
          <c:marker>
            <c:symbol val="none"/>
          </c:marker>
          <c:xVal>
            <c:numLit>
              <c:formatCode>General</c:formatCode>
              <c:ptCount val="2"/>
              <c:pt idx="0">
                <c:v>-1.6533273947279199</c:v>
              </c:pt>
              <c:pt idx="1">
                <c:v>-1.8980310127626514</c:v>
              </c:pt>
            </c:numLit>
          </c:xVal>
          <c:yVal>
            <c:numLit>
              <c:formatCode>General</c:formatCode>
              <c:ptCount val="2"/>
              <c:pt idx="0">
                <c:v>1.6076904919395639E-2</c:v>
              </c:pt>
              <c:pt idx="1">
                <c:v>1.5948535562537603E-2</c:v>
              </c:pt>
            </c:numLit>
          </c:yVal>
          <c:smooth val="0"/>
          <c:extLst>
            <c:ext xmlns:c16="http://schemas.microsoft.com/office/drawing/2014/chart" uri="{C3380CC4-5D6E-409C-BE32-E72D297353CC}">
              <c16:uniqueId val="{00000037-6616-42F6-AC02-49C096B95DA0}"/>
            </c:ext>
          </c:extLst>
        </c:ser>
        <c:ser>
          <c:idx val="50"/>
          <c:order val="50"/>
          <c:spPr>
            <a:ln w="3175">
              <a:solidFill>
                <a:srgbClr val="000000"/>
              </a:solidFill>
              <a:prstDash val="solid"/>
            </a:ln>
          </c:spPr>
          <c:marker>
            <c:symbol val="none"/>
          </c:marker>
          <c:xVal>
            <c:numLit>
              <c:formatCode>General</c:formatCode>
              <c:ptCount val="2"/>
              <c:pt idx="0">
                <c:v>-1.5237378626491505</c:v>
              </c:pt>
              <c:pt idx="1">
                <c:v>-1.7650220780229187</c:v>
              </c:pt>
            </c:numLit>
          </c:xVal>
          <c:yVal>
            <c:numLit>
              <c:formatCode>General</c:formatCode>
              <c:ptCount val="2"/>
              <c:pt idx="0">
                <c:v>1.5945592607543146E-2</c:v>
              </c:pt>
              <c:pt idx="1">
                <c:v>1.5813729677496932E-2</c:v>
              </c:pt>
            </c:numLit>
          </c:yVal>
          <c:smooth val="0"/>
          <c:extLst>
            <c:ext xmlns:c16="http://schemas.microsoft.com/office/drawing/2014/chart" uri="{C3380CC4-5D6E-409C-BE32-E72D297353CC}">
              <c16:uniqueId val="{00000038-6616-42F6-AC02-49C096B95DA0}"/>
            </c:ext>
          </c:extLst>
        </c:ser>
        <c:ser>
          <c:idx val="51"/>
          <c:order val="51"/>
          <c:spPr>
            <a:ln w="3175">
              <a:solidFill>
                <a:srgbClr val="000000"/>
              </a:solidFill>
              <a:prstDash val="solid"/>
            </a:ln>
          </c:spPr>
          <c:marker>
            <c:symbol val="none"/>
          </c:marker>
          <c:xVal>
            <c:numLit>
              <c:formatCode>General</c:formatCode>
              <c:ptCount val="2"/>
              <c:pt idx="0">
                <c:v>-1.388223368555124</c:v>
              </c:pt>
              <c:pt idx="1">
                <c:v>-1.6259301677145295</c:v>
              </c:pt>
            </c:numLit>
          </c:xVal>
          <c:yVal>
            <c:numLit>
              <c:formatCode>General</c:formatCode>
              <c:ptCount val="2"/>
              <c:pt idx="0">
                <c:v>1.5813799256283002E-2</c:v>
              </c:pt>
              <c:pt idx="1">
                <c:v>1.5678428325744984E-2</c:v>
              </c:pt>
            </c:numLit>
          </c:yVal>
          <c:smooth val="0"/>
          <c:extLst>
            <c:ext xmlns:c16="http://schemas.microsoft.com/office/drawing/2014/chart" uri="{C3380CC4-5D6E-409C-BE32-E72D297353CC}">
              <c16:uniqueId val="{00000039-6616-42F6-AC02-49C096B95DA0}"/>
            </c:ext>
          </c:extLst>
        </c:ser>
        <c:ser>
          <c:idx val="52"/>
          <c:order val="52"/>
          <c:spPr>
            <a:ln w="3175">
              <a:solidFill>
                <a:srgbClr val="000000"/>
              </a:solidFill>
              <a:prstDash val="solid"/>
            </a:ln>
          </c:spPr>
          <c:marker>
            <c:symbol val="none"/>
          </c:marker>
          <c:xVal>
            <c:numLit>
              <c:formatCode>General</c:formatCode>
              <c:ptCount val="2"/>
              <c:pt idx="0">
                <c:v>-1.2466873299709398</c:v>
              </c:pt>
              <c:pt idx="1">
                <c:v>-1.7146635892116067</c:v>
              </c:pt>
            </c:numLit>
          </c:xVal>
          <c:yVal>
            <c:numLit>
              <c:formatCode>General</c:formatCode>
              <c:ptCount val="2"/>
              <c:pt idx="0">
                <c:v>1.5681723906468353E-2</c:v>
              </c:pt>
              <c:pt idx="1">
                <c:v>1.540398349013896E-2</c:v>
              </c:pt>
            </c:numLit>
          </c:yVal>
          <c:smooth val="0"/>
          <c:extLst>
            <c:ext xmlns:c16="http://schemas.microsoft.com/office/drawing/2014/chart" uri="{C3380CC4-5D6E-409C-BE32-E72D297353CC}">
              <c16:uniqueId val="{0000003A-6616-42F6-AC02-49C096B95DA0}"/>
            </c:ext>
          </c:extLst>
        </c:ser>
        <c:ser>
          <c:idx val="53"/>
          <c:order val="53"/>
          <c:spPr>
            <a:ln w="3175">
              <a:solidFill>
                <a:srgbClr val="000000"/>
              </a:solidFill>
              <a:prstDash val="solid"/>
            </a:ln>
          </c:spPr>
          <c:marker>
            <c:symbol val="none"/>
          </c:marker>
          <c:dLbls>
            <c:dLbl>
              <c:idx val="0"/>
              <c:tx>
                <c:rich>
                  <a:bodyPr rot="-23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B-6616-42F6-AC02-49C096B95D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-2.3076574148248494</c:v>
              </c:pt>
            </c:numLit>
          </c:xVal>
          <c:yVal>
            <c:numLit>
              <c:formatCode>General</c:formatCode>
              <c:ptCount val="1"/>
              <c:pt idx="0">
                <c:v>1.5052384582440575E-2</c:v>
              </c:pt>
            </c:numLit>
          </c:yVal>
          <c:smooth val="0"/>
          <c:extLst>
            <c:ext xmlns:c16="http://schemas.microsoft.com/office/drawing/2014/chart" uri="{C3380CC4-5D6E-409C-BE32-E72D297353CC}">
              <c16:uniqueId val="{0000003C-6616-42F6-AC02-49C096B95DA0}"/>
            </c:ext>
          </c:extLst>
        </c:ser>
        <c:ser>
          <c:idx val="54"/>
          <c:order val="54"/>
          <c:spPr>
            <a:ln w="3175">
              <a:solidFill>
                <a:srgbClr val="000000"/>
              </a:solidFill>
              <a:prstDash val="solid"/>
            </a:ln>
          </c:spPr>
          <c:marker>
            <c:symbol val="none"/>
          </c:marker>
          <c:xVal>
            <c:numLit>
              <c:formatCode>General</c:formatCode>
              <c:ptCount val="2"/>
              <c:pt idx="0">
                <c:v>-1.0990513798353114</c:v>
              </c:pt>
              <c:pt idx="1">
                <c:v>-1.3291187844030128</c:v>
              </c:pt>
            </c:numLit>
          </c:xVal>
          <c:yVal>
            <c:numLit>
              <c:formatCode>General</c:formatCode>
              <c:ptCount val="2"/>
              <c:pt idx="0">
                <c:v>1.5549578597725369E-2</c:v>
              </c:pt>
              <c:pt idx="1">
                <c:v>1.5407169702183561E-2</c:v>
              </c:pt>
            </c:numLit>
          </c:yVal>
          <c:smooth val="0"/>
          <c:extLst>
            <c:ext xmlns:c16="http://schemas.microsoft.com/office/drawing/2014/chart" uri="{C3380CC4-5D6E-409C-BE32-E72D297353CC}">
              <c16:uniqueId val="{0000003D-6616-42F6-AC02-49C096B95DA0}"/>
            </c:ext>
          </c:extLst>
        </c:ser>
        <c:ser>
          <c:idx val="55"/>
          <c:order val="55"/>
          <c:spPr>
            <a:ln w="3175">
              <a:solidFill>
                <a:srgbClr val="000000"/>
              </a:solidFill>
              <a:prstDash val="solid"/>
            </a:ln>
          </c:spPr>
          <c:marker>
            <c:symbol val="none"/>
          </c:marker>
          <c:xVal>
            <c:numLit>
              <c:formatCode>General</c:formatCode>
              <c:ptCount val="2"/>
              <c:pt idx="0">
                <c:v>-0.94525750221214544</c:v>
              </c:pt>
              <c:pt idx="1">
                <c:v>-1.171258910076004</c:v>
              </c:pt>
            </c:numLit>
          </c:xVal>
          <c:yVal>
            <c:numLit>
              <c:formatCode>General</c:formatCode>
              <c:ptCount val="2"/>
              <c:pt idx="0">
                <c:v>1.5417587732063727E-2</c:v>
              </c:pt>
              <c:pt idx="1">
                <c:v>1.5271660405463735E-2</c:v>
              </c:pt>
            </c:numLit>
          </c:yVal>
          <c:smooth val="0"/>
          <c:extLst>
            <c:ext xmlns:c16="http://schemas.microsoft.com/office/drawing/2014/chart" uri="{C3380CC4-5D6E-409C-BE32-E72D297353CC}">
              <c16:uniqueId val="{0000003E-6616-42F6-AC02-49C096B95DA0}"/>
            </c:ext>
          </c:extLst>
        </c:ser>
        <c:ser>
          <c:idx val="56"/>
          <c:order val="56"/>
          <c:spPr>
            <a:ln w="3175">
              <a:solidFill>
                <a:srgbClr val="000000"/>
              </a:solidFill>
              <a:prstDash val="solid"/>
            </a:ln>
          </c:spPr>
          <c:marker>
            <c:symbol val="none"/>
          </c:marker>
          <c:xVal>
            <c:numLit>
              <c:formatCode>General</c:formatCode>
              <c:ptCount val="2"/>
              <c:pt idx="0">
                <c:v>-0.78527012929796181</c:v>
              </c:pt>
              <c:pt idx="1">
                <c:v>-1.0070396059342881</c:v>
              </c:pt>
            </c:numLit>
          </c:xVal>
          <c:yVal>
            <c:numLit>
              <c:formatCode>General</c:formatCode>
              <c:ptCount val="2"/>
              <c:pt idx="0">
                <c:v>1.5285987222392702E-2</c:v>
              </c:pt>
              <c:pt idx="1">
                <c:v>1.5136550067768871E-2</c:v>
              </c:pt>
            </c:numLit>
          </c:yVal>
          <c:smooth val="0"/>
          <c:extLst>
            <c:ext xmlns:c16="http://schemas.microsoft.com/office/drawing/2014/chart" uri="{C3380CC4-5D6E-409C-BE32-E72D297353CC}">
              <c16:uniqueId val="{0000003F-6616-42F6-AC02-49C096B95DA0}"/>
            </c:ext>
          </c:extLst>
        </c:ser>
        <c:ser>
          <c:idx val="57"/>
          <c:order val="57"/>
          <c:spPr>
            <a:ln w="3175">
              <a:solidFill>
                <a:srgbClr val="000000"/>
              </a:solidFill>
              <a:prstDash val="solid"/>
            </a:ln>
          </c:spPr>
          <c:marker>
            <c:symbol val="none"/>
          </c:marker>
          <c:xVal>
            <c:numLit>
              <c:formatCode>General</c:formatCode>
              <c:ptCount val="2"/>
              <c:pt idx="0">
                <c:v>-0.61907815687851919</c:v>
              </c:pt>
              <c:pt idx="1">
                <c:v>-0.83644925897128908</c:v>
              </c:pt>
            </c:numLit>
          </c:xVal>
          <c:yVal>
            <c:numLit>
              <c:formatCode>General</c:formatCode>
              <c:ptCount val="2"/>
              <c:pt idx="0">
                <c:v>1.5155023417515526E-2</c:v>
              </c:pt>
              <c:pt idx="1">
                <c:v>1.5002091586488069E-2</c:v>
              </c:pt>
            </c:numLit>
          </c:yVal>
          <c:smooth val="0"/>
          <c:extLst>
            <c:ext xmlns:c16="http://schemas.microsoft.com/office/drawing/2014/chart" uri="{C3380CC4-5D6E-409C-BE32-E72D297353CC}">
              <c16:uniqueId val="{00000040-6616-42F6-AC02-49C096B95DA0}"/>
            </c:ext>
          </c:extLst>
        </c:ser>
        <c:ser>
          <c:idx val="58"/>
          <c:order val="58"/>
          <c:spPr>
            <a:ln w="3175">
              <a:solidFill>
                <a:srgbClr val="000000"/>
              </a:solidFill>
              <a:prstDash val="solid"/>
            </a:ln>
          </c:spPr>
          <c:marker>
            <c:symbol val="none"/>
          </c:marker>
          <c:xVal>
            <c:numLit>
              <c:formatCode>General</c:formatCode>
              <c:ptCount val="2"/>
              <c:pt idx="0">
                <c:v>-0.44669683184065456</c:v>
              </c:pt>
              <c:pt idx="1">
                <c:v>-0.87235472792758506</c:v>
              </c:pt>
            </c:numLit>
          </c:xVal>
          <c:yVal>
            <c:numLit>
              <c:formatCode>General</c:formatCode>
              <c:ptCount val="2"/>
              <c:pt idx="0">
                <c:v>1.5024951799785189E-2</c:v>
              </c:pt>
              <c:pt idx="1">
                <c:v>1.4712176032084051E-2</c:v>
              </c:pt>
            </c:numLit>
          </c:yVal>
          <c:smooth val="0"/>
          <c:extLst>
            <c:ext xmlns:c16="http://schemas.microsoft.com/office/drawing/2014/chart" uri="{C3380CC4-5D6E-409C-BE32-E72D297353CC}">
              <c16:uniqueId val="{00000041-6616-42F6-AC02-49C096B95DA0}"/>
            </c:ext>
          </c:extLst>
        </c:ser>
        <c:ser>
          <c:idx val="59"/>
          <c:order val="59"/>
          <c:spPr>
            <a:ln w="3175">
              <a:solidFill>
                <a:srgbClr val="000000"/>
              </a:solidFill>
              <a:prstDash val="solid"/>
            </a:ln>
          </c:spPr>
          <c:marker>
            <c:symbol val="none"/>
          </c:marker>
          <c:xVal>
            <c:numLit>
              <c:formatCode>General</c:formatCode>
              <c:ptCount val="2"/>
              <c:pt idx="0">
                <c:v>-0.26816946284299165</c:v>
              </c:pt>
              <c:pt idx="1">
                <c:v>-0.47624598722283679</c:v>
              </c:pt>
            </c:numLit>
          </c:xVal>
          <c:yVal>
            <c:numLit>
              <c:formatCode>General</c:formatCode>
              <c:ptCount val="2"/>
              <c:pt idx="0">
                <c:v>1.4896035457000568E-2</c:v>
              </c:pt>
              <c:pt idx="1">
                <c:v>1.4736187176696662E-2</c:v>
              </c:pt>
            </c:numLit>
          </c:yVal>
          <c:smooth val="0"/>
          <c:extLst>
            <c:ext xmlns:c16="http://schemas.microsoft.com/office/drawing/2014/chart" uri="{C3380CC4-5D6E-409C-BE32-E72D297353CC}">
              <c16:uniqueId val="{00000042-6616-42F6-AC02-49C096B95DA0}"/>
            </c:ext>
          </c:extLst>
        </c:ser>
        <c:ser>
          <c:idx val="60"/>
          <c:order val="60"/>
          <c:spPr>
            <a:ln w="3175">
              <a:solidFill>
                <a:srgbClr val="000000"/>
              </a:solidFill>
              <a:prstDash val="solid"/>
            </a:ln>
          </c:spPr>
          <c:marker>
            <c:symbol val="none"/>
          </c:marker>
          <c:xVal>
            <c:numLit>
              <c:formatCode>General</c:formatCode>
              <c:ptCount val="2"/>
              <c:pt idx="0">
                <c:v>-8.3568904066706209E-2</c:v>
              </c:pt>
              <c:pt idx="1">
                <c:v>-0.28675188305885801</c:v>
              </c:pt>
            </c:numLit>
          </c:xVal>
          <c:yVal>
            <c:numLit>
              <c:formatCode>General</c:formatCode>
              <c:ptCount val="2"/>
              <c:pt idx="0">
                <c:v>1.4768543336192361E-2</c:v>
              </c:pt>
              <c:pt idx="1">
                <c:v>1.4605287509683575E-2</c:v>
              </c:pt>
            </c:numLit>
          </c:yVal>
          <c:smooth val="0"/>
          <c:extLst>
            <c:ext xmlns:c16="http://schemas.microsoft.com/office/drawing/2014/chart" uri="{C3380CC4-5D6E-409C-BE32-E72D297353CC}">
              <c16:uniqueId val="{00000043-6616-42F6-AC02-49C096B95DA0}"/>
            </c:ext>
          </c:extLst>
        </c:ser>
        <c:ser>
          <c:idx val="61"/>
          <c:order val="61"/>
          <c:spPr>
            <a:ln w="3175">
              <a:solidFill>
                <a:srgbClr val="000000"/>
              </a:solidFill>
              <a:prstDash val="solid"/>
            </a:ln>
          </c:spPr>
          <c:marker>
            <c:symbol val="none"/>
          </c:marker>
          <c:xVal>
            <c:numLit>
              <c:formatCode>General</c:formatCode>
              <c:ptCount val="2"/>
              <c:pt idx="0">
                <c:v>0.10700123764518008</c:v>
              </c:pt>
              <c:pt idx="1">
                <c:v>-9.1127145974432305E-2</c:v>
              </c:pt>
            </c:numLit>
          </c:xVal>
          <c:yVal>
            <c:numLit>
              <c:formatCode>General</c:formatCode>
              <c:ptCount val="2"/>
              <c:pt idx="0">
                <c:v>1.4642748293527812E-2</c:v>
              </c:pt>
              <c:pt idx="1">
                <c:v>1.4476128428781763E-2</c:v>
              </c:pt>
            </c:numLit>
          </c:yVal>
          <c:smooth val="0"/>
          <c:extLst>
            <c:ext xmlns:c16="http://schemas.microsoft.com/office/drawing/2014/chart" uri="{C3380CC4-5D6E-409C-BE32-E72D297353CC}">
              <c16:uniqueId val="{00000044-6616-42F6-AC02-49C096B95DA0}"/>
            </c:ext>
          </c:extLst>
        </c:ser>
        <c:ser>
          <c:idx val="62"/>
          <c:order val="62"/>
          <c:spPr>
            <a:ln w="3175">
              <a:solidFill>
                <a:srgbClr val="000000"/>
              </a:solidFill>
              <a:prstDash val="solid"/>
            </a:ln>
          </c:spPr>
          <c:marker>
            <c:symbol val="none"/>
          </c:marker>
          <c:xVal>
            <c:numLit>
              <c:formatCode>General</c:formatCode>
              <c:ptCount val="2"/>
              <c:pt idx="0">
                <c:v>0.30340571978893238</c:v>
              </c:pt>
              <c:pt idx="1">
                <c:v>0.11048958435157942</c:v>
              </c:pt>
            </c:numLit>
          </c:xVal>
          <c:yVal>
            <c:numLit>
              <c:formatCode>General</c:formatCode>
              <c:ptCount val="2"/>
              <c:pt idx="0">
                <c:v>1.4518924961431453E-2</c:v>
              </c:pt>
              <c:pt idx="1">
                <c:v>1.4348991954383022E-2</c:v>
              </c:pt>
            </c:numLit>
          </c:yVal>
          <c:smooth val="0"/>
          <c:extLst>
            <c:ext xmlns:c16="http://schemas.microsoft.com/office/drawing/2014/chart" uri="{C3380CC4-5D6E-409C-BE32-E72D297353CC}">
              <c16:uniqueId val="{00000045-6616-42F6-AC02-49C096B95DA0}"/>
            </c:ext>
          </c:extLst>
        </c:ser>
        <c:ser>
          <c:idx val="63"/>
          <c:order val="63"/>
          <c:spPr>
            <a:ln w="3175">
              <a:solidFill>
                <a:srgbClr val="000000"/>
              </a:solidFill>
              <a:prstDash val="solid"/>
            </a:ln>
          </c:spPr>
          <c:marker>
            <c:symbol val="none"/>
          </c:marker>
          <c:xVal>
            <c:numLit>
              <c:formatCode>General</c:formatCode>
              <c:ptCount val="2"/>
              <c:pt idx="0">
                <c:v>0.5054771487943629</c:v>
              </c:pt>
              <c:pt idx="1">
                <c:v>0.13032764032617034</c:v>
              </c:pt>
            </c:numLit>
          </c:xVal>
          <c:yVal>
            <c:numLit>
              <c:formatCode>General</c:formatCode>
              <c:ptCount val="2"/>
              <c:pt idx="0">
                <c:v>1.439734746090714E-2</c:v>
              </c:pt>
              <c:pt idx="1">
                <c:v>1.4051000367389811E-2</c:v>
              </c:pt>
            </c:numLit>
          </c:yVal>
          <c:smooth val="0"/>
          <c:extLst>
            <c:ext xmlns:c16="http://schemas.microsoft.com/office/drawing/2014/chart" uri="{C3380CC4-5D6E-409C-BE32-E72D297353CC}">
              <c16:uniqueId val="{00000046-6616-42F6-AC02-49C096B95DA0}"/>
            </c:ext>
          </c:extLst>
        </c:ser>
        <c:ser>
          <c:idx val="64"/>
          <c:order val="64"/>
          <c:spPr>
            <a:ln w="3175">
              <a:solidFill>
                <a:srgbClr val="000000"/>
              </a:solidFill>
              <a:prstDash val="solid"/>
            </a:ln>
          </c:spPr>
          <c:marker>
            <c:symbol val="none"/>
          </c:marker>
          <c:dLbls>
            <c:dLbl>
              <c:idx val="0"/>
              <c:tx>
                <c:rich>
                  <a:bodyPr rot="-31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7-6616-42F6-AC02-49C096B95D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-0.34514016993581637</c:v>
              </c:pt>
            </c:numLit>
          </c:xVal>
          <c:yVal>
            <c:numLit>
              <c:formatCode>General</c:formatCode>
              <c:ptCount val="1"/>
              <c:pt idx="0">
                <c:v>1.3612458427713661E-2</c:v>
              </c:pt>
            </c:numLit>
          </c:yVal>
          <c:smooth val="0"/>
          <c:extLst>
            <c:ext xmlns:c16="http://schemas.microsoft.com/office/drawing/2014/chart" uri="{C3380CC4-5D6E-409C-BE32-E72D297353CC}">
              <c16:uniqueId val="{00000048-6616-42F6-AC02-49C096B95DA0}"/>
            </c:ext>
          </c:extLst>
        </c:ser>
        <c:ser>
          <c:idx val="65"/>
          <c:order val="65"/>
          <c:spPr>
            <a:ln w="3175">
              <a:solidFill>
                <a:srgbClr val="000000"/>
              </a:solidFill>
              <a:prstDash val="solid"/>
            </a:ln>
          </c:spPr>
          <c:marker>
            <c:symbol val="none"/>
          </c:marker>
          <c:xVal>
            <c:numLit>
              <c:formatCode>General</c:formatCode>
              <c:ptCount val="56"/>
              <c:pt idx="0">
                <c:v>-3.758</c:v>
              </c:pt>
              <c:pt idx="1">
                <c:v>-3.7573164307647193</c:v>
              </c:pt>
              <c:pt idx="2">
                <c:v>-3.7551514284703731</c:v>
              </c:pt>
              <c:pt idx="3">
                <c:v>-3.7513184851597101</c:v>
              </c:pt>
              <c:pt idx="4">
                <c:v>-3.7456091126033786</c:v>
              </c:pt>
              <c:pt idx="5">
                <c:v>-3.7377902586290985</c:v>
              </c:pt>
              <c:pt idx="6">
                <c:v>-3.7276014439375182</c:v>
              </c:pt>
              <c:pt idx="7">
                <c:v>-3.7147516008544463</c:v>
              </c:pt>
              <c:pt idx="8">
                <c:v>-3.6989155989247418</c:v>
              </c:pt>
              <c:pt idx="9">
                <c:v>-3.6797304479524238</c:v>
              </c:pt>
              <c:pt idx="10">
                <c:v>-3.6567911778075404</c:v>
              </c:pt>
              <c:pt idx="11">
                <c:v>-3.6296464070240311</c:v>
              </c:pt>
              <c:pt idx="12">
                <c:v>-3.5977936301001021</c:v>
              </c:pt>
              <c:pt idx="13">
                <c:v>-3.5606742779232401</c:v>
              </c:pt>
              <c:pt idx="14">
                <c:v>-3.517668638557927</c:v>
              </c:pt>
              <c:pt idx="15">
                <c:v>-3.4680907686435161</c:v>
              </c:pt>
              <c:pt idx="16">
                <c:v>-3.4406035633560976</c:v>
              </c:pt>
              <c:pt idx="17">
                <c:v>-3.4111835808515791</c:v>
              </c:pt>
              <c:pt idx="18">
                <c:v>-3.3797243325935047</c:v>
              </c:pt>
              <c:pt idx="19">
                <c:v>-3.3461143621710736</c:v>
              </c:pt>
              <c:pt idx="20">
                <c:v>-3.3102371536754234</c:v>
              </c:pt>
              <c:pt idx="21">
                <c:v>-3.2719710627580656</c:v>
              </c:pt>
              <c:pt idx="22">
                <c:v>-3.2311892749519693</c:v>
              </c:pt>
              <c:pt idx="23">
                <c:v>-3.1877597963437578</c:v>
              </c:pt>
              <c:pt idx="24">
                <c:v>-3.1415454822086812</c:v>
              </c:pt>
              <c:pt idx="25">
                <c:v>-3.0924041097491268</c:v>
              </c:pt>
              <c:pt idx="26">
                <c:v>-3.0401885016002286</c:v>
              </c:pt>
              <c:pt idx="27">
                <c:v>-2.9847467072668263</c:v>
              </c:pt>
              <c:pt idx="28">
                <c:v>-2.9259222501155961</c:v>
              </c:pt>
              <c:pt idx="29">
                <c:v>-2.8635544479409476</c:v>
              </c:pt>
              <c:pt idx="30">
                <c:v>-2.7974788154258228</c:v>
              </c:pt>
              <c:pt idx="31">
                <c:v>-2.7275275569962796</c:v>
              </c:pt>
              <c:pt idx="32">
                <c:v>-2.6535301585852245</c:v>
              </c:pt>
              <c:pt idx="33">
                <c:v>-2.575314086634803</c:v>
              </c:pt>
              <c:pt idx="34">
                <c:v>-2.4927056022343019</c:v>
              </c:pt>
              <c:pt idx="35">
                <c:v>-2.4055306975638757</c:v>
              </c:pt>
              <c:pt idx="36">
                <c:v>-2.313616160746133</c:v>
              </c:pt>
              <c:pt idx="37">
                <c:v>-2.216790773750446</c:v>
              </c:pt>
              <c:pt idx="38">
                <c:v>-2.1148866461057976</c:v>
              </c:pt>
              <c:pt idx="39">
                <c:v>-2.0077406848213544</c:v>
              </c:pt>
              <c:pt idx="40">
                <c:v>-1.8951961980647147</c:v>
              </c:pt>
              <c:pt idx="41">
                <c:v>-1.7771046267974688</c:v>
              </c:pt>
              <c:pt idx="42">
                <c:v>-1.6533273947279199</c:v>
              </c:pt>
              <c:pt idx="43">
                <c:v>-1.5237378626491505</c:v>
              </c:pt>
              <c:pt idx="44">
                <c:v>-1.388223368555124</c:v>
              </c:pt>
              <c:pt idx="45">
                <c:v>-1.2466873299709398</c:v>
              </c:pt>
              <c:pt idx="46">
                <c:v>-1.0990513798353114</c:v>
              </c:pt>
              <c:pt idx="47">
                <c:v>-0.94525750221214544</c:v>
              </c:pt>
              <c:pt idx="48">
                <c:v>-0.78527012929796181</c:v>
              </c:pt>
              <c:pt idx="49">
                <c:v>-0.61907815687851919</c:v>
              </c:pt>
              <c:pt idx="50">
                <c:v>-0.44669683184065456</c:v>
              </c:pt>
              <c:pt idx="51">
                <c:v>-0.26816946284299165</c:v>
              </c:pt>
              <c:pt idx="52">
                <c:v>-8.3568904066706209E-2</c:v>
              </c:pt>
              <c:pt idx="53">
                <c:v>0.10700123764518008</c:v>
              </c:pt>
              <c:pt idx="54">
                <c:v>0.30340571978893238</c:v>
              </c:pt>
              <c:pt idx="55">
                <c:v>0.5054771487943629</c:v>
              </c:pt>
            </c:numLit>
          </c:xVal>
          <c:yVal>
            <c:numLit>
              <c:formatCode>General</c:formatCode>
              <c:ptCount val="56"/>
              <c:pt idx="0">
                <c:v>2.0930000000000001E-2</c:v>
              </c:pt>
              <c:pt idx="1">
                <c:v>2.0838150344721491E-2</c:v>
              </c:pt>
              <c:pt idx="2">
                <c:v>2.0742509615122581E-2</c:v>
              </c:pt>
              <c:pt idx="3">
                <c:v>2.0642878308754005E-2</c:v>
              </c:pt>
              <c:pt idx="4">
                <c:v>2.0539046809061261E-2</c:v>
              </c:pt>
              <c:pt idx="5">
                <c:v>2.0430795350641542E-2</c:v>
              </c:pt>
              <c:pt idx="6">
                <c:v>2.0317894135552732E-2</c:v>
              </c:pt>
              <c:pt idx="7">
                <c:v>2.0200103644625281E-2</c:v>
              </c:pt>
              <c:pt idx="8">
                <c:v>2.0077175197246788E-2</c:v>
              </c:pt>
              <c:pt idx="9">
                <c:v>1.9948851824198272E-2</c:v>
              </c:pt>
              <c:pt idx="10">
                <c:v>1.9814869530917118E-2</c:v>
              </c:pt>
              <c:pt idx="11">
                <c:v>1.9674959043059544E-2</c:v>
              </c:pt>
              <c:pt idx="12">
                <c:v>1.9528848142313003E-2</c:v>
              </c:pt>
              <c:pt idx="13">
                <c:v>1.9376264717732728E-2</c:v>
              </c:pt>
              <c:pt idx="14">
                <c:v>1.921694067579767E-2</c:v>
              </c:pt>
              <c:pt idx="15">
                <c:v>1.905061686979987E-2</c:v>
              </c:pt>
              <c:pt idx="16">
                <c:v>1.8964752998040003E-2</c:v>
              </c:pt>
              <c:pt idx="17">
                <c:v>1.8877049224379265E-2</c:v>
              </c:pt>
              <c:pt idx="18">
                <c:v>1.8787478625185268E-2</c:v>
              </c:pt>
              <c:pt idx="19">
                <c:v>1.8696016241449256E-2</c:v>
              </c:pt>
              <c:pt idx="20">
                <c:v>1.8602639402078635E-2</c:v>
              </c:pt>
              <c:pt idx="21">
                <c:v>1.85073280758347E-2</c:v>
              </c:pt>
              <c:pt idx="22">
                <c:v>1.8410065253019303E-2</c:v>
              </c:pt>
              <c:pt idx="23">
                <c:v>1.8310837357796605E-2</c:v>
              </c:pt>
              <c:pt idx="24">
                <c:v>1.820963469175254E-2</c:v>
              </c:pt>
              <c:pt idx="25">
                <c:v>1.8106451908935582E-2</c:v>
              </c:pt>
              <c:pt idx="26">
                <c:v>1.8001288522178398E-2</c:v>
              </c:pt>
              <c:pt idx="27">
                <c:v>1.7894149439960622E-2</c:v>
              </c:pt>
              <c:pt idx="28">
                <c:v>1.7785045532430037E-2</c:v>
              </c:pt>
              <c:pt idx="29">
                <c:v>1.7673994224443108E-2</c:v>
              </c:pt>
              <c:pt idx="30">
                <c:v>1.7561020112610893E-2</c:v>
              </c:pt>
              <c:pt idx="31">
                <c:v>1.7446155602337338E-2</c:v>
              </c:pt>
              <c:pt idx="32">
                <c:v>1.7329441559713527E-2</c:v>
              </c:pt>
              <c:pt idx="33">
                <c:v>1.7210927971887027E-2</c:v>
              </c:pt>
              <c:pt idx="34">
                <c:v>1.7090674608169102E-2</c:v>
              </c:pt>
              <c:pt idx="35">
                <c:v>1.6968751672690126E-2</c:v>
              </c:pt>
              <c:pt idx="36">
                <c:v>1.6845240437890034E-2</c:v>
              </c:pt>
              <c:pt idx="37">
                <c:v>1.6720233846569021E-2</c:v>
              </c:pt>
              <c:pt idx="38">
                <c:v>1.6593837068668817E-2</c:v>
              </c:pt>
              <c:pt idx="39">
                <c:v>1.6466167997462634E-2</c:v>
              </c:pt>
              <c:pt idx="40">
                <c:v>1.6337357668468857E-2</c:v>
              </c:pt>
              <c:pt idx="41">
                <c:v>1.6207550583249328E-2</c:v>
              </c:pt>
              <c:pt idx="42">
                <c:v>1.6076904919395639E-2</c:v>
              </c:pt>
              <c:pt idx="43">
                <c:v>1.5945592607543146E-2</c:v>
              </c:pt>
              <c:pt idx="44">
                <c:v>1.5813799256283002E-2</c:v>
              </c:pt>
              <c:pt idx="45">
                <c:v>1.5681723906468353E-2</c:v>
              </c:pt>
              <c:pt idx="46">
                <c:v>1.5549578597725369E-2</c:v>
              </c:pt>
              <c:pt idx="47">
                <c:v>1.5417587732063727E-2</c:v>
              </c:pt>
              <c:pt idx="48">
                <c:v>1.5285987222392702E-2</c:v>
              </c:pt>
              <c:pt idx="49">
                <c:v>1.5155023417515526E-2</c:v>
              </c:pt>
              <c:pt idx="50">
                <c:v>1.5024951799785189E-2</c:v>
              </c:pt>
              <c:pt idx="51">
                <c:v>1.4896035457000568E-2</c:v>
              </c:pt>
              <c:pt idx="52">
                <c:v>1.4768543336192361E-2</c:v>
              </c:pt>
              <c:pt idx="53">
                <c:v>1.4642748293527812E-2</c:v>
              </c:pt>
              <c:pt idx="54">
                <c:v>1.4518924961431453E-2</c:v>
              </c:pt>
              <c:pt idx="55">
                <c:v>1.439734746090714E-2</c:v>
              </c:pt>
            </c:numLit>
          </c:yVal>
          <c:smooth val="1"/>
          <c:extLst>
            <c:ext xmlns:c16="http://schemas.microsoft.com/office/drawing/2014/chart" uri="{C3380CC4-5D6E-409C-BE32-E72D297353CC}">
              <c16:uniqueId val="{00000049-6616-42F6-AC02-49C096B95DA0}"/>
            </c:ext>
          </c:extLst>
        </c:ser>
        <c:ser>
          <c:idx val="66"/>
          <c:order val="66"/>
          <c:spPr>
            <a:ln w="3175">
              <a:solidFill>
                <a:srgbClr val="000000"/>
              </a:solidFill>
              <a:prstDash val="solid"/>
            </a:ln>
          </c:spPr>
          <c:marker>
            <c:symbol val="none"/>
          </c:marker>
          <c:xVal>
            <c:numLit>
              <c:formatCode>General</c:formatCode>
              <c:ptCount val="2"/>
              <c:pt idx="0">
                <c:v>-6.4780000000000006</c:v>
              </c:pt>
              <c:pt idx="1">
                <c:v>-5.878000000000001</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4A-6616-42F6-AC02-49C096B95DA0}"/>
            </c:ext>
          </c:extLst>
        </c:ser>
        <c:ser>
          <c:idx val="67"/>
          <c:order val="67"/>
          <c:spPr>
            <a:ln w="3175">
              <a:solidFill>
                <a:srgbClr val="000000"/>
              </a:solidFill>
              <a:prstDash val="solid"/>
            </a:ln>
          </c:spPr>
          <c:marker>
            <c:symbol val="none"/>
          </c:marker>
          <c:xVal>
            <c:numLit>
              <c:formatCode>General</c:formatCode>
              <c:ptCount val="2"/>
              <c:pt idx="0">
                <c:v>-6.4771548667567451</c:v>
              </c:pt>
              <c:pt idx="1">
                <c:v>-6.1771726249136609</c:v>
              </c:pt>
            </c:numLit>
          </c:xVal>
          <c:yVal>
            <c:numLit>
              <c:formatCode>General</c:formatCode>
              <c:ptCount val="2"/>
              <c:pt idx="0">
                <c:v>2.0816221982499338E-2</c:v>
              </c:pt>
              <c:pt idx="1">
                <c:v>2.0818636402393346E-2</c:v>
              </c:pt>
            </c:numLit>
          </c:yVal>
          <c:smooth val="0"/>
          <c:extLst>
            <c:ext xmlns:c16="http://schemas.microsoft.com/office/drawing/2014/chart" uri="{C3380CC4-5D6E-409C-BE32-E72D297353CC}">
              <c16:uniqueId val="{0000004B-6616-42F6-AC02-49C096B95DA0}"/>
            </c:ext>
          </c:extLst>
        </c:ser>
        <c:ser>
          <c:idx val="68"/>
          <c:order val="68"/>
          <c:spPr>
            <a:ln w="3175">
              <a:solidFill>
                <a:srgbClr val="000000"/>
              </a:solidFill>
              <a:prstDash val="solid"/>
            </a:ln>
          </c:spPr>
          <c:marker>
            <c:symbol val="none"/>
          </c:marker>
          <c:xVal>
            <c:numLit>
              <c:formatCode>General</c:formatCode>
              <c:ptCount val="2"/>
              <c:pt idx="0">
                <c:v>-6.4744781546020507</c:v>
              </c:pt>
              <c:pt idx="1">
                <c:v>-6.1745521569433741</c:v>
              </c:pt>
            </c:numLit>
          </c:xVal>
          <c:yVal>
            <c:numLit>
              <c:formatCode>General</c:formatCode>
              <c:ptCount val="2"/>
              <c:pt idx="0">
                <c:v>2.0697747630638599E-2</c:v>
              </c:pt>
              <c:pt idx="1">
                <c:v>2.0702676147209751E-2</c:v>
              </c:pt>
            </c:numLit>
          </c:yVal>
          <c:smooth val="0"/>
          <c:extLst>
            <c:ext xmlns:c16="http://schemas.microsoft.com/office/drawing/2014/chart" uri="{C3380CC4-5D6E-409C-BE32-E72D297353CC}">
              <c16:uniqueId val="{0000004C-6616-42F6-AC02-49C096B95DA0}"/>
            </c:ext>
          </c:extLst>
        </c:ser>
        <c:ser>
          <c:idx val="69"/>
          <c:order val="69"/>
          <c:spPr>
            <a:ln w="3175">
              <a:solidFill>
                <a:srgbClr val="000000"/>
              </a:solidFill>
              <a:prstDash val="solid"/>
            </a:ln>
          </c:spPr>
          <c:marker>
            <c:symbol val="none"/>
          </c:marker>
          <c:xVal>
            <c:numLit>
              <c:formatCode>General</c:formatCode>
              <c:ptCount val="2"/>
              <c:pt idx="0">
                <c:v>-6.4697392601020702</c:v>
              </c:pt>
              <c:pt idx="1">
                <c:v>-6.169912839625173</c:v>
              </c:pt>
            </c:numLit>
          </c:xVal>
          <c:yVal>
            <c:numLit>
              <c:formatCode>General</c:formatCode>
              <c:ptCount val="2"/>
              <c:pt idx="0">
                <c:v>2.0574329599127333E-2</c:v>
              </c:pt>
              <c:pt idx="1">
                <c:v>2.0581877160896857E-2</c:v>
              </c:pt>
            </c:numLit>
          </c:yVal>
          <c:smooth val="0"/>
          <c:extLst>
            <c:ext xmlns:c16="http://schemas.microsoft.com/office/drawing/2014/chart" uri="{C3380CC4-5D6E-409C-BE32-E72D297353CC}">
              <c16:uniqueId val="{0000004D-6616-42F6-AC02-49C096B95DA0}"/>
            </c:ext>
          </c:extLst>
        </c:ser>
        <c:ser>
          <c:idx val="70"/>
          <c:order val="70"/>
          <c:spPr>
            <a:ln w="3175">
              <a:solidFill>
                <a:srgbClr val="000000"/>
              </a:solidFill>
              <a:prstDash val="solid"/>
            </a:ln>
          </c:spPr>
          <c:marker>
            <c:symbol val="none"/>
          </c:marker>
          <c:xVal>
            <c:numLit>
              <c:formatCode>General</c:formatCode>
              <c:ptCount val="2"/>
              <c:pt idx="0">
                <c:v>-6.4626803906648105</c:v>
              </c:pt>
              <c:pt idx="1">
                <c:v>-6.163002300125668</c:v>
              </c:pt>
            </c:numLit>
          </c:xVal>
          <c:yVal>
            <c:numLit>
              <c:formatCode>General</c:formatCode>
              <c:ptCount val="2"/>
              <c:pt idx="0">
                <c:v>2.0445707961793541E-2</c:v>
              </c:pt>
              <c:pt idx="1">
                <c:v>2.0455985061604547E-2</c:v>
              </c:pt>
            </c:numLit>
          </c:yVal>
          <c:smooth val="0"/>
          <c:extLst>
            <c:ext xmlns:c16="http://schemas.microsoft.com/office/drawing/2014/chart" uri="{C3380CC4-5D6E-409C-BE32-E72D297353CC}">
              <c16:uniqueId val="{0000004E-6616-42F6-AC02-49C096B95DA0}"/>
            </c:ext>
          </c:extLst>
        </c:ser>
        <c:ser>
          <c:idx val="71"/>
          <c:order val="71"/>
          <c:spPr>
            <a:ln w="3175">
              <a:solidFill>
                <a:srgbClr val="000000"/>
              </a:solidFill>
              <a:prstDash val="solid"/>
            </a:ln>
          </c:spPr>
          <c:marker>
            <c:symbol val="none"/>
          </c:marker>
          <c:xVal>
            <c:numLit>
              <c:formatCode>General</c:formatCode>
              <c:ptCount val="2"/>
              <c:pt idx="0">
                <c:v>-6.4530133649286947</c:v>
              </c:pt>
              <c:pt idx="1">
                <c:v>-5.8540639178741065</c:v>
              </c:pt>
            </c:numLit>
          </c:xVal>
          <c:yVal>
            <c:numLit>
              <c:formatCode>General</c:formatCode>
              <c:ptCount val="2"/>
              <c:pt idx="0">
                <c:v>2.0311610158401223E-2</c:v>
              </c:pt>
              <c:pt idx="1">
                <c:v>2.033786162222339E-2</c:v>
              </c:pt>
            </c:numLit>
          </c:yVal>
          <c:smooth val="0"/>
          <c:extLst>
            <c:ext xmlns:c16="http://schemas.microsoft.com/office/drawing/2014/chart" uri="{C3380CC4-5D6E-409C-BE32-E72D297353CC}">
              <c16:uniqueId val="{0000004F-6616-42F6-AC02-49C096B95DA0}"/>
            </c:ext>
          </c:extLst>
        </c:ser>
        <c:ser>
          <c:idx val="72"/>
          <c:order val="72"/>
          <c:spPr>
            <a:ln w="3175">
              <a:solidFill>
                <a:srgbClr val="000000"/>
              </a:solidFill>
              <a:prstDash val="solid"/>
            </a:ln>
          </c:spPr>
          <c:marker>
            <c:symbol val="none"/>
          </c:marker>
          <c:xVal>
            <c:numLit>
              <c:formatCode>General</c:formatCode>
              <c:ptCount val="2"/>
              <c:pt idx="0">
                <c:v>-6.4404160659918741</c:v>
              </c:pt>
              <c:pt idx="1">
                <c:v>-6.1412058508383218</c:v>
              </c:pt>
            </c:numLit>
          </c:xVal>
          <c:yVal>
            <c:numLit>
              <c:formatCode>General</c:formatCode>
              <c:ptCount val="2"/>
              <c:pt idx="0">
                <c:v>2.0171751126828213E-2</c:v>
              </c:pt>
              <c:pt idx="1">
                <c:v>2.0187842331041393E-2</c:v>
              </c:pt>
            </c:numLit>
          </c:yVal>
          <c:smooth val="0"/>
          <c:extLst>
            <c:ext xmlns:c16="http://schemas.microsoft.com/office/drawing/2014/chart" uri="{C3380CC4-5D6E-409C-BE32-E72D297353CC}">
              <c16:uniqueId val="{00000050-6616-42F6-AC02-49C096B95DA0}"/>
            </c:ext>
          </c:extLst>
        </c:ser>
        <c:ser>
          <c:idx val="73"/>
          <c:order val="73"/>
          <c:spPr>
            <a:ln w="3175">
              <a:solidFill>
                <a:srgbClr val="000000"/>
              </a:solidFill>
              <a:prstDash val="solid"/>
            </a:ln>
          </c:spPr>
          <c:marker>
            <c:symbol val="none"/>
          </c:marker>
          <c:xVal>
            <c:numLit>
              <c:formatCode>General</c:formatCode>
              <c:ptCount val="2"/>
              <c:pt idx="0">
                <c:v>-6.4245285241259857</c:v>
              </c:pt>
              <c:pt idx="1">
                <c:v>-6.1256522059410843</c:v>
              </c:pt>
            </c:numLit>
          </c:xVal>
          <c:yVal>
            <c:numLit>
              <c:formatCode>General</c:formatCode>
              <c:ptCount val="2"/>
              <c:pt idx="0">
                <c:v>2.0025833674800028E-2</c:v>
              </c:pt>
              <c:pt idx="1">
                <c:v>2.0045021897082967E-2</c:v>
              </c:pt>
            </c:numLit>
          </c:yVal>
          <c:smooth val="0"/>
          <c:extLst>
            <c:ext xmlns:c16="http://schemas.microsoft.com/office/drawing/2014/chart" uri="{C3380CC4-5D6E-409C-BE32-E72D297353CC}">
              <c16:uniqueId val="{00000051-6616-42F6-AC02-49C096B95DA0}"/>
            </c:ext>
          </c:extLst>
        </c:ser>
        <c:ser>
          <c:idx val="74"/>
          <c:order val="74"/>
          <c:spPr>
            <a:ln w="3175">
              <a:solidFill>
                <a:srgbClr val="000000"/>
              </a:solidFill>
              <a:prstDash val="solid"/>
            </a:ln>
          </c:spPr>
          <c:marker>
            <c:symbol val="none"/>
          </c:marker>
          <c:xVal>
            <c:numLit>
              <c:formatCode>General</c:formatCode>
              <c:ptCount val="2"/>
              <c:pt idx="0">
                <c:v>-6.4049486097896127</c:v>
              </c:pt>
              <c:pt idx="1">
                <c:v>-6.1064838193638336</c:v>
              </c:pt>
            </c:numLit>
          </c:xVal>
          <c:yVal>
            <c:numLit>
              <c:formatCode>General</c:formatCode>
              <c:ptCount val="2"/>
              <c:pt idx="0">
                <c:v>1.9873549157153957E-2</c:v>
              </c:pt>
              <c:pt idx="1">
                <c:v>1.9895969774747002E-2</c:v>
              </c:pt>
            </c:numLit>
          </c:yVal>
          <c:smooth val="0"/>
          <c:extLst>
            <c:ext xmlns:c16="http://schemas.microsoft.com/office/drawing/2014/chart" uri="{C3380CC4-5D6E-409C-BE32-E72D297353CC}">
              <c16:uniqueId val="{00000052-6616-42F6-AC02-49C096B95DA0}"/>
            </c:ext>
          </c:extLst>
        </c:ser>
        <c:ser>
          <c:idx val="75"/>
          <c:order val="75"/>
          <c:spPr>
            <a:ln w="3175">
              <a:solidFill>
                <a:srgbClr val="000000"/>
              </a:solidFill>
              <a:prstDash val="solid"/>
            </a:ln>
          </c:spPr>
          <c:marker>
            <c:symbol val="none"/>
          </c:marker>
          <c:xVal>
            <c:numLit>
              <c:formatCode>General</c:formatCode>
              <c:ptCount val="2"/>
              <c:pt idx="0">
                <c:v>-6.3812273246822127</c:v>
              </c:pt>
              <c:pt idx="1">
                <c:v>-6.0832611503332013</c:v>
              </c:pt>
            </c:numLit>
          </c:xVal>
          <c:yVal>
            <c:numLit>
              <c:formatCode>General</c:formatCode>
              <c:ptCount val="2"/>
              <c:pt idx="0">
                <c:v>1.9714578538365699E-2</c:v>
              </c:pt>
              <c:pt idx="1">
                <c:v>1.9740373775798421E-2</c:v>
              </c:pt>
            </c:numLit>
          </c:yVal>
          <c:smooth val="0"/>
          <c:extLst>
            <c:ext xmlns:c16="http://schemas.microsoft.com/office/drawing/2014/chart" uri="{C3380CC4-5D6E-409C-BE32-E72D297353CC}">
              <c16:uniqueId val="{00000053-6616-42F6-AC02-49C096B95DA0}"/>
            </c:ext>
          </c:extLst>
        </c:ser>
        <c:ser>
          <c:idx val="76"/>
          <c:order val="76"/>
          <c:spPr>
            <a:ln w="3175">
              <a:solidFill>
                <a:srgbClr val="000000"/>
              </a:solidFill>
              <a:prstDash val="solid"/>
            </a:ln>
          </c:spPr>
          <c:marker>
            <c:symbol val="none"/>
          </c:marker>
          <c:xVal>
            <c:numLit>
              <c:formatCode>General</c:formatCode>
              <c:ptCount val="2"/>
              <c:pt idx="0">
                <c:v>-6.3528636892133203</c:v>
              </c:pt>
              <c:pt idx="1">
                <c:v>-5.7581260856691445</c:v>
              </c:pt>
            </c:numLit>
          </c:xVal>
          <c:yVal>
            <c:numLit>
              <c:formatCode>General</c:formatCode>
              <c:ptCount val="2"/>
              <c:pt idx="0">
                <c:v>1.9548593935935225E-2</c:v>
              </c:pt>
              <c:pt idx="1">
                <c:v>1.9607244455322151E-2</c:v>
              </c:pt>
            </c:numLit>
          </c:yVal>
          <c:smooth val="0"/>
          <c:extLst>
            <c:ext xmlns:c16="http://schemas.microsoft.com/office/drawing/2014/chart" uri="{C3380CC4-5D6E-409C-BE32-E72D297353CC}">
              <c16:uniqueId val="{00000054-6616-42F6-AC02-49C096B95DA0}"/>
            </c:ext>
          </c:extLst>
        </c:ser>
        <c:ser>
          <c:idx val="77"/>
          <c:order val="77"/>
          <c:spPr>
            <a:ln w="3175">
              <a:solidFill>
                <a:srgbClr val="000000"/>
              </a:solidFill>
              <a:prstDash val="solid"/>
            </a:ln>
          </c:spPr>
          <c:marker>
            <c:symbol val="none"/>
          </c:marker>
          <c:xVal>
            <c:numLit>
              <c:formatCode>General</c:formatCode>
              <c:ptCount val="2"/>
              <c:pt idx="0">
                <c:v>-6.3192992403036552</c:v>
              </c:pt>
              <c:pt idx="1">
                <c:v>-6.0226350152140311</c:v>
              </c:pt>
            </c:numLit>
          </c:xVal>
          <c:yVal>
            <c:numLit>
              <c:formatCode>General</c:formatCode>
              <c:ptCount val="2"/>
              <c:pt idx="0">
                <c:v>1.9375260758225134E-2</c:v>
              </c:pt>
              <c:pt idx="1">
                <c:v>1.94082602718086E-2</c:v>
              </c:pt>
            </c:numLit>
          </c:yVal>
          <c:smooth val="0"/>
          <c:extLst>
            <c:ext xmlns:c16="http://schemas.microsoft.com/office/drawing/2014/chart" uri="{C3380CC4-5D6E-409C-BE32-E72D297353CC}">
              <c16:uniqueId val="{00000055-6616-42F6-AC02-49C096B95DA0}"/>
            </c:ext>
          </c:extLst>
        </c:ser>
        <c:ser>
          <c:idx val="78"/>
          <c:order val="78"/>
          <c:spPr>
            <a:ln w="3175">
              <a:solidFill>
                <a:srgbClr val="000000"/>
              </a:solidFill>
              <a:prstDash val="solid"/>
            </a:ln>
          </c:spPr>
          <c:marker>
            <c:symbol val="none"/>
          </c:marker>
          <c:xVal>
            <c:numLit>
              <c:formatCode>General</c:formatCode>
              <c:ptCount val="2"/>
              <c:pt idx="0">
                <c:v>-6.2799121753649985</c:v>
              </c:pt>
              <c:pt idx="1">
                <c:v>-5.9840761830536753</c:v>
              </c:pt>
            </c:numLit>
          </c:xVal>
          <c:yVal>
            <c:numLit>
              <c:formatCode>General</c:formatCode>
              <c:ptCount val="2"/>
              <c:pt idx="0">
                <c:v>1.9194240570334139E-2</c:v>
              </c:pt>
              <c:pt idx="1">
                <c:v>1.9231084265235985E-2</c:v>
              </c:pt>
            </c:numLit>
          </c:yVal>
          <c:smooth val="0"/>
          <c:extLst>
            <c:ext xmlns:c16="http://schemas.microsoft.com/office/drawing/2014/chart" uri="{C3380CC4-5D6E-409C-BE32-E72D297353CC}">
              <c16:uniqueId val="{00000056-6616-42F6-AC02-49C096B95DA0}"/>
            </c:ext>
          </c:extLst>
        </c:ser>
        <c:ser>
          <c:idx val="79"/>
          <c:order val="79"/>
          <c:spPr>
            <a:ln w="3175">
              <a:solidFill>
                <a:srgbClr val="000000"/>
              </a:solidFill>
              <a:prstDash val="solid"/>
            </a:ln>
          </c:spPr>
          <c:marker>
            <c:symbol val="none"/>
          </c:marker>
          <c:xVal>
            <c:numLit>
              <c:formatCode>General</c:formatCode>
              <c:ptCount val="2"/>
              <c:pt idx="0">
                <c:v>-6.2340112084088908</c:v>
              </c:pt>
              <c:pt idx="1">
                <c:v>-5.9391405956743277</c:v>
              </c:pt>
            </c:numLit>
          </c:xVal>
          <c:yVal>
            <c:numLit>
              <c:formatCode>General</c:formatCode>
              <c:ptCount val="2"/>
              <c:pt idx="0">
                <c:v>1.900519484317249E-2</c:v>
              </c:pt>
              <c:pt idx="1">
                <c:v>1.9046053859856433E-2</c:v>
              </c:pt>
            </c:numLit>
          </c:yVal>
          <c:smooth val="0"/>
          <c:extLst>
            <c:ext xmlns:c16="http://schemas.microsoft.com/office/drawing/2014/chart" uri="{C3380CC4-5D6E-409C-BE32-E72D297353CC}">
              <c16:uniqueId val="{00000057-6616-42F6-AC02-49C096B95DA0}"/>
            </c:ext>
          </c:extLst>
        </c:ser>
        <c:ser>
          <c:idx val="80"/>
          <c:order val="80"/>
          <c:spPr>
            <a:ln w="3175">
              <a:solidFill>
                <a:srgbClr val="000000"/>
              </a:solidFill>
              <a:prstDash val="solid"/>
            </a:ln>
          </c:spPr>
          <c:marker>
            <c:symbol val="none"/>
          </c:marker>
          <c:xVal>
            <c:numLit>
              <c:formatCode>General</c:formatCode>
              <c:ptCount val="2"/>
              <c:pt idx="0">
                <c:v>-6.1808292446003525</c:v>
              </c:pt>
              <c:pt idx="1">
                <c:v>-5.8870773748687428</c:v>
              </c:pt>
            </c:numLit>
          </c:xVal>
          <c:yVal>
            <c:numLit>
              <c:formatCode>General</c:formatCode>
              <c:ptCount val="2"/>
              <c:pt idx="0">
                <c:v>1.8807789763299193E-2</c:v>
              </c:pt>
              <c:pt idx="1">
                <c:v>1.885284251062827E-2</c:v>
              </c:pt>
            </c:numLit>
          </c:yVal>
          <c:smooth val="0"/>
          <c:extLst>
            <c:ext xmlns:c16="http://schemas.microsoft.com/office/drawing/2014/chart" uri="{C3380CC4-5D6E-409C-BE32-E72D297353CC}">
              <c16:uniqueId val="{00000058-6616-42F6-AC02-49C096B95DA0}"/>
            </c:ext>
          </c:extLst>
        </c:ser>
        <c:ser>
          <c:idx val="81"/>
          <c:order val="81"/>
          <c:spPr>
            <a:ln w="3175">
              <a:solidFill>
                <a:srgbClr val="000000"/>
              </a:solidFill>
              <a:prstDash val="solid"/>
            </a:ln>
          </c:spPr>
          <c:marker>
            <c:symbol val="none"/>
          </c:marker>
          <c:xVal>
            <c:numLit>
              <c:formatCode>General</c:formatCode>
              <c:ptCount val="2"/>
              <c:pt idx="0">
                <c:v>-6.1195170325550308</c:v>
              </c:pt>
              <c:pt idx="1">
                <c:v>-5.534599652818355</c:v>
              </c:pt>
            </c:numLit>
          </c:xVal>
          <c:yVal>
            <c:numLit>
              <c:formatCode>General</c:formatCode>
              <c:ptCount val="2"/>
              <c:pt idx="0">
                <c:v>1.86017023029456E-2</c:v>
              </c:pt>
              <c:pt idx="1">
                <c:v>1.8700586194654339E-2</c:v>
              </c:pt>
            </c:numLit>
          </c:yVal>
          <c:smooth val="0"/>
          <c:extLst>
            <c:ext xmlns:c16="http://schemas.microsoft.com/office/drawing/2014/chart" uri="{C3380CC4-5D6E-409C-BE32-E72D297353CC}">
              <c16:uniqueId val="{00000059-6616-42F6-AC02-49C096B95DA0}"/>
            </c:ext>
          </c:extLst>
        </c:ser>
        <c:ser>
          <c:idx val="82"/>
          <c:order val="82"/>
          <c:spPr>
            <a:ln w="3175">
              <a:solidFill>
                <a:srgbClr val="000000"/>
              </a:solidFill>
              <a:prstDash val="solid"/>
            </a:ln>
          </c:spPr>
          <c:marker>
            <c:symbol val="none"/>
          </c:marker>
          <c:xVal>
            <c:numLit>
              <c:formatCode>General</c:formatCode>
              <c:ptCount val="2"/>
              <c:pt idx="0">
                <c:v>-6.085522707107951</c:v>
              </c:pt>
              <c:pt idx="1">
                <c:v>-5.7937763361296684</c:v>
              </c:pt>
            </c:numLit>
          </c:xVal>
          <c:yVal>
            <c:numLit>
              <c:formatCode>General</c:formatCode>
              <c:ptCount val="2"/>
              <c:pt idx="0">
                <c:v>1.8495306506800622E-2</c:v>
              </c:pt>
              <c:pt idx="1">
                <c:v>1.8546999744218709E-2</c:v>
              </c:pt>
            </c:numLit>
          </c:yVal>
          <c:smooth val="0"/>
          <c:extLst>
            <c:ext xmlns:c16="http://schemas.microsoft.com/office/drawing/2014/chart" uri="{C3380CC4-5D6E-409C-BE32-E72D297353CC}">
              <c16:uniqueId val="{0000005A-6616-42F6-AC02-49C096B95DA0}"/>
            </c:ext>
          </c:extLst>
        </c:ser>
        <c:ser>
          <c:idx val="83"/>
          <c:order val="83"/>
          <c:spPr>
            <a:ln w="3175">
              <a:solidFill>
                <a:srgbClr val="000000"/>
              </a:solidFill>
              <a:prstDash val="solid"/>
            </a:ln>
          </c:spPr>
          <c:marker>
            <c:symbol val="none"/>
          </c:marker>
          <c:xVal>
            <c:numLit>
              <c:formatCode>General</c:formatCode>
              <c:ptCount val="2"/>
              <c:pt idx="0">
                <c:v>-6.0491370217777725</c:v>
              </c:pt>
              <c:pt idx="1">
                <c:v>-5.7581565088975415</c:v>
              </c:pt>
            </c:numLit>
          </c:xVal>
          <c:yVal>
            <c:numLit>
              <c:formatCode>General</c:formatCode>
              <c:ptCount val="2"/>
              <c:pt idx="0">
                <c:v>1.8386627768883546E-2</c:v>
              </c:pt>
              <c:pt idx="1">
                <c:v>1.8440631137357402E-2</c:v>
              </c:pt>
            </c:numLit>
          </c:yVal>
          <c:smooth val="0"/>
          <c:extLst>
            <c:ext xmlns:c16="http://schemas.microsoft.com/office/drawing/2014/chart" uri="{C3380CC4-5D6E-409C-BE32-E72D297353CC}">
              <c16:uniqueId val="{0000005B-6616-42F6-AC02-49C096B95DA0}"/>
            </c:ext>
          </c:extLst>
        </c:ser>
        <c:ser>
          <c:idx val="84"/>
          <c:order val="84"/>
          <c:spPr>
            <a:ln w="3175">
              <a:solidFill>
                <a:srgbClr val="000000"/>
              </a:solidFill>
              <a:prstDash val="solid"/>
            </a:ln>
          </c:spPr>
          <c:marker>
            <c:symbol val="none"/>
          </c:marker>
          <c:xVal>
            <c:numLit>
              <c:formatCode>General</c:formatCode>
              <c:ptCount val="2"/>
              <c:pt idx="0">
                <c:v>-6.0102280619194612</c:v>
              </c:pt>
              <c:pt idx="1">
                <c:v>-5.7200666445882398</c:v>
              </c:pt>
            </c:numLit>
          </c:xVal>
          <c:yVal>
            <c:numLit>
              <c:formatCode>General</c:formatCode>
              <c:ptCount val="2"/>
              <c:pt idx="0">
                <c:v>1.8275632385817388E-2</c:v>
              </c:pt>
              <c:pt idx="1">
                <c:v>1.8331995490505258E-2</c:v>
              </c:pt>
            </c:numLit>
          </c:yVal>
          <c:smooth val="0"/>
          <c:extLst>
            <c:ext xmlns:c16="http://schemas.microsoft.com/office/drawing/2014/chart" uri="{C3380CC4-5D6E-409C-BE32-E72D297353CC}">
              <c16:uniqueId val="{0000005C-6616-42F6-AC02-49C096B95DA0}"/>
            </c:ext>
          </c:extLst>
        </c:ser>
        <c:ser>
          <c:idx val="85"/>
          <c:order val="85"/>
          <c:spPr>
            <a:ln w="3175">
              <a:solidFill>
                <a:srgbClr val="000000"/>
              </a:solidFill>
              <a:prstDash val="solid"/>
            </a:ln>
          </c:spPr>
          <c:marker>
            <c:symbol val="none"/>
          </c:marker>
          <c:xVal>
            <c:numLit>
              <c:formatCode>General</c:formatCode>
              <c:ptCount val="2"/>
              <c:pt idx="0">
                <c:v>-5.9686577382838752</c:v>
              </c:pt>
              <c:pt idx="1">
                <c:v>-5.6793715867435788</c:v>
              </c:pt>
            </c:numLit>
          </c:xVal>
          <c:yVal>
            <c:numLit>
              <c:formatCode>General</c:formatCode>
              <c:ptCount val="2"/>
              <c:pt idx="0">
                <c:v>1.8162289062279902E-2</c:v>
              </c:pt>
              <c:pt idx="1">
                <c:v>1.8221062213132893E-2</c:v>
              </c:pt>
            </c:numLit>
          </c:yVal>
          <c:smooth val="0"/>
          <c:extLst>
            <c:ext xmlns:c16="http://schemas.microsoft.com/office/drawing/2014/chart" uri="{C3380CC4-5D6E-409C-BE32-E72D297353CC}">
              <c16:uniqueId val="{0000005D-6616-42F6-AC02-49C096B95DA0}"/>
            </c:ext>
          </c:extLst>
        </c:ser>
        <c:ser>
          <c:idx val="86"/>
          <c:order val="86"/>
          <c:spPr>
            <a:ln w="3175">
              <a:solidFill>
                <a:srgbClr val="000000"/>
              </a:solidFill>
              <a:prstDash val="solid"/>
            </a:ln>
          </c:spPr>
          <c:marker>
            <c:symbol val="none"/>
          </c:marker>
          <c:xVal>
            <c:numLit>
              <c:formatCode>General</c:formatCode>
              <c:ptCount val="2"/>
              <c:pt idx="0">
                <c:v>-5.9242816702136096</c:v>
              </c:pt>
              <c:pt idx="1">
                <c:v>-5.3475877573340735</c:v>
              </c:pt>
            </c:numLit>
          </c:xVal>
          <c:yVal>
            <c:numLit>
              <c:formatCode>General</c:formatCode>
              <c:ptCount val="2"/>
              <c:pt idx="0">
                <c:v>1.8046569310441331E-2</c:v>
              </c:pt>
              <c:pt idx="1">
                <c:v>1.8169061664199238E-2</c:v>
              </c:pt>
            </c:numLit>
          </c:yVal>
          <c:smooth val="0"/>
          <c:extLst>
            <c:ext xmlns:c16="http://schemas.microsoft.com/office/drawing/2014/chart" uri="{C3380CC4-5D6E-409C-BE32-E72D297353CC}">
              <c16:uniqueId val="{0000005E-6616-42F6-AC02-49C096B95DA0}"/>
            </c:ext>
          </c:extLst>
        </c:ser>
        <c:ser>
          <c:idx val="87"/>
          <c:order val="87"/>
          <c:spPr>
            <a:ln w="3175">
              <a:solidFill>
                <a:srgbClr val="000000"/>
              </a:solidFill>
              <a:prstDash val="solid"/>
            </a:ln>
          </c:spPr>
          <c:marker>
            <c:symbol val="none"/>
          </c:marker>
          <c:xVal>
            <c:numLit>
              <c:formatCode>General</c:formatCode>
              <c:ptCount val="2"/>
              <c:pt idx="0">
                <c:v>-5.8769490965930213</c:v>
              </c:pt>
              <c:pt idx="1">
                <c:v>-5.5895944012428798</c:v>
              </c:pt>
            </c:numLit>
          </c:xVal>
          <c:yVal>
            <c:numLit>
              <c:formatCode>General</c:formatCode>
              <c:ptCount val="2"/>
              <c:pt idx="0">
                <c:v>1.7928447884993152E-2</c:v>
              </c:pt>
              <c:pt idx="1">
                <c:v>1.7992194584566659E-2</c:v>
              </c:pt>
            </c:numLit>
          </c:yVal>
          <c:smooth val="0"/>
          <c:extLst>
            <c:ext xmlns:c16="http://schemas.microsoft.com/office/drawing/2014/chart" uri="{C3380CC4-5D6E-409C-BE32-E72D297353CC}">
              <c16:uniqueId val="{0000005F-6616-42F6-AC02-49C096B95DA0}"/>
            </c:ext>
          </c:extLst>
        </c:ser>
        <c:ser>
          <c:idx val="88"/>
          <c:order val="88"/>
          <c:spPr>
            <a:ln w="3175">
              <a:solidFill>
                <a:srgbClr val="000000"/>
              </a:solidFill>
              <a:prstDash val="solid"/>
            </a:ln>
          </c:spPr>
          <c:marker>
            <c:symbol val="none"/>
          </c:marker>
          <c:xVal>
            <c:numLit>
              <c:formatCode>General</c:formatCode>
              <c:ptCount val="2"/>
              <c:pt idx="0">
                <c:v>-5.8265028202105924</c:v>
              </c:pt>
              <c:pt idx="1">
                <c:v>-5.5402108697385151</c:v>
              </c:pt>
            </c:numLit>
          </c:xVal>
          <c:yVal>
            <c:numLit>
              <c:formatCode>General</c:formatCode>
              <c:ptCount val="2"/>
              <c:pt idx="0">
                <c:v>1.780790325517077E-2</c:v>
              </c:pt>
              <c:pt idx="1">
                <c:v>1.7874214546059516E-2</c:v>
              </c:pt>
            </c:numLit>
          </c:yVal>
          <c:smooth val="0"/>
          <c:extLst>
            <c:ext xmlns:c16="http://schemas.microsoft.com/office/drawing/2014/chart" uri="{C3380CC4-5D6E-409C-BE32-E72D297353CC}">
              <c16:uniqueId val="{00000060-6616-42F6-AC02-49C096B95DA0}"/>
            </c:ext>
          </c:extLst>
        </c:ser>
        <c:ser>
          <c:idx val="89"/>
          <c:order val="89"/>
          <c:spPr>
            <a:ln w="3175">
              <a:solidFill>
                <a:srgbClr val="000000"/>
              </a:solidFill>
              <a:prstDash val="solid"/>
            </a:ln>
          </c:spPr>
          <c:marker>
            <c:symbol val="none"/>
          </c:marker>
          <c:xVal>
            <c:numLit>
              <c:formatCode>General</c:formatCode>
              <c:ptCount val="2"/>
              <c:pt idx="0">
                <c:v>-5.7727791918245215</c:v>
              </c:pt>
              <c:pt idx="1">
                <c:v>-5.4876192678528364</c:v>
              </c:pt>
            </c:numLit>
          </c:xVal>
          <c:yVal>
            <c:numLit>
              <c:formatCode>General</c:formatCode>
              <c:ptCount val="2"/>
              <c:pt idx="0">
                <c:v>1.7684918114909066E-2</c:v>
              </c:pt>
              <c:pt idx="1">
                <c:v>1.7753846463893632E-2</c:v>
              </c:pt>
            </c:numLit>
          </c:yVal>
          <c:smooth val="0"/>
          <c:extLst>
            <c:ext xmlns:c16="http://schemas.microsoft.com/office/drawing/2014/chart" uri="{C3380CC4-5D6E-409C-BE32-E72D297353CC}">
              <c16:uniqueId val="{00000061-6616-42F6-AC02-49C096B95DA0}"/>
            </c:ext>
          </c:extLst>
        </c:ser>
        <c:ser>
          <c:idx val="90"/>
          <c:order val="90"/>
          <c:spPr>
            <a:ln w="3175">
              <a:solidFill>
                <a:srgbClr val="000000"/>
              </a:solidFill>
              <a:prstDash val="solid"/>
            </a:ln>
          </c:spPr>
          <c:marker>
            <c:symbol val="none"/>
          </c:marker>
          <c:xVal>
            <c:numLit>
              <c:formatCode>General</c:formatCode>
              <c:ptCount val="2"/>
              <c:pt idx="0">
                <c:v>-5.7156081408752861</c:v>
              </c:pt>
              <c:pt idx="1">
                <c:v>-5.4316531537037873</c:v>
              </c:pt>
            </c:numLit>
          </c:xVal>
          <c:yVal>
            <c:numLit>
              <c:formatCode>General</c:formatCode>
              <c:ptCount val="2"/>
              <c:pt idx="0">
                <c:v>1.7559479931924228E-2</c:v>
              </c:pt>
              <c:pt idx="1">
                <c:v>1.7631078127631022E-2</c:v>
              </c:pt>
            </c:numLit>
          </c:yVal>
          <c:smooth val="0"/>
          <c:extLst>
            <c:ext xmlns:c16="http://schemas.microsoft.com/office/drawing/2014/chart" uri="{C3380CC4-5D6E-409C-BE32-E72D297353CC}">
              <c16:uniqueId val="{00000062-6616-42F6-AC02-49C096B95DA0}"/>
            </c:ext>
          </c:extLst>
        </c:ser>
        <c:ser>
          <c:idx val="91"/>
          <c:order val="91"/>
          <c:spPr>
            <a:ln w="3175">
              <a:solidFill>
                <a:srgbClr val="000000"/>
              </a:solidFill>
              <a:prstDash val="solid"/>
            </a:ln>
          </c:spPr>
          <c:marker>
            <c:symbol val="none"/>
          </c:marker>
          <c:xVal>
            <c:numLit>
              <c:formatCode>General</c:formatCode>
              <c:ptCount val="2"/>
              <c:pt idx="0">
                <c:v>-5.6548132604507</c:v>
              </c:pt>
              <c:pt idx="1">
                <c:v>-5.0894800551960175</c:v>
              </c:pt>
            </c:numLit>
          </c:xVal>
          <c:yVal>
            <c:numLit>
              <c:formatCode>General</c:formatCode>
              <c:ptCount val="2"/>
              <c:pt idx="0">
                <c:v>1.7431581536076757E-2</c:v>
              </c:pt>
              <c:pt idx="1">
                <c:v>1.7580251649321022E-2</c:v>
              </c:pt>
            </c:numLit>
          </c:yVal>
          <c:smooth val="0"/>
          <c:extLst>
            <c:ext xmlns:c16="http://schemas.microsoft.com/office/drawing/2014/chart" uri="{C3380CC4-5D6E-409C-BE32-E72D297353CC}">
              <c16:uniqueId val="{00000063-6616-42F6-AC02-49C096B95DA0}"/>
            </c:ext>
          </c:extLst>
        </c:ser>
        <c:ser>
          <c:idx val="92"/>
          <c:order val="92"/>
          <c:spPr>
            <a:ln w="3175">
              <a:solidFill>
                <a:srgbClr val="000000"/>
              </a:solidFill>
              <a:prstDash val="solid"/>
            </a:ln>
          </c:spPr>
          <c:marker>
            <c:symbol val="none"/>
          </c:marker>
          <c:xVal>
            <c:numLit>
              <c:formatCode>General</c:formatCode>
              <c:ptCount val="2"/>
              <c:pt idx="0">
                <c:v>-5.5902119547643538</c:v>
              </c:pt>
              <c:pt idx="1">
                <c:v>-5.3089007812936524</c:v>
              </c:pt>
            </c:numLit>
          </c:xVal>
          <c:yVal>
            <c:numLit>
              <c:formatCode>General</c:formatCode>
              <c:ptCount val="2"/>
              <c:pt idx="0">
                <c:v>1.730122174682644E-2</c:v>
              </c:pt>
              <c:pt idx="1">
                <c:v>1.7378318722868574E-2</c:v>
              </c:pt>
            </c:numLit>
          </c:yVal>
          <c:smooth val="0"/>
          <c:extLst>
            <c:ext xmlns:c16="http://schemas.microsoft.com/office/drawing/2014/chart" uri="{C3380CC4-5D6E-409C-BE32-E72D297353CC}">
              <c16:uniqueId val="{00000064-6616-42F6-AC02-49C096B95DA0}"/>
            </c:ext>
          </c:extLst>
        </c:ser>
        <c:ser>
          <c:idx val="93"/>
          <c:order val="93"/>
          <c:spPr>
            <a:ln w="3175">
              <a:solidFill>
                <a:srgbClr val="000000"/>
              </a:solidFill>
              <a:prstDash val="solid"/>
            </a:ln>
          </c:spPr>
          <c:marker>
            <c:symbol val="none"/>
          </c:marker>
          <c:xVal>
            <c:numLit>
              <c:formatCode>General</c:formatCode>
              <c:ptCount val="2"/>
              <c:pt idx="0">
                <c:v>-5.5216156580385984</c:v>
              </c:pt>
              <c:pt idx="1">
                <c:v>-5.2417513042334738</c:v>
              </c:pt>
            </c:numLit>
          </c:xVal>
          <c:yVal>
            <c:numLit>
              <c:formatCode>General</c:formatCode>
              <c:ptCount val="2"/>
              <c:pt idx="0">
                <c:v>1.7168406038928632E-2</c:v>
              </c:pt>
              <c:pt idx="1">
                <c:v>1.7248331985026011E-2</c:v>
              </c:pt>
            </c:numLit>
          </c:yVal>
          <c:smooth val="0"/>
          <c:extLst>
            <c:ext xmlns:c16="http://schemas.microsoft.com/office/drawing/2014/chart" uri="{C3380CC4-5D6E-409C-BE32-E72D297353CC}">
              <c16:uniqueId val="{00000065-6616-42F6-AC02-49C096B95DA0}"/>
            </c:ext>
          </c:extLst>
        </c:ser>
        <c:ser>
          <c:idx val="94"/>
          <c:order val="94"/>
          <c:spPr>
            <a:ln w="3175">
              <a:solidFill>
                <a:srgbClr val="000000"/>
              </a:solidFill>
              <a:prstDash val="solid"/>
            </a:ln>
          </c:spPr>
          <c:marker>
            <c:symbol val="none"/>
          </c:marker>
          <c:xVal>
            <c:numLit>
              <c:formatCode>General</c:formatCode>
              <c:ptCount val="2"/>
              <c:pt idx="0">
                <c:v>-5.4488301342643446</c:v>
              </c:pt>
              <c:pt idx="1">
                <c:v>-5.1705013862512814</c:v>
              </c:pt>
            </c:numLit>
          </c:xVal>
          <c:yVal>
            <c:numLit>
              <c:formatCode>General</c:formatCode>
              <c:ptCount val="2"/>
              <c:pt idx="0">
                <c:v>1.7033147244730054E-2</c:v>
              </c:pt>
              <c:pt idx="1">
                <c:v>1.7115954993172641E-2</c:v>
              </c:pt>
            </c:numLit>
          </c:yVal>
          <c:smooth val="0"/>
          <c:extLst>
            <c:ext xmlns:c16="http://schemas.microsoft.com/office/drawing/2014/chart" uri="{C3380CC4-5D6E-409C-BE32-E72D297353CC}">
              <c16:uniqueId val="{00000066-6616-42F6-AC02-49C096B95DA0}"/>
            </c:ext>
          </c:extLst>
        </c:ser>
        <c:ser>
          <c:idx val="95"/>
          <c:order val="95"/>
          <c:spPr>
            <a:ln w="3175">
              <a:solidFill>
                <a:srgbClr val="000000"/>
              </a:solidFill>
              <a:prstDash val="solid"/>
            </a:ln>
          </c:spPr>
          <c:marker>
            <c:symbol val="none"/>
          </c:marker>
          <c:xVal>
            <c:numLit>
              <c:formatCode>General</c:formatCode>
              <c:ptCount val="2"/>
              <c:pt idx="0">
                <c:v>-5.3716558678134341</c:v>
              </c:pt>
              <c:pt idx="1">
                <c:v>-5.0949557962763974</c:v>
              </c:pt>
            </c:numLit>
          </c:xVal>
          <c:yVal>
            <c:numLit>
              <c:formatCode>General</c:formatCode>
              <c:ptCount val="2"/>
              <c:pt idx="0">
                <c:v>1.6895466290491552E-2</c:v>
              </c:pt>
              <c:pt idx="1">
                <c:v>1.6981208300576808E-2</c:v>
              </c:pt>
            </c:numLit>
          </c:yVal>
          <c:smooth val="0"/>
          <c:extLst>
            <c:ext xmlns:c16="http://schemas.microsoft.com/office/drawing/2014/chart" uri="{C3380CC4-5D6E-409C-BE32-E72D297353CC}">
              <c16:uniqueId val="{00000067-6616-42F6-AC02-49C096B95DA0}"/>
            </c:ext>
          </c:extLst>
        </c:ser>
        <c:ser>
          <c:idx val="96"/>
          <c:order val="96"/>
          <c:spPr>
            <a:ln w="3175">
              <a:solidFill>
                <a:srgbClr val="000000"/>
              </a:solidFill>
              <a:prstDash val="solid"/>
            </a:ln>
          </c:spPr>
          <c:marker>
            <c:symbol val="none"/>
          </c:marker>
          <c:xVal>
            <c:numLit>
              <c:formatCode>General</c:formatCode>
              <c:ptCount val="2"/>
              <c:pt idx="0">
                <c:v>-5.2898885552707755</c:v>
              </c:pt>
              <c:pt idx="1">
                <c:v>-4.7399594524317035</c:v>
              </c:pt>
            </c:numLit>
          </c:xVal>
          <c:yVal>
            <c:numLit>
              <c:formatCode>General</c:formatCode>
              <c:ptCount val="2"/>
              <c:pt idx="0">
                <c:v>1.6755392963085362E-2</c:v>
              </c:pt>
              <c:pt idx="1">
                <c:v>1.6932880948920096E-2</c:v>
              </c:pt>
            </c:numLit>
          </c:yVal>
          <c:smooth val="0"/>
          <c:extLst>
            <c:ext xmlns:c16="http://schemas.microsoft.com/office/drawing/2014/chart" uri="{C3380CC4-5D6E-409C-BE32-E72D297353CC}">
              <c16:uniqueId val="{00000068-6616-42F6-AC02-49C096B95DA0}"/>
            </c:ext>
          </c:extLst>
        </c:ser>
        <c:ser>
          <c:idx val="97"/>
          <c:order val="97"/>
          <c:spPr>
            <a:ln w="3175">
              <a:solidFill>
                <a:srgbClr val="000000"/>
              </a:solidFill>
              <a:prstDash val="solid"/>
            </a:ln>
          </c:spPr>
          <c:marker>
            <c:symbol val="none"/>
          </c:marker>
          <c:xVal>
            <c:numLit>
              <c:formatCode>General</c:formatCode>
              <c:ptCount val="2"/>
              <c:pt idx="0">
                <c:v>-5.2033197090931331</c:v>
              </c:pt>
              <c:pt idx="1">
                <c:v>-4.930173878055025</c:v>
              </c:pt>
            </c:numLit>
          </c:xVal>
          <c:yVal>
            <c:numLit>
              <c:formatCode>General</c:formatCode>
              <c:ptCount val="2"/>
              <c:pt idx="0">
                <c:v>1.6612966702180775E-2</c:v>
              </c:pt>
              <c:pt idx="1">
                <c:v>1.6704732176865585E-2</c:v>
              </c:pt>
            </c:numLit>
          </c:yVal>
          <c:smooth val="0"/>
          <c:extLst>
            <c:ext xmlns:c16="http://schemas.microsoft.com/office/drawing/2014/chart" uri="{C3380CC4-5D6E-409C-BE32-E72D297353CC}">
              <c16:uniqueId val="{00000069-6616-42F6-AC02-49C096B95DA0}"/>
            </c:ext>
          </c:extLst>
        </c:ser>
        <c:ser>
          <c:idx val="98"/>
          <c:order val="98"/>
          <c:spPr>
            <a:ln w="3175">
              <a:solidFill>
                <a:srgbClr val="000000"/>
              </a:solidFill>
              <a:prstDash val="solid"/>
            </a:ln>
          </c:spPr>
          <c:marker>
            <c:symbol val="none"/>
          </c:marker>
          <c:xVal>
            <c:numLit>
              <c:formatCode>General</c:formatCode>
              <c:ptCount val="2"/>
              <c:pt idx="0">
                <c:v>-5.1117373837437654</c:v>
              </c:pt>
              <c:pt idx="1">
                <c:v>-4.8405261843098577</c:v>
              </c:pt>
            </c:numLit>
          </c:xVal>
          <c:yVal>
            <c:numLit>
              <c:formatCode>General</c:formatCode>
              <c:ptCount val="2"/>
              <c:pt idx="0">
                <c:v>1.6468237411641461E-2</c:v>
              </c:pt>
              <c:pt idx="1">
                <c:v>1.6563090346779514E-2</c:v>
              </c:pt>
            </c:numLit>
          </c:yVal>
          <c:smooth val="0"/>
          <c:extLst>
            <c:ext xmlns:c16="http://schemas.microsoft.com/office/drawing/2014/chart" uri="{C3380CC4-5D6E-409C-BE32-E72D297353CC}">
              <c16:uniqueId val="{0000006A-6616-42F6-AC02-49C096B95DA0}"/>
            </c:ext>
          </c:extLst>
        </c:ser>
        <c:ser>
          <c:idx val="99"/>
          <c:order val="99"/>
          <c:spPr>
            <a:ln w="3175">
              <a:solidFill>
                <a:srgbClr val="000000"/>
              </a:solidFill>
              <a:prstDash val="solid"/>
            </a:ln>
          </c:spPr>
          <c:marker>
            <c:symbol val="none"/>
          </c:marker>
          <c:xVal>
            <c:numLit>
              <c:formatCode>General</c:formatCode>
              <c:ptCount val="2"/>
              <c:pt idx="0">
                <c:v>-5.0149270347463339</c:v>
              </c:pt>
              <c:pt idx="1">
                <c:v>-4.7457616406108887</c:v>
              </c:pt>
            </c:numLit>
          </c:xVal>
          <c:yVal>
            <c:numLit>
              <c:formatCode>General</c:formatCode>
              <c:ptCount val="2"/>
              <c:pt idx="0">
                <c:v>1.6321266282315831E-2</c:v>
              </c:pt>
              <c:pt idx="1">
                <c:v>1.6419255616592431E-2</c:v>
              </c:pt>
            </c:numLit>
          </c:yVal>
          <c:smooth val="0"/>
          <c:extLst>
            <c:ext xmlns:c16="http://schemas.microsoft.com/office/drawing/2014/chart" uri="{C3380CC4-5D6E-409C-BE32-E72D297353CC}">
              <c16:uniqueId val="{0000006B-6616-42F6-AC02-49C096B95DA0}"/>
            </c:ext>
          </c:extLst>
        </c:ser>
        <c:ser>
          <c:idx val="100"/>
          <c:order val="100"/>
          <c:spPr>
            <a:ln w="3175">
              <a:solidFill>
                <a:srgbClr val="000000"/>
              </a:solidFill>
              <a:prstDash val="solid"/>
            </a:ln>
          </c:spPr>
          <c:marker>
            <c:symbol val="none"/>
          </c:marker>
          <c:xVal>
            <c:numLit>
              <c:formatCode>General</c:formatCode>
              <c:ptCount val="2"/>
              <c:pt idx="0">
                <c:v>-4.9126725205921735</c:v>
              </c:pt>
              <c:pt idx="1">
                <c:v>-4.6456687915541259</c:v>
              </c:pt>
            </c:numLit>
          </c:xVal>
          <c:yVal>
            <c:numLit>
              <c:formatCode>General</c:formatCode>
              <c:ptCount val="2"/>
              <c:pt idx="0">
                <c:v>1.6172126616717374E-2</c:v>
              </c:pt>
              <c:pt idx="1">
                <c:v>1.6273299812841348E-2</c:v>
              </c:pt>
            </c:numLit>
          </c:yVal>
          <c:smooth val="0"/>
          <c:extLst>
            <c:ext xmlns:c16="http://schemas.microsoft.com/office/drawing/2014/chart" uri="{C3380CC4-5D6E-409C-BE32-E72D297353CC}">
              <c16:uniqueId val="{0000006C-6616-42F6-AC02-49C096B95DA0}"/>
            </c:ext>
          </c:extLst>
        </c:ser>
        <c:ser>
          <c:idx val="101"/>
          <c:order val="101"/>
          <c:spPr>
            <a:ln w="3175">
              <a:solidFill>
                <a:srgbClr val="000000"/>
              </a:solidFill>
              <a:prstDash val="solid"/>
            </a:ln>
          </c:spPr>
          <c:marker>
            <c:symbol val="none"/>
          </c:marker>
          <c:xVal>
            <c:numLit>
              <c:formatCode>General</c:formatCode>
              <c:ptCount val="2"/>
              <c:pt idx="0">
                <c:v>-4.8047572565634464</c:v>
              </c:pt>
              <c:pt idx="1">
                <c:v>-4.2753392408300135</c:v>
              </c:pt>
            </c:numLit>
          </c:xVal>
          <c:yVal>
            <c:numLit>
              <c:formatCode>General</c:formatCode>
              <c:ptCount val="2"/>
              <c:pt idx="0">
                <c:v>1.602090464428578E-2</c:v>
              </c:pt>
              <c:pt idx="1">
                <c:v>1.6229744658270026E-2</c:v>
              </c:pt>
            </c:numLit>
          </c:yVal>
          <c:smooth val="0"/>
          <c:extLst>
            <c:ext xmlns:c16="http://schemas.microsoft.com/office/drawing/2014/chart" uri="{C3380CC4-5D6E-409C-BE32-E72D297353CC}">
              <c16:uniqueId val="{0000006D-6616-42F6-AC02-49C096B95DA0}"/>
            </c:ext>
          </c:extLst>
        </c:ser>
        <c:ser>
          <c:idx val="102"/>
          <c:order val="102"/>
          <c:spPr>
            <a:ln w="3175">
              <a:solidFill>
                <a:srgbClr val="000000"/>
              </a:solidFill>
              <a:prstDash val="solid"/>
            </a:ln>
          </c:spPr>
          <c:marker>
            <c:symbol val="none"/>
          </c:marker>
          <c:xVal>
            <c:numLit>
              <c:formatCode>General</c:formatCode>
              <c:ptCount val="2"/>
              <c:pt idx="0">
                <c:v>-4.6909655282406417</c:v>
              </c:pt>
              <c:pt idx="1">
                <c:v>-4.4286515323763824</c:v>
              </c:pt>
            </c:numLit>
          </c:xVal>
          <c:yVal>
            <c:numLit>
              <c:formatCode>General</c:formatCode>
              <c:ptCount val="2"/>
              <c:pt idx="0">
                <c:v>1.5867700314020336E-2</c:v>
              </c:pt>
              <c:pt idx="1">
                <c:v>1.5975376328465341E-2</c:v>
              </c:pt>
            </c:numLit>
          </c:yVal>
          <c:smooth val="0"/>
          <c:extLst>
            <c:ext xmlns:c16="http://schemas.microsoft.com/office/drawing/2014/chart" uri="{C3380CC4-5D6E-409C-BE32-E72D297353CC}">
              <c16:uniqueId val="{0000006E-6616-42F6-AC02-49C096B95DA0}"/>
            </c:ext>
          </c:extLst>
        </c:ser>
        <c:ser>
          <c:idx val="103"/>
          <c:order val="103"/>
          <c:spPr>
            <a:ln w="3175">
              <a:solidFill>
                <a:srgbClr val="000000"/>
              </a:solidFill>
              <a:prstDash val="solid"/>
            </a:ln>
          </c:spPr>
          <c:marker>
            <c:symbol val="none"/>
          </c:marker>
          <c:xVal>
            <c:numLit>
              <c:formatCode>General</c:formatCode>
              <c:ptCount val="2"/>
              <c:pt idx="0">
                <c:v>-4.5710839706874209</c:v>
              </c:pt>
              <c:pt idx="1">
                <c:v>-4.3113074088595988</c:v>
              </c:pt>
            </c:numLit>
          </c:xVal>
          <c:yVal>
            <c:numLit>
              <c:formatCode>General</c:formatCode>
              <c:ptCount val="2"/>
              <c:pt idx="0">
                <c:v>1.5712628049326046E-2</c:v>
              </c:pt>
              <c:pt idx="1">
                <c:v>1.5823618626362695E-2</c:v>
              </c:pt>
            </c:numLit>
          </c:yVal>
          <c:smooth val="0"/>
          <c:extLst>
            <c:ext xmlns:c16="http://schemas.microsoft.com/office/drawing/2014/chart" uri="{C3380CC4-5D6E-409C-BE32-E72D297353CC}">
              <c16:uniqueId val="{0000006F-6616-42F6-AC02-49C096B95DA0}"/>
            </c:ext>
          </c:extLst>
        </c:ser>
        <c:ser>
          <c:idx val="104"/>
          <c:order val="104"/>
          <c:spPr>
            <a:ln w="3175">
              <a:solidFill>
                <a:srgbClr val="000000"/>
              </a:solidFill>
              <a:prstDash val="solid"/>
            </a:ln>
          </c:spPr>
          <c:marker>
            <c:symbol val="none"/>
          </c:marker>
          <c:xVal>
            <c:numLit>
              <c:formatCode>General</c:formatCode>
              <c:ptCount val="2"/>
              <c:pt idx="0">
                <c:v>-4.4449032169939464</c:v>
              </c:pt>
              <c:pt idx="1">
                <c:v>-4.1877986154546427</c:v>
              </c:pt>
            </c:numLit>
          </c:xVal>
          <c:yVal>
            <c:numLit>
              <c:formatCode>General</c:formatCode>
              <c:ptCount val="2"/>
              <c:pt idx="0">
                <c:v>1.5555817447964507E-2</c:v>
              </c:pt>
              <c:pt idx="1">
                <c:v>1.5670161229587115E-2</c:v>
              </c:pt>
            </c:numLit>
          </c:yVal>
          <c:smooth val="0"/>
          <c:extLst>
            <c:ext xmlns:c16="http://schemas.microsoft.com/office/drawing/2014/chart" uri="{C3380CC4-5D6E-409C-BE32-E72D297353CC}">
              <c16:uniqueId val="{00000070-6616-42F6-AC02-49C096B95DA0}"/>
            </c:ext>
          </c:extLst>
        </c:ser>
        <c:ser>
          <c:idx val="105"/>
          <c:order val="105"/>
          <c:spPr>
            <a:ln w="3175">
              <a:solidFill>
                <a:srgbClr val="000000"/>
              </a:solidFill>
              <a:prstDash val="solid"/>
            </a:ln>
          </c:spPr>
          <c:marker>
            <c:symbol val="none"/>
          </c:marker>
          <c:xVal>
            <c:numLit>
              <c:formatCode>General</c:formatCode>
              <c:ptCount val="2"/>
              <c:pt idx="0">
                <c:v>-4.312219716966025</c:v>
              </c:pt>
              <c:pt idx="1">
                <c:v>-4.0579260852665504</c:v>
              </c:pt>
            </c:numLit>
          </c:xVal>
          <c:yVal>
            <c:numLit>
              <c:formatCode>General</c:formatCode>
              <c:ptCount val="2"/>
              <c:pt idx="0">
                <c:v>1.5397413908124226E-2</c:v>
              </c:pt>
              <c:pt idx="1">
                <c:v>1.5515146520333783E-2</c:v>
              </c:pt>
            </c:numLit>
          </c:yVal>
          <c:smooth val="0"/>
          <c:extLst>
            <c:ext xmlns:c16="http://schemas.microsoft.com/office/drawing/2014/chart" uri="{C3380CC4-5D6E-409C-BE32-E72D297353CC}">
              <c16:uniqueId val="{00000071-6616-42F6-AC02-49C096B95DA0}"/>
            </c:ext>
          </c:extLst>
        </c:ser>
        <c:ser>
          <c:idx val="106"/>
          <c:order val="106"/>
          <c:spPr>
            <a:ln w="3175">
              <a:solidFill>
                <a:srgbClr val="000000"/>
              </a:solidFill>
              <a:prstDash val="solid"/>
            </a:ln>
          </c:spPr>
          <c:marker>
            <c:symbol val="none"/>
          </c:marker>
          <c:xVal>
            <c:numLit>
              <c:formatCode>General</c:formatCode>
              <c:ptCount val="2"/>
              <c:pt idx="0">
                <c:v>-4.1728377232389242</c:v>
              </c:pt>
              <c:pt idx="1">
                <c:v>-3.6701909794749938</c:v>
              </c:pt>
            </c:numLit>
          </c:xVal>
          <c:yVal>
            <c:numLit>
              <c:formatCode>General</c:formatCode>
              <c:ptCount val="2"/>
              <c:pt idx="0">
                <c:v>1.5237579159901987E-2</c:v>
              </c:pt>
              <c:pt idx="1">
                <c:v>1.5479922581002253E-2</c:v>
              </c:pt>
            </c:numLit>
          </c:yVal>
          <c:smooth val="0"/>
          <c:extLst>
            <c:ext xmlns:c16="http://schemas.microsoft.com/office/drawing/2014/chart" uri="{C3380CC4-5D6E-409C-BE32-E72D297353CC}">
              <c16:uniqueId val="{00000072-6616-42F6-AC02-49C096B95DA0}"/>
            </c:ext>
          </c:extLst>
        </c:ser>
        <c:ser>
          <c:idx val="107"/>
          <c:order val="107"/>
          <c:spPr>
            <a:ln w="3175">
              <a:solidFill>
                <a:srgbClr val="000000"/>
              </a:solidFill>
              <a:prstDash val="solid"/>
            </a:ln>
          </c:spPr>
          <c:marker>
            <c:symbol val="none"/>
          </c:marker>
          <c:xVal>
            <c:numLit>
              <c:formatCode>General</c:formatCode>
              <c:ptCount val="2"/>
              <c:pt idx="0">
                <c:v>-4.026571437958375</c:v>
              </c:pt>
              <c:pt idx="1">
                <c:v>-3.778333902587538</c:v>
              </c:pt>
            </c:numLit>
          </c:xVal>
          <c:yVal>
            <c:numLit>
              <c:formatCode>General</c:formatCode>
              <c:ptCount val="2"/>
              <c:pt idx="0">
                <c:v>1.5076491680015076E-2</c:v>
              </c:pt>
              <c:pt idx="1">
                <c:v>1.5201094996387811E-2</c:v>
              </c:pt>
            </c:numLit>
          </c:yVal>
          <c:smooth val="0"/>
          <c:extLst>
            <c:ext xmlns:c16="http://schemas.microsoft.com/office/drawing/2014/chart" uri="{C3380CC4-5D6E-409C-BE32-E72D297353CC}">
              <c16:uniqueId val="{00000073-6616-42F6-AC02-49C096B95DA0}"/>
            </c:ext>
          </c:extLst>
        </c:ser>
        <c:ser>
          <c:idx val="108"/>
          <c:order val="108"/>
          <c:spPr>
            <a:ln w="3175">
              <a:solidFill>
                <a:srgbClr val="000000"/>
              </a:solidFill>
              <a:prstDash val="solid"/>
            </a:ln>
          </c:spPr>
          <c:marker>
            <c:symbol val="none"/>
          </c:marker>
          <c:xVal>
            <c:numLit>
              <c:formatCode>General</c:formatCode>
              <c:ptCount val="2"/>
              <c:pt idx="0">
                <c:v>-3.8732473084196117</c:v>
              </c:pt>
              <c:pt idx="1">
                <c:v>-3.6282629203486501</c:v>
              </c:pt>
            </c:numLit>
          </c:xVal>
          <c:yVal>
            <c:numLit>
              <c:formatCode>General</c:formatCode>
              <c:ptCount val="2"/>
              <c:pt idx="0">
                <c:v>1.4914346966454389E-2</c:v>
              </c:pt>
              <c:pt idx="1">
                <c:v>1.5042424325441343E-2</c:v>
              </c:pt>
            </c:numLit>
          </c:yVal>
          <c:smooth val="0"/>
          <c:extLst>
            <c:ext xmlns:c16="http://schemas.microsoft.com/office/drawing/2014/chart" uri="{C3380CC4-5D6E-409C-BE32-E72D297353CC}">
              <c16:uniqueId val="{00000074-6616-42F6-AC02-49C096B95DA0}"/>
            </c:ext>
          </c:extLst>
        </c:ser>
        <c:ser>
          <c:idx val="109"/>
          <c:order val="109"/>
          <c:spPr>
            <a:ln w="3175">
              <a:solidFill>
                <a:srgbClr val="000000"/>
              </a:solidFill>
              <a:prstDash val="solid"/>
            </a:ln>
          </c:spPr>
          <c:marker>
            <c:symbol val="none"/>
          </c:marker>
          <c:xVal>
            <c:numLit>
              <c:formatCode>General</c:formatCode>
              <c:ptCount val="2"/>
              <c:pt idx="0">
                <c:v>-3.7127064547319453</c:v>
              </c:pt>
              <c:pt idx="1">
                <c:v>-3.4711301637575316</c:v>
              </c:pt>
            </c:numLit>
          </c:xVal>
          <c:yVal>
            <c:numLit>
              <c:formatCode>General</c:formatCode>
              <c:ptCount val="2"/>
              <c:pt idx="0">
                <c:v>1.4751357649160357E-2</c:v>
              </c:pt>
              <c:pt idx="1">
                <c:v>1.4882929003442607E-2</c:v>
              </c:pt>
            </c:numLit>
          </c:yVal>
          <c:smooth val="0"/>
          <c:extLst>
            <c:ext xmlns:c16="http://schemas.microsoft.com/office/drawing/2014/chart" uri="{C3380CC4-5D6E-409C-BE32-E72D297353CC}">
              <c16:uniqueId val="{00000075-6616-42F6-AC02-49C096B95DA0}"/>
            </c:ext>
          </c:extLst>
        </c:ser>
        <c:ser>
          <c:idx val="110"/>
          <c:order val="110"/>
          <c:spPr>
            <a:ln w="3175">
              <a:solidFill>
                <a:srgbClr val="000000"/>
              </a:solidFill>
              <a:prstDash val="solid"/>
            </a:ln>
          </c:spPr>
          <c:marker>
            <c:symbol val="none"/>
          </c:marker>
          <c:xVal>
            <c:numLit>
              <c:formatCode>General</c:formatCode>
              <c:ptCount val="2"/>
              <c:pt idx="0">
                <c:v>-3.5448072067633123</c:v>
              </c:pt>
              <c:pt idx="1">
                <c:v>-3.3067971968373073</c:v>
              </c:pt>
            </c:numLit>
          </c:xVal>
          <c:yVal>
            <c:numLit>
              <c:formatCode>General</c:formatCode>
              <c:ptCount val="2"/>
              <c:pt idx="0">
                <c:v>1.458775341278396E-2</c:v>
              </c:pt>
              <c:pt idx="1">
                <c:v>1.4722833866947267E-2</c:v>
              </c:pt>
            </c:numLit>
          </c:yVal>
          <c:smooth val="0"/>
          <c:extLst>
            <c:ext xmlns:c16="http://schemas.microsoft.com/office/drawing/2014/chart" uri="{C3380CC4-5D6E-409C-BE32-E72D297353CC}">
              <c16:uniqueId val="{00000076-6616-42F6-AC02-49C096B95DA0}"/>
            </c:ext>
          </c:extLst>
        </c:ser>
        <c:ser>
          <c:idx val="111"/>
          <c:order val="111"/>
          <c:spPr>
            <a:ln w="3175">
              <a:solidFill>
                <a:srgbClr val="000000"/>
              </a:solidFill>
              <a:prstDash val="solid"/>
            </a:ln>
          </c:spPr>
          <c:marker>
            <c:symbol val="none"/>
          </c:marker>
          <c:xVal>
            <c:numLit>
              <c:formatCode>General</c:formatCode>
              <c:ptCount val="2"/>
              <c:pt idx="0">
                <c:v>-3.3694277214410562</c:v>
              </c:pt>
              <c:pt idx="1">
                <c:v>-2.9009011365821324</c:v>
              </c:pt>
            </c:numLit>
          </c:xVal>
          <c:yVal>
            <c:numLit>
              <c:formatCode>General</c:formatCode>
              <c:ptCount val="2"/>
              <c:pt idx="0">
                <c:v>1.4423780708309812E-2</c:v>
              </c:pt>
              <c:pt idx="1">
                <c:v>1.4701015343783125E-2</c:v>
              </c:pt>
            </c:numLit>
          </c:yVal>
          <c:smooth val="0"/>
          <c:extLst>
            <c:ext xmlns:c16="http://schemas.microsoft.com/office/drawing/2014/chart" uri="{C3380CC4-5D6E-409C-BE32-E72D297353CC}">
              <c16:uniqueId val="{00000077-6616-42F6-AC02-49C096B95DA0}"/>
            </c:ext>
          </c:extLst>
        </c:ser>
        <c:ser>
          <c:idx val="112"/>
          <c:order val="112"/>
          <c:spPr>
            <a:ln w="3175">
              <a:solidFill>
                <a:srgbClr val="000000"/>
              </a:solidFill>
              <a:prstDash val="solid"/>
            </a:ln>
          </c:spPr>
          <c:marker>
            <c:symbol val="none"/>
          </c:marker>
          <c:xVal>
            <c:numLit>
              <c:formatCode>General</c:formatCode>
              <c:ptCount val="2"/>
              <c:pt idx="0">
                <c:v>-3.1864686451132647</c:v>
              </c:pt>
              <c:pt idx="1">
                <c:v>-2.9560765734004115</c:v>
              </c:pt>
            </c:numLit>
          </c:xVal>
          <c:yVal>
            <c:numLit>
              <c:formatCode>General</c:formatCode>
              <c:ptCount val="2"/>
              <c:pt idx="0">
                <c:v>1.4259702231886499E-2</c:v>
              </c:pt>
              <c:pt idx="1">
                <c:v>1.4401824969069376E-2</c:v>
              </c:pt>
            </c:numLit>
          </c:yVal>
          <c:smooth val="0"/>
          <c:extLst>
            <c:ext xmlns:c16="http://schemas.microsoft.com/office/drawing/2014/chart" uri="{C3380CC4-5D6E-409C-BE32-E72D297353CC}">
              <c16:uniqueId val="{00000078-6616-42F6-AC02-49C096B95DA0}"/>
            </c:ext>
          </c:extLst>
        </c:ser>
        <c:ser>
          <c:idx val="113"/>
          <c:order val="113"/>
          <c:spPr>
            <a:ln w="3175">
              <a:solidFill>
                <a:srgbClr val="000000"/>
              </a:solidFill>
              <a:prstDash val="solid"/>
            </a:ln>
          </c:spPr>
          <c:marker>
            <c:symbol val="none"/>
          </c:marker>
          <c:xVal>
            <c:numLit>
              <c:formatCode>General</c:formatCode>
              <c:ptCount val="2"/>
              <c:pt idx="0">
                <c:v>-2.995855779328612</c:v>
              </c:pt>
              <c:pt idx="1">
                <c:v>-2.7695195454399149</c:v>
              </c:pt>
            </c:numLit>
          </c:xVal>
          <c:yVal>
            <c:numLit>
              <c:formatCode>General</c:formatCode>
              <c:ptCount val="2"/>
              <c:pt idx="0">
                <c:v>1.4095796151733538E-2</c:v>
              </c:pt>
              <c:pt idx="1">
                <c:v>1.4241440571197172E-2</c:v>
              </c:pt>
            </c:numLit>
          </c:yVal>
          <c:smooth val="0"/>
          <c:extLst>
            <c:ext xmlns:c16="http://schemas.microsoft.com/office/drawing/2014/chart" uri="{C3380CC4-5D6E-409C-BE32-E72D297353CC}">
              <c16:uniqueId val="{00000079-6616-42F6-AC02-49C096B95DA0}"/>
            </c:ext>
          </c:extLst>
        </c:ser>
        <c:ser>
          <c:idx val="114"/>
          <c:order val="114"/>
          <c:spPr>
            <a:ln w="3175">
              <a:solidFill>
                <a:srgbClr val="000000"/>
              </a:solidFill>
              <a:prstDash val="solid"/>
            </a:ln>
          </c:spPr>
          <c:marker>
            <c:symbol val="none"/>
          </c:marker>
          <c:xVal>
            <c:numLit>
              <c:formatCode>General</c:formatCode>
              <c:ptCount val="2"/>
              <c:pt idx="0">
                <c:v>-2.797542702336508</c:v>
              </c:pt>
              <c:pt idx="1">
                <c:v>-2.5754287346047877</c:v>
              </c:pt>
            </c:numLit>
          </c:xVal>
          <c:yVal>
            <c:numLit>
              <c:formatCode>General</c:formatCode>
              <c:ptCount val="2"/>
              <c:pt idx="0">
                <c:v>1.3932355067550029E-2</c:v>
              </c:pt>
              <c:pt idx="1">
                <c:v>1.4081513307464042E-2</c:v>
              </c:pt>
            </c:numLit>
          </c:yVal>
          <c:smooth val="0"/>
          <c:extLst>
            <c:ext xmlns:c16="http://schemas.microsoft.com/office/drawing/2014/chart" uri="{C3380CC4-5D6E-409C-BE32-E72D297353CC}">
              <c16:uniqueId val="{0000007A-6616-42F6-AC02-49C096B95DA0}"/>
            </c:ext>
          </c:extLst>
        </c:ser>
        <c:ser>
          <c:idx val="115"/>
          <c:order val="115"/>
          <c:spPr>
            <a:ln w="3175">
              <a:solidFill>
                <a:srgbClr val="000000"/>
              </a:solidFill>
              <a:prstDash val="solid"/>
            </a:ln>
          </c:spPr>
          <c:marker>
            <c:symbol val="none"/>
          </c:marker>
          <c:xVal>
            <c:numLit>
              <c:formatCode>General</c:formatCode>
              <c:ptCount val="2"/>
              <c:pt idx="0">
                <c:v>-2.5915132931495299</c:v>
              </c:pt>
              <c:pt idx="1">
                <c:v>-2.3737886177428424</c:v>
              </c:pt>
            </c:numLit>
          </c:xVal>
          <c:yVal>
            <c:numLit>
              <c:formatCode>General</c:formatCode>
              <c:ptCount val="2"/>
              <c:pt idx="0">
                <c:v>1.3769684691476037E-2</c:v>
              </c:pt>
              <c:pt idx="1">
                <c:v>1.3922342343814391E-2</c:v>
              </c:pt>
            </c:numLit>
          </c:yVal>
          <c:smooth val="0"/>
          <c:extLst>
            <c:ext xmlns:c16="http://schemas.microsoft.com/office/drawing/2014/chart" uri="{C3380CC4-5D6E-409C-BE32-E72D297353CC}">
              <c16:uniqueId val="{0000007B-6616-42F6-AC02-49C096B95DA0}"/>
            </c:ext>
          </c:extLst>
        </c:ser>
        <c:ser>
          <c:idx val="116"/>
          <c:order val="116"/>
          <c:spPr>
            <a:ln w="3175">
              <a:solidFill>
                <a:srgbClr val="000000"/>
              </a:solidFill>
              <a:prstDash val="solid"/>
            </a:ln>
          </c:spPr>
          <c:marker>
            <c:symbol val="none"/>
          </c:marker>
          <c:xVal>
            <c:numLit>
              <c:formatCode>General</c:formatCode>
              <c:ptCount val="2"/>
              <c:pt idx="0">
                <c:v>-2.3777841004811022</c:v>
              </c:pt>
              <c:pt idx="1">
                <c:v>-1.9514919878507884</c:v>
              </c:pt>
            </c:numLit>
          </c:xVal>
          <c:yVal>
            <c:numLit>
              <c:formatCode>General</c:formatCode>
              <c:ptCount val="2"/>
              <c:pt idx="0">
                <c:v>1.3608102245343555E-2</c:v>
              </c:pt>
              <c:pt idx="1">
                <c:v>1.3920407227151928E-2</c:v>
              </c:pt>
            </c:numLit>
          </c:yVal>
          <c:smooth val="0"/>
          <c:extLst>
            <c:ext xmlns:c16="http://schemas.microsoft.com/office/drawing/2014/chart" uri="{C3380CC4-5D6E-409C-BE32-E72D297353CC}">
              <c16:uniqueId val="{0000007C-6616-42F6-AC02-49C096B95DA0}"/>
            </c:ext>
          </c:extLst>
        </c:ser>
        <c:ser>
          <c:idx val="117"/>
          <c:order val="117"/>
          <c:spPr>
            <a:ln w="3175">
              <a:solidFill>
                <a:srgbClr val="000000"/>
              </a:solidFill>
              <a:prstDash val="solid"/>
            </a:ln>
          </c:spPr>
          <c:marker>
            <c:symbol val="none"/>
          </c:marker>
          <c:xVal>
            <c:numLit>
              <c:formatCode>General</c:formatCode>
              <c:ptCount val="2"/>
              <c:pt idx="0">
                <c:v>-2.156406495623691</c:v>
              </c:pt>
              <c:pt idx="1">
                <c:v>-1.9479603446816371</c:v>
              </c:pt>
            </c:numLit>
          </c:xVal>
          <c:yVal>
            <c:numLit>
              <c:formatCode>General</c:formatCode>
              <c:ptCount val="2"/>
              <c:pt idx="0">
                <c:v>1.3447934575631624E-2</c:v>
              </c:pt>
              <c:pt idx="1">
                <c:v>1.3607520356295923E-2</c:v>
              </c:pt>
            </c:numLit>
          </c:yVal>
          <c:smooth val="0"/>
          <c:extLst>
            <c:ext xmlns:c16="http://schemas.microsoft.com/office/drawing/2014/chart" uri="{C3380CC4-5D6E-409C-BE32-E72D297353CC}">
              <c16:uniqueId val="{0000007D-6616-42F6-AC02-49C096B95DA0}"/>
            </c:ext>
          </c:extLst>
        </c:ser>
        <c:ser>
          <c:idx val="118"/>
          <c:order val="118"/>
          <c:spPr>
            <a:ln w="3175">
              <a:solidFill>
                <a:srgbClr val="000000"/>
              </a:solidFill>
              <a:prstDash val="solid"/>
            </a:ln>
          </c:spPr>
          <c:marker>
            <c:symbol val="none"/>
          </c:marker>
          <c:xVal>
            <c:numLit>
              <c:formatCode>General</c:formatCode>
              <c:ptCount val="2"/>
              <c:pt idx="0">
                <c:v>-1.9274685467120087</c:v>
              </c:pt>
              <c:pt idx="1">
                <c:v>-1.723909151193072</c:v>
              </c:pt>
            </c:numLit>
          </c:xVal>
          <c:yVal>
            <c:numLit>
              <c:formatCode>General</c:formatCode>
              <c:ptCount val="2"/>
              <c:pt idx="0">
                <c:v>1.3289515995076896E-2</c:v>
              </c:pt>
              <c:pt idx="1">
                <c:v>1.3452516235149875E-2</c:v>
              </c:pt>
            </c:numLit>
          </c:yVal>
          <c:smooth val="0"/>
          <c:extLst>
            <c:ext xmlns:c16="http://schemas.microsoft.com/office/drawing/2014/chart" uri="{C3380CC4-5D6E-409C-BE32-E72D297353CC}">
              <c16:uniqueId val="{0000007E-6616-42F6-AC02-49C096B95DA0}"/>
            </c:ext>
          </c:extLst>
        </c:ser>
        <c:ser>
          <c:idx val="119"/>
          <c:order val="119"/>
          <c:spPr>
            <a:ln w="3175">
              <a:solidFill>
                <a:srgbClr val="000000"/>
              </a:solidFill>
              <a:prstDash val="solid"/>
            </a:ln>
          </c:spPr>
          <c:marker>
            <c:symbol val="none"/>
          </c:marker>
          <c:xVal>
            <c:numLit>
              <c:formatCode>General</c:formatCode>
              <c:ptCount val="2"/>
              <c:pt idx="0">
                <c:v>-1.6910965521384105</c:v>
              </c:pt>
              <c:pt idx="1">
                <c:v>-1.4925859044313796</c:v>
              </c:pt>
            </c:numLit>
          </c:xVal>
          <c:yVal>
            <c:numLit>
              <c:formatCode>General</c:formatCode>
              <c:ptCount val="2"/>
              <c:pt idx="0">
                <c:v>1.313318586808335E-2</c:v>
              </c:pt>
              <c:pt idx="1">
                <c:v>1.3299557742944548E-2</c:v>
              </c:pt>
            </c:numLit>
          </c:yVal>
          <c:smooth val="0"/>
          <c:extLst>
            <c:ext xmlns:c16="http://schemas.microsoft.com/office/drawing/2014/chart" uri="{C3380CC4-5D6E-409C-BE32-E72D297353CC}">
              <c16:uniqueId val="{0000007F-6616-42F6-AC02-49C096B95DA0}"/>
            </c:ext>
          </c:extLst>
        </c:ser>
        <c:ser>
          <c:idx val="120"/>
          <c:order val="120"/>
          <c:spPr>
            <a:ln w="3175">
              <a:solidFill>
                <a:srgbClr val="000000"/>
              </a:solidFill>
              <a:prstDash val="solid"/>
            </a:ln>
          </c:spPr>
          <c:marker>
            <c:symbol val="none"/>
          </c:marker>
          <c:xVal>
            <c:numLit>
              <c:formatCode>General</c:formatCode>
              <c:ptCount val="2"/>
              <c:pt idx="0">
                <c:v>-1.4474561734172946</c:v>
              </c:pt>
              <c:pt idx="1">
                <c:v>-1.2541529530699185</c:v>
              </c:pt>
            </c:numLit>
          </c:xVal>
          <c:yVal>
            <c:numLit>
              <c:formatCode>General</c:formatCode>
              <c:ptCount val="2"/>
              <c:pt idx="0">
                <c:v>1.2979285965653065E-2</c:v>
              </c:pt>
              <c:pt idx="1">
                <c:v>1.3148979228746737E-2</c:v>
              </c:pt>
            </c:numLit>
          </c:yVal>
          <c:smooth val="0"/>
          <c:extLst>
            <c:ext xmlns:c16="http://schemas.microsoft.com/office/drawing/2014/chart" uri="{C3380CC4-5D6E-409C-BE32-E72D297353CC}">
              <c16:uniqueId val="{00000080-6616-42F6-AC02-49C096B95DA0}"/>
            </c:ext>
          </c:extLst>
        </c:ser>
        <c:ser>
          <c:idx val="121"/>
          <c:order val="121"/>
          <c:spPr>
            <a:ln w="3175">
              <a:solidFill>
                <a:srgbClr val="000000"/>
              </a:solidFill>
              <a:prstDash val="solid"/>
            </a:ln>
          </c:spPr>
          <c:marker>
            <c:symbol val="none"/>
          </c:marker>
          <c:xVal>
            <c:numLit>
              <c:formatCode>General</c:formatCode>
              <c:ptCount val="2"/>
              <c:pt idx="0">
                <c:v>-1.1967531127124049</c:v>
              </c:pt>
              <c:pt idx="1">
                <c:v>-0.82091889735930601</c:v>
              </c:pt>
            </c:numLit>
          </c:xVal>
          <c:yVal>
            <c:numLit>
              <c:formatCode>General</c:formatCode>
              <c:ptCount val="2"/>
              <c:pt idx="0">
                <c:v>1.2828157624189995E-2</c:v>
              </c:pt>
              <c:pt idx="1">
                <c:v>1.3174100182621095E-2</c:v>
              </c:pt>
            </c:numLit>
          </c:yVal>
          <c:smooth val="0"/>
          <c:extLst>
            <c:ext xmlns:c16="http://schemas.microsoft.com/office/drawing/2014/chart" uri="{C3380CC4-5D6E-409C-BE32-E72D297353CC}">
              <c16:uniqueId val="{00000081-6616-42F6-AC02-49C096B95DA0}"/>
            </c:ext>
          </c:extLst>
        </c:ser>
        <c:ser>
          <c:idx val="122"/>
          <c:order val="122"/>
          <c:spPr>
            <a:ln w="3175">
              <a:solidFill>
                <a:srgbClr val="000000"/>
              </a:solidFill>
              <a:prstDash val="solid"/>
            </a:ln>
          </c:spPr>
          <c:marker>
            <c:symbol val="none"/>
          </c:marker>
          <c:xVal>
            <c:numLit>
              <c:formatCode>General</c:formatCode>
              <c:ptCount val="56"/>
              <c:pt idx="0">
                <c:v>-6.4780000000000006</c:v>
              </c:pt>
              <c:pt idx="1">
                <c:v>-6.4771548667567451</c:v>
              </c:pt>
              <c:pt idx="2">
                <c:v>-6.4744781546020507</c:v>
              </c:pt>
              <c:pt idx="3">
                <c:v>-6.4697392601020702</c:v>
              </c:pt>
              <c:pt idx="4">
                <c:v>-6.4626803906648105</c:v>
              </c:pt>
              <c:pt idx="5">
                <c:v>-6.4530133649286947</c:v>
              </c:pt>
              <c:pt idx="6">
                <c:v>-6.4404160659918741</c:v>
              </c:pt>
              <c:pt idx="7">
                <c:v>-6.4245285241259857</c:v>
              </c:pt>
              <c:pt idx="8">
                <c:v>-6.4049486097896127</c:v>
              </c:pt>
              <c:pt idx="9">
                <c:v>-6.3812273246822127</c:v>
              </c:pt>
              <c:pt idx="10">
                <c:v>-6.3528636892133203</c:v>
              </c:pt>
              <c:pt idx="11">
                <c:v>-6.3192992403036552</c:v>
              </c:pt>
              <c:pt idx="12">
                <c:v>-6.2799121753649985</c:v>
              </c:pt>
              <c:pt idx="13">
                <c:v>-6.2340112084088908</c:v>
              </c:pt>
              <c:pt idx="14">
                <c:v>-6.1808292446003525</c:v>
              </c:pt>
              <c:pt idx="15">
                <c:v>-6.1195170325550308</c:v>
              </c:pt>
              <c:pt idx="16">
                <c:v>-6.085522707107951</c:v>
              </c:pt>
              <c:pt idx="17">
                <c:v>-6.0491370217777725</c:v>
              </c:pt>
              <c:pt idx="18">
                <c:v>-6.0102280619194612</c:v>
              </c:pt>
              <c:pt idx="19">
                <c:v>-5.9686577382838752</c:v>
              </c:pt>
              <c:pt idx="20">
                <c:v>-5.9242816702136096</c:v>
              </c:pt>
              <c:pt idx="21">
                <c:v>-5.8769490965930213</c:v>
              </c:pt>
              <c:pt idx="22">
                <c:v>-5.8265028202105924</c:v>
              </c:pt>
              <c:pt idx="23">
                <c:v>-5.7727791918245215</c:v>
              </c:pt>
              <c:pt idx="24">
                <c:v>-5.7156081408752861</c:v>
              </c:pt>
              <c:pt idx="25">
                <c:v>-5.6548132604507</c:v>
              </c:pt>
              <c:pt idx="26">
                <c:v>-5.5902119547643538</c:v>
              </c:pt>
              <c:pt idx="27">
                <c:v>-5.5216156580385984</c:v>
              </c:pt>
              <c:pt idx="28">
                <c:v>-5.4488301342643446</c:v>
              </c:pt>
              <c:pt idx="29">
                <c:v>-5.3716558678134341</c:v>
              </c:pt>
              <c:pt idx="30">
                <c:v>-5.2898885552707755</c:v>
              </c:pt>
              <c:pt idx="31">
                <c:v>-5.2033197090931331</c:v>
              </c:pt>
              <c:pt idx="32">
                <c:v>-5.1117373837437654</c:v>
              </c:pt>
              <c:pt idx="33">
                <c:v>-5.0149270347463339</c:v>
              </c:pt>
              <c:pt idx="34">
                <c:v>-4.9126725205921735</c:v>
              </c:pt>
              <c:pt idx="35">
                <c:v>-4.8047572565634464</c:v>
              </c:pt>
              <c:pt idx="36">
                <c:v>-4.6909655282406417</c:v>
              </c:pt>
              <c:pt idx="37">
                <c:v>-4.5710839706874209</c:v>
              </c:pt>
              <c:pt idx="38">
                <c:v>-4.4449032169939464</c:v>
              </c:pt>
              <c:pt idx="39">
                <c:v>-4.312219716966025</c:v>
              </c:pt>
              <c:pt idx="40">
                <c:v>-4.1728377232389242</c:v>
              </c:pt>
              <c:pt idx="41">
                <c:v>-4.026571437958375</c:v>
              </c:pt>
              <c:pt idx="42">
                <c:v>-3.8732473084196117</c:v>
              </c:pt>
              <c:pt idx="43">
                <c:v>-3.7127064547319453</c:v>
              </c:pt>
              <c:pt idx="44">
                <c:v>-3.5448072067633123</c:v>
              </c:pt>
              <c:pt idx="45">
                <c:v>-3.3694277214410562</c:v>
              </c:pt>
              <c:pt idx="46">
                <c:v>-3.1864686451132647</c:v>
              </c:pt>
              <c:pt idx="47">
                <c:v>-2.995855779328612</c:v>
              </c:pt>
              <c:pt idx="48">
                <c:v>-2.797542702336508</c:v>
              </c:pt>
              <c:pt idx="49">
                <c:v>-2.5915132931495299</c:v>
              </c:pt>
              <c:pt idx="50">
                <c:v>-2.3777841004811022</c:v>
              </c:pt>
              <c:pt idx="51">
                <c:v>-2.156406495623691</c:v>
              </c:pt>
              <c:pt idx="52">
                <c:v>-1.9274685467120087</c:v>
              </c:pt>
              <c:pt idx="53">
                <c:v>-1.6910965521384105</c:v>
              </c:pt>
              <c:pt idx="54">
                <c:v>-1.4474561734172946</c:v>
              </c:pt>
              <c:pt idx="55">
                <c:v>-1.1967531127124049</c:v>
              </c:pt>
            </c:numLit>
          </c:xVal>
          <c:yVal>
            <c:numLit>
              <c:formatCode>General</c:formatCode>
              <c:ptCount val="56"/>
              <c:pt idx="0">
                <c:v>2.0930000000000001E-2</c:v>
              </c:pt>
              <c:pt idx="1">
                <c:v>2.0816221982499338E-2</c:v>
              </c:pt>
              <c:pt idx="2">
                <c:v>2.0697747630638599E-2</c:v>
              </c:pt>
              <c:pt idx="3">
                <c:v>2.0574329599127333E-2</c:v>
              </c:pt>
              <c:pt idx="4">
                <c:v>2.0445707961793541E-2</c:v>
              </c:pt>
              <c:pt idx="5">
                <c:v>2.0311610158401223E-2</c:v>
              </c:pt>
              <c:pt idx="6">
                <c:v>2.0171751126828213E-2</c:v>
              </c:pt>
              <c:pt idx="7">
                <c:v>2.0025833674800028E-2</c:v>
              </c:pt>
              <c:pt idx="8">
                <c:v>1.9873549157153957E-2</c:v>
              </c:pt>
              <c:pt idx="9">
                <c:v>1.9714578538365699E-2</c:v>
              </c:pt>
              <c:pt idx="10">
                <c:v>1.9548593935935225E-2</c:v>
              </c:pt>
              <c:pt idx="11">
                <c:v>1.9375260758225134E-2</c:v>
              </c:pt>
              <c:pt idx="12">
                <c:v>1.9194240570334139E-2</c:v>
              </c:pt>
              <c:pt idx="13">
                <c:v>1.900519484317249E-2</c:v>
              </c:pt>
              <c:pt idx="14">
                <c:v>1.8807789763299193E-2</c:v>
              </c:pt>
              <c:pt idx="15">
                <c:v>1.86017023029456E-2</c:v>
              </c:pt>
              <c:pt idx="16">
                <c:v>1.8495306506800622E-2</c:v>
              </c:pt>
              <c:pt idx="17">
                <c:v>1.8386627768883546E-2</c:v>
              </c:pt>
              <c:pt idx="18">
                <c:v>1.8275632385817388E-2</c:v>
              </c:pt>
              <c:pt idx="19">
                <c:v>1.8162289062279902E-2</c:v>
              </c:pt>
              <c:pt idx="20">
                <c:v>1.8046569310441331E-2</c:v>
              </c:pt>
              <c:pt idx="21">
                <c:v>1.7928447884993152E-2</c:v>
              </c:pt>
              <c:pt idx="22">
                <c:v>1.780790325517077E-2</c:v>
              </c:pt>
              <c:pt idx="23">
                <c:v>1.7684918114909066E-2</c:v>
              </c:pt>
              <c:pt idx="24">
                <c:v>1.7559479931924228E-2</c:v>
              </c:pt>
              <c:pt idx="25">
                <c:v>1.7431581536076757E-2</c:v>
              </c:pt>
              <c:pt idx="26">
                <c:v>1.730122174682644E-2</c:v>
              </c:pt>
              <c:pt idx="27">
                <c:v>1.7168406038928632E-2</c:v>
              </c:pt>
              <c:pt idx="28">
                <c:v>1.7033147244730054E-2</c:v>
              </c:pt>
              <c:pt idx="29">
                <c:v>1.6895466290491552E-2</c:v>
              </c:pt>
              <c:pt idx="30">
                <c:v>1.6755392963085362E-2</c:v>
              </c:pt>
              <c:pt idx="31">
                <c:v>1.6612966702180775E-2</c:v>
              </c:pt>
              <c:pt idx="32">
                <c:v>1.6468237411641461E-2</c:v>
              </c:pt>
              <c:pt idx="33">
                <c:v>1.6321266282315831E-2</c:v>
              </c:pt>
              <c:pt idx="34">
                <c:v>1.6172126616717374E-2</c:v>
              </c:pt>
              <c:pt idx="35">
                <c:v>1.602090464428578E-2</c:v>
              </c:pt>
              <c:pt idx="36">
                <c:v>1.5867700314020336E-2</c:v>
              </c:pt>
              <c:pt idx="37">
                <c:v>1.5712628049326046E-2</c:v>
              </c:pt>
              <c:pt idx="38">
                <c:v>1.5555817447964507E-2</c:v>
              </c:pt>
              <c:pt idx="39">
                <c:v>1.5397413908124226E-2</c:v>
              </c:pt>
              <c:pt idx="40">
                <c:v>1.5237579159901987E-2</c:v>
              </c:pt>
              <c:pt idx="41">
                <c:v>1.5076491680015076E-2</c:v>
              </c:pt>
              <c:pt idx="42">
                <c:v>1.4914346966454389E-2</c:v>
              </c:pt>
              <c:pt idx="43">
                <c:v>1.4751357649160357E-2</c:v>
              </c:pt>
              <c:pt idx="44">
                <c:v>1.458775341278396E-2</c:v>
              </c:pt>
              <c:pt idx="45">
                <c:v>1.4423780708309812E-2</c:v>
              </c:pt>
              <c:pt idx="46">
                <c:v>1.4259702231886499E-2</c:v>
              </c:pt>
              <c:pt idx="47">
                <c:v>1.4095796151733538E-2</c:v>
              </c:pt>
              <c:pt idx="48">
                <c:v>1.3932355067550029E-2</c:v>
              </c:pt>
              <c:pt idx="49">
                <c:v>1.3769684691476037E-2</c:v>
              </c:pt>
              <c:pt idx="50">
                <c:v>1.3608102245343555E-2</c:v>
              </c:pt>
              <c:pt idx="51">
                <c:v>1.3447934575631624E-2</c:v>
              </c:pt>
              <c:pt idx="52">
                <c:v>1.3289515995076896E-2</c:v>
              </c:pt>
              <c:pt idx="53">
                <c:v>1.313318586808335E-2</c:v>
              </c:pt>
              <c:pt idx="54">
                <c:v>1.2979285965653065E-2</c:v>
              </c:pt>
              <c:pt idx="55">
                <c:v>1.2828157624189995E-2</c:v>
              </c:pt>
            </c:numLit>
          </c:yVal>
          <c:smooth val="1"/>
          <c:extLst>
            <c:ext xmlns:c16="http://schemas.microsoft.com/office/drawing/2014/chart" uri="{C3380CC4-5D6E-409C-BE32-E72D297353CC}">
              <c16:uniqueId val="{00000082-6616-42F6-AC02-49C096B95DA0}"/>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1598-407F-9F91-645B2A8F464F}"/>
            </c:ext>
          </c:extLst>
        </c:ser>
        <c:ser>
          <c:idx val="1"/>
          <c:order val="1"/>
          <c:tx>
            <c:v>x=0</c:v>
          </c:tx>
          <c:spPr>
            <a:ln w="3175">
              <a:solidFill>
                <a:srgbClr val="000000"/>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-10.178000000000001</c:v>
              </c:pt>
              <c:pt idx="1">
                <c:v>50.8</c:v>
              </c:pt>
            </c:numLit>
          </c:xVal>
          <c:yVal>
            <c:numLit>
              <c:formatCode>General</c:formatCode>
              <c:ptCount val="2"/>
              <c:pt idx="0">
                <c:v>0</c:v>
              </c:pt>
              <c:pt idx="1">
                <c:v>0</c:v>
              </c:pt>
            </c:numLit>
          </c:yVal>
          <c:smooth val="0"/>
          <c:extLst>
            <c:ext xmlns:c16="http://schemas.microsoft.com/office/drawing/2014/chart" uri="{C3380CC4-5D6E-409C-BE32-E72D297353CC}">
              <c16:uniqueId val="{00000002-1598-407F-9F91-645B2A8F464F}"/>
            </c:ext>
          </c:extLst>
        </c:ser>
        <c:ser>
          <c:idx val="2"/>
          <c:order val="2"/>
          <c:tx>
            <c:v>x=0.0002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2.0000000000000001E-4</c:v>
              </c:pt>
              <c:pt idx="1">
                <c:v>2.0000000000000001E-4</c:v>
              </c:pt>
            </c:numLit>
          </c:yVal>
          <c:smooth val="0"/>
          <c:extLst>
            <c:ext xmlns:c16="http://schemas.microsoft.com/office/drawing/2014/chart" uri="{C3380CC4-5D6E-409C-BE32-E72D297353CC}">
              <c16:uniqueId val="{00000003-1598-407F-9F91-645B2A8F464F}"/>
            </c:ext>
          </c:extLst>
        </c:ser>
        <c:ser>
          <c:idx val="3"/>
          <c:order val="3"/>
          <c:tx>
            <c:v>x=0.0004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4.0000000000000002E-4</c:v>
              </c:pt>
              <c:pt idx="1">
                <c:v>4.0000000000000002E-4</c:v>
              </c:pt>
            </c:numLit>
          </c:yVal>
          <c:smooth val="0"/>
          <c:extLst>
            <c:ext xmlns:c16="http://schemas.microsoft.com/office/drawing/2014/chart" uri="{C3380CC4-5D6E-409C-BE32-E72D297353CC}">
              <c16:uniqueId val="{00000004-1598-407F-9F91-645B2A8F464F}"/>
            </c:ext>
          </c:extLst>
        </c:ser>
        <c:ser>
          <c:idx val="4"/>
          <c:order val="4"/>
          <c:tx>
            <c:v>x=0.0006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6.0000000000000006E-4</c:v>
              </c:pt>
              <c:pt idx="1">
                <c:v>6.0000000000000006E-4</c:v>
              </c:pt>
            </c:numLit>
          </c:yVal>
          <c:smooth val="0"/>
          <c:extLst>
            <c:ext xmlns:c16="http://schemas.microsoft.com/office/drawing/2014/chart" uri="{C3380CC4-5D6E-409C-BE32-E72D297353CC}">
              <c16:uniqueId val="{00000005-1598-407F-9F91-645B2A8F464F}"/>
            </c:ext>
          </c:extLst>
        </c:ser>
        <c:ser>
          <c:idx val="5"/>
          <c:order val="5"/>
          <c:tx>
            <c:v>x=0.0008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8.0000000000000004E-4</c:v>
              </c:pt>
              <c:pt idx="1">
                <c:v>8.0000000000000004E-4</c:v>
              </c:pt>
            </c:numLit>
          </c:yVal>
          <c:smooth val="0"/>
          <c:extLst>
            <c:ext xmlns:c16="http://schemas.microsoft.com/office/drawing/2014/chart" uri="{C3380CC4-5D6E-409C-BE32-E72D297353CC}">
              <c16:uniqueId val="{00000006-1598-407F-9F91-645B2A8F464F}"/>
            </c:ext>
          </c:extLst>
        </c:ser>
        <c:ser>
          <c:idx val="6"/>
          <c:order val="6"/>
          <c:tx>
            <c:v>x=0.001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-10.289263499005965</c:v>
              </c:pt>
              <c:pt idx="1">
                <c:v>50.8</c:v>
              </c:pt>
            </c:numLit>
          </c:xVal>
          <c:yVal>
            <c:numLit>
              <c:formatCode>General</c:formatCode>
              <c:ptCount val="2"/>
              <c:pt idx="0">
                <c:v>1E-3</c:v>
              </c:pt>
              <c:pt idx="1">
                <c:v>1E-3</c:v>
              </c:pt>
            </c:numLit>
          </c:yVal>
          <c:smooth val="0"/>
          <c:extLst>
            <c:ext xmlns:c16="http://schemas.microsoft.com/office/drawing/2014/chart" uri="{C3380CC4-5D6E-409C-BE32-E72D297353CC}">
              <c16:uniqueId val="{00000008-1598-407F-9F91-645B2A8F464F}"/>
            </c:ext>
          </c:extLst>
        </c:ser>
        <c:ser>
          <c:idx val="7"/>
          <c:order val="7"/>
          <c:tx>
            <c:v>x=0.0012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1.2000000000000001E-3</c:v>
              </c:pt>
              <c:pt idx="1">
                <c:v>1.2000000000000001E-3</c:v>
              </c:pt>
            </c:numLit>
          </c:yVal>
          <c:smooth val="0"/>
          <c:extLst>
            <c:ext xmlns:c16="http://schemas.microsoft.com/office/drawing/2014/chart" uri="{C3380CC4-5D6E-409C-BE32-E72D297353CC}">
              <c16:uniqueId val="{00000009-1598-407F-9F91-645B2A8F464F}"/>
            </c:ext>
          </c:extLst>
        </c:ser>
        <c:ser>
          <c:idx val="8"/>
          <c:order val="8"/>
          <c:tx>
            <c:v>x=0.0014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1.4E-3</c:v>
              </c:pt>
              <c:pt idx="1">
                <c:v>1.4E-3</c:v>
              </c:pt>
            </c:numLit>
          </c:yVal>
          <c:smooth val="0"/>
          <c:extLst>
            <c:ext xmlns:c16="http://schemas.microsoft.com/office/drawing/2014/chart" uri="{C3380CC4-5D6E-409C-BE32-E72D297353CC}">
              <c16:uniqueId val="{0000000A-1598-407F-9F91-645B2A8F464F}"/>
            </c:ext>
          </c:extLst>
        </c:ser>
        <c:ser>
          <c:idx val="9"/>
          <c:order val="9"/>
          <c:tx>
            <c:v>x=0.0016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1.6000000000000001E-3</c:v>
              </c:pt>
              <c:pt idx="1">
                <c:v>1.6000000000000001E-3</c:v>
              </c:pt>
            </c:numLit>
          </c:yVal>
          <c:smooth val="0"/>
          <c:extLst>
            <c:ext xmlns:c16="http://schemas.microsoft.com/office/drawing/2014/chart" uri="{C3380CC4-5D6E-409C-BE32-E72D297353CC}">
              <c16:uniqueId val="{0000000B-1598-407F-9F91-645B2A8F464F}"/>
            </c:ext>
          </c:extLst>
        </c:ser>
        <c:ser>
          <c:idx val="10"/>
          <c:order val="10"/>
          <c:tx>
            <c:v>x=0.0018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1.8000000000000002E-3</c:v>
              </c:pt>
              <c:pt idx="1">
                <c:v>1.8000000000000002E-3</c:v>
              </c:pt>
            </c:numLit>
          </c:yVal>
          <c:smooth val="0"/>
          <c:extLst>
            <c:ext xmlns:c16="http://schemas.microsoft.com/office/drawing/2014/chart" uri="{C3380CC4-5D6E-409C-BE32-E72D297353CC}">
              <c16:uniqueId val="{0000000C-1598-407F-9F91-645B2A8F464F}"/>
            </c:ext>
          </c:extLst>
        </c:ser>
        <c:ser>
          <c:idx val="11"/>
          <c:order val="11"/>
          <c:tx>
            <c:v>x=0.002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-7.7226612326043735</c:v>
              </c:pt>
              <c:pt idx="1">
                <c:v>50.8</c:v>
              </c:pt>
            </c:numLit>
          </c:xVal>
          <c:yVal>
            <c:numLit>
              <c:formatCode>General</c:formatCode>
              <c:ptCount val="2"/>
              <c:pt idx="0">
                <c:v>2E-3</c:v>
              </c:pt>
              <c:pt idx="1">
                <c:v>2E-3</c:v>
              </c:pt>
            </c:numLit>
          </c:yVal>
          <c:smooth val="0"/>
          <c:extLst>
            <c:ext xmlns:c16="http://schemas.microsoft.com/office/drawing/2014/chart" uri="{C3380CC4-5D6E-409C-BE32-E72D297353CC}">
              <c16:uniqueId val="{0000000E-1598-407F-9F91-645B2A8F464F}"/>
            </c:ext>
          </c:extLst>
        </c:ser>
        <c:ser>
          <c:idx val="12"/>
          <c:order val="12"/>
          <c:tx>
            <c:v>x=0.0022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2.2000000000000001E-3</c:v>
              </c:pt>
              <c:pt idx="1">
                <c:v>2.2000000000000001E-3</c:v>
              </c:pt>
            </c:numLit>
          </c:yVal>
          <c:smooth val="0"/>
          <c:extLst>
            <c:ext xmlns:c16="http://schemas.microsoft.com/office/drawing/2014/chart" uri="{C3380CC4-5D6E-409C-BE32-E72D297353CC}">
              <c16:uniqueId val="{0000000F-1598-407F-9F91-645B2A8F464F}"/>
            </c:ext>
          </c:extLst>
        </c:ser>
        <c:ser>
          <c:idx val="13"/>
          <c:order val="13"/>
          <c:tx>
            <c:v>x=0.0024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2.4000000000000002E-3</c:v>
              </c:pt>
              <c:pt idx="1">
                <c:v>2.4000000000000002E-3</c:v>
              </c:pt>
            </c:numLit>
          </c:yVal>
          <c:smooth val="0"/>
          <c:extLst>
            <c:ext xmlns:c16="http://schemas.microsoft.com/office/drawing/2014/chart" uri="{C3380CC4-5D6E-409C-BE32-E72D297353CC}">
              <c16:uniqueId val="{00000010-1598-407F-9F91-645B2A8F464F}"/>
            </c:ext>
          </c:extLst>
        </c:ser>
        <c:ser>
          <c:idx val="14"/>
          <c:order val="14"/>
          <c:tx>
            <c:v>x=0.0026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2.6000000000000003E-3</c:v>
              </c:pt>
              <c:pt idx="1">
                <c:v>2.6000000000000003E-3</c:v>
              </c:pt>
            </c:numLit>
          </c:yVal>
          <c:smooth val="0"/>
          <c:extLst>
            <c:ext xmlns:c16="http://schemas.microsoft.com/office/drawing/2014/chart" uri="{C3380CC4-5D6E-409C-BE32-E72D297353CC}">
              <c16:uniqueId val="{00000011-1598-407F-9F91-645B2A8F464F}"/>
            </c:ext>
          </c:extLst>
        </c:ser>
        <c:ser>
          <c:idx val="15"/>
          <c:order val="15"/>
          <c:tx>
            <c:v>x=0.0028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2.8E-3</c:v>
              </c:pt>
              <c:pt idx="1">
                <c:v>2.8E-3</c:v>
              </c:pt>
            </c:numLit>
          </c:yVal>
          <c:smooth val="0"/>
          <c:extLst>
            <c:ext xmlns:c16="http://schemas.microsoft.com/office/drawing/2014/chart" uri="{C3380CC4-5D6E-409C-BE32-E72D297353CC}">
              <c16:uniqueId val="{00000012-1598-407F-9F91-645B2A8F464F}"/>
            </c:ext>
          </c:extLst>
        </c:ser>
        <c:ser>
          <c:idx val="16"/>
          <c:order val="16"/>
          <c:tx>
            <c:v>x=0.003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-3.0828113320079522</c:v>
              </c:pt>
              <c:pt idx="1">
                <c:v>50.8</c:v>
              </c:pt>
            </c:numLit>
          </c:xVal>
          <c:yVal>
            <c:numLit>
              <c:formatCode>General</c:formatCode>
              <c:ptCount val="2"/>
              <c:pt idx="0">
                <c:v>3.0000000000000001E-3</c:v>
              </c:pt>
              <c:pt idx="1">
                <c:v>3.0000000000000001E-3</c:v>
              </c:pt>
            </c:numLit>
          </c:yVal>
          <c:smooth val="0"/>
          <c:extLst>
            <c:ext xmlns:c16="http://schemas.microsoft.com/office/drawing/2014/chart" uri="{C3380CC4-5D6E-409C-BE32-E72D297353CC}">
              <c16:uniqueId val="{00000014-1598-407F-9F91-645B2A8F464F}"/>
            </c:ext>
          </c:extLst>
        </c:ser>
        <c:ser>
          <c:idx val="17"/>
          <c:order val="17"/>
          <c:tx>
            <c:v>x=0.0032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3.2000000000000002E-3</c:v>
              </c:pt>
              <c:pt idx="1">
                <c:v>3.2000000000000002E-3</c:v>
              </c:pt>
            </c:numLit>
          </c:yVal>
          <c:smooth val="0"/>
          <c:extLst>
            <c:ext xmlns:c16="http://schemas.microsoft.com/office/drawing/2014/chart" uri="{C3380CC4-5D6E-409C-BE32-E72D297353CC}">
              <c16:uniqueId val="{00000015-1598-407F-9F91-645B2A8F464F}"/>
            </c:ext>
          </c:extLst>
        </c:ser>
        <c:ser>
          <c:idx val="18"/>
          <c:order val="18"/>
          <c:tx>
            <c:v>x=0.0034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3.4000000000000002E-3</c:v>
              </c:pt>
              <c:pt idx="1">
                <c:v>3.4000000000000002E-3</c:v>
              </c:pt>
            </c:numLit>
          </c:yVal>
          <c:smooth val="0"/>
          <c:extLst>
            <c:ext xmlns:c16="http://schemas.microsoft.com/office/drawing/2014/chart" uri="{C3380CC4-5D6E-409C-BE32-E72D297353CC}">
              <c16:uniqueId val="{00000016-1598-407F-9F91-645B2A8F464F}"/>
            </c:ext>
          </c:extLst>
        </c:ser>
        <c:ser>
          <c:idx val="19"/>
          <c:order val="19"/>
          <c:tx>
            <c:v>x=0.0036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3.6000000000000003E-3</c:v>
              </c:pt>
              <c:pt idx="1">
                <c:v>3.6000000000000003E-3</c:v>
              </c:pt>
            </c:numLit>
          </c:yVal>
          <c:smooth val="0"/>
          <c:extLst>
            <c:ext xmlns:c16="http://schemas.microsoft.com/office/drawing/2014/chart" uri="{C3380CC4-5D6E-409C-BE32-E72D297353CC}">
              <c16:uniqueId val="{00000017-1598-407F-9F91-645B2A8F464F}"/>
            </c:ext>
          </c:extLst>
        </c:ser>
        <c:ser>
          <c:idx val="20"/>
          <c:order val="20"/>
          <c:tx>
            <c:v>x=0.0038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3.8E-3</c:v>
              </c:pt>
              <c:pt idx="1">
                <c:v>3.8E-3</c:v>
              </c:pt>
            </c:numLit>
          </c:yVal>
          <c:smooth val="0"/>
          <c:extLst>
            <c:ext xmlns:c16="http://schemas.microsoft.com/office/drawing/2014/chart" uri="{C3380CC4-5D6E-409C-BE32-E72D297353CC}">
              <c16:uniqueId val="{00000018-1598-407F-9F91-645B2A8F464F}"/>
            </c:ext>
          </c:extLst>
        </c:ser>
        <c:ser>
          <c:idx val="21"/>
          <c:order val="21"/>
          <c:tx>
            <c:v>x=0.004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0.37569145129224651</c:v>
              </c:pt>
              <c:pt idx="1">
                <c:v>50.8</c:v>
              </c:pt>
            </c:numLit>
          </c:xVal>
          <c:yVal>
            <c:numLit>
              <c:formatCode>General</c:formatCode>
              <c:ptCount val="2"/>
              <c:pt idx="0">
                <c:v>4.0000000000000001E-3</c:v>
              </c:pt>
              <c:pt idx="1">
                <c:v>4.0000000000000001E-3</c:v>
              </c:pt>
            </c:numLit>
          </c:yVal>
          <c:smooth val="0"/>
          <c:extLst>
            <c:ext xmlns:c16="http://schemas.microsoft.com/office/drawing/2014/chart" uri="{C3380CC4-5D6E-409C-BE32-E72D297353CC}">
              <c16:uniqueId val="{0000001A-1598-407F-9F91-645B2A8F464F}"/>
            </c:ext>
          </c:extLst>
        </c:ser>
        <c:ser>
          <c:idx val="22"/>
          <c:order val="22"/>
          <c:tx>
            <c:v>x=0.0042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4.2000000000000006E-3</c:v>
              </c:pt>
              <c:pt idx="1">
                <c:v>4.2000000000000006E-3</c:v>
              </c:pt>
            </c:numLit>
          </c:yVal>
          <c:smooth val="0"/>
          <c:extLst>
            <c:ext xmlns:c16="http://schemas.microsoft.com/office/drawing/2014/chart" uri="{C3380CC4-5D6E-409C-BE32-E72D297353CC}">
              <c16:uniqueId val="{0000001B-1598-407F-9F91-645B2A8F464F}"/>
            </c:ext>
          </c:extLst>
        </c:ser>
        <c:ser>
          <c:idx val="23"/>
          <c:order val="23"/>
          <c:tx>
            <c:v>x=0.0044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4.4000000000000003E-3</c:v>
              </c:pt>
              <c:pt idx="1">
                <c:v>4.4000000000000003E-3</c:v>
              </c:pt>
            </c:numLit>
          </c:yVal>
          <c:smooth val="0"/>
          <c:extLst>
            <c:ext xmlns:c16="http://schemas.microsoft.com/office/drawing/2014/chart" uri="{C3380CC4-5D6E-409C-BE32-E72D297353CC}">
              <c16:uniqueId val="{0000001C-1598-407F-9F91-645B2A8F464F}"/>
            </c:ext>
          </c:extLst>
        </c:ser>
        <c:ser>
          <c:idx val="24"/>
          <c:order val="24"/>
          <c:tx>
            <c:v>x=0.0046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4.5999999999999999E-3</c:v>
              </c:pt>
              <c:pt idx="1">
                <c:v>4.5999999999999999E-3</c:v>
              </c:pt>
            </c:numLit>
          </c:yVal>
          <c:smooth val="0"/>
          <c:extLst>
            <c:ext xmlns:c16="http://schemas.microsoft.com/office/drawing/2014/chart" uri="{C3380CC4-5D6E-409C-BE32-E72D297353CC}">
              <c16:uniqueId val="{0000001D-1598-407F-9F91-645B2A8F464F}"/>
            </c:ext>
          </c:extLst>
        </c:ser>
        <c:ser>
          <c:idx val="25"/>
          <c:order val="25"/>
          <c:tx>
            <c:v>x=0.0048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4.8000000000000004E-3</c:v>
              </c:pt>
              <c:pt idx="1">
                <c:v>4.8000000000000004E-3</c:v>
              </c:pt>
            </c:numLit>
          </c:yVal>
          <c:smooth val="0"/>
          <c:extLst>
            <c:ext xmlns:c16="http://schemas.microsoft.com/office/drawing/2014/chart" uri="{C3380CC4-5D6E-409C-BE32-E72D297353CC}">
              <c16:uniqueId val="{0000001E-1598-407F-9F91-645B2A8F464F}"/>
            </c:ext>
          </c:extLst>
        </c:ser>
        <c:ser>
          <c:idx val="26"/>
          <c:order val="26"/>
          <c:tx>
            <c:v>x=0.005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3.4233648111332013</c:v>
              </c:pt>
              <c:pt idx="1">
                <c:v>50.8</c:v>
              </c:pt>
            </c:numLit>
          </c:xVal>
          <c:yVal>
            <c:numLit>
              <c:formatCode>General</c:formatCode>
              <c:ptCount val="2"/>
              <c:pt idx="0">
                <c:v>5.0000000000000001E-3</c:v>
              </c:pt>
              <c:pt idx="1">
                <c:v>5.0000000000000001E-3</c:v>
              </c:pt>
            </c:numLit>
          </c:yVal>
          <c:smooth val="0"/>
          <c:extLst>
            <c:ext xmlns:c16="http://schemas.microsoft.com/office/drawing/2014/chart" uri="{C3380CC4-5D6E-409C-BE32-E72D297353CC}">
              <c16:uniqueId val="{00000020-1598-407F-9F91-645B2A8F464F}"/>
            </c:ext>
          </c:extLst>
        </c:ser>
        <c:ser>
          <c:idx val="27"/>
          <c:order val="27"/>
          <c:tx>
            <c:v>x=0.0052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5.2000000000000006E-3</c:v>
              </c:pt>
              <c:pt idx="1">
                <c:v>5.2000000000000006E-3</c:v>
              </c:pt>
            </c:numLit>
          </c:yVal>
          <c:smooth val="0"/>
          <c:extLst>
            <c:ext xmlns:c16="http://schemas.microsoft.com/office/drawing/2014/chart" uri="{C3380CC4-5D6E-409C-BE32-E72D297353CC}">
              <c16:uniqueId val="{00000021-1598-407F-9F91-645B2A8F464F}"/>
            </c:ext>
          </c:extLst>
        </c:ser>
        <c:ser>
          <c:idx val="28"/>
          <c:order val="28"/>
          <c:tx>
            <c:v>x=0.0054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5.4000000000000003E-3</c:v>
              </c:pt>
              <c:pt idx="1">
                <c:v>5.4000000000000003E-3</c:v>
              </c:pt>
            </c:numLit>
          </c:yVal>
          <c:smooth val="0"/>
          <c:extLst>
            <c:ext xmlns:c16="http://schemas.microsoft.com/office/drawing/2014/chart" uri="{C3380CC4-5D6E-409C-BE32-E72D297353CC}">
              <c16:uniqueId val="{00000022-1598-407F-9F91-645B2A8F464F}"/>
            </c:ext>
          </c:extLst>
        </c:ser>
        <c:ser>
          <c:idx val="29"/>
          <c:order val="29"/>
          <c:tx>
            <c:v>x=0.0056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5.5999999999999999E-3</c:v>
              </c:pt>
              <c:pt idx="1">
                <c:v>5.5999999999999999E-3</c:v>
              </c:pt>
            </c:numLit>
          </c:yVal>
          <c:smooth val="0"/>
          <c:extLst>
            <c:ext xmlns:c16="http://schemas.microsoft.com/office/drawing/2014/chart" uri="{C3380CC4-5D6E-409C-BE32-E72D297353CC}">
              <c16:uniqueId val="{00000023-1598-407F-9F91-645B2A8F464F}"/>
            </c:ext>
          </c:extLst>
        </c:ser>
        <c:ser>
          <c:idx val="30"/>
          <c:order val="30"/>
          <c:tx>
            <c:v>x=0.0058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5.8000000000000005E-3</c:v>
              </c:pt>
              <c:pt idx="1">
                <c:v>5.8000000000000005E-3</c:v>
              </c:pt>
            </c:numLit>
          </c:yVal>
          <c:smooth val="0"/>
          <c:extLst>
            <c:ext xmlns:c16="http://schemas.microsoft.com/office/drawing/2014/chart" uri="{C3380CC4-5D6E-409C-BE32-E72D297353CC}">
              <c16:uniqueId val="{00000024-1598-407F-9F91-645B2A8F464F}"/>
            </c:ext>
          </c:extLst>
        </c:ser>
        <c:ser>
          <c:idx val="31"/>
          <c:order val="31"/>
          <c:tx>
            <c:v>x=0.006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5.9567697813121274</c:v>
              </c:pt>
              <c:pt idx="1">
                <c:v>50.8</c:v>
              </c:pt>
            </c:numLit>
          </c:xVal>
          <c:yVal>
            <c:numLit>
              <c:formatCode>General</c:formatCode>
              <c:ptCount val="2"/>
              <c:pt idx="0">
                <c:v>6.0000000000000001E-3</c:v>
              </c:pt>
              <c:pt idx="1">
                <c:v>6.0000000000000001E-3</c:v>
              </c:pt>
            </c:numLit>
          </c:yVal>
          <c:smooth val="0"/>
          <c:extLst>
            <c:ext xmlns:c16="http://schemas.microsoft.com/office/drawing/2014/chart" uri="{C3380CC4-5D6E-409C-BE32-E72D297353CC}">
              <c16:uniqueId val="{00000026-1598-407F-9F91-645B2A8F464F}"/>
            </c:ext>
          </c:extLst>
        </c:ser>
        <c:ser>
          <c:idx val="32"/>
          <c:order val="32"/>
          <c:tx>
            <c:v>x=0.0062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6.2000000000000006E-3</c:v>
              </c:pt>
              <c:pt idx="1">
                <c:v>6.2000000000000006E-3</c:v>
              </c:pt>
            </c:numLit>
          </c:yVal>
          <c:smooth val="0"/>
          <c:extLst>
            <c:ext xmlns:c16="http://schemas.microsoft.com/office/drawing/2014/chart" uri="{C3380CC4-5D6E-409C-BE32-E72D297353CC}">
              <c16:uniqueId val="{00000027-1598-407F-9F91-645B2A8F464F}"/>
            </c:ext>
          </c:extLst>
        </c:ser>
        <c:ser>
          <c:idx val="33"/>
          <c:order val="33"/>
          <c:tx>
            <c:v>x=0.0064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6.4000000000000003E-3</c:v>
              </c:pt>
              <c:pt idx="1">
                <c:v>6.4000000000000003E-3</c:v>
              </c:pt>
            </c:numLit>
          </c:yVal>
          <c:smooth val="0"/>
          <c:extLst>
            <c:ext xmlns:c16="http://schemas.microsoft.com/office/drawing/2014/chart" uri="{C3380CC4-5D6E-409C-BE32-E72D297353CC}">
              <c16:uniqueId val="{00000028-1598-407F-9F91-645B2A8F464F}"/>
            </c:ext>
          </c:extLst>
        </c:ser>
        <c:ser>
          <c:idx val="34"/>
          <c:order val="34"/>
          <c:tx>
            <c:v>x=0.0066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6.6E-3</c:v>
              </c:pt>
              <c:pt idx="1">
                <c:v>6.6E-3</c:v>
              </c:pt>
            </c:numLit>
          </c:yVal>
          <c:smooth val="0"/>
          <c:extLst>
            <c:ext xmlns:c16="http://schemas.microsoft.com/office/drawing/2014/chart" uri="{C3380CC4-5D6E-409C-BE32-E72D297353CC}">
              <c16:uniqueId val="{00000029-1598-407F-9F91-645B2A8F464F}"/>
            </c:ext>
          </c:extLst>
        </c:ser>
        <c:ser>
          <c:idx val="35"/>
          <c:order val="35"/>
          <c:tx>
            <c:v>x=0.0068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6.8000000000000005E-3</c:v>
              </c:pt>
              <c:pt idx="1">
                <c:v>6.8000000000000005E-3</c:v>
              </c:pt>
            </c:numLit>
          </c:yVal>
          <c:smooth val="0"/>
          <c:extLst>
            <c:ext xmlns:c16="http://schemas.microsoft.com/office/drawing/2014/chart" uri="{C3380CC4-5D6E-409C-BE32-E72D297353CC}">
              <c16:uniqueId val="{0000002A-1598-407F-9F91-645B2A8F464F}"/>
            </c:ext>
          </c:extLst>
        </c:ser>
        <c:ser>
          <c:idx val="36"/>
          <c:order val="36"/>
          <c:tx>
            <c:v>x=0.007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8.145222266401591</c:v>
              </c:pt>
              <c:pt idx="1">
                <c:v>50.8</c:v>
              </c:pt>
            </c:numLit>
          </c:xVal>
          <c:yVal>
            <c:numLit>
              <c:formatCode>General</c:formatCode>
              <c:ptCount val="2"/>
              <c:pt idx="0">
                <c:v>7.0000000000000001E-3</c:v>
              </c:pt>
              <c:pt idx="1">
                <c:v>7.0000000000000001E-3</c:v>
              </c:pt>
            </c:numLit>
          </c:yVal>
          <c:smooth val="0"/>
          <c:extLst>
            <c:ext xmlns:c16="http://schemas.microsoft.com/office/drawing/2014/chart" uri="{C3380CC4-5D6E-409C-BE32-E72D297353CC}">
              <c16:uniqueId val="{0000002C-1598-407F-9F91-645B2A8F464F}"/>
            </c:ext>
          </c:extLst>
        </c:ser>
        <c:ser>
          <c:idx val="37"/>
          <c:order val="37"/>
          <c:tx>
            <c:v>x=0.0072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7.2000000000000007E-3</c:v>
              </c:pt>
              <c:pt idx="1">
                <c:v>7.2000000000000007E-3</c:v>
              </c:pt>
            </c:numLit>
          </c:yVal>
          <c:smooth val="0"/>
          <c:extLst>
            <c:ext xmlns:c16="http://schemas.microsoft.com/office/drawing/2014/chart" uri="{C3380CC4-5D6E-409C-BE32-E72D297353CC}">
              <c16:uniqueId val="{0000002D-1598-407F-9F91-645B2A8F464F}"/>
            </c:ext>
          </c:extLst>
        </c:ser>
        <c:ser>
          <c:idx val="38"/>
          <c:order val="38"/>
          <c:tx>
            <c:v>x=0.0074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7.4000000000000003E-3</c:v>
              </c:pt>
              <c:pt idx="1">
                <c:v>7.4000000000000003E-3</c:v>
              </c:pt>
            </c:numLit>
          </c:yVal>
          <c:smooth val="0"/>
          <c:extLst>
            <c:ext xmlns:c16="http://schemas.microsoft.com/office/drawing/2014/chart" uri="{C3380CC4-5D6E-409C-BE32-E72D297353CC}">
              <c16:uniqueId val="{0000002E-1598-407F-9F91-645B2A8F464F}"/>
            </c:ext>
          </c:extLst>
        </c:ser>
        <c:ser>
          <c:idx val="39"/>
          <c:order val="39"/>
          <c:tx>
            <c:v>x=0.0076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7.6E-3</c:v>
              </c:pt>
              <c:pt idx="1">
                <c:v>7.6E-3</c:v>
              </c:pt>
            </c:numLit>
          </c:yVal>
          <c:smooth val="0"/>
          <c:extLst>
            <c:ext xmlns:c16="http://schemas.microsoft.com/office/drawing/2014/chart" uri="{C3380CC4-5D6E-409C-BE32-E72D297353CC}">
              <c16:uniqueId val="{0000002F-1598-407F-9F91-645B2A8F464F}"/>
            </c:ext>
          </c:extLst>
        </c:ser>
        <c:ser>
          <c:idx val="40"/>
          <c:order val="40"/>
          <c:tx>
            <c:v>x=0.0078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7.8000000000000005E-3</c:v>
              </c:pt>
              <c:pt idx="1">
                <c:v>7.8000000000000005E-3</c:v>
              </c:pt>
            </c:numLit>
          </c:yVal>
          <c:smooth val="0"/>
          <c:extLst>
            <c:ext xmlns:c16="http://schemas.microsoft.com/office/drawing/2014/chart" uri="{C3380CC4-5D6E-409C-BE32-E72D297353CC}">
              <c16:uniqueId val="{00000030-1598-407F-9F91-645B2A8F464F}"/>
            </c:ext>
          </c:extLst>
        </c:ser>
        <c:ser>
          <c:idx val="41"/>
          <c:order val="41"/>
          <c:tx>
            <c:v>x=0.008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10.057816302186881</c:v>
              </c:pt>
              <c:pt idx="1">
                <c:v>50.8</c:v>
              </c:pt>
            </c:numLit>
          </c:xVal>
          <c:yVal>
            <c:numLit>
              <c:formatCode>General</c:formatCode>
              <c:ptCount val="2"/>
              <c:pt idx="0">
                <c:v>8.0000000000000002E-3</c:v>
              </c:pt>
              <c:pt idx="1">
                <c:v>8.0000000000000002E-3</c:v>
              </c:pt>
            </c:numLit>
          </c:yVal>
          <c:smooth val="0"/>
          <c:extLst>
            <c:ext xmlns:c16="http://schemas.microsoft.com/office/drawing/2014/chart" uri="{C3380CC4-5D6E-409C-BE32-E72D297353CC}">
              <c16:uniqueId val="{00000032-1598-407F-9F91-645B2A8F464F}"/>
            </c:ext>
          </c:extLst>
        </c:ser>
        <c:ser>
          <c:idx val="42"/>
          <c:order val="42"/>
          <c:tx>
            <c:v>x=0.0082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8.2000000000000007E-3</c:v>
              </c:pt>
              <c:pt idx="1">
                <c:v>8.2000000000000007E-3</c:v>
              </c:pt>
            </c:numLit>
          </c:yVal>
          <c:smooth val="0"/>
          <c:extLst>
            <c:ext xmlns:c16="http://schemas.microsoft.com/office/drawing/2014/chart" uri="{C3380CC4-5D6E-409C-BE32-E72D297353CC}">
              <c16:uniqueId val="{00000033-1598-407F-9F91-645B2A8F464F}"/>
            </c:ext>
          </c:extLst>
        </c:ser>
        <c:ser>
          <c:idx val="43"/>
          <c:order val="43"/>
          <c:tx>
            <c:v>x=0.0084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8.4000000000000012E-3</c:v>
              </c:pt>
              <c:pt idx="1">
                <c:v>8.4000000000000012E-3</c:v>
              </c:pt>
            </c:numLit>
          </c:yVal>
          <c:smooth val="0"/>
          <c:extLst>
            <c:ext xmlns:c16="http://schemas.microsoft.com/office/drawing/2014/chart" uri="{C3380CC4-5D6E-409C-BE32-E72D297353CC}">
              <c16:uniqueId val="{00000034-1598-407F-9F91-645B2A8F464F}"/>
            </c:ext>
          </c:extLst>
        </c:ser>
        <c:ser>
          <c:idx val="44"/>
          <c:order val="44"/>
          <c:tx>
            <c:v>x=0.0086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8.6E-3</c:v>
              </c:pt>
              <c:pt idx="1">
                <c:v>8.6E-3</c:v>
              </c:pt>
            </c:numLit>
          </c:yVal>
          <c:smooth val="0"/>
          <c:extLst>
            <c:ext xmlns:c16="http://schemas.microsoft.com/office/drawing/2014/chart" uri="{C3380CC4-5D6E-409C-BE32-E72D297353CC}">
              <c16:uniqueId val="{00000035-1598-407F-9F91-645B2A8F464F}"/>
            </c:ext>
          </c:extLst>
        </c:ser>
        <c:ser>
          <c:idx val="45"/>
          <c:order val="45"/>
          <c:tx>
            <c:v>x=0.0088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8.8000000000000005E-3</c:v>
              </c:pt>
              <c:pt idx="1">
                <c:v>8.8000000000000005E-3</c:v>
              </c:pt>
            </c:numLit>
          </c:yVal>
          <c:smooth val="0"/>
          <c:extLst>
            <c:ext xmlns:c16="http://schemas.microsoft.com/office/drawing/2014/chart" uri="{C3380CC4-5D6E-409C-BE32-E72D297353CC}">
              <c16:uniqueId val="{00000036-1598-407F-9F91-645B2A8F464F}"/>
            </c:ext>
          </c:extLst>
        </c:ser>
        <c:ser>
          <c:idx val="46"/>
          <c:order val="46"/>
          <c:tx>
            <c:v>x=0.009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11.774330019880717</c:v>
              </c:pt>
              <c:pt idx="1">
                <c:v>50.8</c:v>
              </c:pt>
            </c:numLit>
          </c:xVal>
          <c:yVal>
            <c:numLit>
              <c:formatCode>General</c:formatCode>
              <c:ptCount val="2"/>
              <c:pt idx="0">
                <c:v>9.0000000000000011E-3</c:v>
              </c:pt>
              <c:pt idx="1">
                <c:v>9.0000000000000011E-3</c:v>
              </c:pt>
            </c:numLit>
          </c:yVal>
          <c:smooth val="0"/>
          <c:extLst>
            <c:ext xmlns:c16="http://schemas.microsoft.com/office/drawing/2014/chart" uri="{C3380CC4-5D6E-409C-BE32-E72D297353CC}">
              <c16:uniqueId val="{00000038-1598-407F-9F91-645B2A8F464F}"/>
            </c:ext>
          </c:extLst>
        </c:ser>
        <c:ser>
          <c:idx val="47"/>
          <c:order val="47"/>
          <c:tx>
            <c:v>x=0.0092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9.1999999999999998E-3</c:v>
              </c:pt>
              <c:pt idx="1">
                <c:v>9.1999999999999998E-3</c:v>
              </c:pt>
            </c:numLit>
          </c:yVal>
          <c:smooth val="0"/>
          <c:extLst>
            <c:ext xmlns:c16="http://schemas.microsoft.com/office/drawing/2014/chart" uri="{C3380CC4-5D6E-409C-BE32-E72D297353CC}">
              <c16:uniqueId val="{00000039-1598-407F-9F91-645B2A8F464F}"/>
            </c:ext>
          </c:extLst>
        </c:ser>
        <c:ser>
          <c:idx val="48"/>
          <c:order val="48"/>
          <c:tx>
            <c:v>x=0.0094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9.4000000000000004E-3</c:v>
              </c:pt>
              <c:pt idx="1">
                <c:v>9.4000000000000004E-3</c:v>
              </c:pt>
            </c:numLit>
          </c:yVal>
          <c:smooth val="0"/>
          <c:extLst>
            <c:ext xmlns:c16="http://schemas.microsoft.com/office/drawing/2014/chart" uri="{C3380CC4-5D6E-409C-BE32-E72D297353CC}">
              <c16:uniqueId val="{0000003A-1598-407F-9F91-645B2A8F464F}"/>
            </c:ext>
          </c:extLst>
        </c:ser>
        <c:ser>
          <c:idx val="49"/>
          <c:order val="49"/>
          <c:tx>
            <c:v>x=0.0096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9.6000000000000009E-3</c:v>
              </c:pt>
              <c:pt idx="1">
                <c:v>9.6000000000000009E-3</c:v>
              </c:pt>
            </c:numLit>
          </c:yVal>
          <c:smooth val="0"/>
          <c:extLst>
            <c:ext xmlns:c16="http://schemas.microsoft.com/office/drawing/2014/chart" uri="{C3380CC4-5D6E-409C-BE32-E72D297353CC}">
              <c16:uniqueId val="{0000003B-1598-407F-9F91-645B2A8F464F}"/>
            </c:ext>
          </c:extLst>
        </c:ser>
        <c:ser>
          <c:idx val="50"/>
          <c:order val="50"/>
          <c:tx>
            <c:v>x=0.0098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9.7999999999999997E-3</c:v>
              </c:pt>
              <c:pt idx="1">
                <c:v>9.7999999999999997E-3</c:v>
              </c:pt>
            </c:numLit>
          </c:yVal>
          <c:smooth val="0"/>
          <c:extLst>
            <c:ext xmlns:c16="http://schemas.microsoft.com/office/drawing/2014/chart" uri="{C3380CC4-5D6E-409C-BE32-E72D297353CC}">
              <c16:uniqueId val="{0000003C-1598-407F-9F91-645B2A8F464F}"/>
            </c:ext>
          </c:extLst>
        </c:ser>
        <c:ser>
          <c:idx val="51"/>
          <c:order val="51"/>
          <c:tx>
            <c:v>x=0.01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D-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13.314023856858848</c:v>
              </c:pt>
              <c:pt idx="1">
                <c:v>50.8</c:v>
              </c:pt>
            </c:numLit>
          </c:xVal>
          <c:yVal>
            <c:numLit>
              <c:formatCode>General</c:formatCode>
              <c:ptCount val="2"/>
              <c:pt idx="0">
                <c:v>0.01</c:v>
              </c:pt>
              <c:pt idx="1">
                <c:v>0.01</c:v>
              </c:pt>
            </c:numLit>
          </c:yVal>
          <c:smooth val="0"/>
          <c:extLst>
            <c:ext xmlns:c16="http://schemas.microsoft.com/office/drawing/2014/chart" uri="{C3380CC4-5D6E-409C-BE32-E72D297353CC}">
              <c16:uniqueId val="{0000003E-1598-407F-9F91-645B2A8F464F}"/>
            </c:ext>
          </c:extLst>
        </c:ser>
        <c:ser>
          <c:idx val="52"/>
          <c:order val="52"/>
          <c:tx>
            <c:v>x=0.0102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1.0200000000000001E-2</c:v>
              </c:pt>
              <c:pt idx="1">
                <c:v>1.0200000000000001E-2</c:v>
              </c:pt>
            </c:numLit>
          </c:yVal>
          <c:smooth val="0"/>
          <c:extLst>
            <c:ext xmlns:c16="http://schemas.microsoft.com/office/drawing/2014/chart" uri="{C3380CC4-5D6E-409C-BE32-E72D297353CC}">
              <c16:uniqueId val="{0000003F-1598-407F-9F91-645B2A8F464F}"/>
            </c:ext>
          </c:extLst>
        </c:ser>
        <c:ser>
          <c:idx val="53"/>
          <c:order val="53"/>
          <c:tx>
            <c:v>x=0.0104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1.0400000000000001E-2</c:v>
              </c:pt>
              <c:pt idx="1">
                <c:v>1.0400000000000001E-2</c:v>
              </c:pt>
            </c:numLit>
          </c:yVal>
          <c:smooth val="0"/>
          <c:extLst>
            <c:ext xmlns:c16="http://schemas.microsoft.com/office/drawing/2014/chart" uri="{C3380CC4-5D6E-409C-BE32-E72D297353CC}">
              <c16:uniqueId val="{00000040-1598-407F-9F91-645B2A8F464F}"/>
            </c:ext>
          </c:extLst>
        </c:ser>
        <c:ser>
          <c:idx val="54"/>
          <c:order val="54"/>
          <c:tx>
            <c:v>x=0.0106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1.06E-2</c:v>
              </c:pt>
              <c:pt idx="1">
                <c:v>1.06E-2</c:v>
              </c:pt>
            </c:numLit>
          </c:yVal>
          <c:smooth val="0"/>
          <c:extLst>
            <c:ext xmlns:c16="http://schemas.microsoft.com/office/drawing/2014/chart" uri="{C3380CC4-5D6E-409C-BE32-E72D297353CC}">
              <c16:uniqueId val="{00000041-1598-407F-9F91-645B2A8F464F}"/>
            </c:ext>
          </c:extLst>
        </c:ser>
        <c:ser>
          <c:idx val="55"/>
          <c:order val="55"/>
          <c:tx>
            <c:v>x=0.0108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1.0800000000000001E-2</c:v>
              </c:pt>
              <c:pt idx="1">
                <c:v>1.0800000000000001E-2</c:v>
              </c:pt>
            </c:numLit>
          </c:yVal>
          <c:smooth val="0"/>
          <c:extLst>
            <c:ext xmlns:c16="http://schemas.microsoft.com/office/drawing/2014/chart" uri="{C3380CC4-5D6E-409C-BE32-E72D297353CC}">
              <c16:uniqueId val="{00000042-1598-407F-9F91-645B2A8F464F}"/>
            </c:ext>
          </c:extLst>
        </c:ser>
        <c:ser>
          <c:idx val="56"/>
          <c:order val="56"/>
          <c:tx>
            <c:v>x=0.011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3-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14.726916302186879</c:v>
              </c:pt>
              <c:pt idx="1">
                <c:v>50.8</c:v>
              </c:pt>
            </c:numLit>
          </c:xVal>
          <c:yVal>
            <c:numLit>
              <c:formatCode>General</c:formatCode>
              <c:ptCount val="2"/>
              <c:pt idx="0">
                <c:v>1.1000000000000001E-2</c:v>
              </c:pt>
              <c:pt idx="1">
                <c:v>1.1000000000000001E-2</c:v>
              </c:pt>
            </c:numLit>
          </c:yVal>
          <c:smooth val="0"/>
          <c:extLst>
            <c:ext xmlns:c16="http://schemas.microsoft.com/office/drawing/2014/chart" uri="{C3380CC4-5D6E-409C-BE32-E72D297353CC}">
              <c16:uniqueId val="{00000044-1598-407F-9F91-645B2A8F464F}"/>
            </c:ext>
          </c:extLst>
        </c:ser>
        <c:ser>
          <c:idx val="57"/>
          <c:order val="57"/>
          <c:tx>
            <c:v>x=0.0112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1.12E-2</c:v>
              </c:pt>
              <c:pt idx="1">
                <c:v>1.12E-2</c:v>
              </c:pt>
            </c:numLit>
          </c:yVal>
          <c:smooth val="0"/>
          <c:extLst>
            <c:ext xmlns:c16="http://schemas.microsoft.com/office/drawing/2014/chart" uri="{C3380CC4-5D6E-409C-BE32-E72D297353CC}">
              <c16:uniqueId val="{00000045-1598-407F-9F91-645B2A8F464F}"/>
            </c:ext>
          </c:extLst>
        </c:ser>
        <c:ser>
          <c:idx val="58"/>
          <c:order val="58"/>
          <c:tx>
            <c:v>x=0.0114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1.14E-2</c:v>
              </c:pt>
              <c:pt idx="1">
                <c:v>1.14E-2</c:v>
              </c:pt>
            </c:numLit>
          </c:yVal>
          <c:smooth val="0"/>
          <c:extLst>
            <c:ext xmlns:c16="http://schemas.microsoft.com/office/drawing/2014/chart" uri="{C3380CC4-5D6E-409C-BE32-E72D297353CC}">
              <c16:uniqueId val="{00000046-1598-407F-9F91-645B2A8F464F}"/>
            </c:ext>
          </c:extLst>
        </c:ser>
        <c:ser>
          <c:idx val="59"/>
          <c:order val="59"/>
          <c:tx>
            <c:v>x=0.0116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1.1600000000000001E-2</c:v>
              </c:pt>
              <c:pt idx="1">
                <c:v>1.1600000000000001E-2</c:v>
              </c:pt>
            </c:numLit>
          </c:yVal>
          <c:smooth val="0"/>
          <c:extLst>
            <c:ext xmlns:c16="http://schemas.microsoft.com/office/drawing/2014/chart" uri="{C3380CC4-5D6E-409C-BE32-E72D297353CC}">
              <c16:uniqueId val="{00000047-1598-407F-9F91-645B2A8F464F}"/>
            </c:ext>
          </c:extLst>
        </c:ser>
        <c:ser>
          <c:idx val="60"/>
          <c:order val="60"/>
          <c:tx>
            <c:v>x=0.0118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1.18E-2</c:v>
              </c:pt>
              <c:pt idx="1">
                <c:v>1.18E-2</c:v>
              </c:pt>
            </c:numLit>
          </c:yVal>
          <c:smooth val="0"/>
          <c:extLst>
            <c:ext xmlns:c16="http://schemas.microsoft.com/office/drawing/2014/chart" uri="{C3380CC4-5D6E-409C-BE32-E72D297353CC}">
              <c16:uniqueId val="{00000048-1598-407F-9F91-645B2A8F464F}"/>
            </c:ext>
          </c:extLst>
        </c:ser>
        <c:ser>
          <c:idx val="61"/>
          <c:order val="61"/>
          <c:tx>
            <c:v>x=0.012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9-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16.032730019880717</c:v>
              </c:pt>
              <c:pt idx="1">
                <c:v>50.8</c:v>
              </c:pt>
            </c:numLit>
          </c:xVal>
          <c:yVal>
            <c:numLit>
              <c:formatCode>General</c:formatCode>
              <c:ptCount val="2"/>
              <c:pt idx="0">
                <c:v>1.2E-2</c:v>
              </c:pt>
              <c:pt idx="1">
                <c:v>1.2E-2</c:v>
              </c:pt>
            </c:numLit>
          </c:yVal>
          <c:smooth val="0"/>
          <c:extLst>
            <c:ext xmlns:c16="http://schemas.microsoft.com/office/drawing/2014/chart" uri="{C3380CC4-5D6E-409C-BE32-E72D297353CC}">
              <c16:uniqueId val="{0000004A-1598-407F-9F91-645B2A8F464F}"/>
            </c:ext>
          </c:extLst>
        </c:ser>
        <c:ser>
          <c:idx val="62"/>
          <c:order val="62"/>
          <c:tx>
            <c:v>x=0.0122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1.2200000000000001E-2</c:v>
              </c:pt>
              <c:pt idx="1">
                <c:v>1.2200000000000001E-2</c:v>
              </c:pt>
            </c:numLit>
          </c:yVal>
          <c:smooth val="0"/>
          <c:extLst>
            <c:ext xmlns:c16="http://schemas.microsoft.com/office/drawing/2014/chart" uri="{C3380CC4-5D6E-409C-BE32-E72D297353CC}">
              <c16:uniqueId val="{0000004B-1598-407F-9F91-645B2A8F464F}"/>
            </c:ext>
          </c:extLst>
        </c:ser>
        <c:ser>
          <c:idx val="63"/>
          <c:order val="63"/>
          <c:tx>
            <c:v>x=0.0124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1.2400000000000001E-2</c:v>
              </c:pt>
              <c:pt idx="1">
                <c:v>1.2400000000000001E-2</c:v>
              </c:pt>
            </c:numLit>
          </c:yVal>
          <c:smooth val="0"/>
          <c:extLst>
            <c:ext xmlns:c16="http://schemas.microsoft.com/office/drawing/2014/chart" uri="{C3380CC4-5D6E-409C-BE32-E72D297353CC}">
              <c16:uniqueId val="{0000004C-1598-407F-9F91-645B2A8F464F}"/>
            </c:ext>
          </c:extLst>
        </c:ser>
        <c:ser>
          <c:idx val="64"/>
          <c:order val="64"/>
          <c:tx>
            <c:v>x=0.0126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1.26E-2</c:v>
              </c:pt>
              <c:pt idx="1">
                <c:v>1.26E-2</c:v>
              </c:pt>
            </c:numLit>
          </c:yVal>
          <c:smooth val="0"/>
          <c:extLst>
            <c:ext xmlns:c16="http://schemas.microsoft.com/office/drawing/2014/chart" uri="{C3380CC4-5D6E-409C-BE32-E72D297353CC}">
              <c16:uniqueId val="{0000004D-1598-407F-9F91-645B2A8F464F}"/>
            </c:ext>
          </c:extLst>
        </c:ser>
        <c:ser>
          <c:idx val="65"/>
          <c:order val="65"/>
          <c:tx>
            <c:v>x=0.0128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1.2800000000000001E-2</c:v>
              </c:pt>
              <c:pt idx="1">
                <c:v>1.2800000000000001E-2</c:v>
              </c:pt>
            </c:numLit>
          </c:yVal>
          <c:smooth val="0"/>
          <c:extLst>
            <c:ext xmlns:c16="http://schemas.microsoft.com/office/drawing/2014/chart" uri="{C3380CC4-5D6E-409C-BE32-E72D297353CC}">
              <c16:uniqueId val="{0000004E-1598-407F-9F91-645B2A8F464F}"/>
            </c:ext>
          </c:extLst>
        </c:ser>
        <c:ser>
          <c:idx val="66"/>
          <c:order val="66"/>
          <c:tx>
            <c:v>x=0.013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F-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17.241095228628232</c:v>
              </c:pt>
              <c:pt idx="1">
                <c:v>50.8</c:v>
              </c:pt>
            </c:numLit>
          </c:xVal>
          <c:yVal>
            <c:numLit>
              <c:formatCode>General</c:formatCode>
              <c:ptCount val="2"/>
              <c:pt idx="0">
                <c:v>1.3000000000000001E-2</c:v>
              </c:pt>
              <c:pt idx="1">
                <c:v>1.3000000000000001E-2</c:v>
              </c:pt>
            </c:numLit>
          </c:yVal>
          <c:smooth val="0"/>
          <c:extLst>
            <c:ext xmlns:c16="http://schemas.microsoft.com/office/drawing/2014/chart" uri="{C3380CC4-5D6E-409C-BE32-E72D297353CC}">
              <c16:uniqueId val="{00000050-1598-407F-9F91-645B2A8F464F}"/>
            </c:ext>
          </c:extLst>
        </c:ser>
        <c:ser>
          <c:idx val="67"/>
          <c:order val="67"/>
          <c:tx>
            <c:v>x=0.0132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1.32E-2</c:v>
              </c:pt>
              <c:pt idx="1">
                <c:v>1.32E-2</c:v>
              </c:pt>
            </c:numLit>
          </c:yVal>
          <c:smooth val="0"/>
          <c:extLst>
            <c:ext xmlns:c16="http://schemas.microsoft.com/office/drawing/2014/chart" uri="{C3380CC4-5D6E-409C-BE32-E72D297353CC}">
              <c16:uniqueId val="{00000051-1598-407F-9F91-645B2A8F464F}"/>
            </c:ext>
          </c:extLst>
        </c:ser>
        <c:ser>
          <c:idx val="68"/>
          <c:order val="68"/>
          <c:tx>
            <c:v>x=0.0134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1.34E-2</c:v>
              </c:pt>
              <c:pt idx="1">
                <c:v>1.34E-2</c:v>
              </c:pt>
            </c:numLit>
          </c:yVal>
          <c:smooth val="0"/>
          <c:extLst>
            <c:ext xmlns:c16="http://schemas.microsoft.com/office/drawing/2014/chart" uri="{C3380CC4-5D6E-409C-BE32-E72D297353CC}">
              <c16:uniqueId val="{00000052-1598-407F-9F91-645B2A8F464F}"/>
            </c:ext>
          </c:extLst>
        </c:ser>
        <c:ser>
          <c:idx val="69"/>
          <c:order val="69"/>
          <c:tx>
            <c:v>x=0.0136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1.3600000000000001E-2</c:v>
              </c:pt>
              <c:pt idx="1">
                <c:v>1.3600000000000001E-2</c:v>
              </c:pt>
            </c:numLit>
          </c:yVal>
          <c:smooth val="0"/>
          <c:extLst>
            <c:ext xmlns:c16="http://schemas.microsoft.com/office/drawing/2014/chart" uri="{C3380CC4-5D6E-409C-BE32-E72D297353CC}">
              <c16:uniqueId val="{00000053-1598-407F-9F91-645B2A8F464F}"/>
            </c:ext>
          </c:extLst>
        </c:ser>
        <c:ser>
          <c:idx val="70"/>
          <c:order val="70"/>
          <c:tx>
            <c:v>x=0.0138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1.3800000000000002E-2</c:v>
              </c:pt>
              <c:pt idx="1">
                <c:v>1.3800000000000002E-2</c:v>
              </c:pt>
            </c:numLit>
          </c:yVal>
          <c:smooth val="0"/>
          <c:extLst>
            <c:ext xmlns:c16="http://schemas.microsoft.com/office/drawing/2014/chart" uri="{C3380CC4-5D6E-409C-BE32-E72D297353CC}">
              <c16:uniqueId val="{00000054-1598-407F-9F91-645B2A8F464F}"/>
            </c:ext>
          </c:extLst>
        </c:ser>
        <c:ser>
          <c:idx val="71"/>
          <c:order val="71"/>
          <c:tx>
            <c:v>x=0.014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5-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18.371974950298213</c:v>
              </c:pt>
              <c:pt idx="1">
                <c:v>50.8</c:v>
              </c:pt>
            </c:numLit>
          </c:xVal>
          <c:yVal>
            <c:numLit>
              <c:formatCode>General</c:formatCode>
              <c:ptCount val="2"/>
              <c:pt idx="0">
                <c:v>1.4E-2</c:v>
              </c:pt>
              <c:pt idx="1">
                <c:v>1.4E-2</c:v>
              </c:pt>
            </c:numLit>
          </c:yVal>
          <c:smooth val="0"/>
          <c:extLst>
            <c:ext xmlns:c16="http://schemas.microsoft.com/office/drawing/2014/chart" uri="{C3380CC4-5D6E-409C-BE32-E72D297353CC}">
              <c16:uniqueId val="{00000056-1598-407F-9F91-645B2A8F464F}"/>
            </c:ext>
          </c:extLst>
        </c:ser>
        <c:ser>
          <c:idx val="72"/>
          <c:order val="72"/>
          <c:tx>
            <c:v>x=0.0142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1.4200000000000001E-2</c:v>
              </c:pt>
              <c:pt idx="1">
                <c:v>1.4200000000000001E-2</c:v>
              </c:pt>
            </c:numLit>
          </c:yVal>
          <c:smooth val="0"/>
          <c:extLst>
            <c:ext xmlns:c16="http://schemas.microsoft.com/office/drawing/2014/chart" uri="{C3380CC4-5D6E-409C-BE32-E72D297353CC}">
              <c16:uniqueId val="{00000057-1598-407F-9F91-645B2A8F464F}"/>
            </c:ext>
          </c:extLst>
        </c:ser>
        <c:ser>
          <c:idx val="73"/>
          <c:order val="73"/>
          <c:tx>
            <c:v>x=0.0144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1.4400000000000001E-2</c:v>
              </c:pt>
              <c:pt idx="1">
                <c:v>1.4400000000000001E-2</c:v>
              </c:pt>
            </c:numLit>
          </c:yVal>
          <c:smooth val="0"/>
          <c:extLst>
            <c:ext xmlns:c16="http://schemas.microsoft.com/office/drawing/2014/chart" uri="{C3380CC4-5D6E-409C-BE32-E72D297353CC}">
              <c16:uniqueId val="{00000058-1598-407F-9F91-645B2A8F464F}"/>
            </c:ext>
          </c:extLst>
        </c:ser>
        <c:ser>
          <c:idx val="74"/>
          <c:order val="74"/>
          <c:tx>
            <c:v>x=0.0146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1.46E-2</c:v>
              </c:pt>
              <c:pt idx="1">
                <c:v>1.46E-2</c:v>
              </c:pt>
            </c:numLit>
          </c:yVal>
          <c:smooth val="0"/>
          <c:extLst>
            <c:ext xmlns:c16="http://schemas.microsoft.com/office/drawing/2014/chart" uri="{C3380CC4-5D6E-409C-BE32-E72D297353CC}">
              <c16:uniqueId val="{00000059-1598-407F-9F91-645B2A8F464F}"/>
            </c:ext>
          </c:extLst>
        </c:ser>
        <c:ser>
          <c:idx val="75"/>
          <c:order val="75"/>
          <c:tx>
            <c:v>x=0.0148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1.4800000000000001E-2</c:v>
              </c:pt>
              <c:pt idx="1">
                <c:v>1.4800000000000001E-2</c:v>
              </c:pt>
            </c:numLit>
          </c:yVal>
          <c:smooth val="0"/>
          <c:extLst>
            <c:ext xmlns:c16="http://schemas.microsoft.com/office/drawing/2014/chart" uri="{C3380CC4-5D6E-409C-BE32-E72D297353CC}">
              <c16:uniqueId val="{0000005A-1598-407F-9F91-645B2A8F464F}"/>
            </c:ext>
          </c:extLst>
        </c:ser>
        <c:ser>
          <c:idx val="76"/>
          <c:order val="76"/>
          <c:tx>
            <c:v>x=0.015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B-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19.435202783300202</c:v>
              </c:pt>
              <c:pt idx="1">
                <c:v>50.8</c:v>
              </c:pt>
            </c:numLit>
          </c:xVal>
          <c:yVal>
            <c:numLit>
              <c:formatCode>General</c:formatCode>
              <c:ptCount val="2"/>
              <c:pt idx="0">
                <c:v>1.5000000000000001E-2</c:v>
              </c:pt>
              <c:pt idx="1">
                <c:v>1.5000000000000001E-2</c:v>
              </c:pt>
            </c:numLit>
          </c:yVal>
          <c:smooth val="0"/>
          <c:extLst>
            <c:ext xmlns:c16="http://schemas.microsoft.com/office/drawing/2014/chart" uri="{C3380CC4-5D6E-409C-BE32-E72D297353CC}">
              <c16:uniqueId val="{0000005C-1598-407F-9F91-645B2A8F464F}"/>
            </c:ext>
          </c:extLst>
        </c:ser>
        <c:ser>
          <c:idx val="77"/>
          <c:order val="77"/>
          <c:tx>
            <c:v>x=0.0152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1.52E-2</c:v>
              </c:pt>
              <c:pt idx="1">
                <c:v>1.52E-2</c:v>
              </c:pt>
            </c:numLit>
          </c:yVal>
          <c:smooth val="0"/>
          <c:extLst>
            <c:ext xmlns:c16="http://schemas.microsoft.com/office/drawing/2014/chart" uri="{C3380CC4-5D6E-409C-BE32-E72D297353CC}">
              <c16:uniqueId val="{0000005D-1598-407F-9F91-645B2A8F464F}"/>
            </c:ext>
          </c:extLst>
        </c:ser>
        <c:ser>
          <c:idx val="78"/>
          <c:order val="78"/>
          <c:tx>
            <c:v>x=0.0154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1.54E-2</c:v>
              </c:pt>
              <c:pt idx="1">
                <c:v>1.54E-2</c:v>
              </c:pt>
            </c:numLit>
          </c:yVal>
          <c:smooth val="0"/>
          <c:extLst>
            <c:ext xmlns:c16="http://schemas.microsoft.com/office/drawing/2014/chart" uri="{C3380CC4-5D6E-409C-BE32-E72D297353CC}">
              <c16:uniqueId val="{0000005E-1598-407F-9F91-645B2A8F464F}"/>
            </c:ext>
          </c:extLst>
        </c:ser>
        <c:ser>
          <c:idx val="79"/>
          <c:order val="79"/>
          <c:tx>
            <c:v>x=0.0156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1.5600000000000001E-2</c:v>
              </c:pt>
              <c:pt idx="1">
                <c:v>1.5600000000000001E-2</c:v>
              </c:pt>
            </c:numLit>
          </c:yVal>
          <c:smooth val="0"/>
          <c:extLst>
            <c:ext xmlns:c16="http://schemas.microsoft.com/office/drawing/2014/chart" uri="{C3380CC4-5D6E-409C-BE32-E72D297353CC}">
              <c16:uniqueId val="{0000005F-1598-407F-9F91-645B2A8F464F}"/>
            </c:ext>
          </c:extLst>
        </c:ser>
        <c:ser>
          <c:idx val="80"/>
          <c:order val="80"/>
          <c:tx>
            <c:v>x=0.0158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1.5800000000000002E-2</c:v>
              </c:pt>
              <c:pt idx="1">
                <c:v>1.5800000000000002E-2</c:v>
              </c:pt>
            </c:numLit>
          </c:yVal>
          <c:smooth val="0"/>
          <c:extLst>
            <c:ext xmlns:c16="http://schemas.microsoft.com/office/drawing/2014/chart" uri="{C3380CC4-5D6E-409C-BE32-E72D297353CC}">
              <c16:uniqueId val="{00000060-1598-407F-9F91-645B2A8F464F}"/>
            </c:ext>
          </c:extLst>
        </c:ser>
        <c:ser>
          <c:idx val="81"/>
          <c:order val="81"/>
          <c:tx>
            <c:v>x=0.016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1-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20.430390457256465</c:v>
              </c:pt>
              <c:pt idx="1">
                <c:v>50.8</c:v>
              </c:pt>
            </c:numLit>
          </c:xVal>
          <c:yVal>
            <c:numLit>
              <c:formatCode>General</c:formatCode>
              <c:ptCount val="2"/>
              <c:pt idx="0">
                <c:v>1.6E-2</c:v>
              </c:pt>
              <c:pt idx="1">
                <c:v>1.6E-2</c:v>
              </c:pt>
            </c:numLit>
          </c:yVal>
          <c:smooth val="0"/>
          <c:extLst>
            <c:ext xmlns:c16="http://schemas.microsoft.com/office/drawing/2014/chart" uri="{C3380CC4-5D6E-409C-BE32-E72D297353CC}">
              <c16:uniqueId val="{00000062-1598-407F-9F91-645B2A8F464F}"/>
            </c:ext>
          </c:extLst>
        </c:ser>
        <c:ser>
          <c:idx val="82"/>
          <c:order val="82"/>
          <c:tx>
            <c:v>x=0.0162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1.6199999999999999E-2</c:v>
              </c:pt>
              <c:pt idx="1">
                <c:v>1.6199999999999999E-2</c:v>
              </c:pt>
            </c:numLit>
          </c:yVal>
          <c:smooth val="0"/>
          <c:extLst>
            <c:ext xmlns:c16="http://schemas.microsoft.com/office/drawing/2014/chart" uri="{C3380CC4-5D6E-409C-BE32-E72D297353CC}">
              <c16:uniqueId val="{00000063-1598-407F-9F91-645B2A8F464F}"/>
            </c:ext>
          </c:extLst>
        </c:ser>
        <c:ser>
          <c:idx val="83"/>
          <c:order val="83"/>
          <c:tx>
            <c:v>x=0.0164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1.6400000000000001E-2</c:v>
              </c:pt>
              <c:pt idx="1">
                <c:v>1.6400000000000001E-2</c:v>
              </c:pt>
            </c:numLit>
          </c:yVal>
          <c:smooth val="0"/>
          <c:extLst>
            <c:ext xmlns:c16="http://schemas.microsoft.com/office/drawing/2014/chart" uri="{C3380CC4-5D6E-409C-BE32-E72D297353CC}">
              <c16:uniqueId val="{00000064-1598-407F-9F91-645B2A8F464F}"/>
            </c:ext>
          </c:extLst>
        </c:ser>
        <c:ser>
          <c:idx val="84"/>
          <c:order val="84"/>
          <c:tx>
            <c:v>x=0.0166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1.66E-2</c:v>
              </c:pt>
              <c:pt idx="1">
                <c:v>1.66E-2</c:v>
              </c:pt>
            </c:numLit>
          </c:yVal>
          <c:smooth val="0"/>
          <c:extLst>
            <c:ext xmlns:c16="http://schemas.microsoft.com/office/drawing/2014/chart" uri="{C3380CC4-5D6E-409C-BE32-E72D297353CC}">
              <c16:uniqueId val="{00000065-1598-407F-9F91-645B2A8F464F}"/>
            </c:ext>
          </c:extLst>
        </c:ser>
        <c:ser>
          <c:idx val="85"/>
          <c:order val="85"/>
          <c:tx>
            <c:v>x=0.0168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1.6800000000000002E-2</c:v>
              </c:pt>
              <c:pt idx="1">
                <c:v>1.6800000000000002E-2</c:v>
              </c:pt>
            </c:numLit>
          </c:yVal>
          <c:smooth val="0"/>
          <c:extLst>
            <c:ext xmlns:c16="http://schemas.microsoft.com/office/drawing/2014/chart" uri="{C3380CC4-5D6E-409C-BE32-E72D297353CC}">
              <c16:uniqueId val="{00000066-1598-407F-9F91-645B2A8F464F}"/>
            </c:ext>
          </c:extLst>
        </c:ser>
        <c:ser>
          <c:idx val="86"/>
          <c:order val="86"/>
          <c:tx>
            <c:v>x=0.017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7-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21.377778330019879</c:v>
              </c:pt>
              <c:pt idx="1">
                <c:v>50.8</c:v>
              </c:pt>
            </c:numLit>
          </c:xVal>
          <c:yVal>
            <c:numLit>
              <c:formatCode>General</c:formatCode>
              <c:ptCount val="2"/>
              <c:pt idx="0">
                <c:v>1.7000000000000001E-2</c:v>
              </c:pt>
              <c:pt idx="1">
                <c:v>1.7000000000000001E-2</c:v>
              </c:pt>
            </c:numLit>
          </c:yVal>
          <c:smooth val="0"/>
          <c:extLst>
            <c:ext xmlns:c16="http://schemas.microsoft.com/office/drawing/2014/chart" uri="{C3380CC4-5D6E-409C-BE32-E72D297353CC}">
              <c16:uniqueId val="{00000068-1598-407F-9F91-645B2A8F464F}"/>
            </c:ext>
          </c:extLst>
        </c:ser>
        <c:ser>
          <c:idx val="87"/>
          <c:order val="87"/>
          <c:tx>
            <c:v>x=0.0172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1.72E-2</c:v>
              </c:pt>
              <c:pt idx="1">
                <c:v>1.72E-2</c:v>
              </c:pt>
            </c:numLit>
          </c:yVal>
          <c:smooth val="0"/>
          <c:extLst>
            <c:ext xmlns:c16="http://schemas.microsoft.com/office/drawing/2014/chart" uri="{C3380CC4-5D6E-409C-BE32-E72D297353CC}">
              <c16:uniqueId val="{00000069-1598-407F-9F91-645B2A8F464F}"/>
            </c:ext>
          </c:extLst>
        </c:ser>
        <c:ser>
          <c:idx val="88"/>
          <c:order val="88"/>
          <c:tx>
            <c:v>x=0.0174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1.7400000000000002E-2</c:v>
              </c:pt>
              <c:pt idx="1">
                <c:v>1.7400000000000002E-2</c:v>
              </c:pt>
            </c:numLit>
          </c:yVal>
          <c:smooth val="0"/>
          <c:extLst>
            <c:ext xmlns:c16="http://schemas.microsoft.com/office/drawing/2014/chart" uri="{C3380CC4-5D6E-409C-BE32-E72D297353CC}">
              <c16:uniqueId val="{0000006A-1598-407F-9F91-645B2A8F464F}"/>
            </c:ext>
          </c:extLst>
        </c:ser>
        <c:ser>
          <c:idx val="89"/>
          <c:order val="89"/>
          <c:tx>
            <c:v>x=0.0176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1.7600000000000001E-2</c:v>
              </c:pt>
              <c:pt idx="1">
                <c:v>1.7600000000000001E-2</c:v>
              </c:pt>
            </c:numLit>
          </c:yVal>
          <c:smooth val="0"/>
          <c:extLst>
            <c:ext xmlns:c16="http://schemas.microsoft.com/office/drawing/2014/chart" uri="{C3380CC4-5D6E-409C-BE32-E72D297353CC}">
              <c16:uniqueId val="{0000006B-1598-407F-9F91-645B2A8F464F}"/>
            </c:ext>
          </c:extLst>
        </c:ser>
        <c:ser>
          <c:idx val="90"/>
          <c:order val="90"/>
          <c:tx>
            <c:v>x=0.0178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1.78E-2</c:v>
              </c:pt>
              <c:pt idx="1">
                <c:v>1.78E-2</c:v>
              </c:pt>
            </c:numLit>
          </c:yVal>
          <c:smooth val="0"/>
          <c:extLst>
            <c:ext xmlns:c16="http://schemas.microsoft.com/office/drawing/2014/chart" uri="{C3380CC4-5D6E-409C-BE32-E72D297353CC}">
              <c16:uniqueId val="{0000006C-1598-407F-9F91-645B2A8F464F}"/>
            </c:ext>
          </c:extLst>
        </c:ser>
        <c:ser>
          <c:idx val="91"/>
          <c:order val="91"/>
          <c:tx>
            <c:v>x=0.018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D-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22.266756262425449</c:v>
              </c:pt>
              <c:pt idx="1">
                <c:v>50.8</c:v>
              </c:pt>
            </c:numLit>
          </c:xVal>
          <c:yVal>
            <c:numLit>
              <c:formatCode>General</c:formatCode>
              <c:ptCount val="2"/>
              <c:pt idx="0">
                <c:v>1.8000000000000002E-2</c:v>
              </c:pt>
              <c:pt idx="1">
                <c:v>1.8000000000000002E-2</c:v>
              </c:pt>
            </c:numLit>
          </c:yVal>
          <c:smooth val="0"/>
          <c:extLst>
            <c:ext xmlns:c16="http://schemas.microsoft.com/office/drawing/2014/chart" uri="{C3380CC4-5D6E-409C-BE32-E72D297353CC}">
              <c16:uniqueId val="{0000006E-1598-407F-9F91-645B2A8F464F}"/>
            </c:ext>
          </c:extLst>
        </c:ser>
        <c:ser>
          <c:idx val="92"/>
          <c:order val="92"/>
          <c:tx>
            <c:v>x=0.0182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1.8200000000000001E-2</c:v>
              </c:pt>
              <c:pt idx="1">
                <c:v>1.8200000000000001E-2</c:v>
              </c:pt>
            </c:numLit>
          </c:yVal>
          <c:smooth val="0"/>
          <c:extLst>
            <c:ext xmlns:c16="http://schemas.microsoft.com/office/drawing/2014/chart" uri="{C3380CC4-5D6E-409C-BE32-E72D297353CC}">
              <c16:uniqueId val="{0000006F-1598-407F-9F91-645B2A8F464F}"/>
            </c:ext>
          </c:extLst>
        </c:ser>
        <c:ser>
          <c:idx val="93"/>
          <c:order val="93"/>
          <c:tx>
            <c:v>x=0.0184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1.84E-2</c:v>
              </c:pt>
              <c:pt idx="1">
                <c:v>1.84E-2</c:v>
              </c:pt>
            </c:numLit>
          </c:yVal>
          <c:smooth val="0"/>
          <c:extLst>
            <c:ext xmlns:c16="http://schemas.microsoft.com/office/drawing/2014/chart" uri="{C3380CC4-5D6E-409C-BE32-E72D297353CC}">
              <c16:uniqueId val="{00000070-1598-407F-9F91-645B2A8F464F}"/>
            </c:ext>
          </c:extLst>
        </c:ser>
        <c:ser>
          <c:idx val="94"/>
          <c:order val="94"/>
          <c:tx>
            <c:v>x=0.0186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1.8600000000000002E-2</c:v>
              </c:pt>
              <c:pt idx="1">
                <c:v>1.8600000000000002E-2</c:v>
              </c:pt>
            </c:numLit>
          </c:yVal>
          <c:smooth val="0"/>
          <c:extLst>
            <c:ext xmlns:c16="http://schemas.microsoft.com/office/drawing/2014/chart" uri="{C3380CC4-5D6E-409C-BE32-E72D297353CC}">
              <c16:uniqueId val="{00000071-1598-407F-9F91-645B2A8F464F}"/>
            </c:ext>
          </c:extLst>
        </c:ser>
        <c:ser>
          <c:idx val="95"/>
          <c:order val="95"/>
          <c:tx>
            <c:v>x=0.0188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1.8800000000000001E-2</c:v>
              </c:pt>
              <c:pt idx="1">
                <c:v>1.8800000000000001E-2</c:v>
              </c:pt>
            </c:numLit>
          </c:yVal>
          <c:smooth val="0"/>
          <c:extLst>
            <c:ext xmlns:c16="http://schemas.microsoft.com/office/drawing/2014/chart" uri="{C3380CC4-5D6E-409C-BE32-E72D297353CC}">
              <c16:uniqueId val="{00000072-1598-407F-9F91-645B2A8F464F}"/>
            </c:ext>
          </c:extLst>
        </c:ser>
        <c:ser>
          <c:idx val="96"/>
          <c:order val="96"/>
          <c:tx>
            <c:v>x=0.019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3-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23.117694035785291</c:v>
              </c:pt>
              <c:pt idx="1">
                <c:v>50.8</c:v>
              </c:pt>
            </c:numLit>
          </c:xVal>
          <c:yVal>
            <c:numLit>
              <c:formatCode>General</c:formatCode>
              <c:ptCount val="2"/>
              <c:pt idx="0">
                <c:v>1.9E-2</c:v>
              </c:pt>
              <c:pt idx="1">
                <c:v>1.9E-2</c:v>
              </c:pt>
            </c:numLit>
          </c:yVal>
          <c:smooth val="0"/>
          <c:extLst>
            <c:ext xmlns:c16="http://schemas.microsoft.com/office/drawing/2014/chart" uri="{C3380CC4-5D6E-409C-BE32-E72D297353CC}">
              <c16:uniqueId val="{00000074-1598-407F-9F91-645B2A8F464F}"/>
            </c:ext>
          </c:extLst>
        </c:ser>
        <c:ser>
          <c:idx val="97"/>
          <c:order val="97"/>
          <c:tx>
            <c:v>x=0.0192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1.9200000000000002E-2</c:v>
              </c:pt>
              <c:pt idx="1">
                <c:v>1.9200000000000002E-2</c:v>
              </c:pt>
            </c:numLit>
          </c:yVal>
          <c:smooth val="0"/>
          <c:extLst>
            <c:ext xmlns:c16="http://schemas.microsoft.com/office/drawing/2014/chart" uri="{C3380CC4-5D6E-409C-BE32-E72D297353CC}">
              <c16:uniqueId val="{00000075-1598-407F-9F91-645B2A8F464F}"/>
            </c:ext>
          </c:extLst>
        </c:ser>
        <c:ser>
          <c:idx val="98"/>
          <c:order val="98"/>
          <c:tx>
            <c:v>x=0.0194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1.9400000000000001E-2</c:v>
              </c:pt>
              <c:pt idx="1">
                <c:v>1.9400000000000001E-2</c:v>
              </c:pt>
            </c:numLit>
          </c:yVal>
          <c:smooth val="0"/>
          <c:extLst>
            <c:ext xmlns:c16="http://schemas.microsoft.com/office/drawing/2014/chart" uri="{C3380CC4-5D6E-409C-BE32-E72D297353CC}">
              <c16:uniqueId val="{00000076-1598-407F-9F91-645B2A8F464F}"/>
            </c:ext>
          </c:extLst>
        </c:ser>
        <c:ser>
          <c:idx val="99"/>
          <c:order val="99"/>
          <c:tx>
            <c:v>x=0.0196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1.9599999999999999E-2</c:v>
              </c:pt>
              <c:pt idx="1">
                <c:v>1.9599999999999999E-2</c:v>
              </c:pt>
            </c:numLit>
          </c:yVal>
          <c:smooth val="0"/>
          <c:extLst>
            <c:ext xmlns:c16="http://schemas.microsoft.com/office/drawing/2014/chart" uri="{C3380CC4-5D6E-409C-BE32-E72D297353CC}">
              <c16:uniqueId val="{00000077-1598-407F-9F91-645B2A8F464F}"/>
            </c:ext>
          </c:extLst>
        </c:ser>
        <c:ser>
          <c:idx val="100"/>
          <c:order val="100"/>
          <c:tx>
            <c:v>x=0.0198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1.9800000000000002E-2</c:v>
              </c:pt>
              <c:pt idx="1">
                <c:v>1.9800000000000002E-2</c:v>
              </c:pt>
            </c:numLit>
          </c:yVal>
          <c:smooth val="0"/>
          <c:extLst>
            <c:ext xmlns:c16="http://schemas.microsoft.com/office/drawing/2014/chart" uri="{C3380CC4-5D6E-409C-BE32-E72D297353CC}">
              <c16:uniqueId val="{00000078-1598-407F-9F91-645B2A8F464F}"/>
            </c:ext>
          </c:extLst>
        </c:ser>
        <c:ser>
          <c:idx val="101"/>
          <c:order val="101"/>
          <c:tx>
            <c:v>x=0.02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9-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23.930369781312127</c:v>
              </c:pt>
              <c:pt idx="1">
                <c:v>50.8</c:v>
              </c:pt>
            </c:numLit>
          </c:xVal>
          <c:yVal>
            <c:numLit>
              <c:formatCode>General</c:formatCode>
              <c:ptCount val="2"/>
              <c:pt idx="0">
                <c:v>0.02</c:v>
              </c:pt>
              <c:pt idx="1">
                <c:v>0.02</c:v>
              </c:pt>
            </c:numLit>
          </c:yVal>
          <c:smooth val="0"/>
          <c:extLst>
            <c:ext xmlns:c16="http://schemas.microsoft.com/office/drawing/2014/chart" uri="{C3380CC4-5D6E-409C-BE32-E72D297353CC}">
              <c16:uniqueId val="{0000007A-1598-407F-9F91-645B2A8F464F}"/>
            </c:ext>
          </c:extLst>
        </c:ser>
        <c:ser>
          <c:idx val="102"/>
          <c:order val="102"/>
          <c:tx>
            <c:v>x=0.0202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2.0200000000000003E-2</c:v>
              </c:pt>
              <c:pt idx="1">
                <c:v>2.0200000000000003E-2</c:v>
              </c:pt>
            </c:numLit>
          </c:yVal>
          <c:smooth val="0"/>
          <c:extLst>
            <c:ext xmlns:c16="http://schemas.microsoft.com/office/drawing/2014/chart" uri="{C3380CC4-5D6E-409C-BE32-E72D297353CC}">
              <c16:uniqueId val="{0000007B-1598-407F-9F91-645B2A8F464F}"/>
            </c:ext>
          </c:extLst>
        </c:ser>
        <c:ser>
          <c:idx val="103"/>
          <c:order val="103"/>
          <c:tx>
            <c:v>x=0.0204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2.0400000000000001E-2</c:v>
              </c:pt>
              <c:pt idx="1">
                <c:v>2.0400000000000001E-2</c:v>
              </c:pt>
            </c:numLit>
          </c:yVal>
          <c:smooth val="0"/>
          <c:extLst>
            <c:ext xmlns:c16="http://schemas.microsoft.com/office/drawing/2014/chart" uri="{C3380CC4-5D6E-409C-BE32-E72D297353CC}">
              <c16:uniqueId val="{0000007C-1598-407F-9F91-645B2A8F464F}"/>
            </c:ext>
          </c:extLst>
        </c:ser>
        <c:ser>
          <c:idx val="104"/>
          <c:order val="104"/>
          <c:tx>
            <c:v>x=0.0206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2.06E-2</c:v>
              </c:pt>
              <c:pt idx="1">
                <c:v>2.06E-2</c:v>
              </c:pt>
            </c:numLit>
          </c:yVal>
          <c:smooth val="0"/>
          <c:extLst>
            <c:ext xmlns:c16="http://schemas.microsoft.com/office/drawing/2014/chart" uri="{C3380CC4-5D6E-409C-BE32-E72D297353CC}">
              <c16:uniqueId val="{0000007D-1598-407F-9F91-645B2A8F464F}"/>
            </c:ext>
          </c:extLst>
        </c:ser>
        <c:ser>
          <c:idx val="105"/>
          <c:order val="105"/>
          <c:tx>
            <c:v>x=0.0208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2.0800000000000003E-2</c:v>
              </c:pt>
              <c:pt idx="1">
                <c:v>2.0800000000000003E-2</c:v>
              </c:pt>
            </c:numLit>
          </c:yVal>
          <c:smooth val="0"/>
          <c:extLst>
            <c:ext xmlns:c16="http://schemas.microsoft.com/office/drawing/2014/chart" uri="{C3380CC4-5D6E-409C-BE32-E72D297353CC}">
              <c16:uniqueId val="{0000007E-1598-407F-9F91-645B2A8F464F}"/>
            </c:ext>
          </c:extLst>
        </c:ser>
        <c:ser>
          <c:idx val="106"/>
          <c:order val="106"/>
          <c:tx>
            <c:v>x=0.021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F-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24.714949900596423</c:v>
              </c:pt>
              <c:pt idx="1">
                <c:v>50.8</c:v>
              </c:pt>
            </c:numLit>
          </c:xVal>
          <c:yVal>
            <c:numLit>
              <c:formatCode>General</c:formatCode>
              <c:ptCount val="2"/>
              <c:pt idx="0">
                <c:v>2.1000000000000001E-2</c:v>
              </c:pt>
              <c:pt idx="1">
                <c:v>2.1000000000000001E-2</c:v>
              </c:pt>
            </c:numLit>
          </c:yVal>
          <c:smooth val="0"/>
          <c:extLst>
            <c:ext xmlns:c16="http://schemas.microsoft.com/office/drawing/2014/chart" uri="{C3380CC4-5D6E-409C-BE32-E72D297353CC}">
              <c16:uniqueId val="{00000080-1598-407F-9F91-645B2A8F464F}"/>
            </c:ext>
          </c:extLst>
        </c:ser>
        <c:ser>
          <c:idx val="107"/>
          <c:order val="107"/>
          <c:tx>
            <c:v>x=0.0212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2.12E-2</c:v>
              </c:pt>
              <c:pt idx="1">
                <c:v>2.12E-2</c:v>
              </c:pt>
            </c:numLit>
          </c:yVal>
          <c:smooth val="0"/>
          <c:extLst>
            <c:ext xmlns:c16="http://schemas.microsoft.com/office/drawing/2014/chart" uri="{C3380CC4-5D6E-409C-BE32-E72D297353CC}">
              <c16:uniqueId val="{00000081-1598-407F-9F91-645B2A8F464F}"/>
            </c:ext>
          </c:extLst>
        </c:ser>
        <c:ser>
          <c:idx val="108"/>
          <c:order val="108"/>
          <c:tx>
            <c:v>x=0.0214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2.1400000000000002E-2</c:v>
              </c:pt>
              <c:pt idx="1">
                <c:v>2.1400000000000002E-2</c:v>
              </c:pt>
            </c:numLit>
          </c:yVal>
          <c:smooth val="0"/>
          <c:extLst>
            <c:ext xmlns:c16="http://schemas.microsoft.com/office/drawing/2014/chart" uri="{C3380CC4-5D6E-409C-BE32-E72D297353CC}">
              <c16:uniqueId val="{00000082-1598-407F-9F91-645B2A8F464F}"/>
            </c:ext>
          </c:extLst>
        </c:ser>
        <c:ser>
          <c:idx val="109"/>
          <c:order val="109"/>
          <c:tx>
            <c:v>x=0.0216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2.1600000000000001E-2</c:v>
              </c:pt>
              <c:pt idx="1">
                <c:v>2.1600000000000001E-2</c:v>
              </c:pt>
            </c:numLit>
          </c:yVal>
          <c:smooth val="0"/>
          <c:extLst>
            <c:ext xmlns:c16="http://schemas.microsoft.com/office/drawing/2014/chart" uri="{C3380CC4-5D6E-409C-BE32-E72D297353CC}">
              <c16:uniqueId val="{00000083-1598-407F-9F91-645B2A8F464F}"/>
            </c:ext>
          </c:extLst>
        </c:ser>
        <c:ser>
          <c:idx val="110"/>
          <c:order val="110"/>
          <c:tx>
            <c:v>x=0.0218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2.18E-2</c:v>
              </c:pt>
              <c:pt idx="1">
                <c:v>2.18E-2</c:v>
              </c:pt>
            </c:numLit>
          </c:yVal>
          <c:smooth val="0"/>
          <c:extLst>
            <c:ext xmlns:c16="http://schemas.microsoft.com/office/drawing/2014/chart" uri="{C3380CC4-5D6E-409C-BE32-E72D297353CC}">
              <c16:uniqueId val="{00000084-1598-407F-9F91-645B2A8F464F}"/>
            </c:ext>
          </c:extLst>
        </c:ser>
        <c:ser>
          <c:idx val="111"/>
          <c:order val="111"/>
          <c:tx>
            <c:v>x=0.022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5-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25.460861232604376</c:v>
              </c:pt>
              <c:pt idx="1">
                <c:v>50.8</c:v>
              </c:pt>
            </c:numLit>
          </c:xVal>
          <c:yVal>
            <c:numLit>
              <c:formatCode>General</c:formatCode>
              <c:ptCount val="2"/>
              <c:pt idx="0">
                <c:v>2.2000000000000002E-2</c:v>
              </c:pt>
              <c:pt idx="1">
                <c:v>2.2000000000000002E-2</c:v>
              </c:pt>
            </c:numLit>
          </c:yVal>
          <c:smooth val="0"/>
          <c:extLst>
            <c:ext xmlns:c16="http://schemas.microsoft.com/office/drawing/2014/chart" uri="{C3380CC4-5D6E-409C-BE32-E72D297353CC}">
              <c16:uniqueId val="{00000086-1598-407F-9F91-645B2A8F464F}"/>
            </c:ext>
          </c:extLst>
        </c:ser>
        <c:ser>
          <c:idx val="112"/>
          <c:order val="112"/>
          <c:tx>
            <c:v>x=0.0222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2.2200000000000001E-2</c:v>
              </c:pt>
              <c:pt idx="1">
                <c:v>2.2200000000000001E-2</c:v>
              </c:pt>
            </c:numLit>
          </c:yVal>
          <c:smooth val="0"/>
          <c:extLst>
            <c:ext xmlns:c16="http://schemas.microsoft.com/office/drawing/2014/chart" uri="{C3380CC4-5D6E-409C-BE32-E72D297353CC}">
              <c16:uniqueId val="{00000087-1598-407F-9F91-645B2A8F464F}"/>
            </c:ext>
          </c:extLst>
        </c:ser>
        <c:ser>
          <c:idx val="113"/>
          <c:order val="113"/>
          <c:tx>
            <c:v>x=0.0224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2.24E-2</c:v>
              </c:pt>
              <c:pt idx="1">
                <c:v>2.24E-2</c:v>
              </c:pt>
            </c:numLit>
          </c:yVal>
          <c:smooth val="0"/>
          <c:extLst>
            <c:ext xmlns:c16="http://schemas.microsoft.com/office/drawing/2014/chart" uri="{C3380CC4-5D6E-409C-BE32-E72D297353CC}">
              <c16:uniqueId val="{00000088-1598-407F-9F91-645B2A8F464F}"/>
            </c:ext>
          </c:extLst>
        </c:ser>
        <c:ser>
          <c:idx val="114"/>
          <c:order val="114"/>
          <c:tx>
            <c:v>x=0.0226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2.2600000000000002E-2</c:v>
              </c:pt>
              <c:pt idx="1">
                <c:v>2.2600000000000002E-2</c:v>
              </c:pt>
            </c:numLit>
          </c:yVal>
          <c:smooth val="0"/>
          <c:extLst>
            <c:ext xmlns:c16="http://schemas.microsoft.com/office/drawing/2014/chart" uri="{C3380CC4-5D6E-409C-BE32-E72D297353CC}">
              <c16:uniqueId val="{00000089-1598-407F-9F91-645B2A8F464F}"/>
            </c:ext>
          </c:extLst>
        </c:ser>
        <c:ser>
          <c:idx val="115"/>
          <c:order val="115"/>
          <c:tx>
            <c:v>x=0.0228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2.2800000000000001E-2</c:v>
              </c:pt>
              <c:pt idx="1">
                <c:v>2.2800000000000001E-2</c:v>
              </c:pt>
            </c:numLit>
          </c:yVal>
          <c:smooth val="0"/>
          <c:extLst>
            <c:ext xmlns:c16="http://schemas.microsoft.com/office/drawing/2014/chart" uri="{C3380CC4-5D6E-409C-BE32-E72D297353CC}">
              <c16:uniqueId val="{0000008A-1598-407F-9F91-645B2A8F464F}"/>
            </c:ext>
          </c:extLst>
        </c:ser>
        <c:ser>
          <c:idx val="116"/>
          <c:order val="116"/>
          <c:tx>
            <c:v>x=0.023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B-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26.178307157057652</c:v>
              </c:pt>
              <c:pt idx="1">
                <c:v>50.8</c:v>
              </c:pt>
            </c:numLit>
          </c:xVal>
          <c:yVal>
            <c:numLit>
              <c:formatCode>General</c:formatCode>
              <c:ptCount val="2"/>
              <c:pt idx="0">
                <c:v>2.3E-2</c:v>
              </c:pt>
              <c:pt idx="1">
                <c:v>2.3E-2</c:v>
              </c:pt>
            </c:numLit>
          </c:yVal>
          <c:smooth val="0"/>
          <c:extLst>
            <c:ext xmlns:c16="http://schemas.microsoft.com/office/drawing/2014/chart" uri="{C3380CC4-5D6E-409C-BE32-E72D297353CC}">
              <c16:uniqueId val="{0000008C-1598-407F-9F91-645B2A8F464F}"/>
            </c:ext>
          </c:extLst>
        </c:ser>
        <c:ser>
          <c:idx val="117"/>
          <c:order val="117"/>
          <c:tx>
            <c:v>x=0.0232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2.3200000000000002E-2</c:v>
              </c:pt>
              <c:pt idx="1">
                <c:v>2.3200000000000002E-2</c:v>
              </c:pt>
            </c:numLit>
          </c:yVal>
          <c:smooth val="0"/>
          <c:extLst>
            <c:ext xmlns:c16="http://schemas.microsoft.com/office/drawing/2014/chart" uri="{C3380CC4-5D6E-409C-BE32-E72D297353CC}">
              <c16:uniqueId val="{0000008D-1598-407F-9F91-645B2A8F464F}"/>
            </c:ext>
          </c:extLst>
        </c:ser>
        <c:ser>
          <c:idx val="118"/>
          <c:order val="118"/>
          <c:tx>
            <c:v>x=0.0234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2.3400000000000001E-2</c:v>
              </c:pt>
              <c:pt idx="1">
                <c:v>2.3400000000000001E-2</c:v>
              </c:pt>
            </c:numLit>
          </c:yVal>
          <c:smooth val="0"/>
          <c:extLst>
            <c:ext xmlns:c16="http://schemas.microsoft.com/office/drawing/2014/chart" uri="{C3380CC4-5D6E-409C-BE32-E72D297353CC}">
              <c16:uniqueId val="{0000008E-1598-407F-9F91-645B2A8F464F}"/>
            </c:ext>
          </c:extLst>
        </c:ser>
        <c:ser>
          <c:idx val="119"/>
          <c:order val="119"/>
          <c:tx>
            <c:v>x=0.0236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2.3599999999999999E-2</c:v>
              </c:pt>
              <c:pt idx="1">
                <c:v>2.3599999999999999E-2</c:v>
              </c:pt>
            </c:numLit>
          </c:yVal>
          <c:smooth val="0"/>
          <c:extLst>
            <c:ext xmlns:c16="http://schemas.microsoft.com/office/drawing/2014/chart" uri="{C3380CC4-5D6E-409C-BE32-E72D297353CC}">
              <c16:uniqueId val="{0000008F-1598-407F-9F91-645B2A8F464F}"/>
            </c:ext>
          </c:extLst>
        </c:ser>
        <c:ser>
          <c:idx val="120"/>
          <c:order val="120"/>
          <c:tx>
            <c:v>x=0.0238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2.3800000000000002E-2</c:v>
              </c:pt>
              <c:pt idx="1">
                <c:v>2.3800000000000002E-2</c:v>
              </c:pt>
            </c:numLit>
          </c:yVal>
          <c:smooth val="0"/>
          <c:extLst>
            <c:ext xmlns:c16="http://schemas.microsoft.com/office/drawing/2014/chart" uri="{C3380CC4-5D6E-409C-BE32-E72D297353CC}">
              <c16:uniqueId val="{00000090-1598-407F-9F91-645B2A8F464F}"/>
            </c:ext>
          </c:extLst>
        </c:ser>
        <c:ser>
          <c:idx val="121"/>
          <c:order val="121"/>
          <c:tx>
            <c:v>x=0.024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1-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26.867121272365807</c:v>
              </c:pt>
              <c:pt idx="1">
                <c:v>50.8</c:v>
              </c:pt>
            </c:numLit>
          </c:xVal>
          <c:yVal>
            <c:numLit>
              <c:formatCode>General</c:formatCode>
              <c:ptCount val="2"/>
              <c:pt idx="0">
                <c:v>2.4E-2</c:v>
              </c:pt>
              <c:pt idx="1">
                <c:v>2.4E-2</c:v>
              </c:pt>
            </c:numLit>
          </c:yVal>
          <c:smooth val="0"/>
          <c:extLst>
            <c:ext xmlns:c16="http://schemas.microsoft.com/office/drawing/2014/chart" uri="{C3380CC4-5D6E-409C-BE32-E72D297353CC}">
              <c16:uniqueId val="{00000092-1598-407F-9F91-645B2A8F464F}"/>
            </c:ext>
          </c:extLst>
        </c:ser>
        <c:ser>
          <c:idx val="122"/>
          <c:order val="122"/>
          <c:tx>
            <c:v>x=0.0242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2.4200000000000003E-2</c:v>
              </c:pt>
              <c:pt idx="1">
                <c:v>2.4200000000000003E-2</c:v>
              </c:pt>
            </c:numLit>
          </c:yVal>
          <c:smooth val="0"/>
          <c:extLst>
            <c:ext xmlns:c16="http://schemas.microsoft.com/office/drawing/2014/chart" uri="{C3380CC4-5D6E-409C-BE32-E72D297353CC}">
              <c16:uniqueId val="{00000093-1598-407F-9F91-645B2A8F464F}"/>
            </c:ext>
          </c:extLst>
        </c:ser>
        <c:ser>
          <c:idx val="123"/>
          <c:order val="123"/>
          <c:tx>
            <c:v>x=0.0244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2.4400000000000002E-2</c:v>
              </c:pt>
              <c:pt idx="1">
                <c:v>2.4400000000000002E-2</c:v>
              </c:pt>
            </c:numLit>
          </c:yVal>
          <c:smooth val="0"/>
          <c:extLst>
            <c:ext xmlns:c16="http://schemas.microsoft.com/office/drawing/2014/chart" uri="{C3380CC4-5D6E-409C-BE32-E72D297353CC}">
              <c16:uniqueId val="{00000094-1598-407F-9F91-645B2A8F464F}"/>
            </c:ext>
          </c:extLst>
        </c:ser>
        <c:ser>
          <c:idx val="124"/>
          <c:order val="124"/>
          <c:tx>
            <c:v>x=0.0246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2.46E-2</c:v>
              </c:pt>
              <c:pt idx="1">
                <c:v>2.46E-2</c:v>
              </c:pt>
            </c:numLit>
          </c:yVal>
          <c:smooth val="0"/>
          <c:extLst>
            <c:ext xmlns:c16="http://schemas.microsoft.com/office/drawing/2014/chart" uri="{C3380CC4-5D6E-409C-BE32-E72D297353CC}">
              <c16:uniqueId val="{00000095-1598-407F-9F91-645B2A8F464F}"/>
            </c:ext>
          </c:extLst>
        </c:ser>
        <c:ser>
          <c:idx val="125"/>
          <c:order val="125"/>
          <c:tx>
            <c:v>x=0.0248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2.4800000000000003E-2</c:v>
              </c:pt>
              <c:pt idx="1">
                <c:v>2.4800000000000003E-2</c:v>
              </c:pt>
            </c:numLit>
          </c:yVal>
          <c:smooth val="0"/>
          <c:extLst>
            <c:ext xmlns:c16="http://schemas.microsoft.com/office/drawing/2014/chart" uri="{C3380CC4-5D6E-409C-BE32-E72D297353CC}">
              <c16:uniqueId val="{00000096-1598-407F-9F91-645B2A8F464F}"/>
            </c:ext>
          </c:extLst>
        </c:ser>
        <c:ser>
          <c:idx val="126"/>
          <c:order val="126"/>
          <c:tx>
            <c:v>x=0.025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7-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27.527137176938368</c:v>
              </c:pt>
              <c:pt idx="1">
                <c:v>50.8</c:v>
              </c:pt>
            </c:numLit>
          </c:xVal>
          <c:yVal>
            <c:numLit>
              <c:formatCode>General</c:formatCode>
              <c:ptCount val="2"/>
              <c:pt idx="0">
                <c:v>2.5000000000000001E-2</c:v>
              </c:pt>
              <c:pt idx="1">
                <c:v>2.5000000000000001E-2</c:v>
              </c:pt>
            </c:numLit>
          </c:yVal>
          <c:smooth val="0"/>
          <c:extLst>
            <c:ext xmlns:c16="http://schemas.microsoft.com/office/drawing/2014/chart" uri="{C3380CC4-5D6E-409C-BE32-E72D297353CC}">
              <c16:uniqueId val="{00000098-1598-407F-9F91-645B2A8F464F}"/>
            </c:ext>
          </c:extLst>
        </c:ser>
        <c:ser>
          <c:idx val="127"/>
          <c:order val="127"/>
          <c:tx>
            <c:v>x=0.0252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2.52E-2</c:v>
              </c:pt>
              <c:pt idx="1">
                <c:v>2.52E-2</c:v>
              </c:pt>
            </c:numLit>
          </c:yVal>
          <c:smooth val="0"/>
          <c:extLst>
            <c:ext xmlns:c16="http://schemas.microsoft.com/office/drawing/2014/chart" uri="{C3380CC4-5D6E-409C-BE32-E72D297353CC}">
              <c16:uniqueId val="{00000099-1598-407F-9F91-645B2A8F464F}"/>
            </c:ext>
          </c:extLst>
        </c:ser>
        <c:ser>
          <c:idx val="128"/>
          <c:order val="128"/>
          <c:tx>
            <c:v>x=0.0254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2.5400000000000002E-2</c:v>
              </c:pt>
              <c:pt idx="1">
                <c:v>2.5400000000000002E-2</c:v>
              </c:pt>
            </c:numLit>
          </c:yVal>
          <c:smooth val="0"/>
          <c:extLst>
            <c:ext xmlns:c16="http://schemas.microsoft.com/office/drawing/2014/chart" uri="{C3380CC4-5D6E-409C-BE32-E72D297353CC}">
              <c16:uniqueId val="{0000009A-1598-407F-9F91-645B2A8F464F}"/>
            </c:ext>
          </c:extLst>
        </c:ser>
        <c:ser>
          <c:idx val="129"/>
          <c:order val="129"/>
          <c:tx>
            <c:v>x=0.0256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2.5600000000000001E-2</c:v>
              </c:pt>
              <c:pt idx="1">
                <c:v>2.5600000000000001E-2</c:v>
              </c:pt>
            </c:numLit>
          </c:yVal>
          <c:smooth val="0"/>
          <c:extLst>
            <c:ext xmlns:c16="http://schemas.microsoft.com/office/drawing/2014/chart" uri="{C3380CC4-5D6E-409C-BE32-E72D297353CC}">
              <c16:uniqueId val="{0000009B-1598-407F-9F91-645B2A8F464F}"/>
            </c:ext>
          </c:extLst>
        </c:ser>
        <c:ser>
          <c:idx val="130"/>
          <c:order val="130"/>
          <c:tx>
            <c:v>x=0.0258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2.58E-2</c:v>
              </c:pt>
              <c:pt idx="1">
                <c:v>2.58E-2</c:v>
              </c:pt>
            </c:numLit>
          </c:yVal>
          <c:smooth val="0"/>
          <c:extLst>
            <c:ext xmlns:c16="http://schemas.microsoft.com/office/drawing/2014/chart" uri="{C3380CC4-5D6E-409C-BE32-E72D297353CC}">
              <c16:uniqueId val="{0000009C-1598-407F-9F91-645B2A8F464F}"/>
            </c:ext>
          </c:extLst>
        </c:ser>
        <c:ser>
          <c:idx val="131"/>
          <c:order val="131"/>
          <c:tx>
            <c:v>x=0.026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D-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28.168669184890657</c:v>
              </c:pt>
              <c:pt idx="1">
                <c:v>50.8</c:v>
              </c:pt>
            </c:numLit>
          </c:xVal>
          <c:yVal>
            <c:numLit>
              <c:formatCode>General</c:formatCode>
              <c:ptCount val="2"/>
              <c:pt idx="0">
                <c:v>2.6000000000000002E-2</c:v>
              </c:pt>
              <c:pt idx="1">
                <c:v>2.6000000000000002E-2</c:v>
              </c:pt>
            </c:numLit>
          </c:yVal>
          <c:smooth val="0"/>
          <c:extLst>
            <c:ext xmlns:c16="http://schemas.microsoft.com/office/drawing/2014/chart" uri="{C3380CC4-5D6E-409C-BE32-E72D297353CC}">
              <c16:uniqueId val="{0000009E-1598-407F-9F91-645B2A8F464F}"/>
            </c:ext>
          </c:extLst>
        </c:ser>
        <c:ser>
          <c:idx val="132"/>
          <c:order val="132"/>
          <c:tx>
            <c:v>x=0.0262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2.6200000000000001E-2</c:v>
              </c:pt>
              <c:pt idx="1">
                <c:v>2.6200000000000001E-2</c:v>
              </c:pt>
            </c:numLit>
          </c:yVal>
          <c:smooth val="0"/>
          <c:extLst>
            <c:ext xmlns:c16="http://schemas.microsoft.com/office/drawing/2014/chart" uri="{C3380CC4-5D6E-409C-BE32-E72D297353CC}">
              <c16:uniqueId val="{0000009F-1598-407F-9F91-645B2A8F464F}"/>
            </c:ext>
          </c:extLst>
        </c:ser>
        <c:ser>
          <c:idx val="133"/>
          <c:order val="133"/>
          <c:tx>
            <c:v>x=0.0264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2.64E-2</c:v>
              </c:pt>
              <c:pt idx="1">
                <c:v>2.64E-2</c:v>
              </c:pt>
            </c:numLit>
          </c:yVal>
          <c:smooth val="0"/>
          <c:extLst>
            <c:ext xmlns:c16="http://schemas.microsoft.com/office/drawing/2014/chart" uri="{C3380CC4-5D6E-409C-BE32-E72D297353CC}">
              <c16:uniqueId val="{000000A0-1598-407F-9F91-645B2A8F464F}"/>
            </c:ext>
          </c:extLst>
        </c:ser>
        <c:ser>
          <c:idx val="134"/>
          <c:order val="134"/>
          <c:tx>
            <c:v>x=0.0266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2.6600000000000002E-2</c:v>
              </c:pt>
              <c:pt idx="1">
                <c:v>2.6600000000000002E-2</c:v>
              </c:pt>
            </c:numLit>
          </c:yVal>
          <c:smooth val="0"/>
          <c:extLst>
            <c:ext xmlns:c16="http://schemas.microsoft.com/office/drawing/2014/chart" uri="{C3380CC4-5D6E-409C-BE32-E72D297353CC}">
              <c16:uniqueId val="{000000A1-1598-407F-9F91-645B2A8F464F}"/>
            </c:ext>
          </c:extLst>
        </c:ser>
        <c:ser>
          <c:idx val="135"/>
          <c:order val="135"/>
          <c:tx>
            <c:v>x=0.0268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2.6800000000000001E-2</c:v>
              </c:pt>
              <c:pt idx="1">
                <c:v>2.6800000000000001E-2</c:v>
              </c:pt>
            </c:numLit>
          </c:yVal>
          <c:smooth val="0"/>
          <c:extLst>
            <c:ext xmlns:c16="http://schemas.microsoft.com/office/drawing/2014/chart" uri="{C3380CC4-5D6E-409C-BE32-E72D297353CC}">
              <c16:uniqueId val="{000000A2-1598-407F-9F91-645B2A8F464F}"/>
            </c:ext>
          </c:extLst>
        </c:ser>
        <c:ser>
          <c:idx val="136"/>
          <c:order val="136"/>
          <c:tx>
            <c:v>x=0.027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3-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28.791606361829029</c:v>
              </c:pt>
              <c:pt idx="1">
                <c:v>50.8</c:v>
              </c:pt>
            </c:numLit>
          </c:xVal>
          <c:yVal>
            <c:numLit>
              <c:formatCode>General</c:formatCode>
              <c:ptCount val="2"/>
              <c:pt idx="0">
                <c:v>2.7E-2</c:v>
              </c:pt>
              <c:pt idx="1">
                <c:v>2.7E-2</c:v>
              </c:pt>
            </c:numLit>
          </c:yVal>
          <c:smooth val="0"/>
          <c:extLst>
            <c:ext xmlns:c16="http://schemas.microsoft.com/office/drawing/2014/chart" uri="{C3380CC4-5D6E-409C-BE32-E72D297353CC}">
              <c16:uniqueId val="{000000A4-1598-407F-9F91-645B2A8F464F}"/>
            </c:ext>
          </c:extLst>
        </c:ser>
        <c:ser>
          <c:idx val="137"/>
          <c:order val="137"/>
          <c:tx>
            <c:v>x=0.0272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2.7200000000000002E-2</c:v>
              </c:pt>
              <c:pt idx="1">
                <c:v>2.7200000000000002E-2</c:v>
              </c:pt>
            </c:numLit>
          </c:yVal>
          <c:smooth val="0"/>
          <c:extLst>
            <c:ext xmlns:c16="http://schemas.microsoft.com/office/drawing/2014/chart" uri="{C3380CC4-5D6E-409C-BE32-E72D297353CC}">
              <c16:uniqueId val="{000000A5-1598-407F-9F91-645B2A8F464F}"/>
            </c:ext>
          </c:extLst>
        </c:ser>
        <c:ser>
          <c:idx val="138"/>
          <c:order val="138"/>
          <c:tx>
            <c:v>x=0.0274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2.7400000000000001E-2</c:v>
              </c:pt>
              <c:pt idx="1">
                <c:v>2.7400000000000001E-2</c:v>
              </c:pt>
            </c:numLit>
          </c:yVal>
          <c:smooth val="0"/>
          <c:extLst>
            <c:ext xmlns:c16="http://schemas.microsoft.com/office/drawing/2014/chart" uri="{C3380CC4-5D6E-409C-BE32-E72D297353CC}">
              <c16:uniqueId val="{000000A6-1598-407F-9F91-645B2A8F464F}"/>
            </c:ext>
          </c:extLst>
        </c:ser>
        <c:ser>
          <c:idx val="139"/>
          <c:order val="139"/>
          <c:tx>
            <c:v>x=0.0276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2.7600000000000003E-2</c:v>
              </c:pt>
              <c:pt idx="1">
                <c:v>2.7600000000000003E-2</c:v>
              </c:pt>
            </c:numLit>
          </c:yVal>
          <c:smooth val="0"/>
          <c:extLst>
            <c:ext xmlns:c16="http://schemas.microsoft.com/office/drawing/2014/chart" uri="{C3380CC4-5D6E-409C-BE32-E72D297353CC}">
              <c16:uniqueId val="{000000A7-1598-407F-9F91-645B2A8F464F}"/>
            </c:ext>
          </c:extLst>
        </c:ser>
        <c:ser>
          <c:idx val="140"/>
          <c:order val="140"/>
          <c:tx>
            <c:v>x=0.0278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2.7800000000000002E-2</c:v>
              </c:pt>
              <c:pt idx="1">
                <c:v>2.7800000000000002E-2</c:v>
              </c:pt>
            </c:numLit>
          </c:yVal>
          <c:smooth val="0"/>
          <c:extLst>
            <c:ext xmlns:c16="http://schemas.microsoft.com/office/drawing/2014/chart" uri="{C3380CC4-5D6E-409C-BE32-E72D297353CC}">
              <c16:uniqueId val="{000000A8-1598-407F-9F91-645B2A8F464F}"/>
            </c:ext>
          </c:extLst>
        </c:ser>
        <c:ser>
          <c:idx val="141"/>
          <c:order val="141"/>
          <c:tx>
            <c:v>x=0.028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9-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29.385320079522867</c:v>
              </c:pt>
              <c:pt idx="1">
                <c:v>50.8</c:v>
              </c:pt>
            </c:numLit>
          </c:xVal>
          <c:yVal>
            <c:numLit>
              <c:formatCode>General</c:formatCode>
              <c:ptCount val="2"/>
              <c:pt idx="0">
                <c:v>2.8000000000000001E-2</c:v>
              </c:pt>
              <c:pt idx="1">
                <c:v>2.8000000000000001E-2</c:v>
              </c:pt>
            </c:numLit>
          </c:yVal>
          <c:smooth val="0"/>
          <c:extLst>
            <c:ext xmlns:c16="http://schemas.microsoft.com/office/drawing/2014/chart" uri="{C3380CC4-5D6E-409C-BE32-E72D297353CC}">
              <c16:uniqueId val="{000000AA-1598-407F-9F91-645B2A8F464F}"/>
            </c:ext>
          </c:extLst>
        </c:ser>
        <c:ser>
          <c:idx val="142"/>
          <c:order val="142"/>
          <c:tx>
            <c:v>x=0.0282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2.8200000000000003E-2</c:v>
              </c:pt>
              <c:pt idx="1">
                <c:v>2.8200000000000003E-2</c:v>
              </c:pt>
            </c:numLit>
          </c:yVal>
          <c:smooth val="0"/>
          <c:extLst>
            <c:ext xmlns:c16="http://schemas.microsoft.com/office/drawing/2014/chart" uri="{C3380CC4-5D6E-409C-BE32-E72D297353CC}">
              <c16:uniqueId val="{000000AB-1598-407F-9F91-645B2A8F464F}"/>
            </c:ext>
          </c:extLst>
        </c:ser>
        <c:ser>
          <c:idx val="143"/>
          <c:order val="143"/>
          <c:tx>
            <c:v>x=0.0284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2.8400000000000002E-2</c:v>
              </c:pt>
              <c:pt idx="1">
                <c:v>2.8400000000000002E-2</c:v>
              </c:pt>
            </c:numLit>
          </c:yVal>
          <c:smooth val="0"/>
          <c:extLst>
            <c:ext xmlns:c16="http://schemas.microsoft.com/office/drawing/2014/chart" uri="{C3380CC4-5D6E-409C-BE32-E72D297353CC}">
              <c16:uniqueId val="{000000AC-1598-407F-9F91-645B2A8F464F}"/>
            </c:ext>
          </c:extLst>
        </c:ser>
        <c:ser>
          <c:idx val="144"/>
          <c:order val="144"/>
          <c:tx>
            <c:v>x=0.0286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2.86E-2</c:v>
              </c:pt>
              <c:pt idx="1">
                <c:v>2.86E-2</c:v>
              </c:pt>
            </c:numLit>
          </c:yVal>
          <c:smooth val="0"/>
          <c:extLst>
            <c:ext xmlns:c16="http://schemas.microsoft.com/office/drawing/2014/chart" uri="{C3380CC4-5D6E-409C-BE32-E72D297353CC}">
              <c16:uniqueId val="{000000AD-1598-407F-9F91-645B2A8F464F}"/>
            </c:ext>
          </c:extLst>
        </c:ser>
        <c:ser>
          <c:idx val="145"/>
          <c:order val="145"/>
          <c:tx>
            <c:v>x=0.0288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2.8800000000000003E-2</c:v>
              </c:pt>
              <c:pt idx="1">
                <c:v>2.8800000000000003E-2</c:v>
              </c:pt>
            </c:numLit>
          </c:yVal>
          <c:smooth val="0"/>
          <c:extLst>
            <c:ext xmlns:c16="http://schemas.microsoft.com/office/drawing/2014/chart" uri="{C3380CC4-5D6E-409C-BE32-E72D297353CC}">
              <c16:uniqueId val="{000000AE-1598-407F-9F91-645B2A8F464F}"/>
            </c:ext>
          </c:extLst>
        </c:ser>
        <c:ser>
          <c:idx val="146"/>
          <c:order val="146"/>
          <c:tx>
            <c:v>x=0.029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F-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29.970716302186883</c:v>
              </c:pt>
              <c:pt idx="1">
                <c:v>50.8</c:v>
              </c:pt>
            </c:numLit>
          </c:xVal>
          <c:yVal>
            <c:numLit>
              <c:formatCode>General</c:formatCode>
              <c:ptCount val="2"/>
              <c:pt idx="0">
                <c:v>2.9000000000000001E-2</c:v>
              </c:pt>
              <c:pt idx="1">
                <c:v>2.9000000000000001E-2</c:v>
              </c:pt>
            </c:numLit>
          </c:yVal>
          <c:smooth val="0"/>
          <c:extLst>
            <c:ext xmlns:c16="http://schemas.microsoft.com/office/drawing/2014/chart" uri="{C3380CC4-5D6E-409C-BE32-E72D297353CC}">
              <c16:uniqueId val="{000000B0-1598-407F-9F91-645B2A8F464F}"/>
            </c:ext>
          </c:extLst>
        </c:ser>
        <c:ser>
          <c:idx val="147"/>
          <c:order val="147"/>
          <c:tx>
            <c:v>x=0.0292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2.92E-2</c:v>
              </c:pt>
              <c:pt idx="1">
                <c:v>2.92E-2</c:v>
              </c:pt>
            </c:numLit>
          </c:yVal>
          <c:smooth val="0"/>
          <c:extLst>
            <c:ext xmlns:c16="http://schemas.microsoft.com/office/drawing/2014/chart" uri="{C3380CC4-5D6E-409C-BE32-E72D297353CC}">
              <c16:uniqueId val="{000000B1-1598-407F-9F91-645B2A8F464F}"/>
            </c:ext>
          </c:extLst>
        </c:ser>
        <c:ser>
          <c:idx val="148"/>
          <c:order val="148"/>
          <c:tx>
            <c:v>x=0.0294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2.9400000000000003E-2</c:v>
              </c:pt>
              <c:pt idx="1">
                <c:v>2.9400000000000003E-2</c:v>
              </c:pt>
            </c:numLit>
          </c:yVal>
          <c:smooth val="0"/>
          <c:extLst>
            <c:ext xmlns:c16="http://schemas.microsoft.com/office/drawing/2014/chart" uri="{C3380CC4-5D6E-409C-BE32-E72D297353CC}">
              <c16:uniqueId val="{000000B2-1598-407F-9F91-645B2A8F464F}"/>
            </c:ext>
          </c:extLst>
        </c:ser>
        <c:ser>
          <c:idx val="149"/>
          <c:order val="149"/>
          <c:tx>
            <c:v>x=0.0296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2.9600000000000001E-2</c:v>
              </c:pt>
              <c:pt idx="1">
                <c:v>2.9600000000000001E-2</c:v>
              </c:pt>
            </c:numLit>
          </c:yVal>
          <c:smooth val="0"/>
          <c:extLst>
            <c:ext xmlns:c16="http://schemas.microsoft.com/office/drawing/2014/chart" uri="{C3380CC4-5D6E-409C-BE32-E72D297353CC}">
              <c16:uniqueId val="{000000B3-1598-407F-9F91-645B2A8F464F}"/>
            </c:ext>
          </c:extLst>
        </c:ser>
        <c:ser>
          <c:idx val="150"/>
          <c:order val="150"/>
          <c:tx>
            <c:v>x=0.0298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2.98E-2</c:v>
              </c:pt>
              <c:pt idx="1">
                <c:v>2.98E-2</c:v>
              </c:pt>
            </c:numLit>
          </c:yVal>
          <c:smooth val="0"/>
          <c:extLst>
            <c:ext xmlns:c16="http://schemas.microsoft.com/office/drawing/2014/chart" uri="{C3380CC4-5D6E-409C-BE32-E72D297353CC}">
              <c16:uniqueId val="{000000B4-1598-407F-9F91-645B2A8F464F}"/>
            </c:ext>
          </c:extLst>
        </c:ser>
        <c:ser>
          <c:idx val="151"/>
          <c:order val="151"/>
          <c:tx>
            <c:v>x=0.03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5-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30.537184890656061</c:v>
              </c:pt>
              <c:pt idx="1">
                <c:v>50.8</c:v>
              </c:pt>
            </c:numLit>
          </c:xVal>
          <c:yVal>
            <c:numLit>
              <c:formatCode>General</c:formatCode>
              <c:ptCount val="2"/>
              <c:pt idx="0">
                <c:v>3.0000000000000002E-2</c:v>
              </c:pt>
              <c:pt idx="1">
                <c:v>3.0000000000000002E-2</c:v>
              </c:pt>
            </c:numLit>
          </c:yVal>
          <c:smooth val="0"/>
          <c:extLst>
            <c:ext xmlns:c16="http://schemas.microsoft.com/office/drawing/2014/chart" uri="{C3380CC4-5D6E-409C-BE32-E72D297353CC}">
              <c16:uniqueId val="{000000B6-1598-407F-9F91-645B2A8F464F}"/>
            </c:ext>
          </c:extLst>
        </c:ser>
        <c:ser>
          <c:idx val="152"/>
          <c:order val="152"/>
          <c:tx>
            <c:v>x=0.0302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3.0200000000000001E-2</c:v>
              </c:pt>
              <c:pt idx="1">
                <c:v>3.0200000000000001E-2</c:v>
              </c:pt>
            </c:numLit>
          </c:yVal>
          <c:smooth val="0"/>
          <c:extLst>
            <c:ext xmlns:c16="http://schemas.microsoft.com/office/drawing/2014/chart" uri="{C3380CC4-5D6E-409C-BE32-E72D297353CC}">
              <c16:uniqueId val="{000000B7-1598-407F-9F91-645B2A8F464F}"/>
            </c:ext>
          </c:extLst>
        </c:ser>
        <c:ser>
          <c:idx val="153"/>
          <c:order val="153"/>
          <c:tx>
            <c:v>x=0.0304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3.04E-2</c:v>
              </c:pt>
              <c:pt idx="1">
                <c:v>3.04E-2</c:v>
              </c:pt>
            </c:numLit>
          </c:yVal>
          <c:smooth val="0"/>
          <c:extLst>
            <c:ext xmlns:c16="http://schemas.microsoft.com/office/drawing/2014/chart" uri="{C3380CC4-5D6E-409C-BE32-E72D297353CC}">
              <c16:uniqueId val="{000000B8-1598-407F-9F91-645B2A8F464F}"/>
            </c:ext>
          </c:extLst>
        </c:ser>
        <c:ser>
          <c:idx val="154"/>
          <c:order val="154"/>
          <c:tx>
            <c:v>x=0.0306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3.0600000000000002E-2</c:v>
              </c:pt>
              <c:pt idx="1">
                <c:v>3.0600000000000002E-2</c:v>
              </c:pt>
            </c:numLit>
          </c:yVal>
          <c:smooth val="0"/>
          <c:extLst>
            <c:ext xmlns:c16="http://schemas.microsoft.com/office/drawing/2014/chart" uri="{C3380CC4-5D6E-409C-BE32-E72D297353CC}">
              <c16:uniqueId val="{000000B9-1598-407F-9F91-645B2A8F464F}"/>
            </c:ext>
          </c:extLst>
        </c:ser>
        <c:ser>
          <c:idx val="155"/>
          <c:order val="155"/>
          <c:tx>
            <c:v>x=0.0308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3.0800000000000001E-2</c:v>
              </c:pt>
              <c:pt idx="1">
                <c:v>3.0800000000000001E-2</c:v>
              </c:pt>
            </c:numLit>
          </c:yVal>
          <c:smooth val="0"/>
          <c:extLst>
            <c:ext xmlns:c16="http://schemas.microsoft.com/office/drawing/2014/chart" uri="{C3380CC4-5D6E-409C-BE32-E72D297353CC}">
              <c16:uniqueId val="{000000BA-1598-407F-9F91-645B2A8F464F}"/>
            </c:ext>
          </c:extLst>
        </c:ser>
        <c:ser>
          <c:idx val="156"/>
          <c:order val="156"/>
          <c:tx>
            <c:v>x=0.031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B-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31.084614910536782</c:v>
              </c:pt>
              <c:pt idx="1">
                <c:v>50.8</c:v>
              </c:pt>
            </c:numLit>
          </c:xVal>
          <c:yVal>
            <c:numLit>
              <c:formatCode>General</c:formatCode>
              <c:ptCount val="2"/>
              <c:pt idx="0">
                <c:v>3.1E-2</c:v>
              </c:pt>
              <c:pt idx="1">
                <c:v>3.1E-2</c:v>
              </c:pt>
            </c:numLit>
          </c:yVal>
          <c:smooth val="0"/>
          <c:extLst>
            <c:ext xmlns:c16="http://schemas.microsoft.com/office/drawing/2014/chart" uri="{C3380CC4-5D6E-409C-BE32-E72D297353CC}">
              <c16:uniqueId val="{000000BC-1598-407F-9F91-645B2A8F464F}"/>
            </c:ext>
          </c:extLst>
        </c:ser>
        <c:ser>
          <c:idx val="157"/>
          <c:order val="157"/>
          <c:tx>
            <c:v>x=0.0312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3.1200000000000002E-2</c:v>
              </c:pt>
              <c:pt idx="1">
                <c:v>3.1200000000000002E-2</c:v>
              </c:pt>
            </c:numLit>
          </c:yVal>
          <c:smooth val="0"/>
          <c:extLst>
            <c:ext xmlns:c16="http://schemas.microsoft.com/office/drawing/2014/chart" uri="{C3380CC4-5D6E-409C-BE32-E72D297353CC}">
              <c16:uniqueId val="{000000BD-1598-407F-9F91-645B2A8F464F}"/>
            </c:ext>
          </c:extLst>
        </c:ser>
        <c:ser>
          <c:idx val="158"/>
          <c:order val="158"/>
          <c:tx>
            <c:v>x=0.0314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3.1400000000000004E-2</c:v>
              </c:pt>
              <c:pt idx="1">
                <c:v>3.1400000000000004E-2</c:v>
              </c:pt>
            </c:numLit>
          </c:yVal>
          <c:smooth val="0"/>
          <c:extLst>
            <c:ext xmlns:c16="http://schemas.microsoft.com/office/drawing/2014/chart" uri="{C3380CC4-5D6E-409C-BE32-E72D297353CC}">
              <c16:uniqueId val="{000000BE-1598-407F-9F91-645B2A8F464F}"/>
            </c:ext>
          </c:extLst>
        </c:ser>
        <c:ser>
          <c:idx val="159"/>
          <c:order val="159"/>
          <c:tx>
            <c:v>x=0.0316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3.1600000000000003E-2</c:v>
              </c:pt>
              <c:pt idx="1">
                <c:v>3.1600000000000003E-2</c:v>
              </c:pt>
            </c:numLit>
          </c:yVal>
          <c:smooth val="0"/>
          <c:extLst>
            <c:ext xmlns:c16="http://schemas.microsoft.com/office/drawing/2014/chart" uri="{C3380CC4-5D6E-409C-BE32-E72D297353CC}">
              <c16:uniqueId val="{000000BF-1598-407F-9F91-645B2A8F464F}"/>
            </c:ext>
          </c:extLst>
        </c:ser>
        <c:ser>
          <c:idx val="160"/>
          <c:order val="160"/>
          <c:tx>
            <c:v>x=0.0318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3.1800000000000002E-2</c:v>
              </c:pt>
              <c:pt idx="1">
                <c:v>3.1800000000000002E-2</c:v>
              </c:pt>
            </c:numLit>
          </c:yVal>
          <c:smooth val="0"/>
          <c:extLst>
            <c:ext xmlns:c16="http://schemas.microsoft.com/office/drawing/2014/chart" uri="{C3380CC4-5D6E-409C-BE32-E72D297353CC}">
              <c16:uniqueId val="{000000C0-1598-407F-9F91-645B2A8F464F}"/>
            </c:ext>
          </c:extLst>
        </c:ser>
        <c:ser>
          <c:idx val="161"/>
          <c:order val="161"/>
          <c:tx>
            <c:v>x=0.032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1-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31.623487077534794</c:v>
              </c:pt>
              <c:pt idx="1">
                <c:v>50.8</c:v>
              </c:pt>
            </c:numLit>
          </c:xVal>
          <c:yVal>
            <c:numLit>
              <c:formatCode>General</c:formatCode>
              <c:ptCount val="2"/>
              <c:pt idx="0">
                <c:v>3.2000000000000001E-2</c:v>
              </c:pt>
              <c:pt idx="1">
                <c:v>3.2000000000000001E-2</c:v>
              </c:pt>
            </c:numLit>
          </c:yVal>
          <c:smooth val="0"/>
          <c:extLst>
            <c:ext xmlns:c16="http://schemas.microsoft.com/office/drawing/2014/chart" uri="{C3380CC4-5D6E-409C-BE32-E72D297353CC}">
              <c16:uniqueId val="{000000C2-1598-407F-9F91-645B2A8F464F}"/>
            </c:ext>
          </c:extLst>
        </c:ser>
        <c:ser>
          <c:idx val="162"/>
          <c:order val="162"/>
          <c:tx>
            <c:v>x=0.0322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3.2199999999999999E-2</c:v>
              </c:pt>
              <c:pt idx="1">
                <c:v>3.2199999999999999E-2</c:v>
              </c:pt>
            </c:numLit>
          </c:yVal>
          <c:smooth val="0"/>
          <c:extLst>
            <c:ext xmlns:c16="http://schemas.microsoft.com/office/drawing/2014/chart" uri="{C3380CC4-5D6E-409C-BE32-E72D297353CC}">
              <c16:uniqueId val="{000000C3-1598-407F-9F91-645B2A8F464F}"/>
            </c:ext>
          </c:extLst>
        </c:ser>
        <c:ser>
          <c:idx val="163"/>
          <c:order val="163"/>
          <c:tx>
            <c:v>x=0.0324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3.2399999999999998E-2</c:v>
              </c:pt>
              <c:pt idx="1">
                <c:v>3.2399999999999998E-2</c:v>
              </c:pt>
            </c:numLit>
          </c:yVal>
          <c:smooth val="0"/>
          <c:extLst>
            <c:ext xmlns:c16="http://schemas.microsoft.com/office/drawing/2014/chart" uri="{C3380CC4-5D6E-409C-BE32-E72D297353CC}">
              <c16:uniqueId val="{000000C4-1598-407F-9F91-645B2A8F464F}"/>
            </c:ext>
          </c:extLst>
        </c:ser>
        <c:ser>
          <c:idx val="164"/>
          <c:order val="164"/>
          <c:tx>
            <c:v>x=0.0326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3.2600000000000004E-2</c:v>
              </c:pt>
              <c:pt idx="1">
                <c:v>3.2600000000000004E-2</c:v>
              </c:pt>
            </c:numLit>
          </c:yVal>
          <c:smooth val="0"/>
          <c:extLst>
            <c:ext xmlns:c16="http://schemas.microsoft.com/office/drawing/2014/chart" uri="{C3380CC4-5D6E-409C-BE32-E72D297353CC}">
              <c16:uniqueId val="{000000C5-1598-407F-9F91-645B2A8F464F}"/>
            </c:ext>
          </c:extLst>
        </c:ser>
        <c:ser>
          <c:idx val="165"/>
          <c:order val="165"/>
          <c:tx>
            <c:v>x=0.0328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3.2800000000000003E-2</c:v>
              </c:pt>
              <c:pt idx="1">
                <c:v>3.2800000000000003E-2</c:v>
              </c:pt>
            </c:numLit>
          </c:yVal>
          <c:smooth val="0"/>
          <c:extLst>
            <c:ext xmlns:c16="http://schemas.microsoft.com/office/drawing/2014/chart" uri="{C3380CC4-5D6E-409C-BE32-E72D297353CC}">
              <c16:uniqueId val="{000000C6-1598-407F-9F91-645B2A8F464F}"/>
            </c:ext>
          </c:extLst>
        </c:ser>
        <c:ser>
          <c:idx val="166"/>
          <c:order val="166"/>
          <c:tx>
            <c:v>x=0.033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7-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32.143135785288273</c:v>
              </c:pt>
              <c:pt idx="1">
                <c:v>50.8</c:v>
              </c:pt>
            </c:numLit>
          </c:xVal>
          <c:yVal>
            <c:numLit>
              <c:formatCode>General</c:formatCode>
              <c:ptCount val="2"/>
              <c:pt idx="0">
                <c:v>3.3000000000000002E-2</c:v>
              </c:pt>
              <c:pt idx="1">
                <c:v>3.3000000000000002E-2</c:v>
              </c:pt>
            </c:numLit>
          </c:yVal>
          <c:smooth val="0"/>
          <c:extLst>
            <c:ext xmlns:c16="http://schemas.microsoft.com/office/drawing/2014/chart" uri="{C3380CC4-5D6E-409C-BE32-E72D297353CC}">
              <c16:uniqueId val="{000000C8-1598-407F-9F91-645B2A8F464F}"/>
            </c:ext>
          </c:extLst>
        </c:ser>
        <c:ser>
          <c:idx val="167"/>
          <c:order val="167"/>
          <c:tx>
            <c:v>x=0.0332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3.32E-2</c:v>
              </c:pt>
              <c:pt idx="1">
                <c:v>3.32E-2</c:v>
              </c:pt>
            </c:numLit>
          </c:yVal>
          <c:smooth val="0"/>
          <c:extLst>
            <c:ext xmlns:c16="http://schemas.microsoft.com/office/drawing/2014/chart" uri="{C3380CC4-5D6E-409C-BE32-E72D297353CC}">
              <c16:uniqueId val="{000000C9-1598-407F-9F91-645B2A8F464F}"/>
            </c:ext>
          </c:extLst>
        </c:ser>
        <c:ser>
          <c:idx val="168"/>
          <c:order val="168"/>
          <c:tx>
            <c:v>x=0.0334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3.3399999999999999E-2</c:v>
              </c:pt>
              <c:pt idx="1">
                <c:v>3.3399999999999999E-2</c:v>
              </c:pt>
            </c:numLit>
          </c:yVal>
          <c:smooth val="0"/>
          <c:extLst>
            <c:ext xmlns:c16="http://schemas.microsoft.com/office/drawing/2014/chart" uri="{C3380CC4-5D6E-409C-BE32-E72D297353CC}">
              <c16:uniqueId val="{000000CA-1598-407F-9F91-645B2A8F464F}"/>
            </c:ext>
          </c:extLst>
        </c:ser>
        <c:ser>
          <c:idx val="169"/>
          <c:order val="169"/>
          <c:tx>
            <c:v>x=0.0336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3.3600000000000005E-2</c:v>
              </c:pt>
              <c:pt idx="1">
                <c:v>3.3600000000000005E-2</c:v>
              </c:pt>
            </c:numLit>
          </c:yVal>
          <c:smooth val="0"/>
          <c:extLst>
            <c:ext xmlns:c16="http://schemas.microsoft.com/office/drawing/2014/chart" uri="{C3380CC4-5D6E-409C-BE32-E72D297353CC}">
              <c16:uniqueId val="{000000CB-1598-407F-9F91-645B2A8F464F}"/>
            </c:ext>
          </c:extLst>
        </c:ser>
        <c:ser>
          <c:idx val="170"/>
          <c:order val="170"/>
          <c:tx>
            <c:v>x=0.0338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3.3800000000000004E-2</c:v>
              </c:pt>
              <c:pt idx="1">
                <c:v>3.3800000000000004E-2</c:v>
              </c:pt>
            </c:numLit>
          </c:yVal>
          <c:smooth val="0"/>
          <c:extLst>
            <c:ext xmlns:c16="http://schemas.microsoft.com/office/drawing/2014/chart" uri="{C3380CC4-5D6E-409C-BE32-E72D297353CC}">
              <c16:uniqueId val="{000000CC-1598-407F-9F91-645B2A8F464F}"/>
            </c:ext>
          </c:extLst>
        </c:ser>
        <c:ser>
          <c:idx val="171"/>
          <c:order val="171"/>
          <c:tx>
            <c:v>x=0.034</c:v>
          </c:tx>
          <c:spPr>
            <a:ln w="3175">
              <a:solidFill>
                <a:srgbClr val="000000"/>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D-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-10.178000000000001</c:v>
              </c:pt>
              <c:pt idx="1">
                <c:v>50.8</c:v>
              </c:pt>
            </c:numLit>
          </c:xVal>
          <c:yVal>
            <c:numLit>
              <c:formatCode>General</c:formatCode>
              <c:ptCount val="2"/>
              <c:pt idx="0">
                <c:v>3.4000000000000002E-2</c:v>
              </c:pt>
              <c:pt idx="1">
                <c:v>3.4000000000000002E-2</c:v>
              </c:pt>
            </c:numLit>
          </c:yVal>
          <c:smooth val="0"/>
          <c:extLst>
            <c:ext xmlns:c16="http://schemas.microsoft.com/office/drawing/2014/chart" uri="{C3380CC4-5D6E-409C-BE32-E72D297353CC}">
              <c16:uniqueId val="{000000CE-1598-407F-9F91-645B2A8F464F}"/>
            </c:ext>
          </c:extLst>
        </c:ser>
        <c:ser>
          <c:idx val="172"/>
          <c:order val="172"/>
          <c:tx>
            <c:v>絶対湿度座標軸ラベル</c:v>
          </c:tx>
          <c:spPr>
            <a:ln w="3175">
              <a:solidFill>
                <a:srgbClr val="000000"/>
              </a:solidFill>
              <a:prstDash val="solid"/>
            </a:ln>
          </c:spPr>
          <c:marker>
            <c:symbol val="none"/>
          </c:marker>
          <c:dLbls>
            <c:dLbl>
              <c:idx val="0"/>
              <c:layout>
                <c:manualLayout>
                  <c:x val="3.8194444444444448E-2"/>
                  <c:y val="0"/>
                </c:manualLayout>
              </c:layout>
              <c:tx>
                <c:rich>
                  <a:bodyPr rot="-540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絶対湿度 </a:t>
                    </a:r>
                    <a:r>
                      <a:rPr lang="en-US"/>
                      <a:t>x[kg/kg(DA)]</a:t>
                    </a:r>
                  </a:p>
                </c:rich>
              </c:tx>
              <c:spPr>
                <a:solidFill>
                  <a:srgbClr val="FFFFFF"/>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F-1598-407F-9F91-645B2A8F4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50.8</c:v>
              </c:pt>
            </c:numLit>
          </c:xVal>
          <c:yVal>
            <c:numLit>
              <c:formatCode>General</c:formatCode>
              <c:ptCount val="1"/>
              <c:pt idx="0">
                <c:v>1.7000000000000001E-2</c:v>
              </c:pt>
            </c:numLit>
          </c:yVal>
          <c:smooth val="0"/>
          <c:extLst>
            <c:ext xmlns:c16="http://schemas.microsoft.com/office/drawing/2014/chart" uri="{C3380CC4-5D6E-409C-BE32-E72D297353CC}">
              <c16:uniqueId val="{000000D0-1598-407F-9F91-645B2A8F464F}"/>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4FBA-4B77-B49D-A2AABC32351C}"/>
            </c:ext>
          </c:extLst>
        </c:ser>
        <c:ser>
          <c:idx val="1"/>
          <c:order val="1"/>
          <c:spPr>
            <a:ln w="3175">
              <a:solidFill>
                <a:srgbClr val="000000"/>
              </a:solidFill>
              <a:prstDash val="solid"/>
            </a:ln>
          </c:spPr>
          <c:marker>
            <c:symbol val="none"/>
          </c:marker>
          <c:xVal>
            <c:numLit>
              <c:formatCode>General</c:formatCode>
              <c:ptCount val="2"/>
              <c:pt idx="0">
                <c:v>19.065942353411515</c:v>
              </c:pt>
              <c:pt idx="1">
                <c:v>18.66787537570767</c:v>
              </c:pt>
            </c:numLit>
          </c:xVal>
          <c:yVal>
            <c:numLit>
              <c:formatCode>General</c:formatCode>
              <c:ptCount val="2"/>
              <c:pt idx="0">
                <c:v>3.0559524052679921E-2</c:v>
              </c:pt>
              <c:pt idx="1">
                <c:v>3.0227471499139232E-2</c:v>
              </c:pt>
            </c:numLit>
          </c:yVal>
          <c:smooth val="0"/>
          <c:extLst>
            <c:ext xmlns:c16="http://schemas.microsoft.com/office/drawing/2014/chart" uri="{C3380CC4-5D6E-409C-BE32-E72D297353CC}">
              <c16:uniqueId val="{00000001-4FBA-4B77-B49D-A2AABC32351C}"/>
            </c:ext>
          </c:extLst>
        </c:ser>
        <c:ser>
          <c:idx val="2"/>
          <c:order val="2"/>
          <c:spPr>
            <a:ln w="3175">
              <a:solidFill>
                <a:srgbClr val="000000"/>
              </a:solidFill>
              <a:prstDash val="solid"/>
            </a:ln>
          </c:spPr>
          <c:marker>
            <c:symbol val="none"/>
          </c:marker>
          <c:xVal>
            <c:numLit>
              <c:formatCode>General</c:formatCode>
              <c:ptCount val="2"/>
              <c:pt idx="0">
                <c:v>18.790543749866966</c:v>
              </c:pt>
              <c:pt idx="1">
                <c:v>18.596258512800294</c:v>
              </c:pt>
            </c:numLit>
          </c:xVal>
          <c:yVal>
            <c:numLit>
              <c:formatCode>General</c:formatCode>
              <c:ptCount val="2"/>
              <c:pt idx="0">
                <c:v>3.0736362467444784E-2</c:v>
              </c:pt>
              <c:pt idx="1">
                <c:v>3.0567287252488837E-2</c:v>
              </c:pt>
            </c:numLit>
          </c:yVal>
          <c:smooth val="0"/>
          <c:extLst>
            <c:ext xmlns:c16="http://schemas.microsoft.com/office/drawing/2014/chart" uri="{C3380CC4-5D6E-409C-BE32-E72D297353CC}">
              <c16:uniqueId val="{00000002-4FBA-4B77-B49D-A2AABC32351C}"/>
            </c:ext>
          </c:extLst>
        </c:ser>
        <c:ser>
          <c:idx val="3"/>
          <c:order val="3"/>
          <c:spPr>
            <a:ln w="3175">
              <a:solidFill>
                <a:srgbClr val="000000"/>
              </a:solidFill>
              <a:prstDash val="solid"/>
            </a:ln>
          </c:spPr>
          <c:marker>
            <c:symbol val="none"/>
          </c:marker>
          <c:xVal>
            <c:numLit>
              <c:formatCode>General</c:formatCode>
              <c:ptCount val="2"/>
              <c:pt idx="0">
                <c:v>18.499745455246352</c:v>
              </c:pt>
              <c:pt idx="1">
                <c:v>18.121202508513718</c:v>
              </c:pt>
            </c:numLit>
          </c:xVal>
          <c:yVal>
            <c:numLit>
              <c:formatCode>General</c:formatCode>
              <c:ptCount val="2"/>
              <c:pt idx="0">
                <c:v>3.0915182575025162E-2</c:v>
              </c:pt>
              <c:pt idx="1">
                <c:v>3.0570865934507054E-2</c:v>
              </c:pt>
            </c:numLit>
          </c:yVal>
          <c:smooth val="0"/>
          <c:extLst>
            <c:ext xmlns:c16="http://schemas.microsoft.com/office/drawing/2014/chart" uri="{C3380CC4-5D6E-409C-BE32-E72D297353CC}">
              <c16:uniqueId val="{00000003-4FBA-4B77-B49D-A2AABC32351C}"/>
            </c:ext>
          </c:extLst>
        </c:ser>
        <c:ser>
          <c:idx val="4"/>
          <c:order val="4"/>
          <c:spPr>
            <a:ln w="3175">
              <a:solidFill>
                <a:srgbClr val="000000"/>
              </a:solidFill>
              <a:prstDash val="solid"/>
            </a:ln>
          </c:spPr>
          <c:marker>
            <c:symbol val="none"/>
          </c:marker>
          <c:xVal>
            <c:numLit>
              <c:formatCode>General</c:formatCode>
              <c:ptCount val="2"/>
              <c:pt idx="0">
                <c:v>18.192821137276322</c:v>
              </c:pt>
              <c:pt idx="1">
                <c:v>18.008841462495695</c:v>
              </c:pt>
            </c:numLit>
          </c:xVal>
          <c:yVal>
            <c:numLit>
              <c:formatCode>General</c:formatCode>
              <c:ptCount val="2"/>
              <c:pt idx="0">
                <c:v>3.1095573924337105E-2</c:v>
              </c:pt>
              <c:pt idx="1">
                <c:v>3.092030540840026E-2</c:v>
              </c:pt>
            </c:numLit>
          </c:yVal>
          <c:smooth val="0"/>
          <c:extLst>
            <c:ext xmlns:c16="http://schemas.microsoft.com/office/drawing/2014/chart" uri="{C3380CC4-5D6E-409C-BE32-E72D297353CC}">
              <c16:uniqueId val="{00000004-4FBA-4B77-B49D-A2AABC32351C}"/>
            </c:ext>
          </c:extLst>
        </c:ser>
        <c:ser>
          <c:idx val="5"/>
          <c:order val="5"/>
          <c:spPr>
            <a:ln w="3175">
              <a:solidFill>
                <a:srgbClr val="000000"/>
              </a:solidFill>
              <a:prstDash val="solid"/>
            </a:ln>
          </c:spPr>
          <c:marker>
            <c:symbol val="none"/>
          </c:marker>
          <c:xVal>
            <c:numLit>
              <c:formatCode>General</c:formatCode>
              <c:ptCount val="2"/>
              <c:pt idx="0">
                <c:v>17.869058802111013</c:v>
              </c:pt>
              <c:pt idx="1">
                <c:v>17.512263671003737</c:v>
              </c:pt>
            </c:numLit>
          </c:xVal>
          <c:yVal>
            <c:numLit>
              <c:formatCode>General</c:formatCode>
              <c:ptCount val="2"/>
              <c:pt idx="0">
                <c:v>3.1277058802111013E-2</c:v>
              </c:pt>
              <c:pt idx="1">
                <c:v>3.0920263671003735E-2</c:v>
              </c:pt>
            </c:numLit>
          </c:yVal>
          <c:smooth val="0"/>
          <c:extLst>
            <c:ext xmlns:c16="http://schemas.microsoft.com/office/drawing/2014/chart" uri="{C3380CC4-5D6E-409C-BE32-E72D297353CC}">
              <c16:uniqueId val="{00000005-4FBA-4B77-B49D-A2AABC32351C}"/>
            </c:ext>
          </c:extLst>
        </c:ser>
        <c:ser>
          <c:idx val="6"/>
          <c:order val="6"/>
          <c:spPr>
            <a:ln w="3175">
              <a:solidFill>
                <a:srgbClr val="000000"/>
              </a:solidFill>
              <a:prstDash val="solid"/>
            </a:ln>
          </c:spPr>
          <c:marker>
            <c:symbol val="none"/>
          </c:marker>
          <c:xVal>
            <c:numLit>
              <c:formatCode>General</c:formatCode>
              <c:ptCount val="2"/>
              <c:pt idx="0">
                <c:v>17.527772872567621</c:v>
              </c:pt>
              <c:pt idx="1">
                <c:v>17.355259547178523</c:v>
              </c:pt>
            </c:numLit>
          </c:xVal>
          <c:yVal>
            <c:numLit>
              <c:formatCode>General</c:formatCode>
              <c:ptCount val="2"/>
              <c:pt idx="0">
                <c:v>3.145908735335045E-2</c:v>
              </c:pt>
              <c:pt idx="1">
                <c:v>3.1277551364499577E-2</c:v>
              </c:pt>
            </c:numLit>
          </c:yVal>
          <c:smooth val="0"/>
          <c:extLst>
            <c:ext xmlns:c16="http://schemas.microsoft.com/office/drawing/2014/chart" uri="{C3380CC4-5D6E-409C-BE32-E72D297353CC}">
              <c16:uniqueId val="{00000006-4FBA-4B77-B49D-A2AABC32351C}"/>
            </c:ext>
          </c:extLst>
        </c:ser>
        <c:ser>
          <c:idx val="7"/>
          <c:order val="7"/>
          <c:spPr>
            <a:ln w="3175">
              <a:solidFill>
                <a:srgbClr val="000000"/>
              </a:solidFill>
              <a:prstDash val="solid"/>
            </a:ln>
          </c:spPr>
          <c:marker>
            <c:symbol val="none"/>
          </c:marker>
          <c:xVal>
            <c:numLit>
              <c:formatCode>General</c:formatCode>
              <c:ptCount val="2"/>
              <c:pt idx="0">
                <c:v>17.168318281619168</c:v>
              </c:pt>
              <c:pt idx="1">
                <c:v>16.83568661673575</c:v>
              </c:pt>
            </c:numLit>
          </c:xVal>
          <c:yVal>
            <c:numLit>
              <c:formatCode>General</c:formatCode>
              <c:ptCount val="2"/>
              <c:pt idx="0">
                <c:v>3.1641033323740492E-2</c:v>
              </c:pt>
              <c:pt idx="1">
                <c:v>3.1271687347059783E-2</c:v>
              </c:pt>
            </c:numLit>
          </c:yVal>
          <c:smooth val="0"/>
          <c:extLst>
            <c:ext xmlns:c16="http://schemas.microsoft.com/office/drawing/2014/chart" uri="{C3380CC4-5D6E-409C-BE32-E72D297353CC}">
              <c16:uniqueId val="{00000007-4FBA-4B77-B49D-A2AABC32351C}"/>
            </c:ext>
          </c:extLst>
        </c:ser>
        <c:ser>
          <c:idx val="8"/>
          <c:order val="8"/>
          <c:spPr>
            <a:ln w="3175">
              <a:solidFill>
                <a:srgbClr val="000000"/>
              </a:solidFill>
              <a:prstDash val="solid"/>
            </a:ln>
          </c:spPr>
          <c:marker>
            <c:symbol val="none"/>
          </c:marker>
          <c:xVal>
            <c:numLit>
              <c:formatCode>General</c:formatCode>
              <c:ptCount val="2"/>
              <c:pt idx="0">
                <c:v>16.790106626063352</c:v>
              </c:pt>
              <c:pt idx="1">
                <c:v>16.630311684234673</c:v>
              </c:pt>
            </c:numLit>
          </c:xVal>
          <c:yVal>
            <c:numLit>
              <c:formatCode>General</c:formatCode>
              <c:ptCount val="2"/>
              <c:pt idx="0">
                <c:v>3.1822190731097821E-2</c:v>
              </c:pt>
              <c:pt idx="1">
                <c:v>3.1634394339182338E-2</c:v>
              </c:pt>
            </c:numLit>
          </c:yVal>
          <c:smooth val="0"/>
          <c:extLst>
            <c:ext xmlns:c16="http://schemas.microsoft.com/office/drawing/2014/chart" uri="{C3380CC4-5D6E-409C-BE32-E72D297353CC}">
              <c16:uniqueId val="{00000008-4FBA-4B77-B49D-A2AABC32351C}"/>
            </c:ext>
          </c:extLst>
        </c:ser>
        <c:ser>
          <c:idx val="9"/>
          <c:order val="9"/>
          <c:spPr>
            <a:ln w="3175">
              <a:solidFill>
                <a:srgbClr val="000000"/>
              </a:solidFill>
              <a:prstDash val="solid"/>
            </a:ln>
          </c:spPr>
          <c:marker>
            <c:symbol val="none"/>
          </c:marker>
          <c:xVal>
            <c:numLit>
              <c:formatCode>General</c:formatCode>
              <c:ptCount val="2"/>
              <c:pt idx="0">
                <c:v>16.392624340635372</c:v>
              </c:pt>
              <c:pt idx="1">
                <c:v>16.086740742682426</c:v>
              </c:pt>
            </c:numLit>
          </c:xVal>
          <c:yVal>
            <c:numLit>
              <c:formatCode>General</c:formatCode>
              <c:ptCount val="2"/>
              <c:pt idx="0">
                <c:v>3.2001771819701222E-2</c:v>
              </c:pt>
              <c:pt idx="1">
                <c:v>3.1619986584539107E-2</c:v>
              </c:pt>
            </c:numLit>
          </c:yVal>
          <c:smooth val="0"/>
          <c:extLst>
            <c:ext xmlns:c16="http://schemas.microsoft.com/office/drawing/2014/chart" uri="{C3380CC4-5D6E-409C-BE32-E72D297353CC}">
              <c16:uniqueId val="{00000009-4FBA-4B77-B49D-A2AABC32351C}"/>
            </c:ext>
          </c:extLst>
        </c:ser>
        <c:ser>
          <c:idx val="10"/>
          <c:order val="10"/>
          <c:spPr>
            <a:ln w="3175">
              <a:solidFill>
                <a:srgbClr val="000000"/>
              </a:solidFill>
              <a:prstDash val="solid"/>
            </a:ln>
          </c:spPr>
          <c:marker>
            <c:symbol val="none"/>
          </c:marker>
          <c:xVal>
            <c:numLit>
              <c:formatCode>General</c:formatCode>
              <c:ptCount val="2"/>
              <c:pt idx="0">
                <c:v>15.9754527418382</c:v>
              </c:pt>
              <c:pt idx="1">
                <c:v>15.829703556634092</c:v>
              </c:pt>
            </c:numLit>
          </c:xVal>
          <c:yVal>
            <c:numLit>
              <c:formatCode>General</c:formatCode>
              <c:ptCount val="2"/>
              <c:pt idx="0">
                <c:v>3.2178906690858773E-2</c:v>
              </c:pt>
              <c:pt idx="1">
                <c:v>3.1984960023775003E-2</c:v>
              </c:pt>
            </c:numLit>
          </c:yVal>
          <c:smooth val="0"/>
          <c:extLst>
            <c:ext xmlns:c16="http://schemas.microsoft.com/office/drawing/2014/chart" uri="{C3380CC4-5D6E-409C-BE32-E72D297353CC}">
              <c16:uniqueId val="{0000000A-4FBA-4B77-B49D-A2AABC32351C}"/>
            </c:ext>
          </c:extLst>
        </c:ser>
        <c:ser>
          <c:idx val="11"/>
          <c:order val="11"/>
          <c:spPr>
            <a:ln w="3175">
              <a:solidFill>
                <a:srgbClr val="000000"/>
              </a:solidFill>
              <a:prstDash val="solid"/>
            </a:ln>
          </c:spPr>
          <c:marker>
            <c:symbol val="none"/>
          </c:marker>
          <c:xVal>
            <c:numLit>
              <c:formatCode>General</c:formatCode>
              <c:ptCount val="2"/>
              <c:pt idx="0">
                <c:v>15.538289652700842</c:v>
              </c:pt>
              <c:pt idx="1">
                <c:v>15.261865871573226</c:v>
              </c:pt>
            </c:numLit>
          </c:xVal>
          <c:yVal>
            <c:numLit>
              <c:formatCode>General</c:formatCode>
              <c:ptCount val="2"/>
              <c:pt idx="0">
                <c:v>3.2352645029202619E-2</c:v>
              </c:pt>
              <c:pt idx="1">
                <c:v>3.1958760717850802E-2</c:v>
              </c:pt>
            </c:numLit>
          </c:yVal>
          <c:smooth val="0"/>
          <c:extLst>
            <c:ext xmlns:c16="http://schemas.microsoft.com/office/drawing/2014/chart" uri="{C3380CC4-5D6E-409C-BE32-E72D297353CC}">
              <c16:uniqueId val="{0000000B-4FBA-4B77-B49D-A2AABC32351C}"/>
            </c:ext>
          </c:extLst>
        </c:ser>
        <c:ser>
          <c:idx val="12"/>
          <c:order val="12"/>
          <c:spPr>
            <a:ln w="3175">
              <a:solidFill>
                <a:srgbClr val="000000"/>
              </a:solidFill>
              <a:prstDash val="solid"/>
            </a:ln>
          </c:spPr>
          <c:marker>
            <c:symbol val="none"/>
          </c:marker>
          <c:xVal>
            <c:numLit>
              <c:formatCode>General</c:formatCode>
              <c:ptCount val="2"/>
              <c:pt idx="0">
                <c:v>15.08097215642557</c:v>
              </c:pt>
              <c:pt idx="1">
                <c:v>14.950645050280301</c:v>
              </c:pt>
            </c:numLit>
          </c:xVal>
          <c:yVal>
            <c:numLit>
              <c:formatCode>General</c:formatCode>
              <c:ptCount val="2"/>
              <c:pt idx="0">
                <c:v>3.2521960349640437E-2</c:v>
              </c:pt>
              <c:pt idx="1">
                <c:v>3.2322098964301806E-2</c:v>
              </c:pt>
            </c:numLit>
          </c:yVal>
          <c:smooth val="0"/>
          <c:extLst>
            <c:ext xmlns:c16="http://schemas.microsoft.com/office/drawing/2014/chart" uri="{C3380CC4-5D6E-409C-BE32-E72D297353CC}">
              <c16:uniqueId val="{0000000C-4FBA-4B77-B49D-A2AABC32351C}"/>
            </c:ext>
          </c:extLst>
        </c:ser>
        <c:ser>
          <c:idx val="13"/>
          <c:order val="13"/>
          <c:spPr>
            <a:ln w="3175">
              <a:solidFill>
                <a:srgbClr val="000000"/>
              </a:solidFill>
              <a:prstDash val="solid"/>
            </a:ln>
          </c:spPr>
          <c:marker>
            <c:symbol val="none"/>
          </c:marker>
          <c:xVal>
            <c:numLit>
              <c:formatCode>General</c:formatCode>
              <c:ptCount val="2"/>
              <c:pt idx="0">
                <c:v>14.603499843901423</c:v>
              </c:pt>
              <c:pt idx="1">
                <c:v>14.359310194111718</c:v>
              </c:pt>
            </c:numLit>
          </c:xVal>
          <c:yVal>
            <c:numLit>
              <c:formatCode>General</c:formatCode>
              <c:ptCount val="2"/>
              <c:pt idx="0">
                <c:v>3.2685757166608632E-2</c:v>
              </c:pt>
              <c:pt idx="1">
                <c:v>3.2280386229829018E-2</c:v>
              </c:pt>
            </c:numLit>
          </c:yVal>
          <c:smooth val="0"/>
          <c:extLst>
            <c:ext xmlns:c16="http://schemas.microsoft.com/office/drawing/2014/chart" uri="{C3380CC4-5D6E-409C-BE32-E72D297353CC}">
              <c16:uniqueId val="{0000000D-4FBA-4B77-B49D-A2AABC32351C}"/>
            </c:ext>
          </c:extLst>
        </c:ser>
        <c:ser>
          <c:idx val="14"/>
          <c:order val="14"/>
          <c:spPr>
            <a:ln w="3175">
              <a:solidFill>
                <a:srgbClr val="000000"/>
              </a:solidFill>
              <a:prstDash val="solid"/>
            </a:ln>
          </c:spPr>
          <c:marker>
            <c:symbol val="none"/>
          </c:marker>
          <c:xVal>
            <c:numLit>
              <c:formatCode>General</c:formatCode>
              <c:ptCount val="2"/>
              <c:pt idx="0">
                <c:v>14.106057727229052</c:v>
              </c:pt>
              <c:pt idx="1">
                <c:v>13.992539490552689</c:v>
              </c:pt>
            </c:numLit>
          </c:xVal>
          <c:yVal>
            <c:numLit>
              <c:formatCode>General</c:formatCode>
              <c:ptCount val="2"/>
              <c:pt idx="0">
                <c:v>3.2842881427324513E-2</c:v>
              </c:pt>
              <c:pt idx="1">
                <c:v>3.2637486919956847E-2</c:v>
              </c:pt>
            </c:numLit>
          </c:yVal>
          <c:smooth val="0"/>
          <c:extLst>
            <c:ext xmlns:c16="http://schemas.microsoft.com/office/drawing/2014/chart" uri="{C3380CC4-5D6E-409C-BE32-E72D297353CC}">
              <c16:uniqueId val="{0000000E-4FBA-4B77-B49D-A2AABC32351C}"/>
            </c:ext>
          </c:extLst>
        </c:ser>
        <c:ser>
          <c:idx val="15"/>
          <c:order val="15"/>
          <c:spPr>
            <a:ln w="3175">
              <a:solidFill>
                <a:srgbClr val="000000"/>
              </a:solidFill>
              <a:prstDash val="solid"/>
            </a:ln>
          </c:spPr>
          <c:marker>
            <c:symbol val="none"/>
          </c:marker>
          <c:xVal>
            <c:numLit>
              <c:formatCode>General</c:formatCode>
              <c:ptCount val="2"/>
              <c:pt idx="0">
                <c:v>13.589037803579986</c:v>
              </c:pt>
              <c:pt idx="1">
                <c:v>13.379829603456537</c:v>
              </c:pt>
            </c:numLit>
          </c:xVal>
          <c:yVal>
            <c:numLit>
              <c:formatCode>General</c:formatCode>
              <c:ptCount val="2"/>
              <c:pt idx="0">
                <c:v>3.2992134447433728E-2</c:v>
              </c:pt>
              <c:pt idx="1">
                <c:v>3.2576198776832564E-2</c:v>
              </c:pt>
            </c:numLit>
          </c:yVal>
          <c:smooth val="0"/>
          <c:extLst>
            <c:ext xmlns:c16="http://schemas.microsoft.com/office/drawing/2014/chart" uri="{C3380CC4-5D6E-409C-BE32-E72D297353CC}">
              <c16:uniqueId val="{0000000F-4FBA-4B77-B49D-A2AABC32351C}"/>
            </c:ext>
          </c:extLst>
        </c:ser>
        <c:ser>
          <c:idx val="16"/>
          <c:order val="16"/>
          <c:spPr>
            <a:ln w="3175">
              <a:solidFill>
                <a:srgbClr val="000000"/>
              </a:solidFill>
              <a:prstDash val="solid"/>
            </a:ln>
          </c:spPr>
          <c:marker>
            <c:symbol val="none"/>
          </c:marker>
          <c:xVal>
            <c:numLit>
              <c:formatCode>General</c:formatCode>
              <c:ptCount val="2"/>
              <c:pt idx="0">
                <c:v>13.053058090665036</c:v>
              </c:pt>
              <c:pt idx="1">
                <c:v>12.957695020136329</c:v>
              </c:pt>
            </c:numLit>
          </c:xVal>
          <c:yVal>
            <c:numLit>
              <c:formatCode>General</c:formatCode>
              <c:ptCount val="2"/>
              <c:pt idx="0">
                <c:v>3.3132290436861909E-2</c:v>
              </c:pt>
              <c:pt idx="1">
                <c:v>3.2921906118984975E-2</c:v>
              </c:pt>
            </c:numLit>
          </c:yVal>
          <c:smooth val="0"/>
          <c:extLst>
            <c:ext xmlns:c16="http://schemas.microsoft.com/office/drawing/2014/chart" uri="{C3380CC4-5D6E-409C-BE32-E72D297353CC}">
              <c16:uniqueId val="{00000010-4FBA-4B77-B49D-A2AABC32351C}"/>
            </c:ext>
          </c:extLst>
        </c:ser>
        <c:ser>
          <c:idx val="17"/>
          <c:order val="17"/>
          <c:spPr>
            <a:ln w="3175">
              <a:solidFill>
                <a:srgbClr val="000000"/>
              </a:solidFill>
              <a:prstDash val="solid"/>
            </a:ln>
          </c:spPr>
          <c:marker>
            <c:symbol val="none"/>
          </c:marker>
          <c:xVal>
            <c:numLit>
              <c:formatCode>General</c:formatCode>
              <c:ptCount val="2"/>
              <c:pt idx="0">
                <c:v>12.498977840522226</c:v>
              </c:pt>
              <c:pt idx="1">
                <c:v>12.327357914986976</c:v>
              </c:pt>
            </c:numLit>
          </c:xVal>
          <c:yVal>
            <c:numLit>
              <c:formatCode>General</c:formatCode>
              <c:ptCount val="2"/>
              <c:pt idx="0">
                <c:v>3.3262117506318627E-2</c:v>
              </c:pt>
              <c:pt idx="1">
                <c:v>3.2836872075066262E-2</c:v>
              </c:pt>
            </c:numLit>
          </c:yVal>
          <c:smooth val="0"/>
          <c:extLst>
            <c:ext xmlns:c16="http://schemas.microsoft.com/office/drawing/2014/chart" uri="{C3380CC4-5D6E-409C-BE32-E72D297353CC}">
              <c16:uniqueId val="{00000011-4FBA-4B77-B49D-A2AABC32351C}"/>
            </c:ext>
          </c:extLst>
        </c:ser>
        <c:ser>
          <c:idx val="18"/>
          <c:order val="18"/>
          <c:spPr>
            <a:ln w="3175">
              <a:solidFill>
                <a:srgbClr val="000000"/>
              </a:solidFill>
              <a:prstDash val="solid"/>
            </a:ln>
          </c:spPr>
          <c:marker>
            <c:symbol val="none"/>
          </c:marker>
          <c:xVal>
            <c:numLit>
              <c:formatCode>General</c:formatCode>
              <c:ptCount val="2"/>
              <c:pt idx="0">
                <c:v>11.927907597824111</c:v>
              </c:pt>
              <c:pt idx="1">
                <c:v>11.851943673723694</c:v>
              </c:pt>
            </c:numLit>
          </c:xVal>
          <c:yVal>
            <c:numLit>
              <c:formatCode>General</c:formatCode>
              <c:ptCount val="2"/>
              <c:pt idx="0">
                <c:v>3.3380401807334426E-2</c:v>
              </c:pt>
              <c:pt idx="1">
                <c:v>3.3165739707207965E-2</c:v>
              </c:pt>
            </c:numLit>
          </c:yVal>
          <c:smooth val="0"/>
          <c:extLst>
            <c:ext xmlns:c16="http://schemas.microsoft.com/office/drawing/2014/chart" uri="{C3380CC4-5D6E-409C-BE32-E72D297353CC}">
              <c16:uniqueId val="{00000012-4FBA-4B77-B49D-A2AABC32351C}"/>
            </c:ext>
          </c:extLst>
        </c:ser>
        <c:ser>
          <c:idx val="19"/>
          <c:order val="19"/>
          <c:spPr>
            <a:ln w="3175">
              <a:solidFill>
                <a:srgbClr val="000000"/>
              </a:solidFill>
              <a:prstDash val="solid"/>
            </a:ln>
          </c:spPr>
          <c:marker>
            <c:symbol val="none"/>
          </c:marker>
          <c:xVal>
            <c:numLit>
              <c:formatCode>General</c:formatCode>
              <c:ptCount val="2"/>
              <c:pt idx="0">
                <c:v>11.341212826619152</c:v>
              </c:pt>
              <c:pt idx="1">
                <c:v>11.209515832597802</c:v>
              </c:pt>
            </c:numLit>
          </c:xVal>
          <c:yVal>
            <c:numLit>
              <c:formatCode>General</c:formatCode>
              <c:ptCount val="2"/>
              <c:pt idx="0">
                <c:v>3.348597419470218E-2</c:v>
              </c:pt>
              <c:pt idx="1">
                <c:v>3.3053009567298661E-2</c:v>
              </c:pt>
            </c:numLit>
          </c:yVal>
          <c:smooth val="0"/>
          <c:extLst>
            <c:ext xmlns:c16="http://schemas.microsoft.com/office/drawing/2014/chart" uri="{C3380CC4-5D6E-409C-BE32-E72D297353CC}">
              <c16:uniqueId val="{00000013-4FBA-4B77-B49D-A2AABC32351C}"/>
            </c:ext>
          </c:extLst>
        </c:ser>
        <c:ser>
          <c:idx val="20"/>
          <c:order val="20"/>
          <c:spPr>
            <a:ln w="3175">
              <a:solidFill>
                <a:srgbClr val="000000"/>
              </a:solidFill>
              <a:prstDash val="solid"/>
            </a:ln>
          </c:spPr>
          <c:marker>
            <c:symbol val="none"/>
          </c:marker>
          <c:xVal>
            <c:numLit>
              <c:formatCode>General</c:formatCode>
              <c:ptCount val="2"/>
              <c:pt idx="0">
                <c:v>10.740510003894533</c:v>
              </c:pt>
              <c:pt idx="1">
                <c:v>10.685018452103247</c:v>
              </c:pt>
            </c:numLit>
          </c:xVal>
          <c:yVal>
            <c:numLit>
              <c:formatCode>General</c:formatCode>
              <c:ptCount val="2"/>
              <c:pt idx="0">
                <c:v>3.3577738530929296E-2</c:v>
              </c:pt>
              <c:pt idx="1">
                <c:v>3.3359674073499483E-2</c:v>
              </c:pt>
            </c:numLit>
          </c:yVal>
          <c:smooth val="0"/>
          <c:extLst>
            <c:ext xmlns:c16="http://schemas.microsoft.com/office/drawing/2014/chart" uri="{C3380CC4-5D6E-409C-BE32-E72D297353CC}">
              <c16:uniqueId val="{00000014-4FBA-4B77-B49D-A2AABC32351C}"/>
            </c:ext>
          </c:extLst>
        </c:ser>
        <c:ser>
          <c:idx val="21"/>
          <c:order val="21"/>
          <c:spPr>
            <a:ln w="3175">
              <a:solidFill>
                <a:srgbClr val="000000"/>
              </a:solidFill>
              <a:prstDash val="solid"/>
            </a:ln>
          </c:spPr>
          <c:marker>
            <c:symbol val="none"/>
          </c:marker>
          <c:xVal>
            <c:numLit>
              <c:formatCode>General</c:formatCode>
              <c:ptCount val="2"/>
              <c:pt idx="0">
                <c:v>10.127654377823859</c:v>
              </c:pt>
              <c:pt idx="1">
                <c:v>10.037804226864415</c:v>
              </c:pt>
            </c:numLit>
          </c:xVal>
          <c:yVal>
            <c:numLit>
              <c:formatCode>General</c:formatCode>
              <c:ptCount val="2"/>
              <c:pt idx="0">
                <c:v>3.3654700505295149E-2</c:v>
              </c:pt>
              <c:pt idx="1">
                <c:v>3.3215917729250491E-2</c:v>
              </c:pt>
            </c:numLit>
          </c:yVal>
          <c:smooth val="0"/>
          <c:extLst>
            <c:ext xmlns:c16="http://schemas.microsoft.com/office/drawing/2014/chart" uri="{C3380CC4-5D6E-409C-BE32-E72D297353CC}">
              <c16:uniqueId val="{00000015-4FBA-4B77-B49D-A2AABC32351C}"/>
            </c:ext>
          </c:extLst>
        </c:ser>
        <c:ser>
          <c:idx val="22"/>
          <c:order val="22"/>
          <c:spPr>
            <a:ln w="3175">
              <a:solidFill>
                <a:srgbClr val="000000"/>
              </a:solidFill>
              <a:prstDash val="solid"/>
            </a:ln>
          </c:spPr>
          <c:marker>
            <c:symbol val="none"/>
          </c:marker>
          <c:xVal>
            <c:numLit>
              <c:formatCode>General</c:formatCode>
              <c:ptCount val="2"/>
              <c:pt idx="0">
                <c:v>9.5047190068155949</c:v>
              </c:pt>
              <c:pt idx="1">
                <c:v>9.4705341963532561</c:v>
              </c:pt>
            </c:numLit>
          </c:xVal>
          <c:yVal>
            <c:numLit>
              <c:formatCode>General</c:formatCode>
              <c:ptCount val="2"/>
              <c:pt idx="0">
                <c:v>3.3715995646515944E-2</c:v>
              </c:pt>
              <c:pt idx="1">
                <c:v>3.3495547445713945E-2</c:v>
              </c:pt>
            </c:numLit>
          </c:yVal>
          <c:smooth val="0"/>
          <c:extLst>
            <c:ext xmlns:c16="http://schemas.microsoft.com/office/drawing/2014/chart" uri="{C3380CC4-5D6E-409C-BE32-E72D297353CC}">
              <c16:uniqueId val="{00000016-4FBA-4B77-B49D-A2AABC32351C}"/>
            </c:ext>
          </c:extLst>
        </c:ser>
        <c:ser>
          <c:idx val="23"/>
          <c:order val="23"/>
          <c:spPr>
            <a:ln w="3175">
              <a:solidFill>
                <a:srgbClr val="000000"/>
              </a:solidFill>
              <a:prstDash val="solid"/>
            </a:ln>
          </c:spPr>
          <c:marker>
            <c:symbol val="none"/>
          </c:marker>
          <c:xVal>
            <c:numLit>
              <c:formatCode>General</c:formatCode>
              <c:ptCount val="2"/>
              <c:pt idx="0">
                <c:v>8.8739652091894179</c:v>
              </c:pt>
              <c:pt idx="1">
                <c:v>8.8273457192173677</c:v>
              </c:pt>
            </c:numLit>
          </c:xVal>
          <c:yVal>
            <c:numLit>
              <c:formatCode>General</c:formatCode>
              <c:ptCount val="2"/>
              <c:pt idx="0">
                <c:v>3.3760915098533552E-2</c:v>
              </c:pt>
              <c:pt idx="1">
                <c:v>3.3318469750308249E-2</c:v>
              </c:pt>
            </c:numLit>
          </c:yVal>
          <c:smooth val="0"/>
          <c:extLst>
            <c:ext xmlns:c16="http://schemas.microsoft.com/office/drawing/2014/chart" uri="{C3380CC4-5D6E-409C-BE32-E72D297353CC}">
              <c16:uniqueId val="{00000017-4FBA-4B77-B49D-A2AABC32351C}"/>
            </c:ext>
          </c:extLst>
        </c:ser>
        <c:ser>
          <c:idx val="24"/>
          <c:order val="24"/>
          <c:spPr>
            <a:ln w="3175">
              <a:solidFill>
                <a:srgbClr val="000000"/>
              </a:solidFill>
              <a:prstDash val="solid"/>
            </a:ln>
          </c:spPr>
          <c:marker>
            <c:symbol val="none"/>
          </c:marker>
          <c:xVal>
            <c:numLit>
              <c:formatCode>General</c:formatCode>
              <c:ptCount val="2"/>
              <c:pt idx="0">
                <c:v>8.2378051220730821</c:v>
              </c:pt>
              <c:pt idx="1">
                <c:v>8.225463654451131</c:v>
              </c:pt>
            </c:numLit>
          </c:xVal>
          <c:yVal>
            <c:numLit>
              <c:formatCode>General</c:formatCode>
              <c:ptCount val="2"/>
              <c:pt idx="0">
                <c:v>3.378892772867001E-2</c:v>
              </c:pt>
              <c:pt idx="1">
                <c:v>3.3567222078175703E-2</c:v>
              </c:pt>
            </c:numLit>
          </c:yVal>
          <c:smooth val="0"/>
          <c:extLst>
            <c:ext xmlns:c16="http://schemas.microsoft.com/office/drawing/2014/chart" uri="{C3380CC4-5D6E-409C-BE32-E72D297353CC}">
              <c16:uniqueId val="{00000018-4FBA-4B77-B49D-A2AABC32351C}"/>
            </c:ext>
          </c:extLst>
        </c:ser>
        <c:ser>
          <c:idx val="25"/>
          <c:order val="25"/>
          <c:spPr>
            <a:ln w="3175">
              <a:solidFill>
                <a:srgbClr val="000000"/>
              </a:solidFill>
              <a:prstDash val="solid"/>
            </a:ln>
          </c:spPr>
          <c:marker>
            <c:symbol val="none"/>
          </c:marker>
          <c:xVal>
            <c:numLit>
              <c:formatCode>General</c:formatCode>
              <c:ptCount val="2"/>
              <c:pt idx="0">
                <c:v>7.5987576377376911</c:v>
              </c:pt>
              <c:pt idx="1">
                <c:v>7.5961108226432881</c:v>
              </c:pt>
            </c:numLit>
          </c:xVal>
          <c:yVal>
            <c:numLit>
              <c:formatCode>General</c:formatCode>
              <c:ptCount val="2"/>
              <c:pt idx="0">
                <c:v>3.3799697260686282E-2</c:v>
              </c:pt>
              <c:pt idx="1">
                <c:v>3.3355914596524684E-2</c:v>
              </c:pt>
            </c:numLit>
          </c:yVal>
          <c:smooth val="0"/>
          <c:extLst>
            <c:ext xmlns:c16="http://schemas.microsoft.com/office/drawing/2014/chart" uri="{C3380CC4-5D6E-409C-BE32-E72D297353CC}">
              <c16:uniqueId val="{00000019-4FBA-4B77-B49D-A2AABC32351C}"/>
            </c:ext>
          </c:extLst>
        </c:ser>
        <c:ser>
          <c:idx val="26"/>
          <c:order val="26"/>
          <c:spPr>
            <a:ln w="3175">
              <a:solidFill>
                <a:srgbClr val="000000"/>
              </a:solidFill>
              <a:prstDash val="solid"/>
            </a:ln>
          </c:spPr>
          <c:marker>
            <c:symbol val="none"/>
          </c:marker>
          <c:xVal>
            <c:numLit>
              <c:formatCode>General</c:formatCode>
              <c:ptCount val="2"/>
              <c:pt idx="0">
                <c:v>6.9593994946761999</c:v>
              </c:pt>
              <c:pt idx="1">
                <c:v>6.9690995033886791</c:v>
              </c:pt>
            </c:numLit>
          </c:xVal>
          <c:yVal>
            <c:numLit>
              <c:formatCode>General</c:formatCode>
              <c:ptCount val="2"/>
              <c:pt idx="0">
                <c:v>3.3793093371721462E-2</c:v>
              </c:pt>
              <c:pt idx="1">
                <c:v>3.3571315899795236E-2</c:v>
              </c:pt>
            </c:numLit>
          </c:yVal>
          <c:smooth val="0"/>
          <c:extLst>
            <c:ext xmlns:c16="http://schemas.microsoft.com/office/drawing/2014/chart" uri="{C3380CC4-5D6E-409C-BE32-E72D297353CC}">
              <c16:uniqueId val="{0000001A-4FBA-4B77-B49D-A2AABC32351C}"/>
            </c:ext>
          </c:extLst>
        </c:ser>
        <c:ser>
          <c:idx val="27"/>
          <c:order val="27"/>
          <c:spPr>
            <a:ln w="3175">
              <a:solidFill>
                <a:srgbClr val="000000"/>
              </a:solidFill>
              <a:prstDash val="solid"/>
            </a:ln>
          </c:spPr>
          <c:marker>
            <c:symbol val="none"/>
          </c:marker>
          <c:xVal>
            <c:numLit>
              <c:formatCode>General</c:formatCode>
              <c:ptCount val="2"/>
              <c:pt idx="0">
                <c:v>6.3223136896666619</c:v>
              </c:pt>
              <c:pt idx="1">
                <c:v>6.363682183126433</c:v>
              </c:pt>
            </c:numLit>
          </c:xVal>
          <c:yVal>
            <c:numLit>
              <c:formatCode>General</c:formatCode>
              <c:ptCount val="2"/>
              <c:pt idx="0">
                <c:v>3.3769196044631293E-2</c:v>
              </c:pt>
              <c:pt idx="1">
                <c:v>3.3326465146540557E-2</c:v>
              </c:pt>
            </c:numLit>
          </c:yVal>
          <c:smooth val="0"/>
          <c:extLst>
            <c:ext xmlns:c16="http://schemas.microsoft.com/office/drawing/2014/chart" uri="{C3380CC4-5D6E-409C-BE32-E72D297353CC}">
              <c16:uniqueId val="{0000001B-4FBA-4B77-B49D-A2AABC32351C}"/>
            </c:ext>
          </c:extLst>
        </c:ser>
        <c:ser>
          <c:idx val="28"/>
          <c:order val="28"/>
          <c:spPr>
            <a:ln w="3175">
              <a:solidFill>
                <a:srgbClr val="000000"/>
              </a:solidFill>
              <a:prstDash val="solid"/>
            </a:ln>
          </c:spPr>
          <c:marker>
            <c:symbol val="none"/>
          </c:marker>
          <c:xVal>
            <c:numLit>
              <c:formatCode>General</c:formatCode>
              <c:ptCount val="2"/>
              <c:pt idx="0">
                <c:v>5.690037597761866</c:v>
              </c:pt>
              <c:pt idx="1">
                <c:v>5.7216231564211437</c:v>
              </c:pt>
            </c:numLit>
          </c:xVal>
          <c:yVal>
            <c:numLit>
              <c:formatCode>General</c:formatCode>
              <c:ptCount val="2"/>
              <c:pt idx="0">
                <c:v>3.3728292893413635E-2</c:v>
              </c:pt>
              <c:pt idx="1">
                <c:v>3.3507632671113403E-2</c:v>
              </c:pt>
            </c:numLit>
          </c:yVal>
          <c:smooth val="0"/>
          <c:extLst>
            <c:ext xmlns:c16="http://schemas.microsoft.com/office/drawing/2014/chart" uri="{C3380CC4-5D6E-409C-BE32-E72D297353CC}">
              <c16:uniqueId val="{0000001C-4FBA-4B77-B49D-A2AABC32351C}"/>
            </c:ext>
          </c:extLst>
        </c:ser>
        <c:ser>
          <c:idx val="29"/>
          <c:order val="29"/>
          <c:spPr>
            <a:ln w="3175">
              <a:solidFill>
                <a:srgbClr val="000000"/>
              </a:solidFill>
              <a:prstDash val="solid"/>
            </a:ln>
          </c:spPr>
          <c:marker>
            <c:symbol val="none"/>
          </c:marker>
          <c:xVal>
            <c:numLit>
              <c:formatCode>General</c:formatCode>
              <c:ptCount val="2"/>
              <c:pt idx="0">
                <c:v>5.0650132114445139</c:v>
              </c:pt>
              <c:pt idx="1">
                <c:v>5.1497368938084964</c:v>
              </c:pt>
            </c:numLit>
          </c:xVal>
          <c:yVal>
            <c:numLit>
              <c:formatCode>General</c:formatCode>
              <c:ptCount val="2"/>
              <c:pt idx="0">
                <c:v>3.3670869635499083E-2</c:v>
              </c:pt>
              <c:pt idx="1">
                <c:v>3.3231529303240491E-2</c:v>
              </c:pt>
            </c:numLit>
          </c:yVal>
          <c:smooth val="0"/>
          <c:extLst>
            <c:ext xmlns:c16="http://schemas.microsoft.com/office/drawing/2014/chart" uri="{C3380CC4-5D6E-409C-BE32-E72D297353CC}">
              <c16:uniqueId val="{0000001D-4FBA-4B77-B49D-A2AABC32351C}"/>
            </c:ext>
          </c:extLst>
        </c:ser>
        <c:ser>
          <c:idx val="30"/>
          <c:order val="30"/>
          <c:spPr>
            <a:ln w="3175">
              <a:solidFill>
                <a:srgbClr val="000000"/>
              </a:solidFill>
              <a:prstDash val="solid"/>
            </a:ln>
          </c:spPr>
          <c:marker>
            <c:symbol val="none"/>
          </c:marker>
          <c:xVal>
            <c:numLit>
              <c:formatCode>General</c:formatCode>
              <c:ptCount val="2"/>
              <c:pt idx="0">
                <c:v>4.4495417349447202</c:v>
              </c:pt>
              <c:pt idx="1">
                <c:v>4.5025151533077423</c:v>
              </c:pt>
            </c:numLit>
          </c:xVal>
          <c:yVal>
            <c:numLit>
              <c:formatCode>General</c:formatCode>
              <c:ptCount val="2"/>
              <c:pt idx="0">
                <c:v>3.3597594322318097E-2</c:v>
              </c:pt>
              <c:pt idx="1">
                <c:v>3.3379187523657441E-2</c:v>
              </c:pt>
            </c:numLit>
          </c:yVal>
          <c:smooth val="0"/>
          <c:extLst>
            <c:ext xmlns:c16="http://schemas.microsoft.com/office/drawing/2014/chart" uri="{C3380CC4-5D6E-409C-BE32-E72D297353CC}">
              <c16:uniqueId val="{0000001E-4FBA-4B77-B49D-A2AABC32351C}"/>
            </c:ext>
          </c:extLst>
        </c:ser>
        <c:ser>
          <c:idx val="31"/>
          <c:order val="31"/>
          <c:spPr>
            <a:ln w="3175">
              <a:solidFill>
                <a:srgbClr val="000000"/>
              </a:solidFill>
              <a:prstDash val="solid"/>
            </a:ln>
          </c:spPr>
          <c:marker>
            <c:symbol val="none"/>
          </c:marker>
          <c:xVal>
            <c:numLit>
              <c:formatCode>General</c:formatCode>
              <c:ptCount val="2"/>
              <c:pt idx="0">
                <c:v>3.8457444174013791</c:v>
              </c:pt>
              <c:pt idx="1">
                <c:v>3.9725118512840907</c:v>
              </c:pt>
            </c:numLit>
          </c:xVal>
          <c:yVal>
            <c:numLit>
              <c:formatCode>General</c:formatCode>
              <c:ptCount val="2"/>
              <c:pt idx="0">
                <c:v>3.3509296313245625E-2</c:v>
              </c:pt>
              <c:pt idx="1">
                <c:v>3.3075527474857841E-2</c:v>
              </c:pt>
            </c:numLit>
          </c:yVal>
          <c:smooth val="0"/>
          <c:extLst>
            <c:ext xmlns:c16="http://schemas.microsoft.com/office/drawing/2014/chart" uri="{C3380CC4-5D6E-409C-BE32-E72D297353CC}">
              <c16:uniqueId val="{0000001F-4FBA-4B77-B49D-A2AABC32351C}"/>
            </c:ext>
          </c:extLst>
        </c:ser>
        <c:ser>
          <c:idx val="32"/>
          <c:order val="32"/>
          <c:spPr>
            <a:ln w="3175">
              <a:solidFill>
                <a:srgbClr val="000000"/>
              </a:solidFill>
              <a:prstDash val="solid"/>
            </a:ln>
          </c:spPr>
          <c:marker>
            <c:symbol val="none"/>
          </c:marker>
          <c:xVal>
            <c:numLit>
              <c:formatCode>General</c:formatCode>
              <c:ptCount val="2"/>
              <c:pt idx="0">
                <c:v>3.255531023136959</c:v>
              </c:pt>
              <c:pt idx="1">
                <c:v>3.3290908330828737</c:v>
              </c:pt>
            </c:numLit>
          </c:xVal>
          <c:yVal>
            <c:numLit>
              <c:formatCode>General</c:formatCode>
              <c:ptCount val="2"/>
              <c:pt idx="0">
                <c:v>3.3406941252105297E-2</c:v>
              </c:pt>
              <c:pt idx="1">
                <c:v>3.3191821575344858E-2</c:v>
              </c:pt>
            </c:numLit>
          </c:yVal>
          <c:smooth val="0"/>
          <c:extLst>
            <c:ext xmlns:c16="http://schemas.microsoft.com/office/drawing/2014/chart" uri="{C3380CC4-5D6E-409C-BE32-E72D297353CC}">
              <c16:uniqueId val="{00000020-4FBA-4B77-B49D-A2AABC32351C}"/>
            </c:ext>
          </c:extLst>
        </c:ser>
        <c:ser>
          <c:idx val="33"/>
          <c:order val="33"/>
          <c:spPr>
            <a:ln w="3175">
              <a:solidFill>
                <a:srgbClr val="000000"/>
              </a:solidFill>
              <a:prstDash val="solid"/>
            </a:ln>
          </c:spPr>
          <c:marker>
            <c:symbol val="none"/>
          </c:marker>
          <c:xVal>
            <c:numLit>
              <c:formatCode>General</c:formatCode>
              <c:ptCount val="2"/>
              <c:pt idx="0">
                <c:v>2.6805767765256308</c:v>
              </c:pt>
              <c:pt idx="1">
                <c:v>2.8475224049212988</c:v>
              </c:pt>
            </c:numLit>
          </c:xVal>
          <c:yVal>
            <c:numLit>
              <c:formatCode>General</c:formatCode>
              <c:ptCount val="2"/>
              <c:pt idx="0">
                <c:v>3.3291603458921876E-2</c:v>
              </c:pt>
              <c:pt idx="1">
                <c:v>3.286534127068319E-2</c:v>
              </c:pt>
            </c:numLit>
          </c:yVal>
          <c:smooth val="0"/>
          <c:extLst>
            <c:ext xmlns:c16="http://schemas.microsoft.com/office/drawing/2014/chart" uri="{C3380CC4-5D6E-409C-BE32-E72D297353CC}">
              <c16:uniqueId val="{00000021-4FBA-4B77-B49D-A2AABC32351C}"/>
            </c:ext>
          </c:extLst>
        </c:ser>
        <c:ser>
          <c:idx val="34"/>
          <c:order val="34"/>
          <c:spPr>
            <a:ln w="3175">
              <a:solidFill>
                <a:srgbClr val="000000"/>
              </a:solidFill>
              <a:prstDash val="solid"/>
            </a:ln>
          </c:spPr>
          <c:marker>
            <c:symbol val="none"/>
          </c:marker>
          <c:xVal>
            <c:numLit>
              <c:formatCode>General</c:formatCode>
              <c:ptCount val="2"/>
              <c:pt idx="0">
                <c:v>2.1223080446173976</c:v>
              </c:pt>
              <c:pt idx="1">
                <c:v>2.215406181779167</c:v>
              </c:pt>
            </c:numLit>
          </c:xVal>
          <c:yVal>
            <c:numLit>
              <c:formatCode>General</c:formatCode>
              <c:ptCount val="2"/>
              <c:pt idx="0">
                <c:v>3.3164437178186706E-2</c:v>
              </c:pt>
              <c:pt idx="1">
                <c:v>3.2953498606149004E-2</c:v>
              </c:pt>
            </c:numLit>
          </c:yVal>
          <c:smooth val="0"/>
          <c:extLst>
            <c:ext xmlns:c16="http://schemas.microsoft.com/office/drawing/2014/chart" uri="{C3380CC4-5D6E-409C-BE32-E72D297353CC}">
              <c16:uniqueId val="{00000022-4FBA-4B77-B49D-A2AABC32351C}"/>
            </c:ext>
          </c:extLst>
        </c:ser>
        <c:ser>
          <c:idx val="35"/>
          <c:order val="35"/>
          <c:spPr>
            <a:ln w="3175">
              <a:solidFill>
                <a:srgbClr val="000000"/>
              </a:solidFill>
              <a:prstDash val="solid"/>
            </a:ln>
          </c:spPr>
          <c:marker>
            <c:symbol val="none"/>
          </c:marker>
          <c:xVal>
            <c:numLit>
              <c:formatCode>General</c:formatCode>
              <c:ptCount val="2"/>
              <c:pt idx="0">
                <c:v>1.5818964894711631</c:v>
              </c:pt>
              <c:pt idx="1">
                <c:v>1.7867276450066407</c:v>
              </c:pt>
            </c:numLit>
          </c:xVal>
          <c:yVal>
            <c:numLit>
              <c:formatCode>General</c:formatCode>
              <c:ptCount val="2"/>
              <c:pt idx="0">
                <c:v>3.3026648039659948E-2</c:v>
              </c:pt>
              <c:pt idx="1">
                <c:v>3.2609522245188913E-2</c:v>
              </c:pt>
            </c:numLit>
          </c:yVal>
          <c:smooth val="0"/>
          <c:extLst>
            <c:ext xmlns:c16="http://schemas.microsoft.com/office/drawing/2014/chart" uri="{C3380CC4-5D6E-409C-BE32-E72D297353CC}">
              <c16:uniqueId val="{00000023-4FBA-4B77-B49D-A2AABC32351C}"/>
            </c:ext>
          </c:extLst>
        </c:ser>
        <c:ser>
          <c:idx val="36"/>
          <c:order val="36"/>
          <c:spPr>
            <a:ln w="3175">
              <a:solidFill>
                <a:srgbClr val="000000"/>
              </a:solidFill>
              <a:prstDash val="solid"/>
            </a:ln>
          </c:spPr>
          <c:marker>
            <c:symbol val="none"/>
          </c:marker>
          <c:xVal>
            <c:numLit>
              <c:formatCode>General</c:formatCode>
              <c:ptCount val="2"/>
              <c:pt idx="0">
                <c:v>1.0602609781934789</c:v>
              </c:pt>
              <c:pt idx="1">
                <c:v>1.1716702716729019</c:v>
              </c:pt>
            </c:numLit>
          </c:xVal>
          <c:yVal>
            <c:numLit>
              <c:formatCode>General</c:formatCode>
              <c:ptCount val="2"/>
              <c:pt idx="0">
                <c:v>3.2879465911649565E-2</c:v>
              </c:pt>
              <c:pt idx="1">
                <c:v>3.2673440637310779E-2</c:v>
              </c:pt>
            </c:numLit>
          </c:yVal>
          <c:smooth val="0"/>
          <c:extLst>
            <c:ext xmlns:c16="http://schemas.microsoft.com/office/drawing/2014/chart" uri="{C3380CC4-5D6E-409C-BE32-E72D297353CC}">
              <c16:uniqueId val="{00000024-4FBA-4B77-B49D-A2AABC32351C}"/>
            </c:ext>
          </c:extLst>
        </c:ser>
        <c:ser>
          <c:idx val="37"/>
          <c:order val="37"/>
          <c:spPr>
            <a:ln w="3175">
              <a:solidFill>
                <a:srgbClr val="000000"/>
              </a:solidFill>
              <a:prstDash val="solid"/>
            </a:ln>
          </c:spPr>
          <c:marker>
            <c:symbol val="none"/>
          </c:marker>
          <c:xVal>
            <c:numLit>
              <c:formatCode>General</c:formatCode>
              <c:ptCount val="2"/>
              <c:pt idx="0">
                <c:v>0.55807620951249115</c:v>
              </c:pt>
              <c:pt idx="1">
                <c:v>0.79821151263275059</c:v>
              </c:pt>
            </c:numLit>
          </c:xVal>
          <c:yVal>
            <c:numLit>
              <c:formatCode>General</c:formatCode>
              <c:ptCount val="2"/>
              <c:pt idx="0">
                <c:v>3.2724120089613527E-2</c:v>
              </c:pt>
              <c:pt idx="1">
                <c:v>3.2317426293419958E-2</c:v>
              </c:pt>
            </c:numLit>
          </c:yVal>
          <c:smooth val="0"/>
          <c:extLst>
            <c:ext xmlns:c16="http://schemas.microsoft.com/office/drawing/2014/chart" uri="{C3380CC4-5D6E-409C-BE32-E72D297353CC}">
              <c16:uniqueId val="{00000025-4FBA-4B77-B49D-A2AABC32351C}"/>
            </c:ext>
          </c:extLst>
        </c:ser>
        <c:ser>
          <c:idx val="38"/>
          <c:order val="38"/>
          <c:spPr>
            <a:ln w="3175">
              <a:solidFill>
                <a:srgbClr val="000000"/>
              </a:solidFill>
              <a:prstDash val="solid"/>
            </a:ln>
          </c:spPr>
          <c:marker>
            <c:symbol val="none"/>
          </c:marker>
          <c:xVal>
            <c:numLit>
              <c:formatCode>General</c:formatCode>
              <c:ptCount val="2"/>
              <c:pt idx="0">
                <c:v>7.5786811510906382E-2</c:v>
              </c:pt>
              <c:pt idx="1">
                <c:v>0.20416979751933934</c:v>
              </c:pt>
            </c:numLit>
          </c:xVal>
          <c:yVal>
            <c:numLit>
              <c:formatCode>General</c:formatCode>
              <c:ptCount val="2"/>
              <c:pt idx="0">
                <c:v>3.2561817496304393E-2</c:v>
              </c:pt>
              <c:pt idx="1">
                <c:v>3.2361268918781903E-2</c:v>
              </c:pt>
            </c:numLit>
          </c:yVal>
          <c:smooth val="0"/>
          <c:extLst>
            <c:ext xmlns:c16="http://schemas.microsoft.com/office/drawing/2014/chart" uri="{C3380CC4-5D6E-409C-BE32-E72D297353CC}">
              <c16:uniqueId val="{00000026-4FBA-4B77-B49D-A2AABC32351C}"/>
            </c:ext>
          </c:extLst>
        </c:ser>
        <c:ser>
          <c:idx val="39"/>
          <c:order val="39"/>
          <c:spPr>
            <a:ln w="3175">
              <a:solidFill>
                <a:srgbClr val="000000"/>
              </a:solidFill>
              <a:prstDash val="solid"/>
            </a:ln>
          </c:spPr>
          <c:marker>
            <c:symbol val="none"/>
          </c:marker>
          <c:xVal>
            <c:numLit>
              <c:formatCode>General</c:formatCode>
              <c:ptCount val="2"/>
              <c:pt idx="0">
                <c:v>-0.38637441921499299</c:v>
              </c:pt>
              <c:pt idx="1">
                <c:v>-0.11367185303516499</c:v>
              </c:pt>
            </c:numLit>
          </c:xVal>
          <c:yVal>
            <c:numLit>
              <c:formatCode>General</c:formatCode>
              <c:ptCount val="2"/>
              <c:pt idx="0">
                <c:v>3.2393724302205024E-2</c:v>
              </c:pt>
              <c:pt idx="1">
                <c:v>3.1998423464197956E-2</c:v>
              </c:pt>
            </c:numLit>
          </c:yVal>
          <c:smooth val="0"/>
          <c:extLst>
            <c:ext xmlns:c16="http://schemas.microsoft.com/office/drawing/2014/chart" uri="{C3380CC4-5D6E-409C-BE32-E72D297353CC}">
              <c16:uniqueId val="{00000027-4FBA-4B77-B49D-A2AABC32351C}"/>
            </c:ext>
          </c:extLst>
        </c:ser>
        <c:ser>
          <c:idx val="40"/>
          <c:order val="40"/>
          <c:spPr>
            <a:ln w="3175">
              <a:solidFill>
                <a:srgbClr val="000000"/>
              </a:solidFill>
              <a:prstDash val="solid"/>
            </a:ln>
          </c:spPr>
          <c:marker>
            <c:symbol val="none"/>
          </c:marker>
          <c:xVal>
            <c:numLit>
              <c:formatCode>General</c:formatCode>
              <c:ptCount val="2"/>
              <c:pt idx="0">
                <c:v>-0.82836544769946818</c:v>
              </c:pt>
              <c:pt idx="1">
                <c:v>-0.68439362963568395</c:v>
              </c:pt>
            </c:numLit>
          </c:xVal>
          <c:yVal>
            <c:numLit>
              <c:formatCode>General</c:formatCode>
              <c:ptCount val="2"/>
              <c:pt idx="0">
                <c:v>3.2220951129550625E-2</c:v>
              </c:pt>
              <c:pt idx="1">
                <c:v>3.2026279558351474E-2</c:v>
              </c:pt>
            </c:numLit>
          </c:yVal>
          <c:smooth val="0"/>
          <c:extLst>
            <c:ext xmlns:c16="http://schemas.microsoft.com/office/drawing/2014/chart" uri="{C3380CC4-5D6E-409C-BE32-E72D297353CC}">
              <c16:uniqueId val="{00000028-4FBA-4B77-B49D-A2AABC32351C}"/>
            </c:ext>
          </c:extLst>
        </c:ser>
        <c:ser>
          <c:idx val="41"/>
          <c:order val="41"/>
          <c:spPr>
            <a:ln w="3175">
              <a:solidFill>
                <a:srgbClr val="000000"/>
              </a:solidFill>
              <a:prstDash val="solid"/>
            </a:ln>
          </c:spPr>
          <c:marker>
            <c:symbol val="none"/>
          </c:marker>
          <c:xVal>
            <c:numLit>
              <c:formatCode>General</c:formatCode>
              <c:ptCount val="2"/>
              <c:pt idx="0">
                <c:v>-1.2503123116501493</c:v>
              </c:pt>
              <c:pt idx="1">
                <c:v>-0.94781878366221239</c:v>
              </c:pt>
            </c:numLit>
          </c:xVal>
          <c:yVal>
            <c:numLit>
              <c:formatCode>General</c:formatCode>
              <c:ptCount val="2"/>
              <c:pt idx="0">
                <c:v>3.2044541795365311E-2</c:v>
              </c:pt>
              <c:pt idx="1">
                <c:v>3.1661281733456156E-2</c:v>
              </c:pt>
            </c:numLit>
          </c:yVal>
          <c:smooth val="0"/>
          <c:extLst>
            <c:ext xmlns:c16="http://schemas.microsoft.com/office/drawing/2014/chart" uri="{C3380CC4-5D6E-409C-BE32-E72D297353CC}">
              <c16:uniqueId val="{00000029-4FBA-4B77-B49D-A2AABC32351C}"/>
            </c:ext>
          </c:extLst>
        </c:ser>
        <c:ser>
          <c:idx val="42"/>
          <c:order val="42"/>
          <c:spPr>
            <a:ln w="3175">
              <a:solidFill>
                <a:srgbClr val="000000"/>
              </a:solidFill>
              <a:prstDash val="solid"/>
            </a:ln>
          </c:spPr>
          <c:marker>
            <c:symbol val="none"/>
          </c:marker>
          <c:xVal>
            <c:numLit>
              <c:formatCode>General</c:formatCode>
              <c:ptCount val="2"/>
              <c:pt idx="0">
                <c:v>-1.6524858712974235</c:v>
              </c:pt>
              <c:pt idx="1">
                <c:v>-1.4943050804129847</c:v>
              </c:pt>
            </c:numLit>
          </c:xVal>
          <c:yVal>
            <c:numLit>
              <c:formatCode>General</c:formatCode>
              <c:ptCount val="2"/>
              <c:pt idx="0">
                <c:v>3.1865465386878213E-2</c:v>
              </c:pt>
              <c:pt idx="1">
                <c:v>3.1676922880207896E-2</c:v>
              </c:pt>
            </c:numLit>
          </c:yVal>
          <c:smooth val="0"/>
          <c:extLst>
            <c:ext xmlns:c16="http://schemas.microsoft.com/office/drawing/2014/chart" uri="{C3380CC4-5D6E-409C-BE32-E72D297353CC}">
              <c16:uniqueId val="{0000002A-4FBA-4B77-B49D-A2AABC32351C}"/>
            </c:ext>
          </c:extLst>
        </c:ser>
        <c:ser>
          <c:idx val="43"/>
          <c:order val="43"/>
          <c:spPr>
            <a:ln w="3175">
              <a:solidFill>
                <a:srgbClr val="000000"/>
              </a:solidFill>
              <a:prstDash val="solid"/>
            </a:ln>
          </c:spPr>
          <c:marker>
            <c:symbol val="none"/>
          </c:marker>
          <c:xVal>
            <c:numLit>
              <c:formatCode>General</c:formatCode>
              <c:ptCount val="2"/>
              <c:pt idx="0">
                <c:v>-2.0352788721065513</c:v>
              </c:pt>
              <c:pt idx="1">
                <c:v>-1.7057175316890834</c:v>
              </c:pt>
            </c:numLit>
          </c:xVal>
          <c:yVal>
            <c:numLit>
              <c:formatCode>General</c:formatCode>
              <c:ptCount val="2"/>
              <c:pt idx="0">
                <c:v>3.1684611348254135E-2</c:v>
              </c:pt>
              <c:pt idx="1">
                <c:v>3.1313762681072957E-2</c:v>
              </c:pt>
            </c:numLit>
          </c:yVal>
          <c:smooth val="0"/>
          <c:extLst>
            <c:ext xmlns:c16="http://schemas.microsoft.com/office/drawing/2014/chart" uri="{C3380CC4-5D6E-409C-BE32-E72D297353CC}">
              <c16:uniqueId val="{0000002B-4FBA-4B77-B49D-A2AABC32351C}"/>
            </c:ext>
          </c:extLst>
        </c:ser>
        <c:ser>
          <c:idx val="44"/>
          <c:order val="44"/>
          <c:spPr>
            <a:ln w="3175">
              <a:solidFill>
                <a:srgbClr val="000000"/>
              </a:solidFill>
              <a:prstDash val="solid"/>
            </a:ln>
          </c:spPr>
          <c:marker>
            <c:symbol val="none"/>
          </c:marker>
          <c:xVal>
            <c:numLit>
              <c:formatCode>General</c:formatCode>
              <c:ptCount val="2"/>
              <c:pt idx="0">
                <c:v>-2.3991840012325829</c:v>
              </c:pt>
              <c:pt idx="1">
                <c:v>-2.2281291046596068</c:v>
              </c:pt>
            </c:numLit>
          </c:xVal>
          <c:yVal>
            <c:numLit>
              <c:formatCode>General</c:formatCode>
              <c:ptCount val="2"/>
              <c:pt idx="0">
                <c:v>3.1502787187754219E-2</c:v>
              </c:pt>
              <c:pt idx="1">
                <c:v>3.1320497753482592E-2</c:v>
              </c:pt>
            </c:numLit>
          </c:yVal>
          <c:smooth val="0"/>
          <c:extLst>
            <c:ext xmlns:c16="http://schemas.microsoft.com/office/drawing/2014/chart" uri="{C3380CC4-5D6E-409C-BE32-E72D297353CC}">
              <c16:uniqueId val="{0000002C-4FBA-4B77-B49D-A2AABC32351C}"/>
            </c:ext>
          </c:extLst>
        </c:ser>
        <c:ser>
          <c:idx val="45"/>
          <c:order val="45"/>
          <c:spPr>
            <a:ln w="3175">
              <a:solidFill>
                <a:srgbClr val="000000"/>
              </a:solidFill>
              <a:prstDash val="solid"/>
            </a:ln>
          </c:spPr>
          <c:marker>
            <c:symbol val="none"/>
          </c:marker>
          <c:xVal>
            <c:numLit>
              <c:formatCode>General</c:formatCode>
              <c:ptCount val="2"/>
              <c:pt idx="0">
                <c:v>-2.7447734321668316</c:v>
              </c:pt>
              <c:pt idx="1">
                <c:v>-2.3907467620921121</c:v>
              </c:pt>
            </c:numLit>
          </c:xVal>
          <c:yVal>
            <c:numLit>
              <c:formatCode>General</c:formatCode>
              <c:ptCount val="2"/>
              <c:pt idx="0">
                <c:v>3.1320718383058194E-2</c:v>
              </c:pt>
              <c:pt idx="1">
                <c:v>3.0962417749159633E-2</c:v>
              </c:pt>
            </c:numLit>
          </c:yVal>
          <c:smooth val="0"/>
          <c:extLst>
            <c:ext xmlns:c16="http://schemas.microsoft.com/office/drawing/2014/chart" uri="{C3380CC4-5D6E-409C-BE32-E72D297353CC}">
              <c16:uniqueId val="{0000002D-4FBA-4B77-B49D-A2AABC32351C}"/>
            </c:ext>
          </c:extLst>
        </c:ser>
        <c:ser>
          <c:idx val="46"/>
          <c:order val="46"/>
          <c:spPr>
            <a:ln w="3175">
              <a:solidFill>
                <a:srgbClr val="000000"/>
              </a:solidFill>
              <a:prstDash val="solid"/>
            </a:ln>
          </c:spPr>
          <c:marker>
            <c:symbol val="none"/>
          </c:marker>
          <c:xVal>
            <c:numLit>
              <c:formatCode>General</c:formatCode>
              <c:ptCount val="2"/>
              <c:pt idx="0">
                <c:v>-3.072680183386634</c:v>
              </c:pt>
              <c:pt idx="1">
                <c:v>-2.890013283673071</c:v>
              </c:pt>
            </c:numLit>
          </c:xVal>
          <c:yVal>
            <c:numLit>
              <c:formatCode>General</c:formatCode>
              <c:ptCount val="2"/>
              <c:pt idx="0">
                <c:v>3.1139050061769116E-2</c:v>
              </c:pt>
              <c:pt idx="1">
                <c:v>3.0963031957255856E-2</c:v>
              </c:pt>
            </c:numLit>
          </c:yVal>
          <c:smooth val="0"/>
          <c:extLst>
            <c:ext xmlns:c16="http://schemas.microsoft.com/office/drawing/2014/chart" uri="{C3380CC4-5D6E-409C-BE32-E72D297353CC}">
              <c16:uniqueId val="{0000002E-4FBA-4B77-B49D-A2AABC32351C}"/>
            </c:ext>
          </c:extLst>
        </c:ser>
        <c:ser>
          <c:idx val="47"/>
          <c:order val="47"/>
          <c:spPr>
            <a:ln w="3175">
              <a:solidFill>
                <a:srgbClr val="000000"/>
              </a:solidFill>
              <a:prstDash val="solid"/>
            </a:ln>
          </c:spPr>
          <c:marker>
            <c:symbol val="none"/>
          </c:marker>
          <c:xVal>
            <c:numLit>
              <c:formatCode>General</c:formatCode>
              <c:ptCount val="2"/>
              <c:pt idx="0">
                <c:v>-3.3835814724217705</c:v>
              </c:pt>
              <c:pt idx="1">
                <c:v>-3.0075269388899843</c:v>
              </c:pt>
            </c:numLit>
          </c:xVal>
          <c:yVal>
            <c:numLit>
              <c:formatCode>General</c:formatCode>
              <c:ptCount val="2"/>
              <c:pt idx="0">
                <c:v>3.0958350055992959E-2</c:v>
              </c:pt>
              <c:pt idx="1">
                <c:v>3.0612544881648374E-2</c:v>
              </c:pt>
            </c:numLit>
          </c:yVal>
          <c:smooth val="0"/>
          <c:extLst>
            <c:ext xmlns:c16="http://schemas.microsoft.com/office/drawing/2014/chart" uri="{C3380CC4-5D6E-409C-BE32-E72D297353CC}">
              <c16:uniqueId val="{0000002F-4FBA-4B77-B49D-A2AABC32351C}"/>
            </c:ext>
          </c:extLst>
        </c:ser>
        <c:ser>
          <c:idx val="48"/>
          <c:order val="48"/>
          <c:spPr>
            <a:ln w="3175">
              <a:solidFill>
                <a:srgbClr val="000000"/>
              </a:solidFill>
              <a:prstDash val="solid"/>
            </a:ln>
          </c:spPr>
          <c:marker>
            <c:symbol val="none"/>
          </c:marker>
          <c:xVal>
            <c:numLit>
              <c:formatCode>General</c:formatCode>
              <c:ptCount val="2"/>
              <c:pt idx="0">
                <c:v>-3.6781841292440793</c:v>
              </c:pt>
              <c:pt idx="1">
                <c:v>-3.4850775063260775</c:v>
              </c:pt>
            </c:numLit>
          </c:xVal>
          <c:yVal>
            <c:numLit>
              <c:formatCode>General</c:formatCode>
              <c:ptCount val="2"/>
              <c:pt idx="0">
                <c:v>3.0779112966800307E-2</c:v>
              </c:pt>
              <c:pt idx="1">
                <c:v>3.0609300674269268E-2</c:v>
              </c:pt>
            </c:numLit>
          </c:yVal>
          <c:smooth val="0"/>
          <c:extLst>
            <c:ext xmlns:c16="http://schemas.microsoft.com/office/drawing/2014/chart" uri="{C3380CC4-5D6E-409C-BE32-E72D297353CC}">
              <c16:uniqueId val="{00000030-4FBA-4B77-B49D-A2AABC32351C}"/>
            </c:ext>
          </c:extLst>
        </c:ser>
        <c:ser>
          <c:idx val="49"/>
          <c:order val="49"/>
          <c:spPr>
            <a:ln w="3175">
              <a:solidFill>
                <a:srgbClr val="000000"/>
              </a:solidFill>
              <a:prstDash val="solid"/>
            </a:ln>
          </c:spPr>
          <c:marker>
            <c:symbol val="none"/>
          </c:marker>
          <c:xVal>
            <c:numLit>
              <c:formatCode>General</c:formatCode>
              <c:ptCount val="2"/>
              <c:pt idx="0">
                <c:v>-3.9572120420841821</c:v>
              </c:pt>
              <c:pt idx="1">
                <c:v>-3.5613771440812783</c:v>
              </c:pt>
            </c:numLit>
          </c:xVal>
          <c:yVal>
            <c:numLit>
              <c:formatCode>General</c:formatCode>
              <c:ptCount val="2"/>
              <c:pt idx="0">
                <c:v>3.0601764919879974E-2</c:v>
              </c:pt>
              <c:pt idx="1">
                <c:v>3.0268255784711699E-2</c:v>
              </c:pt>
            </c:numLit>
          </c:yVal>
          <c:smooth val="0"/>
          <c:extLst>
            <c:ext xmlns:c16="http://schemas.microsoft.com/office/drawing/2014/chart" uri="{C3380CC4-5D6E-409C-BE32-E72D297353CC}">
              <c16:uniqueId val="{00000031-4FBA-4B77-B49D-A2AABC32351C}"/>
            </c:ext>
          </c:extLst>
        </c:ser>
        <c:ser>
          <c:idx val="50"/>
          <c:order val="50"/>
          <c:spPr>
            <a:ln w="3175">
              <a:solidFill>
                <a:srgbClr val="000000"/>
              </a:solidFill>
              <a:prstDash val="solid"/>
            </a:ln>
          </c:spPr>
          <c:marker>
            <c:symbol val="none"/>
          </c:marker>
          <c:xVal>
            <c:numLit>
              <c:formatCode>General</c:formatCode>
              <c:ptCount val="2"/>
              <c:pt idx="0">
                <c:v>-4.221395542588029</c:v>
              </c:pt>
              <c:pt idx="1">
                <c:v>-4.018923205646856</c:v>
              </c:pt>
            </c:numLit>
          </c:xVal>
          <c:yVal>
            <c:numLit>
              <c:formatCode>General</c:formatCode>
              <c:ptCount val="2"/>
              <c:pt idx="0">
                <c:v>3.0426668742639516E-2</c:v>
              </c:pt>
              <c:pt idx="1">
                <c:v>3.0262933074662973E-2</c:v>
              </c:pt>
            </c:numLit>
          </c:yVal>
          <c:smooth val="0"/>
          <c:extLst>
            <c:ext xmlns:c16="http://schemas.microsoft.com/office/drawing/2014/chart" uri="{C3380CC4-5D6E-409C-BE32-E72D297353CC}">
              <c16:uniqueId val="{00000032-4FBA-4B77-B49D-A2AABC32351C}"/>
            </c:ext>
          </c:extLst>
        </c:ser>
        <c:ser>
          <c:idx val="51"/>
          <c:order val="51"/>
          <c:spPr>
            <a:ln w="3175">
              <a:solidFill>
                <a:srgbClr val="000000"/>
              </a:solidFill>
              <a:prstDash val="solid"/>
            </a:ln>
          </c:spPr>
          <c:marker>
            <c:symbol val="none"/>
          </c:marker>
          <c:xVal>
            <c:numLit>
              <c:formatCode>General</c:formatCode>
              <c:ptCount val="2"/>
              <c:pt idx="0">
                <c:v>-4.4714625924504272</c:v>
              </c:pt>
              <c:pt idx="1">
                <c:v>-4.0578949168486877</c:v>
              </c:pt>
            </c:numLit>
          </c:xVal>
          <c:yVal>
            <c:numLit>
              <c:formatCode>General</c:formatCode>
              <c:ptCount val="2"/>
              <c:pt idx="0">
                <c:v>3.0254129341580477E-2</c:v>
              </c:pt>
              <c:pt idx="1">
                <c:v>2.9932607640146668E-2</c:v>
              </c:pt>
            </c:numLit>
          </c:yVal>
          <c:smooth val="0"/>
          <c:extLst>
            <c:ext xmlns:c16="http://schemas.microsoft.com/office/drawing/2014/chart" uri="{C3380CC4-5D6E-409C-BE32-E72D297353CC}">
              <c16:uniqueId val="{00000033-4FBA-4B77-B49D-A2AABC32351C}"/>
            </c:ext>
          </c:extLst>
        </c:ser>
        <c:ser>
          <c:idx val="52"/>
          <c:order val="52"/>
          <c:spPr>
            <a:ln w="3175">
              <a:solidFill>
                <a:srgbClr val="000000"/>
              </a:solidFill>
              <a:prstDash val="solid"/>
            </a:ln>
          </c:spPr>
          <c:marker>
            <c:symbol val="none"/>
          </c:marker>
          <c:xVal>
            <c:numLit>
              <c:formatCode>General</c:formatCode>
              <c:ptCount val="2"/>
              <c:pt idx="0">
                <c:v>-4.7081316066320262</c:v>
              </c:pt>
              <c:pt idx="1">
                <c:v>-4.4972672685866462</c:v>
              </c:pt>
            </c:numLit>
          </c:xVal>
          <c:yVal>
            <c:numLit>
              <c:formatCode>General</c:formatCode>
              <c:ptCount val="2"/>
              <c:pt idx="0">
                <c:v>3.0084399104368914E-2</c:v>
              </c:pt>
              <c:pt idx="1">
                <c:v>2.9926564637052209E-2</c:v>
              </c:pt>
            </c:numLit>
          </c:yVal>
          <c:smooth val="0"/>
          <c:extLst>
            <c:ext xmlns:c16="http://schemas.microsoft.com/office/drawing/2014/chart" uri="{C3380CC4-5D6E-409C-BE32-E72D297353CC}">
              <c16:uniqueId val="{00000034-4FBA-4B77-B49D-A2AABC32351C}"/>
            </c:ext>
          </c:extLst>
        </c:ser>
        <c:ser>
          <c:idx val="53"/>
          <c:order val="53"/>
          <c:spPr>
            <a:ln w="3175">
              <a:solidFill>
                <a:srgbClr val="000000"/>
              </a:solidFill>
              <a:prstDash val="solid"/>
            </a:ln>
          </c:spPr>
          <c:marker>
            <c:symbol val="none"/>
          </c:marker>
          <c:xVal>
            <c:numLit>
              <c:formatCode>General</c:formatCode>
              <c:ptCount val="2"/>
              <c:pt idx="0">
                <c:v>-4.9321057352905999</c:v>
              </c:pt>
              <c:pt idx="1">
                <c:v>-4.5026538133840264</c:v>
              </c:pt>
            </c:numLit>
          </c:xVal>
          <c:yVal>
            <c:numLit>
              <c:formatCode>General</c:formatCode>
              <c:ptCount val="2"/>
              <c:pt idx="0">
                <c:v>2.9917683192038989E-2</c:v>
              </c:pt>
              <c:pt idx="1">
                <c:v>2.9607763081968677E-2</c:v>
              </c:pt>
            </c:numLit>
          </c:yVal>
          <c:smooth val="0"/>
          <c:extLst>
            <c:ext xmlns:c16="http://schemas.microsoft.com/office/drawing/2014/chart" uri="{C3380CC4-5D6E-409C-BE32-E72D297353CC}">
              <c16:uniqueId val="{00000035-4FBA-4B77-B49D-A2AABC32351C}"/>
            </c:ext>
          </c:extLst>
        </c:ser>
        <c:ser>
          <c:idx val="54"/>
          <c:order val="54"/>
          <c:spPr>
            <a:ln w="3175">
              <a:solidFill>
                <a:srgbClr val="000000"/>
              </a:solidFill>
              <a:prstDash val="solid"/>
            </a:ln>
          </c:spPr>
          <c:marker>
            <c:symbol val="none"/>
          </c:marker>
          <c:xVal>
            <c:numLit>
              <c:formatCode>General</c:formatCode>
              <c:ptCount val="2"/>
              <c:pt idx="0">
                <c:v>-5.1440684242141916</c:v>
              </c:pt>
              <c:pt idx="1">
                <c:v>-4.9256879341415329</c:v>
              </c:pt>
            </c:numLit>
          </c:xVal>
          <c:yVal>
            <c:numLit>
              <c:formatCode>General</c:formatCode>
              <c:ptCount val="2"/>
              <c:pt idx="0">
                <c:v>2.9754144622409617E-2</c:v>
              </c:pt>
              <c:pt idx="1">
                <c:v>2.9602004197885314E-2</c:v>
              </c:pt>
            </c:numLit>
          </c:yVal>
          <c:smooth val="0"/>
          <c:extLst>
            <c:ext xmlns:c16="http://schemas.microsoft.com/office/drawing/2014/chart" uri="{C3380CC4-5D6E-409C-BE32-E72D297353CC}">
              <c16:uniqueId val="{00000036-4FBA-4B77-B49D-A2AABC32351C}"/>
            </c:ext>
          </c:extLst>
        </c:ser>
        <c:ser>
          <c:idx val="55"/>
          <c:order val="55"/>
          <c:spPr>
            <a:ln w="3175">
              <a:solidFill>
                <a:srgbClr val="000000"/>
              </a:solidFill>
              <a:prstDash val="solid"/>
            </a:ln>
          </c:spPr>
          <c:marker>
            <c:symbol val="none"/>
          </c:marker>
          <c:xVal>
            <c:numLit>
              <c:formatCode>General</c:formatCode>
              <c:ptCount val="2"/>
              <c:pt idx="0">
                <c:v>-5.3446800788427877</c:v>
              </c:pt>
              <c:pt idx="1">
                <c:v>-4.9010014554344146</c:v>
              </c:pt>
            </c:numLit>
          </c:xVal>
          <c:yVal>
            <c:numLit>
              <c:formatCode>General</c:formatCode>
              <c:ptCount val="2"/>
              <c:pt idx="0">
                <c:v>2.9593909075847288E-2</c:v>
              </c:pt>
              <c:pt idx="1">
                <c:v>2.9295153590473244E-2</c:v>
              </c:pt>
            </c:numLit>
          </c:yVal>
          <c:smooth val="0"/>
          <c:extLst>
            <c:ext xmlns:c16="http://schemas.microsoft.com/office/drawing/2014/chart" uri="{C3380CC4-5D6E-409C-BE32-E72D297353CC}">
              <c16:uniqueId val="{00000037-4FBA-4B77-B49D-A2AABC32351C}"/>
            </c:ext>
          </c:extLst>
        </c:ser>
        <c:ser>
          <c:idx val="56"/>
          <c:order val="56"/>
          <c:spPr>
            <a:ln w="3175">
              <a:solidFill>
                <a:srgbClr val="000000"/>
              </a:solidFill>
              <a:prstDash val="solid"/>
            </a:ln>
          </c:spPr>
          <c:marker>
            <c:symbol val="none"/>
          </c:marker>
          <c:xVal>
            <c:numLit>
              <c:formatCode>General</c:formatCode>
              <c:ptCount val="2"/>
              <c:pt idx="0">
                <c:v>-5.5345756674157736</c:v>
              </c:pt>
              <c:pt idx="1">
                <c:v>-5.3094622938396387</c:v>
              </c:pt>
            </c:numLit>
          </c:xVal>
          <c:yVal>
            <c:numLit>
              <c:formatCode>General</c:formatCode>
              <c:ptCount val="2"/>
              <c:pt idx="0">
                <c:v>2.9437069379158205E-2</c:v>
              </c:pt>
              <c:pt idx="1">
                <c:v>2.9290395769172719E-2</c:v>
              </c:pt>
            </c:numLit>
          </c:yVal>
          <c:smooth val="0"/>
          <c:extLst>
            <c:ext xmlns:c16="http://schemas.microsoft.com/office/drawing/2014/chart" uri="{C3380CC4-5D6E-409C-BE32-E72D297353CC}">
              <c16:uniqueId val="{00000038-4FBA-4B77-B49D-A2AABC32351C}"/>
            </c:ext>
          </c:extLst>
        </c:ser>
        <c:ser>
          <c:idx val="57"/>
          <c:order val="57"/>
          <c:spPr>
            <a:ln w="3175">
              <a:solidFill>
                <a:srgbClr val="000000"/>
              </a:solidFill>
              <a:prstDash val="solid"/>
            </a:ln>
          </c:spPr>
          <c:marker>
            <c:symbol val="none"/>
          </c:marker>
          <c:xVal>
            <c:numLit>
              <c:formatCode>General</c:formatCode>
              <c:ptCount val="2"/>
              <c:pt idx="0">
                <c:v>-5.714363112392145</c:v>
              </c:pt>
              <c:pt idx="1">
                <c:v>-5.2579367981717251</c:v>
              </c:pt>
            </c:numLit>
          </c:xVal>
          <c:yVal>
            <c:numLit>
              <c:formatCode>General</c:formatCode>
              <c:ptCount val="2"/>
              <c:pt idx="0">
                <c:v>2.9283689643078106E-2</c:v>
              </c:pt>
              <c:pt idx="1">
                <c:v>2.8995631379523688E-2</c:v>
              </c:pt>
            </c:numLit>
          </c:yVal>
          <c:smooth val="0"/>
          <c:extLst>
            <c:ext xmlns:c16="http://schemas.microsoft.com/office/drawing/2014/chart" uri="{C3380CC4-5D6E-409C-BE32-E72D297353CC}">
              <c16:uniqueId val="{00000039-4FBA-4B77-B49D-A2AABC32351C}"/>
            </c:ext>
          </c:extLst>
        </c:ser>
        <c:ser>
          <c:idx val="58"/>
          <c:order val="58"/>
          <c:spPr>
            <a:ln w="3175">
              <a:solidFill>
                <a:srgbClr val="000000"/>
              </a:solidFill>
              <a:prstDash val="solid"/>
            </a:ln>
          </c:spPr>
          <c:marker>
            <c:symbol val="none"/>
          </c:marker>
          <c:xVal>
            <c:numLit>
              <c:formatCode>General</c:formatCode>
              <c:ptCount val="2"/>
              <c:pt idx="0">
                <c:v>-6.0459048297431641</c:v>
              </c:pt>
              <c:pt idx="1">
                <c:v>-5.811975436126902</c:v>
              </c:pt>
            </c:numLit>
          </c:xVal>
          <c:yVal>
            <c:numLit>
              <c:formatCode>General</c:formatCode>
              <c:ptCount val="2"/>
              <c:pt idx="0">
                <c:v>2.8987445253082427E-2</c:v>
              </c:pt>
              <c:pt idx="1">
                <c:v>2.8848523783201695E-2</c:v>
              </c:pt>
            </c:numLit>
          </c:yVal>
          <c:smooth val="0"/>
          <c:extLst>
            <c:ext xmlns:c16="http://schemas.microsoft.com/office/drawing/2014/chart" uri="{C3380CC4-5D6E-409C-BE32-E72D297353CC}">
              <c16:uniqueId val="{0000003A-4FBA-4B77-B49D-A2AABC32351C}"/>
            </c:ext>
          </c:extLst>
        </c:ser>
        <c:ser>
          <c:idx val="59"/>
          <c:order val="59"/>
          <c:spPr>
            <a:ln w="3175">
              <a:solidFill>
                <a:srgbClr val="000000"/>
              </a:solidFill>
              <a:prstDash val="solid"/>
            </a:ln>
          </c:spPr>
          <c:marker>
            <c:symbol val="none"/>
          </c:marker>
          <c:xVal>
            <c:numLit>
              <c:formatCode>General</c:formatCode>
              <c:ptCount val="2"/>
              <c:pt idx="0">
                <c:v>-6.3436038686490521</c:v>
              </c:pt>
              <c:pt idx="1">
                <c:v>-6.1045417329826881</c:v>
              </c:pt>
            </c:numLit>
          </c:xVal>
          <c:yVal>
            <c:numLit>
              <c:formatCode>General</c:formatCode>
              <c:ptCount val="2"/>
              <c:pt idx="0">
                <c:v>2.8705249438049581E-2</c:v>
              </c:pt>
              <c:pt idx="1">
                <c:v>2.8571193413255622E-2</c:v>
              </c:pt>
            </c:numLit>
          </c:yVal>
          <c:smooth val="0"/>
          <c:extLst>
            <c:ext xmlns:c16="http://schemas.microsoft.com/office/drawing/2014/chart" uri="{C3380CC4-5D6E-409C-BE32-E72D297353CC}">
              <c16:uniqueId val="{0000003B-4FBA-4B77-B49D-A2AABC32351C}"/>
            </c:ext>
          </c:extLst>
        </c:ser>
        <c:ser>
          <c:idx val="60"/>
          <c:order val="60"/>
          <c:spPr>
            <a:ln w="3175">
              <a:solidFill>
                <a:srgbClr val="000000"/>
              </a:solidFill>
              <a:prstDash val="solid"/>
            </a:ln>
          </c:spPr>
          <c:marker>
            <c:symbol val="none"/>
          </c:marker>
          <c:xVal>
            <c:numLit>
              <c:formatCode>General</c:formatCode>
              <c:ptCount val="2"/>
              <c:pt idx="0">
                <c:v>-6.6113117622552888</c:v>
              </c:pt>
              <c:pt idx="1">
                <c:v>-6.3676339732508866</c:v>
              </c:pt>
            </c:numLit>
          </c:xVal>
          <c:yVal>
            <c:numLit>
              <c:formatCode>General</c:formatCode>
              <c:ptCount val="2"/>
              <c:pt idx="0">
                <c:v>2.843692272060656E-2</c:v>
              </c:pt>
              <c:pt idx="1">
                <c:v>2.8307493018527138E-2</c:v>
              </c:pt>
            </c:numLit>
          </c:yVal>
          <c:smooth val="0"/>
          <c:extLst>
            <c:ext xmlns:c16="http://schemas.microsoft.com/office/drawing/2014/chart" uri="{C3380CC4-5D6E-409C-BE32-E72D297353CC}">
              <c16:uniqueId val="{0000003C-4FBA-4B77-B49D-A2AABC32351C}"/>
            </c:ext>
          </c:extLst>
        </c:ser>
        <c:ser>
          <c:idx val="61"/>
          <c:order val="61"/>
          <c:spPr>
            <a:ln w="3175">
              <a:solidFill>
                <a:srgbClr val="000000"/>
              </a:solidFill>
              <a:prstDash val="solid"/>
            </a:ln>
          </c:spPr>
          <c:marker>
            <c:symbol val="none"/>
          </c:marker>
          <c:xVal>
            <c:numLit>
              <c:formatCode>General</c:formatCode>
              <c:ptCount val="2"/>
              <c:pt idx="0">
                <c:v>-6.8524545533004888</c:v>
              </c:pt>
              <c:pt idx="1">
                <c:v>-6.6046191299677215</c:v>
              </c:pt>
            </c:numLit>
          </c:xVal>
          <c:yVal>
            <c:numLit>
              <c:formatCode>General</c:formatCode>
              <c:ptCount val="2"/>
              <c:pt idx="0">
                <c:v>2.8182106961193734E-2</c:v>
              </c:pt>
              <c:pt idx="1">
                <c:v>2.80570706342766E-2</c:v>
              </c:pt>
            </c:numLit>
          </c:yVal>
          <c:smooth val="0"/>
          <c:extLst>
            <c:ext xmlns:c16="http://schemas.microsoft.com/office/drawing/2014/chart" uri="{C3380CC4-5D6E-409C-BE32-E72D297353CC}">
              <c16:uniqueId val="{0000003D-4FBA-4B77-B49D-A2AABC32351C}"/>
            </c:ext>
          </c:extLst>
        </c:ser>
        <c:ser>
          <c:idx val="62"/>
          <c:order val="62"/>
          <c:spPr>
            <a:ln w="3175">
              <a:solidFill>
                <a:srgbClr val="000000"/>
              </a:solidFill>
              <a:prstDash val="solid"/>
            </a:ln>
          </c:spPr>
          <c:marker>
            <c:symbol val="none"/>
          </c:marker>
          <c:xVal>
            <c:numLit>
              <c:formatCode>General</c:formatCode>
              <c:ptCount val="2"/>
              <c:pt idx="0">
                <c:v>-7.0700641161397257</c:v>
              </c:pt>
              <c:pt idx="1">
                <c:v>-6.5668894914452514</c:v>
              </c:pt>
            </c:numLit>
          </c:xVal>
          <c:yVal>
            <c:numLit>
              <c:formatCode>General</c:formatCode>
              <c:ptCount val="2"/>
              <c:pt idx="0">
                <c:v>2.7940323066302088E-2</c:v>
              </c:pt>
              <c:pt idx="1">
                <c:v>2.769858778815374E-2</c:v>
              </c:pt>
            </c:numLit>
          </c:yVal>
          <c:smooth val="0"/>
          <c:extLst>
            <c:ext xmlns:c16="http://schemas.microsoft.com/office/drawing/2014/chart" uri="{C3380CC4-5D6E-409C-BE32-E72D297353CC}">
              <c16:uniqueId val="{0000003E-4FBA-4B77-B49D-A2AABC32351C}"/>
            </c:ext>
          </c:extLst>
        </c:ser>
        <c:ser>
          <c:idx val="63"/>
          <c:order val="63"/>
          <c:spPr>
            <a:ln w="3175">
              <a:solidFill>
                <a:srgbClr val="000000"/>
              </a:solidFill>
              <a:prstDash val="solid"/>
            </a:ln>
          </c:spPr>
          <c:marker>
            <c:symbol val="none"/>
          </c:marker>
          <c:xVal>
            <c:numLit>
              <c:formatCode>General</c:formatCode>
              <c:ptCount val="2"/>
              <c:pt idx="0">
                <c:v>-7.2668139627913737</c:v>
              </c:pt>
              <c:pt idx="1">
                <c:v>-7.0118344117087634</c:v>
              </c:pt>
            </c:numLit>
          </c:xVal>
          <c:yVal>
            <c:numLit>
              <c:formatCode>General</c:formatCode>
              <c:ptCount val="2"/>
              <c:pt idx="0">
                <c:v>2.771101497108848E-2</c:v>
              </c:pt>
              <c:pt idx="1">
                <c:v>2.7594100919862818E-2</c:v>
              </c:pt>
            </c:numLit>
          </c:yVal>
          <c:smooth val="0"/>
          <c:extLst>
            <c:ext xmlns:c16="http://schemas.microsoft.com/office/drawing/2014/chart" uri="{C3380CC4-5D6E-409C-BE32-E72D297353CC}">
              <c16:uniqueId val="{0000003F-4FBA-4B77-B49D-A2AABC32351C}"/>
            </c:ext>
          </c:extLst>
        </c:ser>
        <c:ser>
          <c:idx val="64"/>
          <c:order val="64"/>
          <c:spPr>
            <a:ln w="3175">
              <a:solidFill>
                <a:srgbClr val="000000"/>
              </a:solidFill>
              <a:prstDash val="solid"/>
            </a:ln>
          </c:spPr>
          <c:marker>
            <c:symbol val="none"/>
          </c:marker>
          <c:xVal>
            <c:numLit>
              <c:formatCode>General</c:formatCode>
              <c:ptCount val="2"/>
              <c:pt idx="0">
                <c:v>-7.4450561220153224</c:v>
              </c:pt>
              <c:pt idx="1">
                <c:v>-7.1870034302564365</c:v>
              </c:pt>
            </c:numLit>
          </c:xVal>
          <c:yVal>
            <c:numLit>
              <c:formatCode>General</c:formatCode>
              <c:ptCount val="2"/>
              <c:pt idx="0">
                <c:v>2.7493582588817535E-2</c:v>
              </c:pt>
              <c:pt idx="1">
                <c:v>2.7380417371768957E-2</c:v>
              </c:pt>
            </c:numLit>
          </c:yVal>
          <c:smooth val="0"/>
          <c:extLst>
            <c:ext xmlns:c16="http://schemas.microsoft.com/office/drawing/2014/chart" uri="{C3380CC4-5D6E-409C-BE32-E72D297353CC}">
              <c16:uniqueId val="{00000040-4FBA-4B77-B49D-A2AABC32351C}"/>
            </c:ext>
          </c:extLst>
        </c:ser>
        <c:ser>
          <c:idx val="65"/>
          <c:order val="65"/>
          <c:spPr>
            <a:ln w="3175">
              <a:solidFill>
                <a:srgbClr val="000000"/>
              </a:solidFill>
              <a:prstDash val="solid"/>
            </a:ln>
          </c:spPr>
          <c:marker>
            <c:symbol val="none"/>
          </c:marker>
          <c:xVal>
            <c:numLit>
              <c:formatCode>General</c:formatCode>
              <c:ptCount val="2"/>
              <c:pt idx="0">
                <c:v>-7.6068569785848918</c:v>
              </c:pt>
              <c:pt idx="1">
                <c:v>-7.3460146168851512</c:v>
              </c:pt>
            </c:numLit>
          </c:xVal>
          <c:yVal>
            <c:numLit>
              <c:formatCode>General</c:formatCode>
              <c:ptCount val="2"/>
              <c:pt idx="0">
                <c:v>2.7287406065353549E-2</c:v>
              </c:pt>
              <c:pt idx="1">
                <c:v>2.7177795615950903E-2</c:v>
              </c:pt>
            </c:numLit>
          </c:yVal>
          <c:smooth val="0"/>
          <c:extLst>
            <c:ext xmlns:c16="http://schemas.microsoft.com/office/drawing/2014/chart" uri="{C3380CC4-5D6E-409C-BE32-E72D297353CC}">
              <c16:uniqueId val="{00000041-4FBA-4B77-B49D-A2AABC32351C}"/>
            </c:ext>
          </c:extLst>
        </c:ser>
        <c:ser>
          <c:idx val="66"/>
          <c:order val="66"/>
          <c:spPr>
            <a:ln w="3175">
              <a:solidFill>
                <a:srgbClr val="000000"/>
              </a:solidFill>
              <a:prstDash val="solid"/>
            </a:ln>
          </c:spPr>
          <c:marker>
            <c:symbol val="none"/>
          </c:marker>
          <c:xVal>
            <c:numLit>
              <c:formatCode>General</c:formatCode>
              <c:ptCount val="2"/>
              <c:pt idx="0">
                <c:v>-7.7540308580023209</c:v>
              </c:pt>
              <c:pt idx="1">
                <c:v>-7.4906510156229702</c:v>
              </c:pt>
            </c:numLit>
          </c:xVal>
          <c:yVal>
            <c:numLit>
              <c:formatCode>General</c:formatCode>
              <c:ptCount val="2"/>
              <c:pt idx="0">
                <c:v>2.7091863289154108E-2</c:v>
              </c:pt>
              <c:pt idx="1">
                <c:v>2.6985624266927313E-2</c:v>
              </c:pt>
            </c:numLit>
          </c:yVal>
          <c:smooth val="0"/>
          <c:extLst>
            <c:ext xmlns:c16="http://schemas.microsoft.com/office/drawing/2014/chart" uri="{C3380CC4-5D6E-409C-BE32-E72D297353CC}">
              <c16:uniqueId val="{00000042-4FBA-4B77-B49D-A2AABC32351C}"/>
            </c:ext>
          </c:extLst>
        </c:ser>
        <c:ser>
          <c:idx val="67"/>
          <c:order val="67"/>
          <c:spPr>
            <a:ln w="3175">
              <a:solidFill>
                <a:srgbClr val="000000"/>
              </a:solidFill>
              <a:prstDash val="solid"/>
            </a:ln>
          </c:spPr>
          <c:marker>
            <c:symbol val="none"/>
          </c:marker>
          <c:xVal>
            <c:numLit>
              <c:formatCode>General</c:formatCode>
              <c:ptCount val="2"/>
              <c:pt idx="0">
                <c:v>-7.8881707432153219</c:v>
              </c:pt>
              <c:pt idx="1">
                <c:v>-7.3567855451734125</c:v>
              </c:pt>
            </c:numLit>
          </c:xVal>
          <c:yVal>
            <c:numLit>
              <c:formatCode>General</c:formatCode>
              <c:ptCount val="2"/>
              <c:pt idx="0">
                <c:v>2.690634223888767E-2</c:v>
              </c:pt>
              <c:pt idx="1">
                <c:v>2.6700261472029474E-2</c:v>
              </c:pt>
            </c:numLit>
          </c:yVal>
          <c:smooth val="0"/>
          <c:extLst>
            <c:ext xmlns:c16="http://schemas.microsoft.com/office/drawing/2014/chart" uri="{C3380CC4-5D6E-409C-BE32-E72D297353CC}">
              <c16:uniqueId val="{00000043-4FBA-4B77-B49D-A2AABC32351C}"/>
            </c:ext>
          </c:extLst>
        </c:ser>
        <c:ser>
          <c:idx val="68"/>
          <c:order val="68"/>
          <c:spPr>
            <a:ln w="3175">
              <a:solidFill>
                <a:srgbClr val="000000"/>
              </a:solidFill>
              <a:prstDash val="solid"/>
            </a:ln>
          </c:spPr>
          <c:marker>
            <c:symbol val="none"/>
          </c:marker>
          <c:xVal>
            <c:numLit>
              <c:formatCode>General</c:formatCode>
              <c:ptCount val="2"/>
              <c:pt idx="0">
                <c:v>-8.0106758986490121</c:v>
              </c:pt>
              <c:pt idx="1">
                <c:v>-7.742871141775753</c:v>
              </c:pt>
            </c:numLit>
          </c:xVal>
          <c:yVal>
            <c:numLit>
              <c:formatCode>General</c:formatCode>
              <c:ptCount val="2"/>
              <c:pt idx="0">
                <c:v>2.673024942614733E-2</c:v>
              </c:pt>
              <c:pt idx="1">
                <c:v>2.6630245125696513E-2</c:v>
              </c:pt>
            </c:numLit>
          </c:yVal>
          <c:smooth val="0"/>
          <c:extLst>
            <c:ext xmlns:c16="http://schemas.microsoft.com/office/drawing/2014/chart" uri="{C3380CC4-5D6E-409C-BE32-E72D297353CC}">
              <c16:uniqueId val="{00000044-4FBA-4B77-B49D-A2AABC32351C}"/>
            </c:ext>
          </c:extLst>
        </c:ser>
        <c:ser>
          <c:idx val="69"/>
          <c:order val="69"/>
          <c:spPr>
            <a:ln w="3175">
              <a:solidFill>
                <a:srgbClr val="000000"/>
              </a:solidFill>
              <a:prstDash val="solid"/>
            </a:ln>
          </c:spPr>
          <c:marker>
            <c:symbol val="none"/>
          </c:marker>
          <c:xVal>
            <c:numLit>
              <c:formatCode>General</c:formatCode>
              <c:ptCount val="2"/>
              <c:pt idx="0">
                <c:v>-8.1227764177225303</c:v>
              </c:pt>
              <c:pt idx="1">
                <c:v>-7.853038893279038</c:v>
              </c:pt>
            </c:numLit>
          </c:xVal>
          <c:yVal>
            <c:numLit>
              <c:formatCode>General</c:formatCode>
              <c:ptCount val="2"/>
              <c:pt idx="0">
                <c:v>2.6563015417404752E-2</c:v>
              </c:pt>
              <c:pt idx="1">
                <c:v>2.6465894461932257E-2</c:v>
              </c:pt>
            </c:numLit>
          </c:yVal>
          <c:smooth val="0"/>
          <c:extLst>
            <c:ext xmlns:c16="http://schemas.microsoft.com/office/drawing/2014/chart" uri="{C3380CC4-5D6E-409C-BE32-E72D297353CC}">
              <c16:uniqueId val="{00000045-4FBA-4B77-B49D-A2AABC32351C}"/>
            </c:ext>
          </c:extLst>
        </c:ser>
        <c:ser>
          <c:idx val="70"/>
          <c:order val="70"/>
          <c:spPr>
            <a:ln w="3175">
              <a:solidFill>
                <a:srgbClr val="000000"/>
              </a:solidFill>
              <a:prstDash val="solid"/>
            </a:ln>
          </c:spPr>
          <c:marker>
            <c:symbol val="none"/>
          </c:marker>
          <c:xVal>
            <c:numLit>
              <c:formatCode>General</c:formatCode>
              <c:ptCount val="2"/>
              <c:pt idx="0">
                <c:v>-8.2255548505858034</c:v>
              </c:pt>
              <c:pt idx="1">
                <c:v>-7.9540452841963916</c:v>
              </c:pt>
            </c:numLit>
          </c:xVal>
          <c:yVal>
            <c:numLit>
              <c:formatCode>General</c:formatCode>
              <c:ptCount val="2"/>
              <c:pt idx="0">
                <c:v>2.640409819616079E-2</c:v>
              </c:pt>
              <c:pt idx="1">
                <c:v>2.6309717192778709E-2</c:v>
              </c:pt>
            </c:numLit>
          </c:yVal>
          <c:smooth val="0"/>
          <c:extLst>
            <c:ext xmlns:c16="http://schemas.microsoft.com/office/drawing/2014/chart" uri="{C3380CC4-5D6E-409C-BE32-E72D297353CC}">
              <c16:uniqueId val="{00000046-4FBA-4B77-B49D-A2AABC32351C}"/>
            </c:ext>
          </c:extLst>
        </c:ser>
        <c:ser>
          <c:idx val="71"/>
          <c:order val="71"/>
          <c:spPr>
            <a:ln w="3175">
              <a:solidFill>
                <a:srgbClr val="000000"/>
              </a:solidFill>
              <a:prstDash val="solid"/>
            </a:ln>
          </c:spPr>
          <c:marker>
            <c:symbol val="none"/>
          </c:marker>
          <c:xVal>
            <c:numLit>
              <c:formatCode>General</c:formatCode>
              <c:ptCount val="2"/>
              <c:pt idx="0">
                <c:v>-8.3199651431045574</c:v>
              </c:pt>
              <c:pt idx="1">
                <c:v>-8.0468278130510296</c:v>
              </c:pt>
            </c:numLit>
          </c:xVal>
          <c:yVal>
            <c:numLit>
              <c:formatCode>General</c:formatCode>
              <c:ptCount val="2"/>
              <c:pt idx="0">
                <c:v>2.6252984947883497E-2</c:v>
              </c:pt>
              <c:pt idx="1">
                <c:v>2.616120934533378E-2</c:v>
              </c:pt>
            </c:numLit>
          </c:yVal>
          <c:smooth val="0"/>
          <c:extLst>
            <c:ext xmlns:c16="http://schemas.microsoft.com/office/drawing/2014/chart" uri="{C3380CC4-5D6E-409C-BE32-E72D297353CC}">
              <c16:uniqueId val="{00000047-4FBA-4B77-B49D-A2AABC32351C}"/>
            </c:ext>
          </c:extLst>
        </c:ser>
        <c:ser>
          <c:idx val="72"/>
          <c:order val="72"/>
          <c:spPr>
            <a:ln w="3175">
              <a:solidFill>
                <a:srgbClr val="000000"/>
              </a:solidFill>
              <a:prstDash val="solid"/>
            </a:ln>
          </c:spPr>
          <c:marker>
            <c:symbol val="none"/>
          </c:marker>
          <c:xVal>
            <c:numLit>
              <c:formatCode>General</c:formatCode>
              <c:ptCount val="2"/>
              <c:pt idx="0">
                <c:v>-8.4068491498525173</c:v>
              </c:pt>
              <c:pt idx="1">
                <c:v>-7.8575784895127745</c:v>
              </c:pt>
            </c:numLit>
          </c:xVal>
          <c:yVal>
            <c:numLit>
              <c:formatCode>General</c:formatCode>
              <c:ptCount val="2"/>
              <c:pt idx="0">
                <c:v>2.610919271000376E-2</c:v>
              </c:pt>
              <c:pt idx="1">
                <c:v>2.5930599857934666E-2</c:v>
              </c:pt>
            </c:numLit>
          </c:yVal>
          <c:smooth val="0"/>
          <c:extLst>
            <c:ext xmlns:c16="http://schemas.microsoft.com/office/drawing/2014/chart" uri="{C3380CC4-5D6E-409C-BE32-E72D297353CC}">
              <c16:uniqueId val="{00000048-4FBA-4B77-B49D-A2AABC32351C}"/>
            </c:ext>
          </c:extLst>
        </c:ser>
        <c:ser>
          <c:idx val="73"/>
          <c:order val="73"/>
          <c:spPr>
            <a:ln w="3175">
              <a:solidFill>
                <a:srgbClr val="000000"/>
              </a:solidFill>
              <a:prstDash val="solid"/>
            </a:ln>
          </c:spPr>
          <c:marker>
            <c:symbol val="none"/>
          </c:marker>
          <c:xVal>
            <c:numLit>
              <c:formatCode>General</c:formatCode>
              <c:ptCount val="2"/>
              <c:pt idx="0">
                <c:v>-8.486950989224928</c:v>
              </c:pt>
              <c:pt idx="1">
                <c:v>-8.2109345928589796</c:v>
              </c:pt>
            </c:numLit>
          </c:xVal>
          <c:yVal>
            <c:numLit>
              <c:formatCode>General</c:formatCode>
              <c:ptCount val="2"/>
              <c:pt idx="0">
                <c:v>2.597226822015037E-2</c:v>
              </c:pt>
              <c:pt idx="1">
                <c:v>2.5885332561182261E-2</c:v>
              </c:pt>
            </c:numLit>
          </c:yVal>
          <c:smooth val="0"/>
          <c:extLst>
            <c:ext xmlns:c16="http://schemas.microsoft.com/office/drawing/2014/chart" uri="{C3380CC4-5D6E-409C-BE32-E72D297353CC}">
              <c16:uniqueId val="{00000049-4FBA-4B77-B49D-A2AABC32351C}"/>
            </c:ext>
          </c:extLst>
        </c:ser>
        <c:ser>
          <c:idx val="74"/>
          <c:order val="74"/>
          <c:spPr>
            <a:ln w="3175">
              <a:solidFill>
                <a:srgbClr val="000000"/>
              </a:solidFill>
              <a:prstDash val="solid"/>
            </a:ln>
          </c:spPr>
          <c:marker>
            <c:symbol val="none"/>
          </c:marker>
          <c:xVal>
            <c:numLit>
              <c:formatCode>General</c:formatCode>
              <c:ptCount val="2"/>
              <c:pt idx="0">
                <c:v>-8.5609294985956481</c:v>
              </c:pt>
              <c:pt idx="1">
                <c:v>-8.2836376106888263</c:v>
              </c:pt>
            </c:numLit>
          </c:xVal>
          <c:yVal>
            <c:numLit>
              <c:formatCode>General</c:formatCode>
              <c:ptCount val="2"/>
              <c:pt idx="0">
                <c:v>2.5841787211775113E-2</c:v>
              </c:pt>
              <c:pt idx="1">
                <c:v>2.57571012253652E-2</c:v>
              </c:pt>
            </c:numLit>
          </c:yVal>
          <c:smooth val="0"/>
          <c:extLst>
            <c:ext xmlns:c16="http://schemas.microsoft.com/office/drawing/2014/chart" uri="{C3380CC4-5D6E-409C-BE32-E72D297353CC}">
              <c16:uniqueId val="{0000004A-4FBA-4B77-B49D-A2AABC32351C}"/>
            </c:ext>
          </c:extLst>
        </c:ser>
        <c:ser>
          <c:idx val="75"/>
          <c:order val="75"/>
          <c:spPr>
            <a:ln w="3175">
              <a:solidFill>
                <a:srgbClr val="000000"/>
              </a:solidFill>
              <a:prstDash val="solid"/>
            </a:ln>
          </c:spPr>
          <c:marker>
            <c:symbol val="none"/>
          </c:marker>
          <c:xVal>
            <c:numLit>
              <c:formatCode>General</c:formatCode>
              <c:ptCount val="2"/>
              <c:pt idx="0">
                <c:v>-8.6293690287967184</c:v>
              </c:pt>
              <c:pt idx="1">
                <c:v>-8.350897148989878</c:v>
              </c:pt>
            </c:numLit>
          </c:xVal>
          <c:yVal>
            <c:numLit>
              <c:formatCode>General</c:formatCode>
              <c:ptCount val="2"/>
              <c:pt idx="0">
                <c:v>2.5717353342065267E-2</c:v>
              </c:pt>
              <c:pt idx="1">
                <c:v>2.5634812767202073E-2</c:v>
              </c:pt>
            </c:numLit>
          </c:yVal>
          <c:smooth val="0"/>
          <c:extLst>
            <c:ext xmlns:c16="http://schemas.microsoft.com/office/drawing/2014/chart" uri="{C3380CC4-5D6E-409C-BE32-E72D297353CC}">
              <c16:uniqueId val="{0000004B-4FBA-4B77-B49D-A2AABC32351C}"/>
            </c:ext>
          </c:extLst>
        </c:ser>
        <c:ser>
          <c:idx val="76"/>
          <c:order val="76"/>
          <c:spPr>
            <a:ln w="3175">
              <a:solidFill>
                <a:srgbClr val="000000"/>
              </a:solidFill>
              <a:prstDash val="solid"/>
            </a:ln>
          </c:spPr>
          <c:marker>
            <c:symbol val="none"/>
          </c:marker>
          <c:xVal>
            <c:numLit>
              <c:formatCode>General</c:formatCode>
              <c:ptCount val="2"/>
              <c:pt idx="0">
                <c:v>-8.6927887946424995</c:v>
              </c:pt>
              <c:pt idx="1">
                <c:v>-8.4132234705969378</c:v>
              </c:pt>
            </c:numLit>
          </c:xVal>
          <c:yVal>
            <c:numLit>
              <c:formatCode>General</c:formatCode>
              <c:ptCount val="2"/>
              <c:pt idx="0">
                <c:v>2.5598596888211325E-2</c:v>
              </c:pt>
              <c:pt idx="1">
                <c:v>2.5518103838414578E-2</c:v>
              </c:pt>
            </c:numLit>
          </c:yVal>
          <c:smooth val="0"/>
          <c:extLst>
            <c:ext xmlns:c16="http://schemas.microsoft.com/office/drawing/2014/chart" uri="{C3380CC4-5D6E-409C-BE32-E72D297353CC}">
              <c16:uniqueId val="{0000004C-4FBA-4B77-B49D-A2AABC32351C}"/>
            </c:ext>
          </c:extLst>
        </c:ser>
        <c:ser>
          <c:idx val="77"/>
          <c:order val="77"/>
          <c:spPr>
            <a:ln w="3175">
              <a:solidFill>
                <a:srgbClr val="000000"/>
              </a:solidFill>
              <a:prstDash val="solid"/>
            </a:ln>
          </c:spPr>
          <c:marker>
            <c:symbol val="none"/>
          </c:marker>
          <c:xVal>
            <c:numLit>
              <c:formatCode>General</c:formatCode>
              <c:ptCount val="2"/>
              <c:pt idx="0">
                <c:v>-8.7516509745654023</c:v>
              </c:pt>
              <c:pt idx="1">
                <c:v>-8.4710707853487577</c:v>
              </c:pt>
            </c:numLit>
          </c:xVal>
          <c:yVal>
            <c:numLit>
              <c:formatCode>General</c:formatCode>
              <c:ptCount val="2"/>
              <c:pt idx="0">
                <c:v>2.5485173311188873E-2</c:v>
              </c:pt>
              <c:pt idx="1">
                <c:v>2.5406635840306308E-2</c:v>
              </c:pt>
            </c:numLit>
          </c:yVal>
          <c:smooth val="0"/>
          <c:extLst>
            <c:ext xmlns:c16="http://schemas.microsoft.com/office/drawing/2014/chart" uri="{C3380CC4-5D6E-409C-BE32-E72D297353CC}">
              <c16:uniqueId val="{0000004D-4FBA-4B77-B49D-A2AABC32351C}"/>
            </c:ext>
          </c:extLst>
        </c:ser>
        <c:ser>
          <c:idx val="78"/>
          <c:order val="78"/>
          <c:spPr>
            <a:ln w="3175">
              <a:solidFill>
                <a:srgbClr val="000000"/>
              </a:solidFill>
              <a:prstDash val="solid"/>
            </a:ln>
          </c:spPr>
          <c:marker>
            <c:symbol val="none"/>
          </c:marker>
          <c:xVal>
            <c:numLit>
              <c:formatCode>General</c:formatCode>
              <c:ptCount val="2"/>
              <c:pt idx="0">
                <c:v>-8.8573072883626267</c:v>
              </c:pt>
              <c:pt idx="1">
                <c:v>-8.5749054385632704</c:v>
              </c:pt>
            </c:numLit>
          </c:xVal>
          <c:yVal>
            <c:numLit>
              <c:formatCode>General</c:formatCode>
              <c:ptCount val="2"/>
              <c:pt idx="0">
                <c:v>2.5273063556165737E-2</c:v>
              </c:pt>
              <c:pt idx="1">
                <c:v>2.519818315002495E-2</c:v>
              </c:pt>
            </c:numLit>
          </c:yVal>
          <c:smooth val="0"/>
          <c:extLst>
            <c:ext xmlns:c16="http://schemas.microsoft.com/office/drawing/2014/chart" uri="{C3380CC4-5D6E-409C-BE32-E72D297353CC}">
              <c16:uniqueId val="{0000004E-4FBA-4B77-B49D-A2AABC32351C}"/>
            </c:ext>
          </c:extLst>
        </c:ser>
        <c:ser>
          <c:idx val="79"/>
          <c:order val="79"/>
          <c:spPr>
            <a:ln w="3175">
              <a:solidFill>
                <a:srgbClr val="000000"/>
              </a:solidFill>
              <a:prstDash val="solid"/>
            </a:ln>
          </c:spPr>
          <c:marker>
            <c:symbol val="none"/>
          </c:marker>
          <c:xVal>
            <c:numLit>
              <c:formatCode>General</c:formatCode>
              <c:ptCount val="2"/>
              <c:pt idx="0">
                <c:v>-8.9491390821074628</c:v>
              </c:pt>
              <c:pt idx="1">
                <c:v>-8.6651539255194017</c:v>
              </c:pt>
            </c:numLit>
          </c:xVal>
          <c:yVal>
            <c:numLit>
              <c:formatCode>General</c:formatCode>
              <c:ptCount val="2"/>
              <c:pt idx="0">
                <c:v>2.5078714550976496E-2</c:v>
              </c:pt>
              <c:pt idx="1">
                <c:v>2.5007184989752764E-2</c:v>
              </c:pt>
            </c:numLit>
          </c:yVal>
          <c:smooth val="0"/>
          <c:extLst>
            <c:ext xmlns:c16="http://schemas.microsoft.com/office/drawing/2014/chart" uri="{C3380CC4-5D6E-409C-BE32-E72D297353CC}">
              <c16:uniqueId val="{0000004F-4FBA-4B77-B49D-A2AABC32351C}"/>
            </c:ext>
          </c:extLst>
        </c:ser>
        <c:ser>
          <c:idx val="80"/>
          <c:order val="80"/>
          <c:spPr>
            <a:ln w="3175">
              <a:solidFill>
                <a:srgbClr val="000000"/>
              </a:solidFill>
              <a:prstDash val="solid"/>
            </a:ln>
          </c:spPr>
          <c:marker>
            <c:symbol val="none"/>
          </c:marker>
          <c:xVal>
            <c:numLit>
              <c:formatCode>General</c:formatCode>
              <c:ptCount val="2"/>
              <c:pt idx="0">
                <c:v>-9.0293977395002667</c:v>
              </c:pt>
              <c:pt idx="1">
                <c:v>-8.7440288129571595</c:v>
              </c:pt>
            </c:numLit>
          </c:xVal>
          <c:yVal>
            <c:numLit>
              <c:formatCode>General</c:formatCode>
              <c:ptCount val="2"/>
              <c:pt idx="0">
                <c:v>2.4900125447290717E-2</c:v>
              </c:pt>
              <c:pt idx="1">
                <c:v>2.4831675008544326E-2</c:v>
              </c:pt>
            </c:numLit>
          </c:yVal>
          <c:smooth val="0"/>
          <c:extLst>
            <c:ext xmlns:c16="http://schemas.microsoft.com/office/drawing/2014/chart" uri="{C3380CC4-5D6E-409C-BE32-E72D297353CC}">
              <c16:uniqueId val="{00000050-4FBA-4B77-B49D-A2AABC32351C}"/>
            </c:ext>
          </c:extLst>
        </c:ser>
        <c:ser>
          <c:idx val="81"/>
          <c:order val="81"/>
          <c:spPr>
            <a:ln w="3175">
              <a:solidFill>
                <a:srgbClr val="000000"/>
              </a:solidFill>
              <a:prstDash val="solid"/>
            </a:ln>
          </c:spPr>
          <c:marker>
            <c:symbol val="none"/>
          </c:marker>
          <c:xVal>
            <c:numLit>
              <c:formatCode>General</c:formatCode>
              <c:ptCount val="2"/>
              <c:pt idx="0">
                <c:v>-9.0999057043833709</c:v>
              </c:pt>
              <c:pt idx="1">
                <c:v>-8.8133211232733135</c:v>
              </c:pt>
            </c:numLit>
          </c:xVal>
          <c:yVal>
            <c:numLit>
              <c:formatCode>General</c:formatCode>
              <c:ptCount val="2"/>
              <c:pt idx="0">
                <c:v>2.4735561478973527E-2</c:v>
              </c:pt>
              <c:pt idx="1">
                <c:v>2.466994835002571E-2</c:v>
              </c:pt>
            </c:numLit>
          </c:yVal>
          <c:smooth val="0"/>
          <c:extLst>
            <c:ext xmlns:c16="http://schemas.microsoft.com/office/drawing/2014/chart" uri="{C3380CC4-5D6E-409C-BE32-E72D297353CC}">
              <c16:uniqueId val="{00000051-4FBA-4B77-B49D-A2AABC32351C}"/>
            </c:ext>
          </c:extLst>
        </c:ser>
        <c:ser>
          <c:idx val="82"/>
          <c:order val="82"/>
          <c:spPr>
            <a:ln w="3175">
              <a:solidFill>
                <a:srgbClr val="000000"/>
              </a:solidFill>
              <a:prstDash val="solid"/>
            </a:ln>
          </c:spPr>
          <c:marker>
            <c:symbol val="none"/>
          </c:marker>
          <c:xVal>
            <c:numLit>
              <c:formatCode>General</c:formatCode>
              <c:ptCount val="2"/>
              <c:pt idx="0">
                <c:v>-9.1621483944066782</c:v>
              </c:pt>
              <c:pt idx="1">
                <c:v>-8.5868329325305854</c:v>
              </c:pt>
            </c:numLit>
          </c:xVal>
          <c:yVal>
            <c:numLit>
              <c:formatCode>General</c:formatCode>
              <c:ptCount val="2"/>
              <c:pt idx="0">
                <c:v>2.4583516169954973E-2</c:v>
              </c:pt>
              <c:pt idx="1">
                <c:v>2.4457532853749627E-2</c:v>
              </c:pt>
            </c:numLit>
          </c:yVal>
          <c:smooth val="0"/>
          <c:extLst>
            <c:ext xmlns:c16="http://schemas.microsoft.com/office/drawing/2014/chart" uri="{C3380CC4-5D6E-409C-BE32-E72D297353CC}">
              <c16:uniqueId val="{00000052-4FBA-4B77-B49D-A2AABC32351C}"/>
            </c:ext>
          </c:extLst>
        </c:ser>
        <c:ser>
          <c:idx val="83"/>
          <c:order val="83"/>
          <c:spPr>
            <a:ln w="3175">
              <a:solidFill>
                <a:srgbClr val="000000"/>
              </a:solidFill>
              <a:prstDash val="solid"/>
            </a:ln>
          </c:spPr>
          <c:marker>
            <c:symbol val="none"/>
          </c:marker>
          <c:xVal>
            <c:numLit>
              <c:formatCode>General</c:formatCode>
              <c:ptCount val="2"/>
              <c:pt idx="0">
                <c:v>-9.2890805085034174</c:v>
              </c:pt>
              <c:pt idx="1">
                <c:v>-8.9992342928395654</c:v>
              </c:pt>
            </c:numLit>
          </c:xVal>
          <c:yVal>
            <c:numLit>
              <c:formatCode>General</c:formatCode>
              <c:ptCount val="2"/>
              <c:pt idx="0">
                <c:v>2.4249973889194042E-2</c:v>
              </c:pt>
              <c:pt idx="1">
                <c:v>2.4192732960070008E-2</c:v>
              </c:pt>
            </c:numLit>
          </c:yVal>
          <c:smooth val="0"/>
          <c:extLst>
            <c:ext xmlns:c16="http://schemas.microsoft.com/office/drawing/2014/chart" uri="{C3380CC4-5D6E-409C-BE32-E72D297353CC}">
              <c16:uniqueId val="{00000053-4FBA-4B77-B49D-A2AABC32351C}"/>
            </c:ext>
          </c:extLst>
        </c:ser>
        <c:ser>
          <c:idx val="84"/>
          <c:order val="84"/>
          <c:spPr>
            <a:ln w="3175">
              <a:solidFill>
                <a:srgbClr val="000000"/>
              </a:solidFill>
              <a:prstDash val="solid"/>
            </a:ln>
          </c:spPr>
          <c:marker>
            <c:symbol val="none"/>
          </c:marker>
          <c:xVal>
            <c:numLit>
              <c:formatCode>General</c:formatCode>
              <c:ptCount val="2"/>
              <c:pt idx="0">
                <c:v>-9.3854262264463078</c:v>
              </c:pt>
              <c:pt idx="1">
                <c:v>-8.8024115289826401</c:v>
              </c:pt>
            </c:numLit>
          </c:xVal>
          <c:yVal>
            <c:numLit>
              <c:formatCode>General</c:formatCode>
              <c:ptCount val="2"/>
              <c:pt idx="0">
                <c:v>2.3970556092921879E-2</c:v>
              </c:pt>
              <c:pt idx="1">
                <c:v>2.3865709331096985E-2</c:v>
              </c:pt>
            </c:numLit>
          </c:yVal>
          <c:smooth val="0"/>
          <c:extLst>
            <c:ext xmlns:c16="http://schemas.microsoft.com/office/drawing/2014/chart" uri="{C3380CC4-5D6E-409C-BE32-E72D297353CC}">
              <c16:uniqueId val="{00000054-4FBA-4B77-B49D-A2AABC32351C}"/>
            </c:ext>
          </c:extLst>
        </c:ser>
        <c:ser>
          <c:idx val="85"/>
          <c:order val="85"/>
          <c:spPr>
            <a:ln w="3175">
              <a:solidFill>
                <a:srgbClr val="000000"/>
              </a:solidFill>
              <a:prstDash val="solid"/>
            </a:ln>
          </c:spPr>
          <c:marker>
            <c:symbol val="none"/>
          </c:marker>
          <c:xVal>
            <c:numLit>
              <c:formatCode>General</c:formatCode>
              <c:ptCount val="2"/>
              <c:pt idx="0">
                <c:v>-9.4601719381821585</c:v>
              </c:pt>
              <c:pt idx="1">
                <c:v>-9.1673758702824664</c:v>
              </c:pt>
            </c:numLit>
          </c:xVal>
          <c:yVal>
            <c:numLit>
              <c:formatCode>General</c:formatCode>
              <c:ptCount val="2"/>
              <c:pt idx="0">
                <c:v>2.3733423854580125E-2</c:v>
              </c:pt>
              <c:pt idx="1">
                <c:v>2.3685088960535641E-2</c:v>
              </c:pt>
            </c:numLit>
          </c:yVal>
          <c:smooth val="0"/>
          <c:extLst>
            <c:ext xmlns:c16="http://schemas.microsoft.com/office/drawing/2014/chart" uri="{C3380CC4-5D6E-409C-BE32-E72D297353CC}">
              <c16:uniqueId val="{00000055-4FBA-4B77-B49D-A2AABC32351C}"/>
            </c:ext>
          </c:extLst>
        </c:ser>
        <c:ser>
          <c:idx val="86"/>
          <c:order val="86"/>
          <c:spPr>
            <a:ln w="3175">
              <a:solidFill>
                <a:srgbClr val="000000"/>
              </a:solidFill>
              <a:prstDash val="solid"/>
            </a:ln>
          </c:spPr>
          <c:marker>
            <c:symbol val="none"/>
          </c:marker>
          <c:xVal>
            <c:numLit>
              <c:formatCode>General</c:formatCode>
              <c:ptCount val="2"/>
              <c:pt idx="0">
                <c:v>-9.5192631793601503</c:v>
              </c:pt>
              <c:pt idx="1">
                <c:v>-8.9316334145546268</c:v>
              </c:pt>
            </c:numLit>
          </c:xVal>
          <c:yVal>
            <c:numLit>
              <c:formatCode>General</c:formatCode>
              <c:ptCount val="2"/>
              <c:pt idx="0">
                <c:v>2.3529865143833231E-2</c:v>
              </c:pt>
              <c:pt idx="1">
                <c:v>2.3440214621632083E-2</c:v>
              </c:pt>
            </c:numLit>
          </c:yVal>
          <c:smooth val="0"/>
          <c:extLst>
            <c:ext xmlns:c16="http://schemas.microsoft.com/office/drawing/2014/chart" uri="{C3380CC4-5D6E-409C-BE32-E72D297353CC}">
              <c16:uniqueId val="{00000056-4FBA-4B77-B49D-A2AABC32351C}"/>
            </c:ext>
          </c:extLst>
        </c:ser>
        <c:ser>
          <c:idx val="87"/>
          <c:order val="87"/>
          <c:spPr>
            <a:ln w="3175">
              <a:solidFill>
                <a:srgbClr val="000000"/>
              </a:solidFill>
              <a:prstDash val="solid"/>
            </a:ln>
          </c:spPr>
          <c:marker>
            <c:symbol val="none"/>
          </c:marker>
          <c:xVal>
            <c:numLit>
              <c:formatCode>General</c:formatCode>
              <c:ptCount val="2"/>
              <c:pt idx="0">
                <c:v>-9.5667494735594438</c:v>
              </c:pt>
              <c:pt idx="1">
                <c:v>-9.2721158619463502</c:v>
              </c:pt>
            </c:numLit>
          </c:xVal>
          <c:yVal>
            <c:numLit>
              <c:formatCode>General</c:formatCode>
              <c:ptCount val="2"/>
              <c:pt idx="0">
                <c:v>2.3353355225599216E-2</c:v>
              </c:pt>
              <c:pt idx="1">
                <c:v>2.3311573238950951E-2</c:v>
              </c:pt>
            </c:numLit>
          </c:yVal>
          <c:smooth val="0"/>
          <c:extLst>
            <c:ext xmlns:c16="http://schemas.microsoft.com/office/drawing/2014/chart" uri="{C3380CC4-5D6E-409C-BE32-E72D297353CC}">
              <c16:uniqueId val="{00000057-4FBA-4B77-B49D-A2AABC32351C}"/>
            </c:ext>
          </c:extLst>
        </c:ser>
        <c:ser>
          <c:idx val="88"/>
          <c:order val="88"/>
          <c:spPr>
            <a:ln w="3175">
              <a:solidFill>
                <a:srgbClr val="000000"/>
              </a:solidFill>
              <a:prstDash val="solid"/>
            </a:ln>
          </c:spPr>
          <c:marker>
            <c:symbol val="none"/>
          </c:marker>
          <c:xVal>
            <c:numLit>
              <c:formatCode>General</c:formatCode>
              <c:ptCount val="2"/>
              <c:pt idx="0">
                <c:v>-9.6054604899925025</c:v>
              </c:pt>
              <c:pt idx="1">
                <c:v>-9.0148584041306901</c:v>
              </c:pt>
            </c:numLit>
          </c:xVal>
          <c:yVal>
            <c:numLit>
              <c:formatCode>General</c:formatCode>
              <c:ptCount val="2"/>
              <c:pt idx="0">
                <c:v>2.3198926159195745E-2</c:v>
              </c:pt>
              <c:pt idx="1">
                <c:v>2.3120687326120031E-2</c:v>
              </c:pt>
            </c:numLit>
          </c:yVal>
          <c:smooth val="0"/>
          <c:extLst>
            <c:ext xmlns:c16="http://schemas.microsoft.com/office/drawing/2014/chart" uri="{C3380CC4-5D6E-409C-BE32-E72D297353CC}">
              <c16:uniqueId val="{00000058-4FBA-4B77-B49D-A2AABC32351C}"/>
            </c:ext>
          </c:extLst>
        </c:ser>
        <c:ser>
          <c:idx val="89"/>
          <c:order val="89"/>
          <c:spPr>
            <a:ln w="3175">
              <a:solidFill>
                <a:srgbClr val="000000"/>
              </a:solidFill>
              <a:prstDash val="solid"/>
            </a:ln>
          </c:spPr>
          <c:marker>
            <c:symbol val="none"/>
          </c:marker>
          <c:xVal>
            <c:numLit>
              <c:formatCode>General</c:formatCode>
              <c:ptCount val="2"/>
              <c:pt idx="0">
                <c:v>-9.6640995467395676</c:v>
              </c:pt>
              <c:pt idx="1">
                <c:v>-9.3677874855888845</c:v>
              </c:pt>
            </c:numLit>
          </c:xVal>
          <c:yVal>
            <c:numLit>
              <c:formatCode>General</c:formatCode>
              <c:ptCount val="2"/>
              <c:pt idx="0">
                <c:v>2.294177753595765E-2</c:v>
              </c:pt>
              <c:pt idx="1">
                <c:v>2.2907091716372171E-2</c:v>
              </c:pt>
            </c:numLit>
          </c:yVal>
          <c:smooth val="0"/>
          <c:extLst>
            <c:ext xmlns:c16="http://schemas.microsoft.com/office/drawing/2014/chart" uri="{C3380CC4-5D6E-409C-BE32-E72D297353CC}">
              <c16:uniqueId val="{00000059-4FBA-4B77-B49D-A2AABC32351C}"/>
            </c:ext>
          </c:extLst>
        </c:ser>
        <c:ser>
          <c:idx val="90"/>
          <c:order val="90"/>
          <c:spPr>
            <a:ln w="3175">
              <a:solidFill>
                <a:srgbClr val="000000"/>
              </a:solidFill>
              <a:prstDash val="solid"/>
            </a:ln>
          </c:spPr>
          <c:marker>
            <c:symbol val="none"/>
          </c:marker>
          <c:xVal>
            <c:numLit>
              <c:formatCode>General</c:formatCode>
              <c:ptCount val="2"/>
              <c:pt idx="0">
                <c:v>-9.7057408037734945</c:v>
              </c:pt>
              <c:pt idx="1">
                <c:v>-9.4087107899153306</c:v>
              </c:pt>
            </c:numLit>
          </c:xVal>
          <c:yVal>
            <c:numLit>
              <c:formatCode>General</c:formatCode>
              <c:ptCount val="2"/>
              <c:pt idx="0">
                <c:v>2.2736452704669185E-2</c:v>
              </c:pt>
              <c:pt idx="1">
                <c:v>2.2705306968381786E-2</c:v>
              </c:pt>
            </c:numLit>
          </c:yVal>
          <c:smooth val="0"/>
          <c:extLst>
            <c:ext xmlns:c16="http://schemas.microsoft.com/office/drawing/2014/chart" uri="{C3380CC4-5D6E-409C-BE32-E72D297353CC}">
              <c16:uniqueId val="{0000005A-4FBA-4B77-B49D-A2AABC32351C}"/>
            </c:ext>
          </c:extLst>
        </c:ser>
        <c:ser>
          <c:idx val="91"/>
          <c:order val="91"/>
          <c:spPr>
            <a:ln w="3175">
              <a:solidFill>
                <a:srgbClr val="000000"/>
              </a:solidFill>
              <a:prstDash val="solid"/>
            </a:ln>
          </c:spPr>
          <c:marker>
            <c:symbol val="none"/>
          </c:marker>
          <c:xVal>
            <c:numLit>
              <c:formatCode>General</c:formatCode>
              <c:ptCount val="2"/>
              <c:pt idx="0">
                <c:v>-9.7363488755763594</c:v>
              </c:pt>
              <c:pt idx="1">
                <c:v>-9.4387911363422834</c:v>
              </c:pt>
            </c:numLit>
          </c:xVal>
          <c:yVal>
            <c:numLit>
              <c:formatCode>General</c:formatCode>
              <c:ptCount val="2"/>
              <c:pt idx="0">
                <c:v>2.2568842643838953E-2</c:v>
              </c:pt>
              <c:pt idx="1">
                <c:v>2.2540586736186558E-2</c:v>
              </c:pt>
            </c:numLit>
          </c:yVal>
          <c:smooth val="0"/>
          <c:extLst>
            <c:ext xmlns:c16="http://schemas.microsoft.com/office/drawing/2014/chart" uri="{C3380CC4-5D6E-409C-BE32-E72D297353CC}">
              <c16:uniqueId val="{0000005B-4FBA-4B77-B49D-A2AABC32351C}"/>
            </c:ext>
          </c:extLst>
        </c:ser>
        <c:ser>
          <c:idx val="92"/>
          <c:order val="92"/>
          <c:spPr>
            <a:ln w="3175">
              <a:solidFill>
                <a:srgbClr val="000000"/>
              </a:solidFill>
              <a:prstDash val="solid"/>
            </a:ln>
          </c:spPr>
          <c:marker>
            <c:symbol val="none"/>
          </c:marker>
          <c:xVal>
            <c:numLit>
              <c:formatCode>General</c:formatCode>
              <c:ptCount val="2"/>
              <c:pt idx="0">
                <c:v>-9.7594920592975569</c:v>
              </c:pt>
              <c:pt idx="1">
                <c:v>-9.4615352996544964</c:v>
              </c:pt>
            </c:numLit>
          </c:xVal>
          <c:yVal>
            <c:numLit>
              <c:formatCode>General</c:formatCode>
              <c:ptCount val="2"/>
              <c:pt idx="0">
                <c:v>2.2429498103471914E-2</c:v>
              </c:pt>
              <c:pt idx="1">
                <c:v>2.2403644687894811E-2</c:v>
              </c:pt>
            </c:numLit>
          </c:yVal>
          <c:smooth val="0"/>
          <c:extLst>
            <c:ext xmlns:c16="http://schemas.microsoft.com/office/drawing/2014/chart" uri="{C3380CC4-5D6E-409C-BE32-E72D297353CC}">
              <c16:uniqueId val="{0000005C-4FBA-4B77-B49D-A2AABC32351C}"/>
            </c:ext>
          </c:extLst>
        </c:ser>
        <c:ser>
          <c:idx val="93"/>
          <c:order val="93"/>
          <c:spPr>
            <a:ln w="3175">
              <a:solidFill>
                <a:srgbClr val="000000"/>
              </a:solidFill>
              <a:prstDash val="solid"/>
            </a:ln>
          </c:spPr>
          <c:marker>
            <c:symbol val="none"/>
          </c:marker>
          <c:xVal>
            <c:numLit>
              <c:formatCode>General</c:formatCode>
              <c:ptCount val="2"/>
              <c:pt idx="0">
                <c:v>-9.7774082431157812</c:v>
              </c:pt>
              <c:pt idx="1">
                <c:v>-9.1808769243876487</c:v>
              </c:pt>
            </c:numLit>
          </c:xVal>
          <c:yVal>
            <c:numLit>
              <c:formatCode>General</c:formatCode>
              <c:ptCount val="2"/>
              <c:pt idx="0">
                <c:v>2.2311864752467405E-2</c:v>
              </c:pt>
              <c:pt idx="1">
                <c:v>2.2264214243761633E-2</c:v>
              </c:pt>
            </c:numLit>
          </c:yVal>
          <c:smooth val="0"/>
          <c:extLst>
            <c:ext xmlns:c16="http://schemas.microsoft.com/office/drawing/2014/chart" uri="{C3380CC4-5D6E-409C-BE32-E72D297353CC}">
              <c16:uniqueId val="{0000005D-4FBA-4B77-B49D-A2AABC32351C}"/>
            </c:ext>
          </c:extLst>
        </c:ser>
        <c:ser>
          <c:idx val="94"/>
          <c:order val="94"/>
          <c:spPr>
            <a:ln w="3175">
              <a:solidFill>
                <a:srgbClr val="000000"/>
              </a:solidFill>
              <a:prstDash val="solid"/>
            </a:ln>
          </c:spPr>
          <c:marker>
            <c:symbol val="none"/>
          </c:marker>
          <c:xVal>
            <c:numLit>
              <c:formatCode>General</c:formatCode>
              <c:ptCount val="2"/>
              <c:pt idx="0">
                <c:v>-9.826239533393677</c:v>
              </c:pt>
              <c:pt idx="1">
                <c:v>-9.5271319552317166</c:v>
              </c:pt>
            </c:numLit>
          </c:xVal>
          <c:yVal>
            <c:numLit>
              <c:formatCode>General</c:formatCode>
              <c:ptCount val="2"/>
              <c:pt idx="0">
                <c:v>2.19219477646126E-2</c:v>
              </c:pt>
              <c:pt idx="1">
                <c:v>2.1904845216946866E-2</c:v>
              </c:pt>
            </c:numLit>
          </c:yVal>
          <c:smooth val="0"/>
          <c:extLst>
            <c:ext xmlns:c16="http://schemas.microsoft.com/office/drawing/2014/chart" uri="{C3380CC4-5D6E-409C-BE32-E72D297353CC}">
              <c16:uniqueId val="{0000005E-4FBA-4B77-B49D-A2AABC32351C}"/>
            </c:ext>
          </c:extLst>
        </c:ser>
        <c:ser>
          <c:idx val="95"/>
          <c:order val="95"/>
          <c:spPr>
            <a:ln w="3175">
              <a:solidFill>
                <a:srgbClr val="000000"/>
              </a:solidFill>
              <a:prstDash val="solid"/>
            </a:ln>
          </c:spPr>
          <c:marker>
            <c:symbol val="none"/>
          </c:marker>
          <c:xVal>
            <c:numLit>
              <c:formatCode>General</c:formatCode>
              <c:ptCount val="2"/>
              <c:pt idx="0">
                <c:v>-9.8465584490956477</c:v>
              </c:pt>
              <c:pt idx="1">
                <c:v>-9.2476426405061414</c:v>
              </c:pt>
            </c:numLit>
          </c:xVal>
          <c:yVal>
            <c:numLit>
              <c:formatCode>General</c:formatCode>
              <c:ptCount val="2"/>
              <c:pt idx="0">
                <c:v>2.1703336717703383E-2</c:v>
              </c:pt>
              <c:pt idx="1">
                <c:v>2.16766699343343E-2</c:v>
              </c:pt>
            </c:numLit>
          </c:yVal>
          <c:smooth val="0"/>
          <c:extLst>
            <c:ext xmlns:c16="http://schemas.microsoft.com/office/drawing/2014/chart" uri="{C3380CC4-5D6E-409C-BE32-E72D297353CC}">
              <c16:uniqueId val="{0000005F-4FBA-4B77-B49D-A2AABC32351C}"/>
            </c:ext>
          </c:extLst>
        </c:ser>
        <c:ser>
          <c:idx val="96"/>
          <c:order val="96"/>
          <c:spPr>
            <a:ln w="3175">
              <a:solidFill>
                <a:srgbClr val="000000"/>
              </a:solidFill>
              <a:prstDash val="solid"/>
            </a:ln>
          </c:spPr>
          <c:marker>
            <c:symbol val="none"/>
          </c:marker>
          <c:xVal>
            <c:numLit>
              <c:formatCode>General</c:formatCode>
              <c:ptCount val="2"/>
              <c:pt idx="0">
                <c:v>-9.862870431265371</c:v>
              </c:pt>
              <c:pt idx="1">
                <c:v>-9.5631312858987254</c:v>
              </c:pt>
            </c:numLit>
          </c:xVal>
          <c:yVal>
            <c:numLit>
              <c:formatCode>General</c:formatCode>
              <c:ptCount val="2"/>
              <c:pt idx="0">
                <c:v>2.1466576659932901E-2</c:v>
              </c:pt>
              <c:pt idx="1">
                <c:v>2.1457325338209921E-2</c:v>
              </c:pt>
            </c:numLit>
          </c:yVal>
          <c:smooth val="0"/>
          <c:extLst>
            <c:ext xmlns:c16="http://schemas.microsoft.com/office/drawing/2014/chart" uri="{C3380CC4-5D6E-409C-BE32-E72D297353CC}">
              <c16:uniqueId val="{00000060-4FBA-4B77-B49D-A2AABC32351C}"/>
            </c:ext>
          </c:extLst>
        </c:ser>
        <c:ser>
          <c:idx val="97"/>
          <c:order val="97"/>
          <c:spPr>
            <a:ln w="3175">
              <a:solidFill>
                <a:srgbClr val="000000"/>
              </a:solidFill>
              <a:prstDash val="solid"/>
            </a:ln>
          </c:spPr>
          <c:marker>
            <c:symbol val="none"/>
          </c:marker>
          <c:xVal>
            <c:numLit>
              <c:formatCode>General</c:formatCode>
              <c:ptCount val="2"/>
              <c:pt idx="0">
                <c:v>-9.8691357952931487</c:v>
              </c:pt>
              <c:pt idx="1">
                <c:v>-9.2694414575244188</c:v>
              </c:pt>
            </c:numLit>
          </c:xVal>
          <c:yVal>
            <c:numLit>
              <c:formatCode>General</c:formatCode>
              <c:ptCount val="2"/>
              <c:pt idx="0">
                <c:v>2.1340749932151591E-2</c:v>
              </c:pt>
              <c:pt idx="1">
                <c:v>2.1326586141387743E-2</c:v>
              </c:pt>
            </c:numLit>
          </c:yVal>
          <c:smooth val="0"/>
          <c:extLst>
            <c:ext xmlns:c16="http://schemas.microsoft.com/office/drawing/2014/chart" uri="{C3380CC4-5D6E-409C-BE32-E72D297353CC}">
              <c16:uniqueId val="{00000061-4FBA-4B77-B49D-A2AABC32351C}"/>
            </c:ext>
          </c:extLst>
        </c:ser>
        <c:ser>
          <c:idx val="98"/>
          <c:order val="98"/>
          <c:spPr>
            <a:ln w="3175">
              <a:solidFill>
                <a:srgbClr val="000000"/>
              </a:solidFill>
              <a:prstDash val="solid"/>
            </a:ln>
          </c:spPr>
          <c:marker>
            <c:symbol val="none"/>
          </c:marker>
          <c:xVal>
            <c:numLit>
              <c:formatCode>General</c:formatCode>
              <c:ptCount val="2"/>
              <c:pt idx="0">
                <c:v>-9.8780000000000001</c:v>
              </c:pt>
              <c:pt idx="1">
                <c:v>-9.2779999999999987</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62-4FBA-4B77-B49D-A2AABC32351C}"/>
            </c:ext>
          </c:extLst>
        </c:ser>
        <c:ser>
          <c:idx val="99"/>
          <c:order val="99"/>
          <c:spPr>
            <a:ln w="3175">
              <a:solidFill>
                <a:srgbClr val="000000"/>
              </a:solidFill>
              <a:prstDash val="solid"/>
            </a:ln>
          </c:spPr>
          <c:marker>
            <c:symbol val="none"/>
          </c:marker>
          <c:xVal>
            <c:numLit>
              <c:formatCode>General</c:formatCode>
              <c:ptCount val="2"/>
              <c:pt idx="0">
                <c:v>-9.8665090567206697</c:v>
              </c:pt>
              <c:pt idx="1">
                <c:v>-9.2669052961440936</c:v>
              </c:pt>
            </c:numLit>
          </c:xVal>
          <c:yVal>
            <c:numLit>
              <c:formatCode>General</c:formatCode>
              <c:ptCount val="2"/>
              <c:pt idx="0">
                <c:v>2.0462352026117177E-2</c:v>
              </c:pt>
              <c:pt idx="1">
                <c:v>2.0478477818320035E-2</c:v>
              </c:pt>
            </c:numLit>
          </c:yVal>
          <c:smooth val="0"/>
          <c:extLst>
            <c:ext xmlns:c16="http://schemas.microsoft.com/office/drawing/2014/chart" uri="{C3380CC4-5D6E-409C-BE32-E72D297353CC}">
              <c16:uniqueId val="{00000063-4FBA-4B77-B49D-A2AABC32351C}"/>
            </c:ext>
          </c:extLst>
        </c:ser>
        <c:ser>
          <c:idx val="100"/>
          <c:order val="100"/>
          <c:spPr>
            <a:ln w="3175">
              <a:solidFill>
                <a:srgbClr val="000000"/>
              </a:solidFill>
              <a:prstDash val="solid"/>
            </a:ln>
          </c:spPr>
          <c:marker>
            <c:symbol val="none"/>
          </c:marker>
          <c:xVal>
            <c:numLit>
              <c:formatCode>General</c:formatCode>
              <c:ptCount val="2"/>
              <c:pt idx="0">
                <c:v>-9.8566117153194046</c:v>
              </c:pt>
              <c:pt idx="1">
                <c:v>-9.5569804788483808</c:v>
              </c:pt>
            </c:numLit>
          </c:xVal>
          <c:yVal>
            <c:numLit>
              <c:formatCode>General</c:formatCode>
              <c:ptCount val="2"/>
              <c:pt idx="0">
                <c:v>2.0292078253462336E-2</c:v>
              </c:pt>
              <c:pt idx="1">
                <c:v>2.0303076904264708E-2</c:v>
              </c:pt>
            </c:numLit>
          </c:yVal>
          <c:smooth val="0"/>
          <c:extLst>
            <c:ext xmlns:c16="http://schemas.microsoft.com/office/drawing/2014/chart" uri="{C3380CC4-5D6E-409C-BE32-E72D297353CC}">
              <c16:uniqueId val="{00000064-4FBA-4B77-B49D-A2AABC32351C}"/>
            </c:ext>
          </c:extLst>
        </c:ser>
        <c:ser>
          <c:idx val="101"/>
          <c:order val="101"/>
          <c:spPr>
            <a:ln w="3175">
              <a:solidFill>
                <a:srgbClr val="000000"/>
              </a:solidFill>
              <a:prstDash val="solid"/>
            </a:ln>
          </c:spPr>
          <c:marker>
            <c:symbol val="none"/>
          </c:marker>
          <c:xVal>
            <c:numLit>
              <c:formatCode>General</c:formatCode>
              <c:ptCount val="2"/>
              <c:pt idx="0">
                <c:v>-9.825120498007605</c:v>
              </c:pt>
              <c:pt idx="1">
                <c:v>-9.2269439291107886</c:v>
              </c:pt>
            </c:numLit>
          </c:xVal>
          <c:yVal>
            <c:numLit>
              <c:formatCode>General</c:formatCode>
              <c:ptCount val="2"/>
              <c:pt idx="0">
                <c:v>1.9927403009249937E-2</c:v>
              </c:pt>
              <c:pt idx="1">
                <c:v>1.9961975319275804E-2</c:v>
              </c:pt>
            </c:numLit>
          </c:yVal>
          <c:smooth val="0"/>
          <c:extLst>
            <c:ext xmlns:c16="http://schemas.microsoft.com/office/drawing/2014/chart" uri="{C3380CC4-5D6E-409C-BE32-E72D297353CC}">
              <c16:uniqueId val="{00000065-4FBA-4B77-B49D-A2AABC32351C}"/>
            </c:ext>
          </c:extLst>
        </c:ser>
        <c:ser>
          <c:idx val="102"/>
          <c:order val="102"/>
          <c:spPr>
            <a:ln w="3175">
              <a:solidFill>
                <a:srgbClr val="000000"/>
              </a:solidFill>
              <a:prstDash val="solid"/>
            </a:ln>
          </c:spPr>
          <c:marker>
            <c:symbol val="none"/>
          </c:marker>
          <c:xVal>
            <c:numLit>
              <c:formatCode>General</c:formatCode>
              <c:ptCount val="2"/>
              <c:pt idx="0">
                <c:v>-9.7743638069967425</c:v>
              </c:pt>
              <c:pt idx="1">
                <c:v>-9.1779374688244388</c:v>
              </c:pt>
            </c:numLit>
          </c:xVal>
          <c:yVal>
            <c:numLit>
              <c:formatCode>General</c:formatCode>
              <c:ptCount val="2"/>
              <c:pt idx="0">
                <c:v>1.9527441400141971E-2</c:v>
              </c:pt>
              <c:pt idx="1">
                <c:v>1.957580548979225E-2</c:v>
              </c:pt>
            </c:numLit>
          </c:yVal>
          <c:smooth val="0"/>
          <c:extLst>
            <c:ext xmlns:c16="http://schemas.microsoft.com/office/drawing/2014/chart" uri="{C3380CC4-5D6E-409C-BE32-E72D297353CC}">
              <c16:uniqueId val="{00000066-4FBA-4B77-B49D-A2AABC32351C}"/>
            </c:ext>
          </c:extLst>
        </c:ser>
        <c:ser>
          <c:idx val="103"/>
          <c:order val="103"/>
          <c:spPr>
            <a:ln w="3175">
              <a:solidFill>
                <a:srgbClr val="000000"/>
              </a:solidFill>
              <a:prstDash val="solid"/>
            </a:ln>
          </c:spPr>
          <c:marker>
            <c:symbol val="none"/>
          </c:marker>
          <c:xVal>
            <c:numLit>
              <c:formatCode>General</c:formatCode>
              <c:ptCount val="2"/>
              <c:pt idx="0">
                <c:v>-9.7555947041230944</c:v>
              </c:pt>
              <c:pt idx="1">
                <c:v>-9.4577051402589021</c:v>
              </c:pt>
            </c:numLit>
          </c:xVal>
          <c:yVal>
            <c:numLit>
              <c:formatCode>General</c:formatCode>
              <c:ptCount val="2"/>
              <c:pt idx="0">
                <c:v>1.9406130083083659E-2</c:v>
              </c:pt>
              <c:pt idx="1">
                <c:v>1.9432403702340839E-2</c:v>
              </c:pt>
            </c:numLit>
          </c:yVal>
          <c:smooth val="0"/>
          <c:extLst>
            <c:ext xmlns:c16="http://schemas.microsoft.com/office/drawing/2014/chart" uri="{C3380CC4-5D6E-409C-BE32-E72D297353CC}">
              <c16:uniqueId val="{00000067-4FBA-4B77-B49D-A2AABC32351C}"/>
            </c:ext>
          </c:extLst>
        </c:ser>
        <c:ser>
          <c:idx val="104"/>
          <c:order val="104"/>
          <c:spPr>
            <a:ln w="3175">
              <a:solidFill>
                <a:srgbClr val="000000"/>
              </a:solidFill>
              <a:prstDash val="solid"/>
            </a:ln>
          </c:spPr>
          <c:marker>
            <c:symbol val="none"/>
          </c:marker>
          <c:xVal>
            <c:numLit>
              <c:formatCode>General</c:formatCode>
              <c:ptCount val="2"/>
              <c:pt idx="0">
                <c:v>-9.7312495160578543</c:v>
              </c:pt>
              <c:pt idx="1">
                <c:v>-9.4337796968154759</c:v>
              </c:pt>
            </c:numLit>
          </c:xVal>
          <c:yVal>
            <c:numLit>
              <c:formatCode>General</c:formatCode>
              <c:ptCount val="2"/>
              <c:pt idx="0">
                <c:v>1.9262042185935597E-2</c:v>
              </c:pt>
              <c:pt idx="1">
                <c:v>1.9290800079281533E-2</c:v>
              </c:pt>
            </c:numLit>
          </c:yVal>
          <c:smooth val="0"/>
          <c:extLst>
            <c:ext xmlns:c16="http://schemas.microsoft.com/office/drawing/2014/chart" uri="{C3380CC4-5D6E-409C-BE32-E72D297353CC}">
              <c16:uniqueId val="{00000068-4FBA-4B77-B49D-A2AABC32351C}"/>
            </c:ext>
          </c:extLst>
        </c:ser>
        <c:ser>
          <c:idx val="105"/>
          <c:order val="105"/>
          <c:spPr>
            <a:ln w="3175">
              <a:solidFill>
                <a:srgbClr val="000000"/>
              </a:solidFill>
              <a:prstDash val="solid"/>
            </a:ln>
          </c:spPr>
          <c:marker>
            <c:symbol val="none"/>
          </c:marker>
          <c:xVal>
            <c:numLit>
              <c:formatCode>General</c:formatCode>
              <c:ptCount val="2"/>
              <c:pt idx="0">
                <c:v>-9.6988930377242379</c:v>
              </c:pt>
              <c:pt idx="1">
                <c:v>-9.1050691398716754</c:v>
              </c:pt>
            </c:numLit>
          </c:xVal>
          <c:yVal>
            <c:numLit>
              <c:formatCode>General</c:formatCode>
              <c:ptCount val="2"/>
              <c:pt idx="0">
                <c:v>1.9088173676807301E-2</c:v>
              </c:pt>
              <c:pt idx="1">
                <c:v>1.9151684929331187E-2</c:v>
              </c:pt>
            </c:numLit>
          </c:yVal>
          <c:smooth val="0"/>
          <c:extLst>
            <c:ext xmlns:c16="http://schemas.microsoft.com/office/drawing/2014/chart" uri="{C3380CC4-5D6E-409C-BE32-E72D297353CC}">
              <c16:uniqueId val="{00000069-4FBA-4B77-B49D-A2AABC32351C}"/>
            </c:ext>
          </c:extLst>
        </c:ser>
        <c:ser>
          <c:idx val="106"/>
          <c:order val="106"/>
          <c:spPr>
            <a:ln w="3175">
              <a:solidFill>
                <a:srgbClr val="000000"/>
              </a:solidFill>
              <a:prstDash val="solid"/>
            </a:ln>
          </c:spPr>
          <c:marker>
            <c:symbol val="none"/>
          </c:marker>
          <c:xVal>
            <c:numLit>
              <c:formatCode>General</c:formatCode>
              <c:ptCount val="2"/>
              <c:pt idx="0">
                <c:v>-9.6546103310984979</c:v>
              </c:pt>
              <c:pt idx="1">
                <c:v>-9.3584618771140402</c:v>
              </c:pt>
            </c:numLit>
          </c:xVal>
          <c:yVal>
            <c:numLit>
              <c:formatCode>General</c:formatCode>
              <c:ptCount val="2"/>
              <c:pt idx="0">
                <c:v>1.8874364740294421E-2</c:v>
              </c:pt>
              <c:pt idx="1">
                <c:v>1.8909806727530724E-2</c:v>
              </c:pt>
            </c:numLit>
          </c:yVal>
          <c:smooth val="0"/>
          <c:extLst>
            <c:ext xmlns:c16="http://schemas.microsoft.com/office/drawing/2014/chart" uri="{C3380CC4-5D6E-409C-BE32-E72D297353CC}">
              <c16:uniqueId val="{0000006A-4FBA-4B77-B49D-A2AABC32351C}"/>
            </c:ext>
          </c:extLst>
        </c:ser>
        <c:ser>
          <c:idx val="107"/>
          <c:order val="107"/>
          <c:spPr>
            <a:ln w="3175">
              <a:solidFill>
                <a:srgbClr val="000000"/>
              </a:solidFill>
              <a:prstDash val="solid"/>
            </a:ln>
          </c:spPr>
          <c:marker>
            <c:symbol val="none"/>
          </c:marker>
          <c:xVal>
            <c:numLit>
              <c:formatCode>General</c:formatCode>
              <c:ptCount val="2"/>
              <c:pt idx="0">
                <c:v>-9.5917920119000488</c:v>
              </c:pt>
              <c:pt idx="1">
                <c:v>-9.0016612528690114</c:v>
              </c:pt>
            </c:numLit>
          </c:xVal>
          <c:yVal>
            <c:numLit>
              <c:formatCode>General</c:formatCode>
              <c:ptCount val="2"/>
              <c:pt idx="0">
                <c:v>1.8605334220365727E-2</c:v>
              </c:pt>
              <c:pt idx="1">
                <c:v>1.8685495109318634E-2</c:v>
              </c:pt>
            </c:numLit>
          </c:yVal>
          <c:smooth val="0"/>
          <c:extLst>
            <c:ext xmlns:c16="http://schemas.microsoft.com/office/drawing/2014/chart" uri="{C3380CC4-5D6E-409C-BE32-E72D297353CC}">
              <c16:uniqueId val="{0000006B-4FBA-4B77-B49D-A2AABC32351C}"/>
            </c:ext>
          </c:extLst>
        </c:ser>
        <c:ser>
          <c:idx val="108"/>
          <c:order val="108"/>
          <c:spPr>
            <a:ln w="3175">
              <a:solidFill>
                <a:srgbClr val="000000"/>
              </a:solidFill>
              <a:prstDash val="solid"/>
            </a:ln>
          </c:spPr>
          <c:marker>
            <c:symbol val="none"/>
          </c:marker>
          <c:xVal>
            <c:numLit>
              <c:formatCode>General</c:formatCode>
              <c:ptCount val="2"/>
              <c:pt idx="0">
                <c:v>-9.5500552853147749</c:v>
              </c:pt>
              <c:pt idx="1">
                <c:v>-9.2557095045334847</c:v>
              </c:pt>
            </c:numLit>
          </c:xVal>
          <c:yVal>
            <c:numLit>
              <c:formatCode>General</c:formatCode>
              <c:ptCount val="2"/>
              <c:pt idx="0">
                <c:v>1.8443106339845548E-2</c:v>
              </c:pt>
              <c:pt idx="1">
                <c:v>1.8485983816744763E-2</c:v>
              </c:pt>
            </c:numLit>
          </c:yVal>
          <c:smooth val="0"/>
          <c:extLst>
            <c:ext xmlns:c16="http://schemas.microsoft.com/office/drawing/2014/chart" uri="{C3380CC4-5D6E-409C-BE32-E72D297353CC}">
              <c16:uniqueId val="{0000006C-4FBA-4B77-B49D-A2AABC32351C}"/>
            </c:ext>
          </c:extLst>
        </c:ser>
        <c:ser>
          <c:idx val="109"/>
          <c:order val="109"/>
          <c:spPr>
            <a:ln w="3175">
              <a:solidFill>
                <a:srgbClr val="000000"/>
              </a:solidFill>
              <a:prstDash val="solid"/>
            </a:ln>
          </c:spPr>
          <c:marker>
            <c:symbol val="none"/>
          </c:marker>
          <c:xVal>
            <c:numLit>
              <c:formatCode>General</c:formatCode>
              <c:ptCount val="2"/>
              <c:pt idx="0">
                <c:v>-9.4985920174877663</c:v>
              </c:pt>
              <c:pt idx="1">
                <c:v>-8.9116750513674958</c:v>
              </c:pt>
            </c:numLit>
          </c:xVal>
          <c:yVal>
            <c:numLit>
              <c:formatCode>General</c:formatCode>
              <c:ptCount val="2"/>
              <c:pt idx="0">
                <c:v>1.8257081553294929E-2</c:v>
              </c:pt>
              <c:pt idx="1">
                <c:v>1.8349251154905447E-2</c:v>
              </c:pt>
            </c:numLit>
          </c:yVal>
          <c:smooth val="0"/>
          <c:extLst>
            <c:ext xmlns:c16="http://schemas.microsoft.com/office/drawing/2014/chart" uri="{C3380CC4-5D6E-409C-BE32-E72D297353CC}">
              <c16:uniqueId val="{0000006D-4FBA-4B77-B49D-A2AABC32351C}"/>
            </c:ext>
          </c:extLst>
        </c:ser>
        <c:ser>
          <c:idx val="110"/>
          <c:order val="110"/>
          <c:spPr>
            <a:ln w="3175">
              <a:solidFill>
                <a:srgbClr val="000000"/>
              </a:solidFill>
              <a:prstDash val="solid"/>
            </a:ln>
          </c:spPr>
          <c:marker>
            <c:symbol val="none"/>
          </c:marker>
          <c:xVal>
            <c:numLit>
              <c:formatCode>General</c:formatCode>
              <c:ptCount val="2"/>
              <c:pt idx="0">
                <c:v>-9.4341733564072943</c:v>
              </c:pt>
              <c:pt idx="1">
                <c:v>-9.1418255399175123</c:v>
              </c:pt>
            </c:numLit>
          </c:xVal>
          <c:yVal>
            <c:numLit>
              <c:formatCode>General</c:formatCode>
              <c:ptCount val="2"/>
              <c:pt idx="0">
                <c:v>1.8041765933534418E-2</c:v>
              </c:pt>
              <c:pt idx="1">
                <c:v>1.8091563072611408E-2</c:v>
              </c:pt>
            </c:numLit>
          </c:yVal>
          <c:smooth val="0"/>
          <c:extLst>
            <c:ext xmlns:c16="http://schemas.microsoft.com/office/drawing/2014/chart" uri="{C3380CC4-5D6E-409C-BE32-E72D297353CC}">
              <c16:uniqueId val="{0000006E-4FBA-4B77-B49D-A2AABC32351C}"/>
            </c:ext>
          </c:extLst>
        </c:ser>
        <c:ser>
          <c:idx val="111"/>
          <c:order val="111"/>
          <c:spPr>
            <a:ln w="3175">
              <a:solidFill>
                <a:srgbClr val="000000"/>
              </a:solidFill>
              <a:prstDash val="solid"/>
            </a:ln>
          </c:spPr>
          <c:marker>
            <c:symbol val="none"/>
          </c:marker>
          <c:xVal>
            <c:numLit>
              <c:formatCode>General</c:formatCode>
              <c:ptCount val="2"/>
              <c:pt idx="0">
                <c:v>-9.3521355422659074</c:v>
              </c:pt>
              <c:pt idx="1">
                <c:v>-8.7702687994291519</c:v>
              </c:pt>
            </c:numLit>
          </c:xVal>
          <c:yVal>
            <c:numLit>
              <c:formatCode>General</c:formatCode>
              <c:ptCount val="2"/>
              <c:pt idx="0">
                <c:v>1.7789900045223919E-2</c:v>
              </c:pt>
              <c:pt idx="1">
                <c:v>1.7898179354009301E-2</c:v>
              </c:pt>
            </c:numLit>
          </c:yVal>
          <c:smooth val="0"/>
          <c:extLst>
            <c:ext xmlns:c16="http://schemas.microsoft.com/office/drawing/2014/chart" uri="{C3380CC4-5D6E-409C-BE32-E72D297353CC}">
              <c16:uniqueId val="{0000006F-4FBA-4B77-B49D-A2AABC32351C}"/>
            </c:ext>
          </c:extLst>
        </c:ser>
        <c:ser>
          <c:idx val="112"/>
          <c:order val="112"/>
          <c:spPr>
            <a:ln w="3175">
              <a:solidFill>
                <a:srgbClr val="000000"/>
              </a:solidFill>
              <a:prstDash val="solid"/>
            </a:ln>
          </c:spPr>
          <c:marker>
            <c:symbol val="none"/>
          </c:marker>
          <c:xVal>
            <c:numLit>
              <c:formatCode>General</c:formatCode>
              <c:ptCount val="2"/>
              <c:pt idx="0">
                <c:v>-9.2455590364770597</c:v>
              </c:pt>
              <c:pt idx="1">
                <c:v>-8.9564631910205588</c:v>
              </c:pt>
            </c:numLit>
          </c:xVal>
          <c:yVal>
            <c:numLit>
              <c:formatCode>General</c:formatCode>
              <c:ptCount val="2"/>
              <c:pt idx="0">
                <c:v>1.7491727600755014E-2</c:v>
              </c:pt>
              <c:pt idx="1">
                <c:v>1.7551008159362686E-2</c:v>
              </c:pt>
            </c:numLit>
          </c:yVal>
          <c:smooth val="0"/>
          <c:extLst>
            <c:ext xmlns:c16="http://schemas.microsoft.com/office/drawing/2014/chart" uri="{C3380CC4-5D6E-409C-BE32-E72D297353CC}">
              <c16:uniqueId val="{00000070-4FBA-4B77-B49D-A2AABC32351C}"/>
            </c:ext>
          </c:extLst>
        </c:ser>
        <c:ser>
          <c:idx val="113"/>
          <c:order val="113"/>
          <c:spPr>
            <a:ln w="3175">
              <a:solidFill>
                <a:srgbClr val="000000"/>
              </a:solidFill>
              <a:prstDash val="solid"/>
            </a:ln>
          </c:spPr>
          <c:marker>
            <c:symbol val="none"/>
          </c:marker>
          <c:xVal>
            <c:numLit>
              <c:formatCode>General</c:formatCode>
              <c:ptCount val="2"/>
              <c:pt idx="0">
                <c:v>-9.1038600359190358</c:v>
              </c:pt>
              <c:pt idx="1">
                <c:v>-8.530554517439068</c:v>
              </c:pt>
            </c:numLit>
          </c:xVal>
          <c:yVal>
            <c:numLit>
              <c:formatCode>General</c:formatCode>
              <c:ptCount val="2"/>
              <c:pt idx="0">
                <c:v>1.7133900318625845E-2</c:v>
              </c:pt>
              <c:pt idx="1">
                <c:v>1.7264800307638748E-2</c:v>
              </c:pt>
            </c:numLit>
          </c:yVal>
          <c:smooth val="0"/>
          <c:extLst>
            <c:ext xmlns:c16="http://schemas.microsoft.com/office/drawing/2014/chart" uri="{C3380CC4-5D6E-409C-BE32-E72D297353CC}">
              <c16:uniqueId val="{00000071-4FBA-4B77-B49D-A2AABC32351C}"/>
            </c:ext>
          </c:extLst>
        </c:ser>
        <c:ser>
          <c:idx val="114"/>
          <c:order val="114"/>
          <c:spPr>
            <a:ln w="3175">
              <a:solidFill>
                <a:srgbClr val="000000"/>
              </a:solidFill>
              <a:prstDash val="solid"/>
            </a:ln>
          </c:spPr>
          <c:marker>
            <c:symbol val="none"/>
          </c:marker>
          <c:xVal>
            <c:numLit>
              <c:formatCode>General</c:formatCode>
              <c:ptCount val="2"/>
              <c:pt idx="0">
                <c:v>-9.033886916005148</c:v>
              </c:pt>
              <c:pt idx="1">
                <c:v>-8.748440589867128</c:v>
              </c:pt>
            </c:numLit>
          </c:xVal>
          <c:yVal>
            <c:numLit>
              <c:formatCode>General</c:formatCode>
              <c:ptCount val="2"/>
              <c:pt idx="0">
                <c:v>1.6970127856038714E-2</c:v>
              </c:pt>
              <c:pt idx="1">
                <c:v>1.7038401513693218E-2</c:v>
              </c:pt>
            </c:numLit>
          </c:yVal>
          <c:smooth val="0"/>
          <c:extLst>
            <c:ext xmlns:c16="http://schemas.microsoft.com/office/drawing/2014/chart" uri="{C3380CC4-5D6E-409C-BE32-E72D297353CC}">
              <c16:uniqueId val="{00000072-4FBA-4B77-B49D-A2AABC32351C}"/>
            </c:ext>
          </c:extLst>
        </c:ser>
        <c:ser>
          <c:idx val="115"/>
          <c:order val="115"/>
          <c:spPr>
            <a:ln w="3175">
              <a:solidFill>
                <a:srgbClr val="000000"/>
              </a:solidFill>
              <a:prstDash val="solid"/>
            </a:ln>
          </c:spPr>
          <c:marker>
            <c:symbol val="none"/>
          </c:marker>
          <c:xVal>
            <c:numLit>
              <c:formatCode>General</c:formatCode>
              <c:ptCount val="2"/>
              <c:pt idx="0">
                <c:v>-8.954260939861248</c:v>
              </c:pt>
              <c:pt idx="1">
                <c:v>-8.6701874753808799</c:v>
              </c:pt>
            </c:numLit>
          </c:xVal>
          <c:yVal>
            <c:numLit>
              <c:formatCode>General</c:formatCode>
              <c:ptCount val="2"/>
              <c:pt idx="0">
                <c:v>1.6792426733524612E-2</c:v>
              </c:pt>
              <c:pt idx="1">
                <c:v>1.6863764203636257E-2</c:v>
              </c:pt>
            </c:numLit>
          </c:yVal>
          <c:smooth val="0"/>
          <c:extLst>
            <c:ext xmlns:c16="http://schemas.microsoft.com/office/drawing/2014/chart" uri="{C3380CC4-5D6E-409C-BE32-E72D297353CC}">
              <c16:uniqueId val="{00000073-4FBA-4B77-B49D-A2AABC32351C}"/>
            </c:ext>
          </c:extLst>
        </c:ser>
        <c:ser>
          <c:idx val="116"/>
          <c:order val="116"/>
          <c:spPr>
            <a:ln w="3175">
              <a:solidFill>
                <a:srgbClr val="000000"/>
              </a:solidFill>
              <a:prstDash val="solid"/>
            </a:ln>
          </c:spPr>
          <c:marker>
            <c:symbol val="none"/>
          </c:marker>
          <c:xVal>
            <c:numLit>
              <c:formatCode>General</c:formatCode>
              <c:ptCount val="2"/>
              <c:pt idx="0">
                <c:v>-8.8631822315685405</c:v>
              </c:pt>
              <c:pt idx="1">
                <c:v>-8.5806790896449439</c:v>
              </c:pt>
            </c:numLit>
          </c:xVal>
          <c:yVal>
            <c:numLit>
              <c:formatCode>General</c:formatCode>
              <c:ptCount val="2"/>
              <c:pt idx="0">
                <c:v>1.6599076898329495E-2</c:v>
              </c:pt>
              <c:pt idx="1">
                <c:v>1.6673747986289334E-2</c:v>
              </c:pt>
            </c:numLit>
          </c:yVal>
          <c:smooth val="0"/>
          <c:extLst>
            <c:ext xmlns:c16="http://schemas.microsoft.com/office/drawing/2014/chart" uri="{C3380CC4-5D6E-409C-BE32-E72D297353CC}">
              <c16:uniqueId val="{00000074-4FBA-4B77-B49D-A2AABC32351C}"/>
            </c:ext>
          </c:extLst>
        </c:ser>
        <c:ser>
          <c:idx val="117"/>
          <c:order val="117"/>
          <c:spPr>
            <a:ln w="3175">
              <a:solidFill>
                <a:srgbClr val="000000"/>
              </a:solidFill>
              <a:prstDash val="solid"/>
            </a:ln>
          </c:spPr>
          <c:marker>
            <c:symbol val="none"/>
          </c:marker>
          <c:xVal>
            <c:numLit>
              <c:formatCode>General</c:formatCode>
              <c:ptCount val="2"/>
              <c:pt idx="0">
                <c:v>-8.7584282202067296</c:v>
              </c:pt>
              <c:pt idx="1">
                <c:v>-8.477731181927302</c:v>
              </c:pt>
            </c:numLit>
          </c:xVal>
          <c:yVal>
            <c:numLit>
              <c:formatCode>General</c:formatCode>
              <c:ptCount val="2"/>
              <c:pt idx="0">
                <c:v>1.6388094622981707E-2</c:v>
              </c:pt>
              <c:pt idx="1">
                <c:v>1.6466403336378575E-2</c:v>
              </c:pt>
            </c:numLit>
          </c:yVal>
          <c:smooth val="0"/>
          <c:extLst>
            <c:ext xmlns:c16="http://schemas.microsoft.com/office/drawing/2014/chart" uri="{C3380CC4-5D6E-409C-BE32-E72D297353CC}">
              <c16:uniqueId val="{00000075-4FBA-4B77-B49D-A2AABC32351C}"/>
            </c:ext>
          </c:extLst>
        </c:ser>
        <c:ser>
          <c:idx val="118"/>
          <c:order val="118"/>
          <c:spPr>
            <a:ln w="3175">
              <a:solidFill>
                <a:srgbClr val="000000"/>
              </a:solidFill>
              <a:prstDash val="solid"/>
            </a:ln>
          </c:spPr>
          <c:marker>
            <c:symbol val="none"/>
          </c:marker>
          <c:xVal>
            <c:numLit>
              <c:formatCode>General</c:formatCode>
              <c:ptCount val="2"/>
              <c:pt idx="0">
                <c:v>-8.6372348348493126</c:v>
              </c:pt>
              <c:pt idx="1">
                <c:v>-8.0800198405441641</c:v>
              </c:pt>
            </c:numLit>
          </c:xVal>
          <c:yVal>
            <c:numLit>
              <c:formatCode>General</c:formatCode>
              <c:ptCount val="2"/>
              <c:pt idx="0">
                <c:v>1.6157190180898885E-2</c:v>
              </c:pt>
              <c:pt idx="1">
                <c:v>1.6321769829833407E-2</c:v>
              </c:pt>
            </c:numLit>
          </c:yVal>
          <c:smooth val="0"/>
          <c:extLst>
            <c:ext xmlns:c16="http://schemas.microsoft.com/office/drawing/2014/chart" uri="{C3380CC4-5D6E-409C-BE32-E72D297353CC}">
              <c16:uniqueId val="{00000076-4FBA-4B77-B49D-A2AABC32351C}"/>
            </c:ext>
          </c:extLst>
        </c:ser>
        <c:ser>
          <c:idx val="119"/>
          <c:order val="119"/>
          <c:spPr>
            <a:ln w="3175">
              <a:solidFill>
                <a:srgbClr val="000000"/>
              </a:solidFill>
              <a:prstDash val="solid"/>
            </a:ln>
          </c:spPr>
          <c:marker>
            <c:symbol val="none"/>
          </c:marker>
          <c:xVal>
            <c:numLit>
              <c:formatCode>General</c:formatCode>
              <c:ptCount val="2"/>
              <c:pt idx="0">
                <c:v>-8.5694238961193641</c:v>
              </c:pt>
              <c:pt idx="1">
                <c:v>-8.2919855530828226</c:v>
              </c:pt>
            </c:numLit>
          </c:xVal>
          <c:yVal>
            <c:numLit>
              <c:formatCode>General</c:formatCode>
              <c:ptCount val="2"/>
              <c:pt idx="0">
                <c:v>1.6033456612372633E-2</c:v>
              </c:pt>
              <c:pt idx="1">
                <c:v>1.611787977422828E-2</c:v>
              </c:pt>
            </c:numLit>
          </c:yVal>
          <c:smooth val="0"/>
          <c:extLst>
            <c:ext xmlns:c16="http://schemas.microsoft.com/office/drawing/2014/chart" uri="{C3380CC4-5D6E-409C-BE32-E72D297353CC}">
              <c16:uniqueId val="{00000077-4FBA-4B77-B49D-A2AABC32351C}"/>
            </c:ext>
          </c:extLst>
        </c:ser>
        <c:ser>
          <c:idx val="120"/>
          <c:order val="120"/>
          <c:spPr>
            <a:ln w="3175">
              <a:solidFill>
                <a:srgbClr val="000000"/>
              </a:solidFill>
              <a:prstDash val="solid"/>
            </a:ln>
          </c:spPr>
          <c:marker>
            <c:symbol val="none"/>
          </c:marker>
          <c:xVal>
            <c:numLit>
              <c:formatCode>General</c:formatCode>
              <c:ptCount val="2"/>
              <c:pt idx="0">
                <c:v>-8.496139552640436</c:v>
              </c:pt>
              <c:pt idx="1">
                <c:v>-8.2199647327673251</c:v>
              </c:pt>
            </c:numLit>
          </c:xVal>
          <c:yVal>
            <c:numLit>
              <c:formatCode>General</c:formatCode>
              <c:ptCount val="2"/>
              <c:pt idx="0">
                <c:v>1.590372165004483E-2</c:v>
              </c:pt>
              <c:pt idx="1">
                <c:v>1.599038162159578E-2</c:v>
              </c:pt>
            </c:numLit>
          </c:yVal>
          <c:smooth val="0"/>
          <c:extLst>
            <c:ext xmlns:c16="http://schemas.microsoft.com/office/drawing/2014/chart" uri="{C3380CC4-5D6E-409C-BE32-E72D297353CC}">
              <c16:uniqueId val="{00000078-4FBA-4B77-B49D-A2AABC32351C}"/>
            </c:ext>
          </c:extLst>
        </c:ser>
        <c:ser>
          <c:idx val="121"/>
          <c:order val="121"/>
          <c:spPr>
            <a:ln w="3175">
              <a:solidFill>
                <a:srgbClr val="000000"/>
              </a:solidFill>
              <a:prstDash val="solid"/>
            </a:ln>
          </c:spPr>
          <c:marker>
            <c:symbol val="none"/>
          </c:marker>
          <c:xVal>
            <c:numLit>
              <c:formatCode>General</c:formatCode>
              <c:ptCount val="2"/>
              <c:pt idx="0">
                <c:v>-8.4168057372568565</c:v>
              </c:pt>
              <c:pt idx="1">
                <c:v>-8.1419987417869102</c:v>
              </c:pt>
            </c:numLit>
          </c:xVal>
          <c:yVal>
            <c:numLit>
              <c:formatCode>General</c:formatCode>
              <c:ptCount val="2"/>
              <c:pt idx="0">
                <c:v>1.5767592217746176E-2</c:v>
              </c:pt>
              <c:pt idx="1">
                <c:v>1.5856599248474688E-2</c:v>
              </c:pt>
            </c:numLit>
          </c:yVal>
          <c:smooth val="0"/>
          <c:extLst>
            <c:ext xmlns:c16="http://schemas.microsoft.com/office/drawing/2014/chart" uri="{C3380CC4-5D6E-409C-BE32-E72D297353CC}">
              <c16:uniqueId val="{00000079-4FBA-4B77-B49D-A2AABC32351C}"/>
            </c:ext>
          </c:extLst>
        </c:ser>
        <c:ser>
          <c:idx val="122"/>
          <c:order val="122"/>
          <c:spPr>
            <a:ln w="3175">
              <a:solidFill>
                <a:srgbClr val="000000"/>
              </a:solidFill>
              <a:prstDash val="solid"/>
            </a:ln>
          </c:spPr>
          <c:marker>
            <c:symbol val="none"/>
          </c:marker>
          <c:xVal>
            <c:numLit>
              <c:formatCode>General</c:formatCode>
              <c:ptCount val="2"/>
              <c:pt idx="0">
                <c:v>-8.3307730905498314</c:v>
              </c:pt>
              <c:pt idx="1">
                <c:v>-8.0574494165748334</c:v>
              </c:pt>
            </c:numLit>
          </c:xVal>
          <c:yVal>
            <c:numLit>
              <c:formatCode>General</c:formatCode>
              <c:ptCount val="2"/>
              <c:pt idx="0">
                <c:v>1.5624647462044871E-2</c:v>
              </c:pt>
              <c:pt idx="1">
                <c:v>1.5716119057526855E-2</c:v>
              </c:pt>
            </c:numLit>
          </c:yVal>
          <c:smooth val="0"/>
          <c:extLst>
            <c:ext xmlns:c16="http://schemas.microsoft.com/office/drawing/2014/chart" uri="{C3380CC4-5D6E-409C-BE32-E72D297353CC}">
              <c16:uniqueId val="{0000007A-4FBA-4B77-B49D-A2AABC32351C}"/>
            </c:ext>
          </c:extLst>
        </c:ser>
        <c:ser>
          <c:idx val="123"/>
          <c:order val="123"/>
          <c:spPr>
            <a:ln w="3175">
              <a:solidFill>
                <a:srgbClr val="000000"/>
              </a:solidFill>
              <a:prstDash val="solid"/>
            </a:ln>
          </c:spPr>
          <c:marker>
            <c:symbol val="none"/>
          </c:marker>
          <c:xVal>
            <c:numLit>
              <c:formatCode>General</c:formatCode>
              <c:ptCount val="2"/>
              <c:pt idx="0">
                <c:v>-8.2373083506110412</c:v>
              </c:pt>
              <c:pt idx="1">
                <c:v>-7.6938839247279001</c:v>
              </c:pt>
            </c:numLit>
          </c:xVal>
          <c:yVal>
            <c:numLit>
              <c:formatCode>General</c:formatCode>
              <c:ptCount val="2"/>
              <c:pt idx="0">
                <c:v>1.5474437646003199E-2</c:v>
              </c:pt>
              <c:pt idx="1">
                <c:v>1.5662560485796194E-2</c:v>
              </c:pt>
            </c:numLit>
          </c:yVal>
          <c:smooth val="0"/>
          <c:extLst>
            <c:ext xmlns:c16="http://schemas.microsoft.com/office/drawing/2014/chart" uri="{C3380CC4-5D6E-409C-BE32-E72D297353CC}">
              <c16:uniqueId val="{0000007B-4FBA-4B77-B49D-A2AABC32351C}"/>
            </c:ext>
          </c:extLst>
        </c:ser>
        <c:ser>
          <c:idx val="124"/>
          <c:order val="124"/>
          <c:spPr>
            <a:ln w="3175">
              <a:solidFill>
                <a:srgbClr val="000000"/>
              </a:solidFill>
              <a:prstDash val="solid"/>
            </a:ln>
          </c:spPr>
          <c:marker>
            <c:symbol val="none"/>
          </c:marker>
          <c:xVal>
            <c:numLit>
              <c:formatCode>General</c:formatCode>
              <c:ptCount val="2"/>
              <c:pt idx="0">
                <c:v>-8.135582109378646</c:v>
              </c:pt>
              <c:pt idx="1">
                <c:v>-7.865623797147979</c:v>
              </c:pt>
            </c:numLit>
          </c:xVal>
          <c:yVal>
            <c:numLit>
              <c:formatCode>General</c:formatCode>
              <c:ptCount val="2"/>
              <c:pt idx="0">
                <c:v>1.5316483392004664E-2</c:v>
              </c:pt>
              <c:pt idx="1">
                <c:v>1.5413268161108032E-2</c:v>
              </c:pt>
            </c:numLit>
          </c:yVal>
          <c:smooth val="0"/>
          <c:extLst>
            <c:ext xmlns:c16="http://schemas.microsoft.com/office/drawing/2014/chart" uri="{C3380CC4-5D6E-409C-BE32-E72D297353CC}">
              <c16:uniqueId val="{0000007C-4FBA-4B77-B49D-A2AABC32351C}"/>
            </c:ext>
          </c:extLst>
        </c:ser>
        <c:ser>
          <c:idx val="125"/>
          <c:order val="125"/>
          <c:spPr>
            <a:ln w="3175">
              <a:solidFill>
                <a:srgbClr val="000000"/>
              </a:solidFill>
              <a:prstDash val="solid"/>
            </a:ln>
          </c:spPr>
          <c:marker>
            <c:symbol val="none"/>
          </c:marker>
          <c:xVal>
            <c:numLit>
              <c:formatCode>General</c:formatCode>
              <c:ptCount val="2"/>
              <c:pt idx="0">
                <c:v>-8.0246546988258096</c:v>
              </c:pt>
              <c:pt idx="1">
                <c:v>-7.7566089281563979</c:v>
              </c:pt>
            </c:numLit>
          </c:xVal>
          <c:yVal>
            <c:numLit>
              <c:formatCode>General</c:formatCode>
              <c:ptCount val="2"/>
              <c:pt idx="0">
                <c:v>1.5150275451951677E-2</c:v>
              </c:pt>
              <c:pt idx="1">
                <c:v>1.5249925875193889E-2</c:v>
              </c:pt>
            </c:numLit>
          </c:yVal>
          <c:smooth val="0"/>
          <c:extLst>
            <c:ext xmlns:c16="http://schemas.microsoft.com/office/drawing/2014/chart" uri="{C3380CC4-5D6E-409C-BE32-E72D297353CC}">
              <c16:uniqueId val="{0000007D-4FBA-4B77-B49D-A2AABC32351C}"/>
            </c:ext>
          </c:extLst>
        </c:ser>
        <c:ser>
          <c:idx val="126"/>
          <c:order val="126"/>
          <c:spPr>
            <a:ln w="3175">
              <a:solidFill>
                <a:srgbClr val="000000"/>
              </a:solidFill>
              <a:prstDash val="solid"/>
            </a:ln>
          </c:spPr>
          <c:marker>
            <c:symbol val="none"/>
          </c:marker>
          <c:xVal>
            <c:numLit>
              <c:formatCode>General</c:formatCode>
              <c:ptCount val="2"/>
              <c:pt idx="0">
                <c:v>-7.9034599509797507</c:v>
              </c:pt>
              <c:pt idx="1">
                <c:v>-7.6375037449283747</c:v>
              </c:pt>
            </c:numLit>
          </c:xVal>
          <c:yVal>
            <c:numLit>
              <c:formatCode>General</c:formatCode>
              <c:ptCount val="2"/>
              <c:pt idx="0">
                <c:v>1.4975275245324009E-2</c:v>
              </c:pt>
              <c:pt idx="1">
                <c:v>1.5077942913508079E-2</c:v>
              </c:pt>
            </c:numLit>
          </c:yVal>
          <c:smooth val="0"/>
          <c:extLst>
            <c:ext xmlns:c16="http://schemas.microsoft.com/office/drawing/2014/chart" uri="{C3380CC4-5D6E-409C-BE32-E72D297353CC}">
              <c16:uniqueId val="{0000007E-4FBA-4B77-B49D-A2AABC32351C}"/>
            </c:ext>
          </c:extLst>
        </c:ser>
        <c:ser>
          <c:idx val="127"/>
          <c:order val="127"/>
          <c:spPr>
            <a:ln w="3175">
              <a:solidFill>
                <a:srgbClr val="000000"/>
              </a:solidFill>
              <a:prstDash val="solid"/>
            </a:ln>
          </c:spPr>
          <c:marker>
            <c:symbol val="none"/>
          </c:marker>
          <c:xVal>
            <c:numLit>
              <c:formatCode>General</c:formatCode>
              <c:ptCount val="2"/>
              <c:pt idx="0">
                <c:v>-7.7707865642283949</c:v>
              </c:pt>
              <c:pt idx="1">
                <c:v>-7.5071178303623878</c:v>
              </c:pt>
            </c:numLit>
          </c:xVal>
          <c:yVal>
            <c:numLit>
              <c:formatCode>General</c:formatCode>
              <c:ptCount val="2"/>
              <c:pt idx="0">
                <c:v>1.4790916486985731E-2</c:v>
              </c:pt>
              <c:pt idx="1">
                <c:v>1.4896762754451495E-2</c:v>
              </c:pt>
            </c:numLit>
          </c:yVal>
          <c:smooth val="0"/>
          <c:extLst>
            <c:ext xmlns:c16="http://schemas.microsoft.com/office/drawing/2014/chart" uri="{C3380CC4-5D6E-409C-BE32-E72D297353CC}">
              <c16:uniqueId val="{0000007F-4FBA-4B77-B49D-A2AABC32351C}"/>
            </c:ext>
          </c:extLst>
        </c:ser>
        <c:ser>
          <c:idx val="128"/>
          <c:order val="128"/>
          <c:spPr>
            <a:ln w="3175">
              <a:solidFill>
                <a:srgbClr val="000000"/>
              </a:solidFill>
              <a:prstDash val="solid"/>
            </a:ln>
          </c:spPr>
          <c:marker>
            <c:symbol val="none"/>
          </c:marker>
          <c:xVal>
            <c:numLit>
              <c:formatCode>General</c:formatCode>
              <c:ptCount val="2"/>
              <c:pt idx="0">
                <c:v>-7.6252568113761559</c:v>
              </c:pt>
              <c:pt idx="1">
                <c:v>-7.1029376109838731</c:v>
              </c:pt>
            </c:numLit>
          </c:xVal>
          <c:yVal>
            <c:numLit>
              <c:formatCode>General</c:formatCode>
              <c:ptCount val="2"/>
              <c:pt idx="0">
                <c:v>1.4596608332400495E-2</c:v>
              </c:pt>
              <c:pt idx="1">
                <c:v>1.4815001148524616E-2</c:v>
              </c:pt>
            </c:numLit>
          </c:yVal>
          <c:smooth val="0"/>
          <c:extLst>
            <c:ext xmlns:c16="http://schemas.microsoft.com/office/drawing/2014/chart" uri="{C3380CC4-5D6E-409C-BE32-E72D297353CC}">
              <c16:uniqueId val="{00000080-4FBA-4B77-B49D-A2AABC32351C}"/>
            </c:ext>
          </c:extLst>
        </c:ser>
        <c:ser>
          <c:idx val="129"/>
          <c:order val="129"/>
          <c:spPr>
            <a:ln w="3175">
              <a:solidFill>
                <a:srgbClr val="000000"/>
              </a:solidFill>
              <a:prstDash val="solid"/>
            </a:ln>
          </c:spPr>
          <c:marker>
            <c:symbol val="none"/>
          </c:marker>
          <c:xVal>
            <c:numLit>
              <c:formatCode>General</c:formatCode>
              <c:ptCount val="2"/>
              <c:pt idx="0">
                <c:v>-7.4653023527450681</c:v>
              </c:pt>
              <c:pt idx="1">
                <c:v>-7.2069005880425658</c:v>
              </c:pt>
            </c:numLit>
          </c:xVal>
          <c:yVal>
            <c:numLit>
              <c:formatCode>General</c:formatCode>
              <c:ptCount val="2"/>
              <c:pt idx="0">
                <c:v>1.4391740604136366E-2</c:v>
              </c:pt>
              <c:pt idx="1">
                <c:v>1.4504469214409878E-2</c:v>
              </c:pt>
            </c:numLit>
          </c:yVal>
          <c:smooth val="0"/>
          <c:extLst>
            <c:ext xmlns:c16="http://schemas.microsoft.com/office/drawing/2014/chart" uri="{C3380CC4-5D6E-409C-BE32-E72D297353CC}">
              <c16:uniqueId val="{00000081-4FBA-4B77-B49D-A2AABC32351C}"/>
            </c:ext>
          </c:extLst>
        </c:ser>
        <c:ser>
          <c:idx val="130"/>
          <c:order val="130"/>
          <c:spPr>
            <a:ln w="3175">
              <a:solidFill>
                <a:srgbClr val="000000"/>
              </a:solidFill>
              <a:prstDash val="solid"/>
            </a:ln>
          </c:spPr>
          <c:marker>
            <c:symbol val="none"/>
          </c:marker>
          <c:xVal>
            <c:numLit>
              <c:formatCode>General</c:formatCode>
              <c:ptCount val="2"/>
              <c:pt idx="0">
                <c:v>-7.2891369857220321</c:v>
              </c:pt>
              <c:pt idx="1">
                <c:v>-7.0337725549337202</c:v>
              </c:pt>
            </c:numLit>
          </c:xVal>
          <c:yVal>
            <c:numLit>
              <c:formatCode>General</c:formatCode>
              <c:ptCount val="2"/>
              <c:pt idx="0">
                <c:v>1.4175691836973547E-2</c:v>
              </c:pt>
              <c:pt idx="1">
                <c:v>1.4292145425991245E-2</c:v>
              </c:pt>
            </c:numLit>
          </c:yVal>
          <c:smooth val="0"/>
          <c:extLst>
            <c:ext xmlns:c16="http://schemas.microsoft.com/office/drawing/2014/chart" uri="{C3380CC4-5D6E-409C-BE32-E72D297353CC}">
              <c16:uniqueId val="{00000082-4FBA-4B77-B49D-A2AABC32351C}"/>
            </c:ext>
          </c:extLst>
        </c:ser>
        <c:ser>
          <c:idx val="131"/>
          <c:order val="131"/>
          <c:spPr>
            <a:ln w="3175">
              <a:solidFill>
                <a:srgbClr val="000000"/>
              </a:solidFill>
              <a:prstDash val="solid"/>
            </a:ln>
          </c:spPr>
          <c:marker>
            <c:symbol val="none"/>
          </c:marker>
          <c:xVal>
            <c:numLit>
              <c:formatCode>General</c:formatCode>
              <c:ptCount val="2"/>
              <c:pt idx="0">
                <c:v>-7.0947262932026645</c:v>
              </c:pt>
              <c:pt idx="1">
                <c:v>-6.8427137709060659</c:v>
              </c:pt>
            </c:numLit>
          </c:xVal>
          <c:yVal>
            <c:numLit>
              <c:formatCode>General</c:formatCode>
              <c:ptCount val="2"/>
              <c:pt idx="0">
                <c:v>1.3947841096409371E-2</c:v>
              </c:pt>
              <c:pt idx="1">
                <c:v>1.4068223146471279E-2</c:v>
              </c:pt>
            </c:numLit>
          </c:yVal>
          <c:smooth val="0"/>
          <c:extLst>
            <c:ext xmlns:c16="http://schemas.microsoft.com/office/drawing/2014/chart" uri="{C3380CC4-5D6E-409C-BE32-E72D297353CC}">
              <c16:uniqueId val="{00000083-4FBA-4B77-B49D-A2AABC32351C}"/>
            </c:ext>
          </c:extLst>
        </c:ser>
        <c:ser>
          <c:idx val="132"/>
          <c:order val="132"/>
          <c:spPr>
            <a:ln w="3175">
              <a:solidFill>
                <a:srgbClr val="000000"/>
              </a:solidFill>
              <a:prstDash val="solid"/>
            </a:ln>
          </c:spPr>
          <c:marker>
            <c:symbol val="none"/>
          </c:marker>
          <c:xVal>
            <c:numLit>
              <c:formatCode>General</c:formatCode>
              <c:ptCount val="2"/>
              <c:pt idx="0">
                <c:v>-6.8797543799888556</c:v>
              </c:pt>
              <c:pt idx="1">
                <c:v>-6.6314482699890469</c:v>
              </c:pt>
            </c:numLit>
          </c:xVal>
          <c:yVal>
            <c:numLit>
              <c:formatCode>General</c:formatCode>
              <c:ptCount val="2"/>
              <c:pt idx="0">
                <c:v>1.3707584792488141E-2</c:v>
              </c:pt>
              <c:pt idx="1">
                <c:v>1.3832109192617657E-2</c:v>
              </c:pt>
            </c:numLit>
          </c:yVal>
          <c:smooth val="0"/>
          <c:extLst>
            <c:ext xmlns:c16="http://schemas.microsoft.com/office/drawing/2014/chart" uri="{C3380CC4-5D6E-409C-BE32-E72D297353CC}">
              <c16:uniqueId val="{00000084-4FBA-4B77-B49D-A2AABC32351C}"/>
            </c:ext>
          </c:extLst>
        </c:ser>
        <c:ser>
          <c:idx val="133"/>
          <c:order val="133"/>
          <c:spPr>
            <a:ln w="3175">
              <a:solidFill>
                <a:srgbClr val="000000"/>
              </a:solidFill>
              <a:prstDash val="solid"/>
            </a:ln>
          </c:spPr>
          <c:marker>
            <c:symbol val="none"/>
          </c:marker>
          <c:xVal>
            <c:numLit>
              <c:formatCode>General</c:formatCode>
              <c:ptCount val="2"/>
              <c:pt idx="0">
                <c:v>-6.6415882541581794</c:v>
              </c:pt>
              <c:pt idx="1">
                <c:v>-6.1531886591872063</c:v>
              </c:pt>
            </c:numLit>
          </c:xVal>
          <c:yVal>
            <c:numLit>
              <c:formatCode>General</c:formatCode>
              <c:ptCount val="2"/>
              <c:pt idx="0">
                <c:v>1.3454360029547155E-2</c:v>
              </c:pt>
              <c:pt idx="1">
                <c:v>1.3712140718183462E-2</c:v>
              </c:pt>
            </c:numLit>
          </c:yVal>
          <c:smooth val="0"/>
          <c:extLst>
            <c:ext xmlns:c16="http://schemas.microsoft.com/office/drawing/2014/chart" uri="{C3380CC4-5D6E-409C-BE32-E72D297353CC}">
              <c16:uniqueId val="{00000085-4FBA-4B77-B49D-A2AABC32351C}"/>
            </c:ext>
          </c:extLst>
        </c:ser>
        <c:ser>
          <c:idx val="134"/>
          <c:order val="134"/>
          <c:spPr>
            <a:ln w="3175">
              <a:solidFill>
                <a:srgbClr val="000000"/>
              </a:solidFill>
              <a:prstDash val="solid"/>
            </a:ln>
          </c:spPr>
          <c:marker>
            <c:symbol val="none"/>
          </c:marker>
          <c:xVal>
            <c:numLit>
              <c:formatCode>General</c:formatCode>
              <c:ptCount val="2"/>
              <c:pt idx="0">
                <c:v>-6.5128887746212865</c:v>
              </c:pt>
              <c:pt idx="1">
                <c:v>-6.2709079336795401</c:v>
              </c:pt>
            </c:numLit>
          </c:xVal>
          <c:yVal>
            <c:numLit>
              <c:formatCode>General</c:formatCode>
              <c:ptCount val="2"/>
              <c:pt idx="0">
                <c:v>1.3322727312893847E-2</c:v>
              </c:pt>
              <c:pt idx="1">
                <c:v>1.3453887186809472E-2</c:v>
              </c:pt>
            </c:numLit>
          </c:yVal>
          <c:smooth val="0"/>
          <c:extLst>
            <c:ext xmlns:c16="http://schemas.microsoft.com/office/drawing/2014/chart" uri="{C3380CC4-5D6E-409C-BE32-E72D297353CC}">
              <c16:uniqueId val="{00000086-4FBA-4B77-B49D-A2AABC32351C}"/>
            </c:ext>
          </c:extLst>
        </c:ser>
        <c:ser>
          <c:idx val="135"/>
          <c:order val="135"/>
          <c:spPr>
            <a:ln w="3175">
              <a:solidFill>
                <a:srgbClr val="000000"/>
              </a:solidFill>
              <a:prstDash val="solid"/>
            </a:ln>
          </c:spPr>
          <c:marker>
            <c:symbol val="none"/>
          </c:marker>
          <c:xVal>
            <c:numLit>
              <c:formatCode>General</c:formatCode>
              <c:ptCount val="2"/>
              <c:pt idx="0">
                <c:v>-6.377240982176394</c:v>
              </c:pt>
              <c:pt idx="1">
                <c:v>-5.8979568103772069</c:v>
              </c:pt>
            </c:numLit>
          </c:xVal>
          <c:yVal>
            <c:numLit>
              <c:formatCode>General</c:formatCode>
              <c:ptCount val="2"/>
              <c:pt idx="0">
                <c:v>1.3187676396417802E-2</c:v>
              </c:pt>
              <c:pt idx="1">
                <c:v>1.3454653072403396E-2</c:v>
              </c:pt>
            </c:numLit>
          </c:yVal>
          <c:smooth val="0"/>
          <c:extLst>
            <c:ext xmlns:c16="http://schemas.microsoft.com/office/drawing/2014/chart" uri="{C3380CC4-5D6E-409C-BE32-E72D297353CC}">
              <c16:uniqueId val="{00000087-4FBA-4B77-B49D-A2AABC32351C}"/>
            </c:ext>
          </c:extLst>
        </c:ser>
        <c:ser>
          <c:idx val="136"/>
          <c:order val="136"/>
          <c:spPr>
            <a:ln w="3175">
              <a:solidFill>
                <a:srgbClr val="000000"/>
              </a:solidFill>
              <a:prstDash val="solid"/>
            </a:ln>
          </c:spPr>
          <c:marker>
            <c:symbol val="none"/>
          </c:marker>
          <c:xVal>
            <c:numLit>
              <c:formatCode>General</c:formatCode>
              <c:ptCount val="2"/>
              <c:pt idx="0">
                <c:v>-6.2342102755987439</c:v>
              </c:pt>
              <c:pt idx="1">
                <c:v>-5.9970342363642821</c:v>
              </c:pt>
            </c:numLit>
          </c:xVal>
          <c:yVal>
            <c:numLit>
              <c:formatCode>General</c:formatCode>
              <c:ptCount val="2"/>
              <c:pt idx="0">
                <c:v>1.304916427263535E-2</c:v>
              </c:pt>
              <c:pt idx="1">
                <c:v>1.3185040750693362E-2</c:v>
              </c:pt>
            </c:numLit>
          </c:yVal>
          <c:smooth val="0"/>
          <c:extLst>
            <c:ext xmlns:c16="http://schemas.microsoft.com/office/drawing/2014/chart" uri="{C3380CC4-5D6E-409C-BE32-E72D297353CC}">
              <c16:uniqueId val="{00000088-4FBA-4B77-B49D-A2AABC32351C}"/>
            </c:ext>
          </c:extLst>
        </c:ser>
        <c:ser>
          <c:idx val="137"/>
          <c:order val="137"/>
          <c:spPr>
            <a:ln w="3175">
              <a:solidFill>
                <a:srgbClr val="000000"/>
              </a:solidFill>
              <a:prstDash val="solid"/>
            </a:ln>
          </c:spPr>
          <c:marker>
            <c:symbol val="none"/>
          </c:marker>
          <c:xVal>
            <c:numLit>
              <c:formatCode>General</c:formatCode>
              <c:ptCount val="2"/>
              <c:pt idx="0">
                <c:v>-6.0833356038875808</c:v>
              </c:pt>
              <c:pt idx="1">
                <c:v>-5.6141861003052496</c:v>
              </c:pt>
            </c:numLit>
          </c:xVal>
          <c:yVal>
            <c:numLit>
              <c:formatCode>General</c:formatCode>
              <c:ptCount val="2"/>
              <c:pt idx="0">
                <c:v>1.2907158489149532E-2</c:v>
              </c:pt>
              <c:pt idx="1">
                <c:v>1.3183808196420238E-2</c:v>
              </c:pt>
            </c:numLit>
          </c:yVal>
          <c:smooth val="0"/>
          <c:extLst>
            <c:ext xmlns:c16="http://schemas.microsoft.com/office/drawing/2014/chart" uri="{C3380CC4-5D6E-409C-BE32-E72D297353CC}">
              <c16:uniqueId val="{00000089-4FBA-4B77-B49D-A2AABC32351C}"/>
            </c:ext>
          </c:extLst>
        </c:ser>
        <c:ser>
          <c:idx val="138"/>
          <c:order val="138"/>
          <c:spPr>
            <a:ln w="3175">
              <a:solidFill>
                <a:srgbClr val="000000"/>
              </a:solidFill>
              <a:prstDash val="solid"/>
            </a:ln>
          </c:spPr>
          <c:marker>
            <c:symbol val="none"/>
          </c:marker>
          <c:xVal>
            <c:numLit>
              <c:formatCode>General</c:formatCode>
              <c:ptCount val="2"/>
              <c:pt idx="0">
                <c:v>-5.9241286231448873</c:v>
              </c:pt>
              <c:pt idx="1">
                <c:v>-5.6922988192975605</c:v>
              </c:pt>
            </c:numLit>
          </c:xVal>
          <c:yVal>
            <c:numLit>
              <c:formatCode>General</c:formatCode>
              <c:ptCount val="2"/>
              <c:pt idx="0">
                <c:v>1.2761639254297252E-2</c:v>
              </c:pt>
              <c:pt idx="1">
                <c:v>1.2902473060257644E-2</c:v>
              </c:pt>
            </c:numLit>
          </c:yVal>
          <c:smooth val="0"/>
          <c:extLst>
            <c:ext xmlns:c16="http://schemas.microsoft.com/office/drawing/2014/chart" uri="{C3380CC4-5D6E-409C-BE32-E72D297353CC}">
              <c16:uniqueId val="{0000008A-4FBA-4B77-B49D-A2AABC32351C}"/>
            </c:ext>
          </c:extLst>
        </c:ser>
        <c:ser>
          <c:idx val="139"/>
          <c:order val="139"/>
          <c:spPr>
            <a:ln w="3175">
              <a:solidFill>
                <a:srgbClr val="000000"/>
              </a:solidFill>
              <a:prstDash val="solid"/>
            </a:ln>
          </c:spPr>
          <c:marker>
            <c:symbol val="none"/>
          </c:marker>
          <c:xVal>
            <c:numLit>
              <c:formatCode>General</c:formatCode>
              <c:ptCount val="2"/>
              <c:pt idx="0">
                <c:v>-5.7560730377038629</c:v>
              </c:pt>
              <c:pt idx="1">
                <c:v>-5.2982084501968325</c:v>
              </c:pt>
            </c:numLit>
          </c:xVal>
          <c:yVal>
            <c:numLit>
              <c:formatCode>General</c:formatCode>
              <c:ptCount val="2"/>
              <c:pt idx="0">
                <c:v>1.2612601820716014E-2</c:v>
              </c:pt>
              <c:pt idx="1">
                <c:v>1.2899408654484428E-2</c:v>
              </c:pt>
            </c:numLit>
          </c:yVal>
          <c:smooth val="0"/>
          <c:extLst>
            <c:ext xmlns:c16="http://schemas.microsoft.com/office/drawing/2014/chart" uri="{C3380CC4-5D6E-409C-BE32-E72D297353CC}">
              <c16:uniqueId val="{0000008B-4FBA-4B77-B49D-A2AABC32351C}"/>
            </c:ext>
          </c:extLst>
        </c:ser>
        <c:ser>
          <c:idx val="140"/>
          <c:order val="140"/>
          <c:spPr>
            <a:ln w="3175">
              <a:solidFill>
                <a:srgbClr val="000000"/>
              </a:solidFill>
              <a:prstDash val="solid"/>
            </a:ln>
          </c:spPr>
          <c:marker>
            <c:symbol val="none"/>
          </c:marker>
          <c:xVal>
            <c:numLit>
              <c:formatCode>General</c:formatCode>
              <c:ptCount val="2"/>
              <c:pt idx="0">
                <c:v>-5.578624186981501</c:v>
              </c:pt>
              <c:pt idx="1">
                <c:v>-5.352751356171475</c:v>
              </c:pt>
            </c:numLit>
          </c:xVal>
          <c:yVal>
            <c:numLit>
              <c:formatCode>General</c:formatCode>
              <c:ptCount val="2"/>
              <c:pt idx="0">
                <c:v>1.2460059169599368E-2</c:v>
              </c:pt>
              <c:pt idx="1">
                <c:v>1.2606092632192483E-2</c:v>
              </c:pt>
            </c:numLit>
          </c:yVal>
          <c:smooth val="0"/>
          <c:extLst>
            <c:ext xmlns:c16="http://schemas.microsoft.com/office/drawing/2014/chart" uri="{C3380CC4-5D6E-409C-BE32-E72D297353CC}">
              <c16:uniqueId val="{0000008C-4FBA-4B77-B49D-A2AABC32351C}"/>
            </c:ext>
          </c:extLst>
        </c:ser>
        <c:ser>
          <c:idx val="141"/>
          <c:order val="141"/>
          <c:spPr>
            <a:ln w="3175">
              <a:solidFill>
                <a:srgbClr val="000000"/>
              </a:solidFill>
              <a:prstDash val="solid"/>
            </a:ln>
          </c:spPr>
          <c:marker>
            <c:symbol val="none"/>
          </c:marker>
          <c:xVal>
            <c:numLit>
              <c:formatCode>General</c:formatCode>
              <c:ptCount val="2"/>
              <c:pt idx="0">
                <c:v>-5.3912089513591752</c:v>
              </c:pt>
              <c:pt idx="1">
                <c:v>-4.9459258840709275</c:v>
              </c:pt>
            </c:numLit>
          </c:xVal>
          <c:yVal>
            <c:numLit>
              <c:formatCode>General</c:formatCode>
              <c:ptCount val="2"/>
              <c:pt idx="0">
                <c:v>1.2304045016555564E-2</c:v>
              </c:pt>
              <c:pt idx="1">
                <c:v>1.2601491740122614E-2</c:v>
              </c:pt>
            </c:numLit>
          </c:yVal>
          <c:smooth val="0"/>
          <c:extLst>
            <c:ext xmlns:c16="http://schemas.microsoft.com/office/drawing/2014/chart" uri="{C3380CC4-5D6E-409C-BE32-E72D297353CC}">
              <c16:uniqueId val="{0000008D-4FBA-4B77-B49D-A2AABC32351C}"/>
            </c:ext>
          </c:extLst>
        </c:ser>
        <c:ser>
          <c:idx val="142"/>
          <c:order val="142"/>
          <c:spPr>
            <a:ln w="3175">
              <a:solidFill>
                <a:srgbClr val="000000"/>
              </a:solidFill>
              <a:prstDash val="solid"/>
            </a:ln>
          </c:spPr>
          <c:marker>
            <c:symbol val="none"/>
          </c:marker>
          <c:xVal>
            <c:numLit>
              <c:formatCode>General</c:formatCode>
              <c:ptCount val="2"/>
              <c:pt idx="0">
                <c:v>-5.1932260635615615</c:v>
              </c:pt>
              <c:pt idx="1">
                <c:v>-4.9739980279829137</c:v>
              </c:pt>
            </c:numLit>
          </c:xVal>
          <c:yVal>
            <c:numLit>
              <c:formatCode>General</c:formatCode>
              <c:ptCount val="2"/>
              <c:pt idx="0">
                <c:v>1.214461715663261E-2</c:v>
              </c:pt>
              <c:pt idx="1">
                <c:v>1.2296089274621703E-2</c:v>
              </c:pt>
            </c:numLit>
          </c:yVal>
          <c:smooth val="0"/>
          <c:extLst>
            <c:ext xmlns:c16="http://schemas.microsoft.com/office/drawing/2014/chart" uri="{C3380CC4-5D6E-409C-BE32-E72D297353CC}">
              <c16:uniqueId val="{0000008E-4FBA-4B77-B49D-A2AABC32351C}"/>
            </c:ext>
          </c:extLst>
        </c:ser>
        <c:ser>
          <c:idx val="143"/>
          <c:order val="143"/>
          <c:spPr>
            <a:ln w="3175">
              <a:solidFill>
                <a:srgbClr val="000000"/>
              </a:solidFill>
              <a:prstDash val="solid"/>
            </a:ln>
          </c:spPr>
          <c:marker>
            <c:symbol val="none"/>
          </c:marker>
          <c:xVal>
            <c:numLit>
              <c:formatCode>General</c:formatCode>
              <c:ptCount val="2"/>
              <c:pt idx="0">
                <c:v>-4.9840469263693068</c:v>
              </c:pt>
              <c:pt idx="1">
                <c:v>-4.5528039289082951</c:v>
              </c:pt>
            </c:numLit>
          </c:xVal>
          <c:yVal>
            <c:numLit>
              <c:formatCode>General</c:formatCode>
              <c:ptCount val="2"/>
              <c:pt idx="0">
                <c:v>1.1981861160791238E-2</c:v>
              </c:pt>
              <c:pt idx="1">
                <c:v>1.2290417672488093E-2</c:v>
              </c:pt>
            </c:numLit>
          </c:yVal>
          <c:smooth val="0"/>
          <c:extLst>
            <c:ext xmlns:c16="http://schemas.microsoft.com/office/drawing/2014/chart" uri="{C3380CC4-5D6E-409C-BE32-E72D297353CC}">
              <c16:uniqueId val="{0000008F-4FBA-4B77-B49D-A2AABC32351C}"/>
            </c:ext>
          </c:extLst>
        </c:ser>
        <c:ser>
          <c:idx val="144"/>
          <c:order val="144"/>
          <c:spPr>
            <a:ln w="3175">
              <a:solidFill>
                <a:srgbClr val="000000"/>
              </a:solidFill>
              <a:prstDash val="solid"/>
            </a:ln>
          </c:spPr>
          <c:marker>
            <c:symbol val="none"/>
          </c:marker>
          <c:xVal>
            <c:numLit>
              <c:formatCode>General</c:formatCode>
              <c:ptCount val="2"/>
              <c:pt idx="0">
                <c:v>-4.763017052784714</c:v>
              </c:pt>
              <c:pt idx="1">
                <c:v>-4.5512064139435973</c:v>
              </c:pt>
            </c:numLit>
          </c:xVal>
          <c:yVal>
            <c:numLit>
              <c:formatCode>General</c:formatCode>
              <c:ptCount val="2"/>
              <c:pt idx="0">
                <c:v>1.1815894428391283E-2</c:v>
              </c:pt>
              <c:pt idx="1">
                <c:v>1.1973034179625917E-2</c:v>
              </c:pt>
            </c:numLit>
          </c:yVal>
          <c:smooth val="0"/>
          <c:extLst>
            <c:ext xmlns:c16="http://schemas.microsoft.com/office/drawing/2014/chart" uri="{C3380CC4-5D6E-409C-BE32-E72D297353CC}">
              <c16:uniqueId val="{00000090-4FBA-4B77-B49D-A2AABC32351C}"/>
            </c:ext>
          </c:extLst>
        </c:ser>
        <c:ser>
          <c:idx val="145"/>
          <c:order val="145"/>
          <c:spPr>
            <a:ln w="3175">
              <a:solidFill>
                <a:srgbClr val="000000"/>
              </a:solidFill>
              <a:prstDash val="solid"/>
            </a:ln>
          </c:spPr>
          <c:marker>
            <c:symbol val="none"/>
          </c:marker>
          <c:xVal>
            <c:numLit>
              <c:formatCode>General</c:formatCode>
              <c:ptCount val="2"/>
              <c:pt idx="0">
                <c:v>-4.5294582604980791</c:v>
              </c:pt>
              <c:pt idx="1">
                <c:v>-4.1138907342740056</c:v>
              </c:pt>
            </c:numLit>
          </c:xVal>
          <c:yVal>
            <c:numLit>
              <c:formatCode>General</c:formatCode>
              <c:ptCount val="2"/>
              <c:pt idx="0">
                <c:v>1.1646870589539764E-2</c:v>
              </c:pt>
              <c:pt idx="1">
                <c:v>1.1966978500245291E-2</c:v>
              </c:pt>
            </c:numLit>
          </c:yVal>
          <c:smooth val="0"/>
          <c:extLst>
            <c:ext xmlns:c16="http://schemas.microsoft.com/office/drawing/2014/chart" uri="{C3380CC4-5D6E-409C-BE32-E72D297353CC}">
              <c16:uniqueId val="{00000091-4FBA-4B77-B49D-A2AABC32351C}"/>
            </c:ext>
          </c:extLst>
        </c:ser>
        <c:ser>
          <c:idx val="146"/>
          <c:order val="146"/>
          <c:spPr>
            <a:ln w="3175">
              <a:solidFill>
                <a:srgbClr val="000000"/>
              </a:solidFill>
              <a:prstDash val="solid"/>
            </a:ln>
          </c:spPr>
          <c:marker>
            <c:symbol val="none"/>
          </c:marker>
          <c:xVal>
            <c:numLit>
              <c:formatCode>General</c:formatCode>
              <c:ptCount val="2"/>
              <c:pt idx="0">
                <c:v>-4.2826717679503306</c:v>
              </c:pt>
              <c:pt idx="1">
                <c:v>-4.07914294436498</c:v>
              </c:pt>
            </c:numLit>
          </c:xVal>
          <c:yVal>
            <c:numLit>
              <c:formatCode>General</c:formatCode>
              <c:ptCount val="2"/>
              <c:pt idx="0">
                <c:v>1.1474984236816857E-2</c:v>
              </c:pt>
              <c:pt idx="1">
                <c:v>1.1638001749975188E-2</c:v>
              </c:pt>
            </c:numLit>
          </c:yVal>
          <c:smooth val="0"/>
          <c:extLst>
            <c:ext xmlns:c16="http://schemas.microsoft.com/office/drawing/2014/chart" uri="{C3380CC4-5D6E-409C-BE32-E72D297353CC}">
              <c16:uniqueId val="{00000092-4FBA-4B77-B49D-A2AABC32351C}"/>
            </c:ext>
          </c:extLst>
        </c:ser>
        <c:ser>
          <c:idx val="147"/>
          <c:order val="147"/>
          <c:spPr>
            <a:ln w="3175">
              <a:solidFill>
                <a:srgbClr val="000000"/>
              </a:solidFill>
              <a:prstDash val="solid"/>
            </a:ln>
          </c:spPr>
          <c:marker>
            <c:symbol val="none"/>
          </c:marker>
          <c:xVal>
            <c:numLit>
              <c:formatCode>General</c:formatCode>
              <c:ptCount val="2"/>
              <c:pt idx="0">
                <c:v>-4.021942353411518</c:v>
              </c:pt>
              <c:pt idx="1">
                <c:v>-3.6238753757076712</c:v>
              </c:pt>
            </c:numLit>
          </c:xVal>
          <c:yVal>
            <c:numLit>
              <c:formatCode>General</c:formatCode>
              <c:ptCount val="2"/>
              <c:pt idx="0">
                <c:v>1.1300475947320083E-2</c:v>
              </c:pt>
              <c:pt idx="1">
                <c:v>1.1632528500860769E-2</c:v>
              </c:pt>
            </c:numLit>
          </c:yVal>
          <c:smooth val="0"/>
          <c:extLst>
            <c:ext xmlns:c16="http://schemas.microsoft.com/office/drawing/2014/chart" uri="{C3380CC4-5D6E-409C-BE32-E72D297353CC}">
              <c16:uniqueId val="{00000093-4FBA-4B77-B49D-A2AABC32351C}"/>
            </c:ext>
          </c:extLst>
        </c:ser>
        <c:ser>
          <c:idx val="148"/>
          <c:order val="148"/>
          <c:spPr>
            <a:ln w="3175">
              <a:solidFill>
                <a:srgbClr val="000000"/>
              </a:solidFill>
              <a:prstDash val="solid"/>
            </a:ln>
          </c:spPr>
          <c:marker>
            <c:symbol val="none"/>
          </c:marker>
          <c:xVal>
            <c:numLit>
              <c:formatCode>General</c:formatCode>
              <c:ptCount val="147"/>
              <c:pt idx="0">
                <c:v>19.065942353411515</c:v>
              </c:pt>
              <c:pt idx="1">
                <c:v>18.790543749866966</c:v>
              </c:pt>
              <c:pt idx="2">
                <c:v>18.499745455246352</c:v>
              </c:pt>
              <c:pt idx="3">
                <c:v>18.192821137276322</c:v>
              </c:pt>
              <c:pt idx="4">
                <c:v>17.869058802111013</c:v>
              </c:pt>
              <c:pt idx="5">
                <c:v>17.527772872567621</c:v>
              </c:pt>
              <c:pt idx="6">
                <c:v>17.168318281619168</c:v>
              </c:pt>
              <c:pt idx="7">
                <c:v>16.790106626063352</c:v>
              </c:pt>
              <c:pt idx="8">
                <c:v>16.392624340635372</c:v>
              </c:pt>
              <c:pt idx="9">
                <c:v>15.9754527418382</c:v>
              </c:pt>
              <c:pt idx="10">
                <c:v>15.538289652700842</c:v>
              </c:pt>
              <c:pt idx="11">
                <c:v>15.08097215642557</c:v>
              </c:pt>
              <c:pt idx="12">
                <c:v>14.603499843901423</c:v>
              </c:pt>
              <c:pt idx="13">
                <c:v>14.106057727229052</c:v>
              </c:pt>
              <c:pt idx="14">
                <c:v>13.589037803579986</c:v>
              </c:pt>
              <c:pt idx="15">
                <c:v>13.053058090665036</c:v>
              </c:pt>
              <c:pt idx="16">
                <c:v>12.498977840522226</c:v>
              </c:pt>
              <c:pt idx="17">
                <c:v>11.927907597824111</c:v>
              </c:pt>
              <c:pt idx="18">
                <c:v>11.341212826619152</c:v>
              </c:pt>
              <c:pt idx="19">
                <c:v>10.740510003894533</c:v>
              </c:pt>
              <c:pt idx="20">
                <c:v>10.127654377823859</c:v>
              </c:pt>
              <c:pt idx="21">
                <c:v>9.5047190068155949</c:v>
              </c:pt>
              <c:pt idx="22">
                <c:v>8.8739652091894179</c:v>
              </c:pt>
              <c:pt idx="23">
                <c:v>8.2378051220730821</c:v>
              </c:pt>
              <c:pt idx="24">
                <c:v>7.5987576377376911</c:v>
              </c:pt>
              <c:pt idx="25">
                <c:v>6.9593994946761999</c:v>
              </c:pt>
              <c:pt idx="26">
                <c:v>6.3223136896666619</c:v>
              </c:pt>
              <c:pt idx="27">
                <c:v>5.690037597761866</c:v>
              </c:pt>
              <c:pt idx="28">
                <c:v>5.0650132114445139</c:v>
              </c:pt>
              <c:pt idx="29">
                <c:v>4.4495417349447202</c:v>
              </c:pt>
              <c:pt idx="30">
                <c:v>3.8457444174013791</c:v>
              </c:pt>
              <c:pt idx="31">
                <c:v>3.255531023136959</c:v>
              </c:pt>
              <c:pt idx="32">
                <c:v>2.6805767765256308</c:v>
              </c:pt>
              <c:pt idx="33">
                <c:v>2.1223080446173976</c:v>
              </c:pt>
              <c:pt idx="34">
                <c:v>1.5818964894711631</c:v>
              </c:pt>
              <c:pt idx="35">
                <c:v>1.0602609781934789</c:v>
              </c:pt>
              <c:pt idx="36">
                <c:v>0.55807620951249115</c:v>
              </c:pt>
              <c:pt idx="37">
                <c:v>7.5786811510906382E-2</c:v>
              </c:pt>
              <c:pt idx="38">
                <c:v>-0.38637441921499299</c:v>
              </c:pt>
              <c:pt idx="39">
                <c:v>-0.82836544769946818</c:v>
              </c:pt>
              <c:pt idx="40">
                <c:v>-1.2503123116501493</c:v>
              </c:pt>
              <c:pt idx="41">
                <c:v>-1.6524858712974235</c:v>
              </c:pt>
              <c:pt idx="42">
                <c:v>-2.0352788721065513</c:v>
              </c:pt>
              <c:pt idx="43">
                <c:v>-2.3991840012325829</c:v>
              </c:pt>
              <c:pt idx="44">
                <c:v>-2.7447734321668316</c:v>
              </c:pt>
              <c:pt idx="45">
                <c:v>-3.072680183386634</c:v>
              </c:pt>
              <c:pt idx="46">
                <c:v>-3.3835814724217705</c:v>
              </c:pt>
              <c:pt idx="47">
                <c:v>-3.6781841292440793</c:v>
              </c:pt>
              <c:pt idx="48">
                <c:v>-3.9572120420841821</c:v>
              </c:pt>
              <c:pt idx="49">
                <c:v>-4.221395542588029</c:v>
              </c:pt>
              <c:pt idx="50">
                <c:v>-4.4714625924504272</c:v>
              </c:pt>
              <c:pt idx="51">
                <c:v>-4.7081316066320262</c:v>
              </c:pt>
              <c:pt idx="52">
                <c:v>-4.9321057352905999</c:v>
              </c:pt>
              <c:pt idx="53">
                <c:v>-5.1440684242141916</c:v>
              </c:pt>
              <c:pt idx="54">
                <c:v>-5.3446800788427877</c:v>
              </c:pt>
              <c:pt idx="55">
                <c:v>-5.5345756674157736</c:v>
              </c:pt>
              <c:pt idx="56">
                <c:v>-5.714363112392145</c:v>
              </c:pt>
              <c:pt idx="57">
                <c:v>-6.0459048297431641</c:v>
              </c:pt>
              <c:pt idx="58">
                <c:v>-6.3436038686490521</c:v>
              </c:pt>
              <c:pt idx="59">
                <c:v>-6.6113117622552888</c:v>
              </c:pt>
              <c:pt idx="60">
                <c:v>-6.8524545533004888</c:v>
              </c:pt>
              <c:pt idx="61">
                <c:v>-7.0700641161397257</c:v>
              </c:pt>
              <c:pt idx="62">
                <c:v>-7.2668139627913737</c:v>
              </c:pt>
              <c:pt idx="63">
                <c:v>-7.4450561220153224</c:v>
              </c:pt>
              <c:pt idx="64">
                <c:v>-7.6068569785848918</c:v>
              </c:pt>
              <c:pt idx="65">
                <c:v>-7.7540308580023209</c:v>
              </c:pt>
              <c:pt idx="66">
                <c:v>-7.8881707432153219</c:v>
              </c:pt>
              <c:pt idx="67">
                <c:v>-8.0106758986490121</c:v>
              </c:pt>
              <c:pt idx="68">
                <c:v>-8.1227764177225303</c:v>
              </c:pt>
              <c:pt idx="69">
                <c:v>-8.2255548505858034</c:v>
              </c:pt>
              <c:pt idx="70">
                <c:v>-8.3199651431045574</c:v>
              </c:pt>
              <c:pt idx="71">
                <c:v>-8.4068491498525173</c:v>
              </c:pt>
              <c:pt idx="72">
                <c:v>-8.486950989224928</c:v>
              </c:pt>
              <c:pt idx="73">
                <c:v>-8.5609294985956481</c:v>
              </c:pt>
              <c:pt idx="74">
                <c:v>-8.6293690287967184</c:v>
              </c:pt>
              <c:pt idx="75">
                <c:v>-8.6927887946424995</c:v>
              </c:pt>
              <c:pt idx="76">
                <c:v>-8.7516509745654023</c:v>
              </c:pt>
              <c:pt idx="77">
                <c:v>-8.8573072883626267</c:v>
              </c:pt>
              <c:pt idx="78">
                <c:v>-8.9491390821074628</c:v>
              </c:pt>
              <c:pt idx="79">
                <c:v>-9.0293977395002667</c:v>
              </c:pt>
              <c:pt idx="80">
                <c:v>-9.0999057043833709</c:v>
              </c:pt>
              <c:pt idx="81">
                <c:v>-9.1621483944066782</c:v>
              </c:pt>
              <c:pt idx="82">
                <c:v>-9.2890805085034174</c:v>
              </c:pt>
              <c:pt idx="83">
                <c:v>-9.3854262264463078</c:v>
              </c:pt>
              <c:pt idx="84">
                <c:v>-9.4601719381821585</c:v>
              </c:pt>
              <c:pt idx="85">
                <c:v>-9.5192631793601503</c:v>
              </c:pt>
              <c:pt idx="86">
                <c:v>-9.5667494735594438</c:v>
              </c:pt>
              <c:pt idx="87">
                <c:v>-9.6054604899925025</c:v>
              </c:pt>
              <c:pt idx="88">
                <c:v>-9.6640995467395676</c:v>
              </c:pt>
              <c:pt idx="89">
                <c:v>-9.7057408037734945</c:v>
              </c:pt>
              <c:pt idx="90">
                <c:v>-9.7363488755763594</c:v>
              </c:pt>
              <c:pt idx="91">
                <c:v>-9.7594920592975569</c:v>
              </c:pt>
              <c:pt idx="92">
                <c:v>-9.7774082431157812</c:v>
              </c:pt>
              <c:pt idx="93">
                <c:v>-9.826239533393677</c:v>
              </c:pt>
              <c:pt idx="94">
                <c:v>-9.8465584490956477</c:v>
              </c:pt>
              <c:pt idx="95">
                <c:v>-9.862870431265371</c:v>
              </c:pt>
              <c:pt idx="96">
                <c:v>-9.8691357952931487</c:v>
              </c:pt>
              <c:pt idx="97">
                <c:v>-9.8780000000000001</c:v>
              </c:pt>
              <c:pt idx="98">
                <c:v>-9.8665090567206697</c:v>
              </c:pt>
              <c:pt idx="99">
                <c:v>-9.8566117153194046</c:v>
              </c:pt>
              <c:pt idx="100">
                <c:v>-9.825120498007605</c:v>
              </c:pt>
              <c:pt idx="101">
                <c:v>-9.7743638069967425</c:v>
              </c:pt>
              <c:pt idx="102">
                <c:v>-9.7555947041230944</c:v>
              </c:pt>
              <c:pt idx="103">
                <c:v>-9.7312495160578543</c:v>
              </c:pt>
              <c:pt idx="104">
                <c:v>-9.6988930377242379</c:v>
              </c:pt>
              <c:pt idx="105">
                <c:v>-9.6546103310984979</c:v>
              </c:pt>
              <c:pt idx="106">
                <c:v>-9.5917920119000488</c:v>
              </c:pt>
              <c:pt idx="107">
                <c:v>-9.5500552853147749</c:v>
              </c:pt>
              <c:pt idx="108">
                <c:v>-9.4985920174877663</c:v>
              </c:pt>
              <c:pt idx="109">
                <c:v>-9.4341733564072943</c:v>
              </c:pt>
              <c:pt idx="110">
                <c:v>-9.3521355422659074</c:v>
              </c:pt>
              <c:pt idx="111">
                <c:v>-9.2455590364770597</c:v>
              </c:pt>
              <c:pt idx="112">
                <c:v>-9.1038600359190358</c:v>
              </c:pt>
              <c:pt idx="113">
                <c:v>-9.033886916005148</c:v>
              </c:pt>
              <c:pt idx="114">
                <c:v>-8.954260939861248</c:v>
              </c:pt>
              <c:pt idx="115">
                <c:v>-8.8631822315685405</c:v>
              </c:pt>
              <c:pt idx="116">
                <c:v>-8.7584282202067296</c:v>
              </c:pt>
              <c:pt idx="117">
                <c:v>-8.6372348348493126</c:v>
              </c:pt>
              <c:pt idx="118">
                <c:v>-8.5694238961193641</c:v>
              </c:pt>
              <c:pt idx="119">
                <c:v>-8.496139552640436</c:v>
              </c:pt>
              <c:pt idx="120">
                <c:v>-8.4168057372568565</c:v>
              </c:pt>
              <c:pt idx="121">
                <c:v>-8.3307730905498314</c:v>
              </c:pt>
              <c:pt idx="122">
                <c:v>-8.2373083506110412</c:v>
              </c:pt>
              <c:pt idx="123">
                <c:v>-8.135582109378646</c:v>
              </c:pt>
              <c:pt idx="124">
                <c:v>-8.0246546988258096</c:v>
              </c:pt>
              <c:pt idx="125">
                <c:v>-7.9034599509797507</c:v>
              </c:pt>
              <c:pt idx="126">
                <c:v>-7.7707865642283949</c:v>
              </c:pt>
              <c:pt idx="127">
                <c:v>-7.6252568113761559</c:v>
              </c:pt>
              <c:pt idx="128">
                <c:v>-7.4653023527450681</c:v>
              </c:pt>
              <c:pt idx="129">
                <c:v>-7.2891369857220321</c:v>
              </c:pt>
              <c:pt idx="130">
                <c:v>-7.0947262932026645</c:v>
              </c:pt>
              <c:pt idx="131">
                <c:v>-6.8797543799888556</c:v>
              </c:pt>
              <c:pt idx="132">
                <c:v>-6.6415882541581794</c:v>
              </c:pt>
              <c:pt idx="133">
                <c:v>-6.5128887746212865</c:v>
              </c:pt>
              <c:pt idx="134">
                <c:v>-6.377240982176394</c:v>
              </c:pt>
              <c:pt idx="135">
                <c:v>-6.2342102755987439</c:v>
              </c:pt>
              <c:pt idx="136">
                <c:v>-6.0833356038875808</c:v>
              </c:pt>
              <c:pt idx="137">
                <c:v>-5.9241286231448873</c:v>
              </c:pt>
              <c:pt idx="138">
                <c:v>-5.7560730377038629</c:v>
              </c:pt>
              <c:pt idx="139">
                <c:v>-5.578624186981501</c:v>
              </c:pt>
              <c:pt idx="140">
                <c:v>-5.3912089513591752</c:v>
              </c:pt>
              <c:pt idx="141">
                <c:v>-5.1932260635615615</c:v>
              </c:pt>
              <c:pt idx="142">
                <c:v>-4.9840469263693068</c:v>
              </c:pt>
              <c:pt idx="143">
                <c:v>-4.763017052784714</c:v>
              </c:pt>
              <c:pt idx="144">
                <c:v>-4.5294582604980791</c:v>
              </c:pt>
              <c:pt idx="145">
                <c:v>-4.2826717679503306</c:v>
              </c:pt>
              <c:pt idx="146">
                <c:v>-4.021942353411518</c:v>
              </c:pt>
            </c:numLit>
          </c:xVal>
          <c:yVal>
            <c:numLit>
              <c:formatCode>General</c:formatCode>
              <c:ptCount val="147"/>
              <c:pt idx="0">
                <c:v>3.0559524052679921E-2</c:v>
              </c:pt>
              <c:pt idx="1">
                <c:v>3.0736362467444784E-2</c:v>
              </c:pt>
              <c:pt idx="2">
                <c:v>3.0915182575025162E-2</c:v>
              </c:pt>
              <c:pt idx="3">
                <c:v>3.1095573924337105E-2</c:v>
              </c:pt>
              <c:pt idx="4">
                <c:v>3.1277058802111013E-2</c:v>
              </c:pt>
              <c:pt idx="5">
                <c:v>3.145908735335045E-2</c:v>
              </c:pt>
              <c:pt idx="6">
                <c:v>3.1641033323740492E-2</c:v>
              </c:pt>
              <c:pt idx="7">
                <c:v>3.1822190731097821E-2</c:v>
              </c:pt>
              <c:pt idx="8">
                <c:v>3.2001771819701222E-2</c:v>
              </c:pt>
              <c:pt idx="9">
                <c:v>3.2178906690858773E-2</c:v>
              </c:pt>
              <c:pt idx="10">
                <c:v>3.2352645029202619E-2</c:v>
              </c:pt>
              <c:pt idx="11">
                <c:v>3.2521960349640437E-2</c:v>
              </c:pt>
              <c:pt idx="12">
                <c:v>3.2685757166608632E-2</c:v>
              </c:pt>
              <c:pt idx="13">
                <c:v>3.2842881427324513E-2</c:v>
              </c:pt>
              <c:pt idx="14">
                <c:v>3.2992134447433728E-2</c:v>
              </c:pt>
              <c:pt idx="15">
                <c:v>3.3132290436861909E-2</c:v>
              </c:pt>
              <c:pt idx="16">
                <c:v>3.3262117506318627E-2</c:v>
              </c:pt>
              <c:pt idx="17">
                <c:v>3.3380401807334426E-2</c:v>
              </c:pt>
              <c:pt idx="18">
                <c:v>3.348597419470218E-2</c:v>
              </c:pt>
              <c:pt idx="19">
                <c:v>3.3577738530929296E-2</c:v>
              </c:pt>
              <c:pt idx="20">
                <c:v>3.3654700505295149E-2</c:v>
              </c:pt>
              <c:pt idx="21">
                <c:v>3.3715995646515944E-2</c:v>
              </c:pt>
              <c:pt idx="22">
                <c:v>3.3760915098533552E-2</c:v>
              </c:pt>
              <c:pt idx="23">
                <c:v>3.378892772867001E-2</c:v>
              </c:pt>
              <c:pt idx="24">
                <c:v>3.3799697260686282E-2</c:v>
              </c:pt>
              <c:pt idx="25">
                <c:v>3.3793093371721462E-2</c:v>
              </c:pt>
              <c:pt idx="26">
                <c:v>3.3769196044631293E-2</c:v>
              </c:pt>
              <c:pt idx="27">
                <c:v>3.3728292893413635E-2</c:v>
              </c:pt>
              <c:pt idx="28">
                <c:v>3.3670869635499083E-2</c:v>
              </c:pt>
              <c:pt idx="29">
                <c:v>3.3597594322318097E-2</c:v>
              </c:pt>
              <c:pt idx="30">
                <c:v>3.3509296313245625E-2</c:v>
              </c:pt>
              <c:pt idx="31">
                <c:v>3.3406941252105297E-2</c:v>
              </c:pt>
              <c:pt idx="32">
                <c:v>3.3291603458921876E-2</c:v>
              </c:pt>
              <c:pt idx="33">
                <c:v>3.3164437178186706E-2</c:v>
              </c:pt>
              <c:pt idx="34">
                <c:v>3.3026648039659948E-2</c:v>
              </c:pt>
              <c:pt idx="35">
                <c:v>3.2879465911649565E-2</c:v>
              </c:pt>
              <c:pt idx="36">
                <c:v>3.2724120089613527E-2</c:v>
              </c:pt>
              <c:pt idx="37">
                <c:v>3.2561817496304393E-2</c:v>
              </c:pt>
              <c:pt idx="38">
                <c:v>3.2393724302205024E-2</c:v>
              </c:pt>
              <c:pt idx="39">
                <c:v>3.2220951129550625E-2</c:v>
              </c:pt>
              <c:pt idx="40">
                <c:v>3.2044541795365311E-2</c:v>
              </c:pt>
              <c:pt idx="41">
                <c:v>3.1865465386878213E-2</c:v>
              </c:pt>
              <c:pt idx="42">
                <c:v>3.1684611348254135E-2</c:v>
              </c:pt>
              <c:pt idx="43">
                <c:v>3.1502787187754219E-2</c:v>
              </c:pt>
              <c:pt idx="44">
                <c:v>3.1320718383058194E-2</c:v>
              </c:pt>
              <c:pt idx="45">
                <c:v>3.1139050061769116E-2</c:v>
              </c:pt>
              <c:pt idx="46">
                <c:v>3.0958350055992959E-2</c:v>
              </c:pt>
              <c:pt idx="47">
                <c:v>3.0779112966800307E-2</c:v>
              </c:pt>
              <c:pt idx="48">
                <c:v>3.0601764919879974E-2</c:v>
              </c:pt>
              <c:pt idx="49">
                <c:v>3.0426668742639516E-2</c:v>
              </c:pt>
              <c:pt idx="50">
                <c:v>3.0254129341580477E-2</c:v>
              </c:pt>
              <c:pt idx="51">
                <c:v>3.0084399104368914E-2</c:v>
              </c:pt>
              <c:pt idx="52">
                <c:v>2.9917683192038989E-2</c:v>
              </c:pt>
              <c:pt idx="53">
                <c:v>2.9754144622409617E-2</c:v>
              </c:pt>
              <c:pt idx="54">
                <c:v>2.9593909075847288E-2</c:v>
              </c:pt>
              <c:pt idx="55">
                <c:v>2.9437069379158205E-2</c:v>
              </c:pt>
              <c:pt idx="56">
                <c:v>2.9283689643078106E-2</c:v>
              </c:pt>
              <c:pt idx="57">
                <c:v>2.8987445253082427E-2</c:v>
              </c:pt>
              <c:pt idx="58">
                <c:v>2.8705249438049581E-2</c:v>
              </c:pt>
              <c:pt idx="59">
                <c:v>2.843692272060656E-2</c:v>
              </c:pt>
              <c:pt idx="60">
                <c:v>2.8182106961193734E-2</c:v>
              </c:pt>
              <c:pt idx="61">
                <c:v>2.7940323066302088E-2</c:v>
              </c:pt>
              <c:pt idx="62">
                <c:v>2.771101497108848E-2</c:v>
              </c:pt>
              <c:pt idx="63">
                <c:v>2.7493582588817535E-2</c:v>
              </c:pt>
              <c:pt idx="64">
                <c:v>2.7287406065353549E-2</c:v>
              </c:pt>
              <c:pt idx="65">
                <c:v>2.7091863289154108E-2</c:v>
              </c:pt>
              <c:pt idx="66">
                <c:v>2.690634223888767E-2</c:v>
              </c:pt>
              <c:pt idx="67">
                <c:v>2.673024942614733E-2</c:v>
              </c:pt>
              <c:pt idx="68">
                <c:v>2.6563015417404752E-2</c:v>
              </c:pt>
              <c:pt idx="69">
                <c:v>2.640409819616079E-2</c:v>
              </c:pt>
              <c:pt idx="70">
                <c:v>2.6252984947883497E-2</c:v>
              </c:pt>
              <c:pt idx="71">
                <c:v>2.610919271000376E-2</c:v>
              </c:pt>
              <c:pt idx="72">
                <c:v>2.597226822015037E-2</c:v>
              </c:pt>
              <c:pt idx="73">
                <c:v>2.5841787211775113E-2</c:v>
              </c:pt>
              <c:pt idx="74">
                <c:v>2.5717353342065267E-2</c:v>
              </c:pt>
              <c:pt idx="75">
                <c:v>2.5598596888211325E-2</c:v>
              </c:pt>
              <c:pt idx="76">
                <c:v>2.5485173311188873E-2</c:v>
              </c:pt>
              <c:pt idx="77">
                <c:v>2.5273063556165737E-2</c:v>
              </c:pt>
              <c:pt idx="78">
                <c:v>2.5078714550976496E-2</c:v>
              </c:pt>
              <c:pt idx="79">
                <c:v>2.4900125447290717E-2</c:v>
              </c:pt>
              <c:pt idx="80">
                <c:v>2.4735561478973527E-2</c:v>
              </c:pt>
              <c:pt idx="81">
                <c:v>2.4583516169954973E-2</c:v>
              </c:pt>
              <c:pt idx="82">
                <c:v>2.4249973889194042E-2</c:v>
              </c:pt>
              <c:pt idx="83">
                <c:v>2.3970556092921879E-2</c:v>
              </c:pt>
              <c:pt idx="84">
                <c:v>2.3733423854580125E-2</c:v>
              </c:pt>
              <c:pt idx="85">
                <c:v>2.3529865143833231E-2</c:v>
              </c:pt>
              <c:pt idx="86">
                <c:v>2.3353355225599216E-2</c:v>
              </c:pt>
              <c:pt idx="87">
                <c:v>2.3198926159195745E-2</c:v>
              </c:pt>
              <c:pt idx="88">
                <c:v>2.294177753595765E-2</c:v>
              </c:pt>
              <c:pt idx="89">
                <c:v>2.2736452704669185E-2</c:v>
              </c:pt>
              <c:pt idx="90">
                <c:v>2.2568842643838953E-2</c:v>
              </c:pt>
              <c:pt idx="91">
                <c:v>2.2429498103471914E-2</c:v>
              </c:pt>
              <c:pt idx="92">
                <c:v>2.2311864752467405E-2</c:v>
              </c:pt>
              <c:pt idx="93">
                <c:v>2.19219477646126E-2</c:v>
              </c:pt>
              <c:pt idx="94">
                <c:v>2.1703336717703383E-2</c:v>
              </c:pt>
              <c:pt idx="95">
                <c:v>2.1466576659932901E-2</c:v>
              </c:pt>
              <c:pt idx="96">
                <c:v>2.1340749932151591E-2</c:v>
              </c:pt>
              <c:pt idx="97">
                <c:v>2.0930000000000001E-2</c:v>
              </c:pt>
              <c:pt idx="98">
                <c:v>2.0462352026117177E-2</c:v>
              </c:pt>
              <c:pt idx="99">
                <c:v>2.0292078253462336E-2</c:v>
              </c:pt>
              <c:pt idx="100">
                <c:v>1.9927403009249937E-2</c:v>
              </c:pt>
              <c:pt idx="101">
                <c:v>1.9527441400141971E-2</c:v>
              </c:pt>
              <c:pt idx="102">
                <c:v>1.9406130083083659E-2</c:v>
              </c:pt>
              <c:pt idx="103">
                <c:v>1.9262042185935597E-2</c:v>
              </c:pt>
              <c:pt idx="104">
                <c:v>1.9088173676807301E-2</c:v>
              </c:pt>
              <c:pt idx="105">
                <c:v>1.8874364740294421E-2</c:v>
              </c:pt>
              <c:pt idx="106">
                <c:v>1.8605334220365727E-2</c:v>
              </c:pt>
              <c:pt idx="107">
                <c:v>1.8443106339845548E-2</c:v>
              </c:pt>
              <c:pt idx="108">
                <c:v>1.8257081553294929E-2</c:v>
              </c:pt>
              <c:pt idx="109">
                <c:v>1.8041765933534418E-2</c:v>
              </c:pt>
              <c:pt idx="110">
                <c:v>1.7789900045223919E-2</c:v>
              </c:pt>
              <c:pt idx="111">
                <c:v>1.7491727600755014E-2</c:v>
              </c:pt>
              <c:pt idx="112">
                <c:v>1.7133900318625845E-2</c:v>
              </c:pt>
              <c:pt idx="113">
                <c:v>1.6970127856038714E-2</c:v>
              </c:pt>
              <c:pt idx="114">
                <c:v>1.6792426733524612E-2</c:v>
              </c:pt>
              <c:pt idx="115">
                <c:v>1.6599076898329495E-2</c:v>
              </c:pt>
              <c:pt idx="116">
                <c:v>1.6388094622981707E-2</c:v>
              </c:pt>
              <c:pt idx="117">
                <c:v>1.6157190180898885E-2</c:v>
              </c:pt>
              <c:pt idx="118">
                <c:v>1.6033456612372633E-2</c:v>
              </c:pt>
              <c:pt idx="119">
                <c:v>1.590372165004483E-2</c:v>
              </c:pt>
              <c:pt idx="120">
                <c:v>1.5767592217746176E-2</c:v>
              </c:pt>
              <c:pt idx="121">
                <c:v>1.5624647462044871E-2</c:v>
              </c:pt>
              <c:pt idx="122">
                <c:v>1.5474437646003199E-2</c:v>
              </c:pt>
              <c:pt idx="123">
                <c:v>1.5316483392004664E-2</c:v>
              </c:pt>
              <c:pt idx="124">
                <c:v>1.5150275451951677E-2</c:v>
              </c:pt>
              <c:pt idx="125">
                <c:v>1.4975275245324009E-2</c:v>
              </c:pt>
              <c:pt idx="126">
                <c:v>1.4790916486985731E-2</c:v>
              </c:pt>
              <c:pt idx="127">
                <c:v>1.4596608332400495E-2</c:v>
              </c:pt>
              <c:pt idx="128">
                <c:v>1.4391740604136366E-2</c:v>
              </c:pt>
              <c:pt idx="129">
                <c:v>1.4175691836973547E-2</c:v>
              </c:pt>
              <c:pt idx="130">
                <c:v>1.3947841096409371E-2</c:v>
              </c:pt>
              <c:pt idx="131">
                <c:v>1.3707584792488141E-2</c:v>
              </c:pt>
              <c:pt idx="132">
                <c:v>1.3454360029547155E-2</c:v>
              </c:pt>
              <c:pt idx="133">
                <c:v>1.3322727312893847E-2</c:v>
              </c:pt>
              <c:pt idx="134">
                <c:v>1.3187676396417802E-2</c:v>
              </c:pt>
              <c:pt idx="135">
                <c:v>1.304916427263535E-2</c:v>
              </c:pt>
              <c:pt idx="136">
                <c:v>1.2907158489149532E-2</c:v>
              </c:pt>
              <c:pt idx="137">
                <c:v>1.2761639254297252E-2</c:v>
              </c:pt>
              <c:pt idx="138">
                <c:v>1.2612601820716014E-2</c:v>
              </c:pt>
              <c:pt idx="139">
                <c:v>1.2460059169599368E-2</c:v>
              </c:pt>
              <c:pt idx="140">
                <c:v>1.2304045016555564E-2</c:v>
              </c:pt>
              <c:pt idx="141">
                <c:v>1.214461715663261E-2</c:v>
              </c:pt>
              <c:pt idx="142">
                <c:v>1.1981861160791238E-2</c:v>
              </c:pt>
              <c:pt idx="143">
                <c:v>1.1815894428391283E-2</c:v>
              </c:pt>
              <c:pt idx="144">
                <c:v>1.1646870589539764E-2</c:v>
              </c:pt>
              <c:pt idx="145">
                <c:v>1.1474984236816857E-2</c:v>
              </c:pt>
              <c:pt idx="146">
                <c:v>1.1300475947320083E-2</c:v>
              </c:pt>
            </c:numLit>
          </c:yVal>
          <c:smooth val="1"/>
          <c:extLst>
            <c:ext xmlns:c16="http://schemas.microsoft.com/office/drawing/2014/chart" uri="{C3380CC4-5D6E-409C-BE32-E72D297353CC}">
              <c16:uniqueId val="{00000094-4FBA-4B77-B49D-A2AABC32351C}"/>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6BE9-4072-907B-A4622C19C5E5}"/>
            </c:ext>
          </c:extLst>
        </c:ser>
        <c:ser>
          <c:idx val="1"/>
          <c:order val="1"/>
          <c:spPr>
            <a:ln w="3175">
              <a:solidFill>
                <a:srgbClr val="000000"/>
              </a:solidFill>
              <a:prstDash val="solid"/>
            </a:ln>
          </c:spPr>
          <c:marker>
            <c:symbol val="none"/>
          </c:marker>
          <c:xVal>
            <c:numLit>
              <c:formatCode>General</c:formatCode>
              <c:ptCount val="2"/>
              <c:pt idx="0">
                <c:v>16.810229479756391</c:v>
              </c:pt>
              <c:pt idx="1">
                <c:v>17.208296457460236</c:v>
              </c:pt>
            </c:numLit>
          </c:xVal>
          <c:yVal>
            <c:numLit>
              <c:formatCode>General</c:formatCode>
              <c:ptCount val="2"/>
              <c:pt idx="0">
                <c:v>2.8677892915949361E-2</c:v>
              </c:pt>
              <c:pt idx="1">
                <c:v>2.900994546949005E-2</c:v>
              </c:pt>
            </c:numLit>
          </c:yVal>
          <c:smooth val="0"/>
          <c:extLst>
            <c:ext xmlns:c16="http://schemas.microsoft.com/office/drawing/2014/chart" uri="{C3380CC4-5D6E-409C-BE32-E72D297353CC}">
              <c16:uniqueId val="{00000001-6BE9-4072-907B-A4622C19C5E5}"/>
            </c:ext>
          </c:extLst>
        </c:ser>
        <c:ser>
          <c:idx val="2"/>
          <c:order val="2"/>
          <c:spPr>
            <a:ln w="3175">
              <a:solidFill>
                <a:srgbClr val="000000"/>
              </a:solidFill>
              <a:prstDash val="solid"/>
            </a:ln>
          </c:spPr>
          <c:marker>
            <c:symbol val="none"/>
          </c:marker>
          <c:dLbls>
            <c:dLbl>
              <c:idx val="0"/>
              <c:tx>
                <c:rich>
                  <a:bodyPr rot="-28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17.938085916583955</c:v>
              </c:pt>
            </c:numLit>
          </c:xVal>
          <c:yVal>
            <c:numLit>
              <c:formatCode>General</c:formatCode>
              <c:ptCount val="1"/>
              <c:pt idx="0">
                <c:v>2.9618708484314641E-2</c:v>
              </c:pt>
            </c:numLit>
          </c:yVal>
          <c:smooth val="0"/>
          <c:extLst>
            <c:ext xmlns:c16="http://schemas.microsoft.com/office/drawing/2014/chart" uri="{C3380CC4-5D6E-409C-BE32-E72D297353CC}">
              <c16:uniqueId val="{00000003-6BE9-4072-907B-A4622C19C5E5}"/>
            </c:ext>
          </c:extLst>
        </c:ser>
        <c:ser>
          <c:idx val="3"/>
          <c:order val="3"/>
          <c:spPr>
            <a:ln w="3175">
              <a:solidFill>
                <a:srgbClr val="000000"/>
              </a:solidFill>
              <a:prstDash val="solid"/>
            </a:ln>
          </c:spPr>
          <c:marker>
            <c:symbol val="none"/>
          </c:marker>
          <c:xVal>
            <c:numLit>
              <c:formatCode>General</c:formatCode>
              <c:ptCount val="2"/>
              <c:pt idx="0">
                <c:v>16.588644396444685</c:v>
              </c:pt>
              <c:pt idx="1">
                <c:v>16.782929633511358</c:v>
              </c:pt>
            </c:numLit>
          </c:xVal>
          <c:yVal>
            <c:numLit>
              <c:formatCode>General</c:formatCode>
              <c:ptCount val="2"/>
              <c:pt idx="0">
                <c:v>2.882017669794408E-2</c:v>
              </c:pt>
              <c:pt idx="1">
                <c:v>2.8989251912900024E-2</c:v>
              </c:pt>
            </c:numLit>
          </c:yVal>
          <c:smooth val="0"/>
          <c:extLst>
            <c:ext xmlns:c16="http://schemas.microsoft.com/office/drawing/2014/chart" uri="{C3380CC4-5D6E-409C-BE32-E72D297353CC}">
              <c16:uniqueId val="{00000004-6BE9-4072-907B-A4622C19C5E5}"/>
            </c:ext>
          </c:extLst>
        </c:ser>
        <c:ser>
          <c:idx val="4"/>
          <c:order val="4"/>
          <c:spPr>
            <a:ln w="3175">
              <a:solidFill>
                <a:srgbClr val="000000"/>
              </a:solidFill>
              <a:prstDash val="solid"/>
            </a:ln>
          </c:spPr>
          <c:marker>
            <c:symbol val="none"/>
          </c:marker>
          <c:xVal>
            <c:numLit>
              <c:formatCode>General</c:formatCode>
              <c:ptCount val="2"/>
              <c:pt idx="0">
                <c:v>16.354668757094764</c:v>
              </c:pt>
              <c:pt idx="1">
                <c:v>16.733211703827397</c:v>
              </c:pt>
            </c:numLit>
          </c:xVal>
          <c:yVal>
            <c:numLit>
              <c:formatCode>General</c:formatCode>
              <c:ptCount val="2"/>
              <c:pt idx="0">
                <c:v>2.8964054945422545E-2</c:v>
              </c:pt>
              <c:pt idx="1">
                <c:v>2.9308371585940653E-2</c:v>
              </c:pt>
            </c:numLit>
          </c:yVal>
          <c:smooth val="0"/>
          <c:extLst>
            <c:ext xmlns:c16="http://schemas.microsoft.com/office/drawing/2014/chart" uri="{C3380CC4-5D6E-409C-BE32-E72D297353CC}">
              <c16:uniqueId val="{00000005-6BE9-4072-907B-A4622C19C5E5}"/>
            </c:ext>
          </c:extLst>
        </c:ser>
        <c:ser>
          <c:idx val="5"/>
          <c:order val="5"/>
          <c:spPr>
            <a:ln w="3175">
              <a:solidFill>
                <a:srgbClr val="000000"/>
              </a:solidFill>
              <a:prstDash val="solid"/>
            </a:ln>
          </c:spPr>
          <c:marker>
            <c:symbol val="none"/>
          </c:marker>
          <c:xVal>
            <c:numLit>
              <c:formatCode>General</c:formatCode>
              <c:ptCount val="2"/>
              <c:pt idx="0">
                <c:v>16.107718156429225</c:v>
              </c:pt>
              <c:pt idx="1">
                <c:v>16.291697831209852</c:v>
              </c:pt>
            </c:numLit>
          </c:xVal>
          <c:yVal>
            <c:numLit>
              <c:formatCode>General</c:formatCode>
              <c:ptCount val="2"/>
              <c:pt idx="0">
                <c:v>2.9109197410386176E-2</c:v>
              </c:pt>
              <c:pt idx="1">
                <c:v>2.9284465926323024E-2</c:v>
              </c:pt>
            </c:numLit>
          </c:yVal>
          <c:smooth val="0"/>
          <c:extLst>
            <c:ext xmlns:c16="http://schemas.microsoft.com/office/drawing/2014/chart" uri="{C3380CC4-5D6E-409C-BE32-E72D297353CC}">
              <c16:uniqueId val="{00000006-6BE9-4072-907B-A4622C19C5E5}"/>
            </c:ext>
          </c:extLst>
        </c:ser>
        <c:ser>
          <c:idx val="6"/>
          <c:order val="6"/>
          <c:spPr>
            <a:ln w="3175">
              <a:solidFill>
                <a:srgbClr val="000000"/>
              </a:solidFill>
              <a:prstDash val="solid"/>
            </a:ln>
          </c:spPr>
          <c:marker>
            <c:symbol val="none"/>
          </c:marker>
          <c:xVal>
            <c:numLit>
              <c:formatCode>General</c:formatCode>
              <c:ptCount val="2"/>
              <c:pt idx="0">
                <c:v>15.847219725836448</c:v>
              </c:pt>
              <c:pt idx="1">
                <c:v>16.204014856943722</c:v>
              </c:pt>
            </c:numLit>
          </c:xVal>
          <c:yVal>
            <c:numLit>
              <c:formatCode>General</c:formatCode>
              <c:ptCount val="2"/>
              <c:pt idx="0">
                <c:v>2.9255219725836449E-2</c:v>
              </c:pt>
              <c:pt idx="1">
                <c:v>2.9612014856943723E-2</c:v>
              </c:pt>
            </c:numLit>
          </c:yVal>
          <c:smooth val="0"/>
          <c:extLst>
            <c:ext xmlns:c16="http://schemas.microsoft.com/office/drawing/2014/chart" uri="{C3380CC4-5D6E-409C-BE32-E72D297353CC}">
              <c16:uniqueId val="{00000007-6BE9-4072-907B-A4622C19C5E5}"/>
            </c:ext>
          </c:extLst>
        </c:ser>
        <c:ser>
          <c:idx val="7"/>
          <c:order val="7"/>
          <c:spPr>
            <a:ln w="3175">
              <a:solidFill>
                <a:srgbClr val="000000"/>
              </a:solidFill>
              <a:prstDash val="solid"/>
            </a:ln>
          </c:spPr>
          <c:marker>
            <c:symbol val="none"/>
          </c:marker>
          <c:dLbls>
            <c:dLbl>
              <c:idx val="0"/>
              <c:tx>
                <c:rich>
                  <a:bodyPr rot="-32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16.85813926397373</c:v>
              </c:pt>
            </c:numLit>
          </c:xVal>
          <c:yVal>
            <c:numLit>
              <c:formatCode>General</c:formatCode>
              <c:ptCount val="1"/>
              <c:pt idx="0">
                <c:v>3.0266139263973729E-2</c:v>
              </c:pt>
            </c:numLit>
          </c:yVal>
          <c:smooth val="0"/>
          <c:extLst>
            <c:ext xmlns:c16="http://schemas.microsoft.com/office/drawing/2014/chart" uri="{C3380CC4-5D6E-409C-BE32-E72D297353CC}">
              <c16:uniqueId val="{00000009-6BE9-4072-907B-A4622C19C5E5}"/>
            </c:ext>
          </c:extLst>
        </c:ser>
        <c:ser>
          <c:idx val="8"/>
          <c:order val="8"/>
          <c:spPr>
            <a:ln w="3175">
              <a:solidFill>
                <a:srgbClr val="000000"/>
              </a:solidFill>
              <a:prstDash val="solid"/>
            </a:ln>
          </c:spPr>
          <c:marker>
            <c:symbol val="none"/>
          </c:marker>
          <c:xVal>
            <c:numLit>
              <c:formatCode>General</c:formatCode>
              <c:ptCount val="2"/>
              <c:pt idx="0">
                <c:v>15.572621851491188</c:v>
              </c:pt>
              <c:pt idx="1">
                <c:v>15.745135176880286</c:v>
              </c:pt>
            </c:numLit>
          </c:xVal>
          <c:yVal>
            <c:numLit>
              <c:formatCode>General</c:formatCode>
              <c:ptCount val="2"/>
              <c:pt idx="0">
                <c:v>2.9401679479707257E-2</c:v>
              </c:pt>
              <c:pt idx="1">
                <c:v>2.9583215468558126E-2</c:v>
              </c:pt>
            </c:numLit>
          </c:yVal>
          <c:smooth val="0"/>
          <c:extLst>
            <c:ext xmlns:c16="http://schemas.microsoft.com/office/drawing/2014/chart" uri="{C3380CC4-5D6E-409C-BE32-E72D297353CC}">
              <c16:uniqueId val="{0000000A-6BE9-4072-907B-A4622C19C5E5}"/>
            </c:ext>
          </c:extLst>
        </c:ser>
        <c:ser>
          <c:idx val="9"/>
          <c:order val="9"/>
          <c:spPr>
            <a:ln w="3175">
              <a:solidFill>
                <a:srgbClr val="000000"/>
              </a:solidFill>
              <a:prstDash val="solid"/>
            </a:ln>
          </c:spPr>
          <c:marker>
            <c:symbol val="none"/>
          </c:marker>
          <c:xVal>
            <c:numLit>
              <c:formatCode>General</c:formatCode>
              <c:ptCount val="2"/>
              <c:pt idx="0">
                <c:v>15.283405513946459</c:v>
              </c:pt>
              <c:pt idx="1">
                <c:v>15.616037178829878</c:v>
              </c:pt>
            </c:numLit>
          </c:xVal>
          <c:yVal>
            <c:numLit>
              <c:formatCode>General</c:formatCode>
              <c:ptCount val="2"/>
              <c:pt idx="0">
                <c:v>2.9548072789216489E-2</c:v>
              </c:pt>
              <c:pt idx="1">
                <c:v>2.9917418765897194E-2</c:v>
              </c:pt>
            </c:numLit>
          </c:yVal>
          <c:smooth val="0"/>
          <c:extLst>
            <c:ext xmlns:c16="http://schemas.microsoft.com/office/drawing/2014/chart" uri="{C3380CC4-5D6E-409C-BE32-E72D297353CC}">
              <c16:uniqueId val="{0000000B-6BE9-4072-907B-A4622C19C5E5}"/>
            </c:ext>
          </c:extLst>
        </c:ser>
        <c:ser>
          <c:idx val="10"/>
          <c:order val="10"/>
          <c:spPr>
            <a:ln w="3175">
              <a:solidFill>
                <a:srgbClr val="000000"/>
              </a:solidFill>
              <a:prstDash val="solid"/>
            </a:ln>
          </c:spPr>
          <c:marker>
            <c:symbol val="none"/>
          </c:marker>
          <c:xVal>
            <c:numLit>
              <c:formatCode>General</c:formatCode>
              <c:ptCount val="2"/>
              <c:pt idx="0">
                <c:v>14.97909728533833</c:v>
              </c:pt>
              <c:pt idx="1">
                <c:v>15.138892227167009</c:v>
              </c:pt>
            </c:numLit>
          </c:xVal>
          <c:yVal>
            <c:numLit>
              <c:formatCode>General</c:formatCode>
              <c:ptCount val="2"/>
              <c:pt idx="0">
                <c:v>2.9693831622722384E-2</c:v>
              </c:pt>
              <c:pt idx="1">
                <c:v>2.9881628014637864E-2</c:v>
              </c:pt>
            </c:numLit>
          </c:yVal>
          <c:smooth val="0"/>
          <c:extLst>
            <c:ext xmlns:c16="http://schemas.microsoft.com/office/drawing/2014/chart" uri="{C3380CC4-5D6E-409C-BE32-E72D297353CC}">
              <c16:uniqueId val="{0000000C-6BE9-4072-907B-A4622C19C5E5}"/>
            </c:ext>
          </c:extLst>
        </c:ser>
        <c:ser>
          <c:idx val="11"/>
          <c:order val="11"/>
          <c:spPr>
            <a:ln w="3175">
              <a:solidFill>
                <a:srgbClr val="000000"/>
              </a:solidFill>
              <a:prstDash val="solid"/>
            </a:ln>
          </c:spPr>
          <c:marker>
            <c:symbol val="none"/>
          </c:marker>
          <c:xVal>
            <c:numLit>
              <c:formatCode>General</c:formatCode>
              <c:ptCount val="2"/>
              <c:pt idx="0">
                <c:v>14.659283952235356</c:v>
              </c:pt>
              <c:pt idx="1">
                <c:v>14.965167550188299</c:v>
              </c:pt>
            </c:numLit>
          </c:xVal>
          <c:yVal>
            <c:numLit>
              <c:formatCode>General</c:formatCode>
              <c:ptCount val="2"/>
              <c:pt idx="0">
                <c:v>2.9838322153782595E-2</c:v>
              </c:pt>
              <c:pt idx="1">
                <c:v>3.0220107388944706E-2</c:v>
              </c:pt>
            </c:numLit>
          </c:yVal>
          <c:smooth val="0"/>
          <c:extLst>
            <c:ext xmlns:c16="http://schemas.microsoft.com/office/drawing/2014/chart" uri="{C3380CC4-5D6E-409C-BE32-E72D297353CC}">
              <c16:uniqueId val="{0000000D-6BE9-4072-907B-A4622C19C5E5}"/>
            </c:ext>
          </c:extLst>
        </c:ser>
        <c:ser>
          <c:idx val="12"/>
          <c:order val="12"/>
          <c:spPr>
            <a:ln w="3175">
              <a:solidFill>
                <a:srgbClr val="000000"/>
              </a:solidFill>
              <a:prstDash val="solid"/>
            </a:ln>
          </c:spPr>
          <c:marker>
            <c:symbol val="none"/>
          </c:marker>
          <c:dLbls>
            <c:dLbl>
              <c:idx val="0"/>
              <c:tx>
                <c:rich>
                  <a:bodyPr rot="-35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15.525954146435364</c:v>
              </c:pt>
            </c:numLit>
          </c:xVal>
          <c:yVal>
            <c:numLit>
              <c:formatCode>General</c:formatCode>
              <c:ptCount val="1"/>
              <c:pt idx="0">
                <c:v>3.0920046986741907E-2</c:v>
              </c:pt>
            </c:numLit>
          </c:yVal>
          <c:smooth val="0"/>
          <c:extLst>
            <c:ext xmlns:c16="http://schemas.microsoft.com/office/drawing/2014/chart" uri="{C3380CC4-5D6E-409C-BE32-E72D297353CC}">
              <c16:uniqueId val="{0000000F-6BE9-4072-907B-A4622C19C5E5}"/>
            </c:ext>
          </c:extLst>
        </c:ser>
        <c:ser>
          <c:idx val="13"/>
          <c:order val="13"/>
          <c:spPr>
            <a:ln w="3175">
              <a:solidFill>
                <a:srgbClr val="000000"/>
              </a:solidFill>
              <a:prstDash val="solid"/>
            </a:ln>
          </c:spPr>
          <c:marker>
            <c:symbol val="none"/>
          </c:marker>
          <c:xVal>
            <c:numLit>
              <c:formatCode>General</c:formatCode>
              <c:ptCount val="2"/>
              <c:pt idx="0">
                <c:v>14.323628642858322</c:v>
              </c:pt>
              <c:pt idx="1">
                <c:v>14.469377828062429</c:v>
              </c:pt>
            </c:numLit>
          </c:xVal>
          <c:yVal>
            <c:numLit>
              <c:formatCode>General</c:formatCode>
              <c:ptCount val="2"/>
              <c:pt idx="0">
                <c:v>2.9980844463909358E-2</c:v>
              </c:pt>
              <c:pt idx="1">
                <c:v>3.0174791130993129E-2</c:v>
              </c:pt>
            </c:numLit>
          </c:yVal>
          <c:smooth val="0"/>
          <c:extLst>
            <c:ext xmlns:c16="http://schemas.microsoft.com/office/drawing/2014/chart" uri="{C3380CC4-5D6E-409C-BE32-E72D297353CC}">
              <c16:uniqueId val="{00000010-6BE9-4072-907B-A4622C19C5E5}"/>
            </c:ext>
          </c:extLst>
        </c:ser>
        <c:ser>
          <c:idx val="14"/>
          <c:order val="14"/>
          <c:spPr>
            <a:ln w="3175">
              <a:solidFill>
                <a:srgbClr val="000000"/>
              </a:solidFill>
              <a:prstDash val="solid"/>
            </a:ln>
          </c:spPr>
          <c:marker>
            <c:symbol val="none"/>
          </c:marker>
          <c:xVal>
            <c:numLit>
              <c:formatCode>General</c:formatCode>
              <c:ptCount val="2"/>
              <c:pt idx="0">
                <c:v>13.971888226311023</c:v>
              </c:pt>
              <c:pt idx="1">
                <c:v>14.248312007438637</c:v>
              </c:pt>
            </c:numLit>
          </c:xVal>
          <c:yVal>
            <c:numLit>
              <c:formatCode>General</c:formatCode>
              <c:ptCount val="2"/>
              <c:pt idx="0">
                <c:v>3.0120633931542337E-2</c:v>
              </c:pt>
              <c:pt idx="1">
                <c:v>3.051451824289415E-2</c:v>
              </c:pt>
            </c:numLit>
          </c:yVal>
          <c:smooth val="0"/>
          <c:extLst>
            <c:ext xmlns:c16="http://schemas.microsoft.com/office/drawing/2014/chart" uri="{C3380CC4-5D6E-409C-BE32-E72D297353CC}">
              <c16:uniqueId val="{00000011-6BE9-4072-907B-A4622C19C5E5}"/>
            </c:ext>
          </c:extLst>
        </c:ser>
        <c:ser>
          <c:idx val="15"/>
          <c:order val="15"/>
          <c:spPr>
            <a:ln w="3175">
              <a:solidFill>
                <a:srgbClr val="000000"/>
              </a:solidFill>
              <a:prstDash val="solid"/>
            </a:ln>
          </c:spPr>
          <c:marker>
            <c:symbol val="none"/>
          </c:marker>
          <c:xVal>
            <c:numLit>
              <c:formatCode>General</c:formatCode>
              <c:ptCount val="2"/>
              <c:pt idx="0">
                <c:v>13.603931620112528</c:v>
              </c:pt>
              <c:pt idx="1">
                <c:v>13.734258726257798</c:v>
              </c:pt>
            </c:numLit>
          </c:xVal>
          <c:yVal>
            <c:numLit>
              <c:formatCode>General</c:formatCode>
              <c:ptCount val="2"/>
              <c:pt idx="0">
                <c:v>3.0256864649135986E-2</c:v>
              </c:pt>
              <c:pt idx="1">
                <c:v>3.0456726034474614E-2</c:v>
              </c:pt>
            </c:numLit>
          </c:yVal>
          <c:smooth val="0"/>
          <c:extLst>
            <c:ext xmlns:c16="http://schemas.microsoft.com/office/drawing/2014/chart" uri="{C3380CC4-5D6E-409C-BE32-E72D297353CC}">
              <c16:uniqueId val="{00000012-6BE9-4072-907B-A4622C19C5E5}"/>
            </c:ext>
          </c:extLst>
        </c:ser>
        <c:ser>
          <c:idx val="16"/>
          <c:order val="16"/>
          <c:spPr>
            <a:ln w="3175">
              <a:solidFill>
                <a:srgbClr val="000000"/>
              </a:solidFill>
              <a:prstDash val="solid"/>
            </a:ln>
          </c:spPr>
          <c:marker>
            <c:symbol val="none"/>
          </c:marker>
          <c:xVal>
            <c:numLit>
              <c:formatCode>General</c:formatCode>
              <c:ptCount val="2"/>
              <c:pt idx="0">
                <c:v>13.2197584950931</c:v>
              </c:pt>
              <c:pt idx="1">
                <c:v>13.463948144882803</c:v>
              </c:pt>
            </c:numLit>
          </c:xVal>
          <c:yVal>
            <c:numLit>
              <c:formatCode>General</c:formatCode>
              <c:ptCount val="2"/>
              <c:pt idx="0">
                <c:v>3.0388655191524186E-2</c:v>
              </c:pt>
              <c:pt idx="1">
                <c:v>3.0794026128303793E-2</c:v>
              </c:pt>
            </c:numLit>
          </c:yVal>
          <c:smooth val="0"/>
          <c:extLst>
            <c:ext xmlns:c16="http://schemas.microsoft.com/office/drawing/2014/chart" uri="{C3380CC4-5D6E-409C-BE32-E72D297353CC}">
              <c16:uniqueId val="{00000013-6BE9-4072-907B-A4622C19C5E5}"/>
            </c:ext>
          </c:extLst>
        </c:ser>
        <c:ser>
          <c:idx val="17"/>
          <c:order val="17"/>
          <c:spPr>
            <a:ln w="3175">
              <a:solidFill>
                <a:srgbClr val="000000"/>
              </a:solidFill>
              <a:prstDash val="solid"/>
            </a:ln>
          </c:spPr>
          <c:marker>
            <c:symbol val="none"/>
          </c:marker>
          <c:dLbls>
            <c:dLbl>
              <c:idx val="0"/>
              <c:tx>
                <c:rich>
                  <a:bodyPr rot="-3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13.91162916949726</c:v>
              </c:pt>
            </c:numLit>
          </c:xVal>
          <c:yVal>
            <c:numLit>
              <c:formatCode>General</c:formatCode>
              <c:ptCount val="1"/>
              <c:pt idx="0">
                <c:v>3.1537206179066406E-2</c:v>
              </c:pt>
            </c:numLit>
          </c:yVal>
          <c:smooth val="0"/>
          <c:extLst>
            <c:ext xmlns:c16="http://schemas.microsoft.com/office/drawing/2014/chart" uri="{C3380CC4-5D6E-409C-BE32-E72D297353CC}">
              <c16:uniqueId val="{00000015-6BE9-4072-907B-A4622C19C5E5}"/>
            </c:ext>
          </c:extLst>
        </c:ser>
        <c:ser>
          <c:idx val="18"/>
          <c:order val="18"/>
          <c:spPr>
            <a:ln w="3175">
              <a:solidFill>
                <a:srgbClr val="000000"/>
              </a:solidFill>
              <a:prstDash val="solid"/>
            </a:ln>
          </c:spPr>
          <c:marker>
            <c:symbol val="none"/>
          </c:marker>
          <c:xVal>
            <c:numLit>
              <c:formatCode>General</c:formatCode>
              <c:ptCount val="2"/>
              <c:pt idx="0">
                <c:v>12.819517711563606</c:v>
              </c:pt>
              <c:pt idx="1">
                <c:v>12.933035948239969</c:v>
              </c:pt>
            </c:numLit>
          </c:xVal>
          <c:yVal>
            <c:numLit>
              <c:formatCode>General</c:formatCode>
              <c:ptCount val="2"/>
              <c:pt idx="0">
                <c:v>3.0515077010490988E-2</c:v>
              </c:pt>
              <c:pt idx="1">
                <c:v>3.0720471517858654E-2</c:v>
              </c:pt>
            </c:numLit>
          </c:yVal>
          <c:smooth val="0"/>
          <c:extLst>
            <c:ext xmlns:c16="http://schemas.microsoft.com/office/drawing/2014/chart" uri="{C3380CC4-5D6E-409C-BE32-E72D297353CC}">
              <c16:uniqueId val="{00000016-6BE9-4072-907B-A4622C19C5E5}"/>
            </c:ext>
          </c:extLst>
        </c:ser>
        <c:ser>
          <c:idx val="19"/>
          <c:order val="19"/>
          <c:spPr>
            <a:ln w="3175">
              <a:solidFill>
                <a:srgbClr val="000000"/>
              </a:solidFill>
              <a:prstDash val="solid"/>
            </a:ln>
          </c:spPr>
          <c:marker>
            <c:symbol val="none"/>
          </c:marker>
          <c:xVal>
            <c:numLit>
              <c:formatCode>General</c:formatCode>
              <c:ptCount val="2"/>
              <c:pt idx="0">
                <c:v>12.403524669547116</c:v>
              </c:pt>
              <c:pt idx="1">
                <c:v>12.612732869670563</c:v>
              </c:pt>
            </c:numLit>
          </c:xVal>
          <c:yVal>
            <c:numLit>
              <c:formatCode>General</c:formatCode>
              <c:ptCount val="2"/>
              <c:pt idx="0">
                <c:v>3.0635165647360473E-2</c:v>
              </c:pt>
              <c:pt idx="1">
                <c:v>3.1051101317961634E-2</c:v>
              </c:pt>
            </c:numLit>
          </c:yVal>
          <c:smooth val="0"/>
          <c:extLst>
            <c:ext xmlns:c16="http://schemas.microsoft.com/office/drawing/2014/chart" uri="{C3380CC4-5D6E-409C-BE32-E72D297353CC}">
              <c16:uniqueId val="{00000017-6BE9-4072-907B-A4622C19C5E5}"/>
            </c:ext>
          </c:extLst>
        </c:ser>
        <c:ser>
          <c:idx val="20"/>
          <c:order val="20"/>
          <c:spPr>
            <a:ln w="3175">
              <a:solidFill>
                <a:srgbClr val="000000"/>
              </a:solidFill>
              <a:prstDash val="solid"/>
            </a:ln>
          </c:spPr>
          <c:marker>
            <c:symbol val="none"/>
          </c:marker>
          <c:xVal>
            <c:numLit>
              <c:formatCode>General</c:formatCode>
              <c:ptCount val="2"/>
              <c:pt idx="0">
                <c:v>11.972276624673018</c:v>
              </c:pt>
              <c:pt idx="1">
                <c:v>12.067639695201725</c:v>
              </c:pt>
            </c:numLit>
          </c:xVal>
          <c:yVal>
            <c:numLit>
              <c:formatCode>General</c:formatCode>
              <c:ptCount val="2"/>
              <c:pt idx="0">
                <c:v>3.0747934834256706E-2</c:v>
              </c:pt>
              <c:pt idx="1">
                <c:v>3.0958319152133637E-2</c:v>
              </c:pt>
            </c:numLit>
          </c:yVal>
          <c:smooth val="0"/>
          <c:extLst>
            <c:ext xmlns:c16="http://schemas.microsoft.com/office/drawing/2014/chart" uri="{C3380CC4-5D6E-409C-BE32-E72D297353CC}">
              <c16:uniqueId val="{00000018-6BE9-4072-907B-A4622C19C5E5}"/>
            </c:ext>
          </c:extLst>
        </c:ser>
        <c:ser>
          <c:idx val="21"/>
          <c:order val="21"/>
          <c:spPr>
            <a:ln w="3175">
              <a:solidFill>
                <a:srgbClr val="000000"/>
              </a:solidFill>
              <a:prstDash val="solid"/>
            </a:ln>
          </c:spPr>
          <c:marker>
            <c:symbol val="none"/>
          </c:marker>
          <c:xVal>
            <c:numLit>
              <c:formatCode>General</c:formatCode>
              <c:ptCount val="2"/>
              <c:pt idx="0">
                <c:v>11.526464929155814</c:v>
              </c:pt>
              <c:pt idx="1">
                <c:v>11.698084854691064</c:v>
              </c:pt>
            </c:numLit>
          </c:xVal>
          <c:yVal>
            <c:numLit>
              <c:formatCode>General</c:formatCode>
              <c:ptCount val="2"/>
              <c:pt idx="0">
                <c:v>3.085239339588855E-2</c:v>
              </c:pt>
              <c:pt idx="1">
                <c:v>3.1277638827140915E-2</c:v>
              </c:pt>
            </c:numLit>
          </c:yVal>
          <c:smooth val="0"/>
          <c:extLst>
            <c:ext xmlns:c16="http://schemas.microsoft.com/office/drawing/2014/chart" uri="{C3380CC4-5D6E-409C-BE32-E72D297353CC}">
              <c16:uniqueId val="{00000019-6BE9-4072-907B-A4622C19C5E5}"/>
            </c:ext>
          </c:extLst>
        </c:ser>
        <c:ser>
          <c:idx val="22"/>
          <c:order val="22"/>
          <c:spPr>
            <a:ln w="3175">
              <a:solidFill>
                <a:srgbClr val="000000"/>
              </a:solidFill>
              <a:prstDash val="solid"/>
            </a:ln>
          </c:spPr>
          <c:marker>
            <c:symbol val="none"/>
          </c:marker>
          <c:dLbls>
            <c:dLbl>
              <c:idx val="0"/>
              <c:tx>
                <c:rich>
                  <a:bodyPr rot="-43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12.01272138483902</c:v>
              </c:pt>
            </c:numLit>
          </c:xVal>
          <c:yVal>
            <c:numLit>
              <c:formatCode>General</c:formatCode>
              <c:ptCount val="1"/>
              <c:pt idx="0">
                <c:v>3.2057255451103592E-2</c:v>
              </c:pt>
            </c:numLit>
          </c:yVal>
          <c:smooth val="0"/>
          <c:extLst>
            <c:ext xmlns:c16="http://schemas.microsoft.com/office/drawing/2014/chart" uri="{C3380CC4-5D6E-409C-BE32-E72D297353CC}">
              <c16:uniqueId val="{0000001B-6BE9-4072-907B-A4622C19C5E5}"/>
            </c:ext>
          </c:extLst>
        </c:ser>
        <c:ser>
          <c:idx val="23"/>
          <c:order val="23"/>
          <c:spPr>
            <a:ln w="3175">
              <a:solidFill>
                <a:srgbClr val="000000"/>
              </a:solidFill>
              <a:prstDash val="solid"/>
            </a:ln>
          </c:spPr>
          <c:marker>
            <c:symbol val="none"/>
          </c:marker>
          <c:xVal>
            <c:numLit>
              <c:formatCode>General</c:formatCode>
              <c:ptCount val="2"/>
              <c:pt idx="0">
                <c:v>11.066983124686066</c:v>
              </c:pt>
              <c:pt idx="1">
                <c:v>11.142947048786482</c:v>
              </c:pt>
            </c:numLit>
          </c:xVal>
          <c:yVal>
            <c:numLit>
              <c:formatCode>General</c:formatCode>
              <c:ptCount val="2"/>
              <c:pt idx="0">
                <c:v>3.0947564672567929E-2</c:v>
              </c:pt>
              <c:pt idx="1">
                <c:v>3.1162226772694385E-2</c:v>
              </c:pt>
            </c:numLit>
          </c:yVal>
          <c:smooth val="0"/>
          <c:extLst>
            <c:ext xmlns:c16="http://schemas.microsoft.com/office/drawing/2014/chart" uri="{C3380CC4-5D6E-409C-BE32-E72D297353CC}">
              <c16:uniqueId val="{0000001C-6BE9-4072-907B-A4622C19C5E5}"/>
            </c:ext>
          </c:extLst>
        </c:ser>
        <c:ser>
          <c:idx val="24"/>
          <c:order val="24"/>
          <c:spPr>
            <a:ln w="3175">
              <a:solidFill>
                <a:srgbClr val="000000"/>
              </a:solidFill>
              <a:prstDash val="solid"/>
            </a:ln>
          </c:spPr>
          <c:marker>
            <c:symbol val="none"/>
          </c:marker>
          <c:xVal>
            <c:numLit>
              <c:formatCode>General</c:formatCode>
              <c:ptCount val="2"/>
              <c:pt idx="0">
                <c:v>10.594929860498169</c:v>
              </c:pt>
              <c:pt idx="1">
                <c:v>10.72662685451952</c:v>
              </c:pt>
            </c:numLit>
          </c:xVal>
          <c:yVal>
            <c:numLit>
              <c:formatCode>General</c:formatCode>
              <c:ptCount val="2"/>
              <c:pt idx="0">
                <c:v>3.1032507972748882E-2</c:v>
              </c:pt>
              <c:pt idx="1">
                <c:v>3.1465472600152408E-2</c:v>
              </c:pt>
            </c:numLit>
          </c:yVal>
          <c:smooth val="0"/>
          <c:extLst>
            <c:ext xmlns:c16="http://schemas.microsoft.com/office/drawing/2014/chart" uri="{C3380CC4-5D6E-409C-BE32-E72D297353CC}">
              <c16:uniqueId val="{0000001D-6BE9-4072-907B-A4622C19C5E5}"/>
            </c:ext>
          </c:extLst>
        </c:ser>
        <c:ser>
          <c:idx val="25"/>
          <c:order val="25"/>
          <c:spPr>
            <a:ln w="3175">
              <a:solidFill>
                <a:srgbClr val="000000"/>
              </a:solidFill>
              <a:prstDash val="solid"/>
            </a:ln>
          </c:spPr>
          <c:marker>
            <c:symbol val="none"/>
          </c:marker>
          <c:xVal>
            <c:numLit>
              <c:formatCode>General</c:formatCode>
              <c:ptCount val="2"/>
              <c:pt idx="0">
                <c:v>10.111605750259969</c:v>
              </c:pt>
              <c:pt idx="1">
                <c:v>10.167097302051253</c:v>
              </c:pt>
            </c:numLit>
          </c:xVal>
          <c:yVal>
            <c:numLit>
              <c:formatCode>General</c:formatCode>
              <c:ptCount val="2"/>
              <c:pt idx="0">
                <c:v>3.1106341346724724E-2</c:v>
              </c:pt>
              <c:pt idx="1">
                <c:v>3.1324405804154541E-2</c:v>
              </c:pt>
            </c:numLit>
          </c:yVal>
          <c:smooth val="0"/>
          <c:extLst>
            <c:ext xmlns:c16="http://schemas.microsoft.com/office/drawing/2014/chart" uri="{C3380CC4-5D6E-409C-BE32-E72D297353CC}">
              <c16:uniqueId val="{0000001E-6BE9-4072-907B-A4622C19C5E5}"/>
            </c:ext>
          </c:extLst>
        </c:ser>
        <c:ser>
          <c:idx val="26"/>
          <c:order val="26"/>
          <c:spPr>
            <a:ln w="3175">
              <a:solidFill>
                <a:srgbClr val="000000"/>
              </a:solidFill>
              <a:prstDash val="solid"/>
            </a:ln>
          </c:spPr>
          <c:marker>
            <c:symbol val="none"/>
          </c:marker>
          <c:xVal>
            <c:numLit>
              <c:formatCode>General</c:formatCode>
              <c:ptCount val="2"/>
              <c:pt idx="0">
                <c:v>9.6185035223870123</c:v>
              </c:pt>
              <c:pt idx="1">
                <c:v>9.7083536733464566</c:v>
              </c:pt>
            </c:numLit>
          </c:xVal>
          <c:yVal>
            <c:numLit>
              <c:formatCode>General</c:formatCode>
              <c:ptCount val="2"/>
              <c:pt idx="0">
                <c:v>3.1168264774375409E-2</c:v>
              </c:pt>
              <c:pt idx="1">
                <c:v>3.160704755042007E-2</c:v>
              </c:pt>
            </c:numLit>
          </c:yVal>
          <c:smooth val="0"/>
          <c:extLst>
            <c:ext xmlns:c16="http://schemas.microsoft.com/office/drawing/2014/chart" uri="{C3380CC4-5D6E-409C-BE32-E72D297353CC}">
              <c16:uniqueId val="{0000001F-6BE9-4072-907B-A4622C19C5E5}"/>
            </c:ext>
          </c:extLst>
        </c:ser>
        <c:ser>
          <c:idx val="27"/>
          <c:order val="27"/>
          <c:spPr>
            <a:ln w="3175">
              <a:solidFill>
                <a:srgbClr val="000000"/>
              </a:solidFill>
              <a:prstDash val="solid"/>
            </a:ln>
          </c:spPr>
          <c:marker>
            <c:symbol val="none"/>
          </c:marker>
          <c:dLbls>
            <c:dLbl>
              <c:idx val="0"/>
              <c:tx>
                <c:rich>
                  <a:bodyPr rot="-48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9.8730789501054357</c:v>
              </c:pt>
            </c:numLit>
          </c:xVal>
          <c:yVal>
            <c:numLit>
              <c:formatCode>General</c:formatCode>
              <c:ptCount val="1"/>
              <c:pt idx="0">
                <c:v>3.241148263983528E-2</c:v>
              </c:pt>
            </c:numLit>
          </c:yVal>
          <c:smooth val="0"/>
          <c:extLst>
            <c:ext xmlns:c16="http://schemas.microsoft.com/office/drawing/2014/chart" uri="{C3380CC4-5D6E-409C-BE32-E72D297353CC}">
              <c16:uniqueId val="{00000021-6BE9-4072-907B-A4622C19C5E5}"/>
            </c:ext>
          </c:extLst>
        </c:ser>
        <c:ser>
          <c:idx val="28"/>
          <c:order val="28"/>
          <c:spPr>
            <a:ln w="3175">
              <a:solidFill>
                <a:srgbClr val="000000"/>
              </a:solidFill>
              <a:prstDash val="solid"/>
            </a:ln>
          </c:spPr>
          <c:marker>
            <c:symbol val="none"/>
          </c:marker>
          <c:xVal>
            <c:numLit>
              <c:formatCode>General</c:formatCode>
              <c:ptCount val="2"/>
              <c:pt idx="0">
                <c:v>9.1172911549090987</c:v>
              </c:pt>
              <c:pt idx="1">
                <c:v>9.1514759653714375</c:v>
              </c:pt>
            </c:numLit>
          </c:xVal>
          <c:yVal>
            <c:numLit>
              <c:formatCode>General</c:formatCode>
              <c:ptCount val="2"/>
              <c:pt idx="0">
                <c:v>3.1217582704093288E-2</c:v>
              </c:pt>
              <c:pt idx="1">
                <c:v>3.1438030904895289E-2</c:v>
              </c:pt>
            </c:numLit>
          </c:yVal>
          <c:smooth val="0"/>
          <c:extLst>
            <c:ext xmlns:c16="http://schemas.microsoft.com/office/drawing/2014/chart" uri="{C3380CC4-5D6E-409C-BE32-E72D297353CC}">
              <c16:uniqueId val="{00000022-6BE9-4072-907B-A4622C19C5E5}"/>
            </c:ext>
          </c:extLst>
        </c:ser>
        <c:ser>
          <c:idx val="29"/>
          <c:order val="29"/>
          <c:spPr>
            <a:ln w="3175">
              <a:solidFill>
                <a:srgbClr val="000000"/>
              </a:solidFill>
              <a:prstDash val="solid"/>
            </a:ln>
          </c:spPr>
          <c:marker>
            <c:symbol val="none"/>
          </c:marker>
          <c:xVal>
            <c:numLit>
              <c:formatCode>General</c:formatCode>
              <c:ptCount val="2"/>
              <c:pt idx="0">
                <c:v>8.6097880993478064</c:v>
              </c:pt>
              <c:pt idx="1">
                <c:v>8.6564075893198567</c:v>
              </c:pt>
            </c:numLit>
          </c:xVal>
          <c:yVal>
            <c:numLit>
              <c:formatCode>General</c:formatCode>
              <c:ptCount val="2"/>
              <c:pt idx="0">
                <c:v>3.1253724791923544E-2</c:v>
              </c:pt>
              <c:pt idx="1">
                <c:v>3.169617014014884E-2</c:v>
              </c:pt>
            </c:numLit>
          </c:yVal>
          <c:smooth val="0"/>
          <c:extLst>
            <c:ext xmlns:c16="http://schemas.microsoft.com/office/drawing/2014/chart" uri="{C3380CC4-5D6E-409C-BE32-E72D297353CC}">
              <c16:uniqueId val="{00000023-6BE9-4072-907B-A4622C19C5E5}"/>
            </c:ext>
          </c:extLst>
        </c:ser>
        <c:ser>
          <c:idx val="30"/>
          <c:order val="30"/>
          <c:spPr>
            <a:ln w="3175">
              <a:solidFill>
                <a:srgbClr val="000000"/>
              </a:solidFill>
              <a:prstDash val="solid"/>
            </a:ln>
          </c:spPr>
          <c:marker>
            <c:symbol val="none"/>
          </c:marker>
          <c:xVal>
            <c:numLit>
              <c:formatCode>General</c:formatCode>
              <c:ptCount val="2"/>
              <c:pt idx="0">
                <c:v>8.0979351556909851</c:v>
              </c:pt>
              <c:pt idx="1">
                <c:v>8.1102766233129344</c:v>
              </c:pt>
            </c:numLit>
          </c:xVal>
          <c:yVal>
            <c:numLit>
              <c:formatCode>General</c:formatCode>
              <c:ptCount val="2"/>
              <c:pt idx="0">
                <c:v>3.127626368973449E-2</c:v>
              </c:pt>
              <c:pt idx="1">
                <c:v>3.1497969340228804E-2</c:v>
              </c:pt>
            </c:numLit>
          </c:yVal>
          <c:smooth val="0"/>
          <c:extLst>
            <c:ext xmlns:c16="http://schemas.microsoft.com/office/drawing/2014/chart" uri="{C3380CC4-5D6E-409C-BE32-E72D297353CC}">
              <c16:uniqueId val="{00000024-6BE9-4072-907B-A4622C19C5E5}"/>
            </c:ext>
          </c:extLst>
        </c:ser>
        <c:ser>
          <c:idx val="31"/>
          <c:order val="31"/>
          <c:spPr>
            <a:ln w="3175">
              <a:solidFill>
                <a:srgbClr val="000000"/>
              </a:solidFill>
              <a:prstDash val="solid"/>
            </a:ln>
          </c:spPr>
          <c:marker>
            <c:symbol val="none"/>
          </c:marker>
          <c:xVal>
            <c:numLit>
              <c:formatCode>General</c:formatCode>
              <c:ptCount val="2"/>
              <c:pt idx="0">
                <c:v>7.5837590188694071</c:v>
              </c:pt>
              <c:pt idx="1">
                <c:v>7.5864058339638101</c:v>
              </c:pt>
            </c:numLit>
          </c:xVal>
          <c:yVal>
            <c:numLit>
              <c:formatCode>General</c:formatCode>
              <c:ptCount val="2"/>
              <c:pt idx="0">
                <c:v>3.1284928830437236E-2</c:v>
              </c:pt>
              <c:pt idx="1">
                <c:v>3.1728711494598834E-2</c:v>
              </c:pt>
            </c:numLit>
          </c:yVal>
          <c:smooth val="0"/>
          <c:extLst>
            <c:ext xmlns:c16="http://schemas.microsoft.com/office/drawing/2014/chart" uri="{C3380CC4-5D6E-409C-BE32-E72D297353CC}">
              <c16:uniqueId val="{00000025-6BE9-4072-907B-A4622C19C5E5}"/>
            </c:ext>
          </c:extLst>
        </c:ser>
        <c:ser>
          <c:idx val="32"/>
          <c:order val="32"/>
          <c:spPr>
            <a:ln w="3175">
              <a:solidFill>
                <a:srgbClr val="000000"/>
              </a:solidFill>
              <a:prstDash val="solid"/>
            </a:ln>
          </c:spPr>
          <c:marker>
            <c:symbol val="none"/>
          </c:marker>
          <c:dLbls>
            <c:dLbl>
              <c:idx val="0"/>
              <c:tx>
                <c:rich>
                  <a:bodyPr rot="-5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7.5912583283035486</c:v>
              </c:pt>
            </c:numLit>
          </c:xVal>
          <c:yVal>
            <c:numLit>
              <c:formatCode>General</c:formatCode>
              <c:ptCount val="1"/>
              <c:pt idx="0">
                <c:v>3.2542313045561759E-2</c:v>
              </c:pt>
            </c:numLit>
          </c:yVal>
          <c:smooth val="0"/>
          <c:extLst>
            <c:ext xmlns:c16="http://schemas.microsoft.com/office/drawing/2014/chart" uri="{C3380CC4-5D6E-409C-BE32-E72D297353CC}">
              <c16:uniqueId val="{00000027-6BE9-4072-907B-A4622C19C5E5}"/>
            </c:ext>
          </c:extLst>
        </c:ser>
        <c:ser>
          <c:idx val="33"/>
          <c:order val="33"/>
          <c:spPr>
            <a:ln w="3175">
              <a:solidFill>
                <a:srgbClr val="000000"/>
              </a:solidFill>
              <a:prstDash val="solid"/>
            </a:ln>
          </c:spPr>
          <c:marker>
            <c:symbol val="none"/>
          </c:marker>
          <c:xVal>
            <c:numLit>
              <c:formatCode>General</c:formatCode>
              <c:ptCount val="2"/>
              <c:pt idx="0">
                <c:v>7.069332926750965</c:v>
              </c:pt>
              <c:pt idx="1">
                <c:v>7.0596329180384858</c:v>
              </c:pt>
            </c:numLit>
          </c:xVal>
          <c:yVal>
            <c:numLit>
              <c:formatCode>General</c:formatCode>
              <c:ptCount val="2"/>
              <c:pt idx="0">
                <c:v>3.1279615356557502E-2</c:v>
              </c:pt>
              <c:pt idx="1">
                <c:v>3.1501392828483736E-2</c:v>
              </c:pt>
            </c:numLit>
          </c:yVal>
          <c:smooth val="0"/>
          <c:extLst>
            <c:ext xmlns:c16="http://schemas.microsoft.com/office/drawing/2014/chart" uri="{C3380CC4-5D6E-409C-BE32-E72D297353CC}">
              <c16:uniqueId val="{00000028-6BE9-4072-907B-A4622C19C5E5}"/>
            </c:ext>
          </c:extLst>
        </c:ser>
        <c:ser>
          <c:idx val="34"/>
          <c:order val="34"/>
          <c:spPr>
            <a:ln w="3175">
              <a:solidFill>
                <a:srgbClr val="000000"/>
              </a:solidFill>
              <a:prstDash val="solid"/>
            </a:ln>
          </c:spPr>
          <c:marker>
            <c:symbol val="none"/>
          </c:marker>
          <c:xVal>
            <c:numLit>
              <c:formatCode>General</c:formatCode>
              <c:ptCount val="2"/>
              <c:pt idx="0">
                <c:v>6.5567351526053601</c:v>
              </c:pt>
              <c:pt idx="1">
                <c:v>6.5153666591455899</c:v>
              </c:pt>
            </c:numLit>
          </c:xVal>
          <c:yVal>
            <c:numLit>
              <c:formatCode>General</c:formatCode>
              <c:ptCount val="2"/>
              <c:pt idx="0">
                <c:v>3.1260387622117129E-2</c:v>
              </c:pt>
              <c:pt idx="1">
                <c:v>3.1703118520207865E-2</c:v>
              </c:pt>
            </c:numLit>
          </c:yVal>
          <c:smooth val="0"/>
          <c:extLst>
            <c:ext xmlns:c16="http://schemas.microsoft.com/office/drawing/2014/chart" uri="{C3380CC4-5D6E-409C-BE32-E72D297353CC}">
              <c16:uniqueId val="{00000029-6BE9-4072-907B-A4622C19C5E5}"/>
            </c:ext>
          </c:extLst>
        </c:ser>
        <c:ser>
          <c:idx val="35"/>
          <c:order val="35"/>
          <c:spPr>
            <a:ln w="3175">
              <a:solidFill>
                <a:srgbClr val="000000"/>
              </a:solidFill>
              <a:prstDash val="solid"/>
            </a:ln>
          </c:spPr>
          <c:marker>
            <c:symbol val="none"/>
          </c:marker>
          <c:xVal>
            <c:numLit>
              <c:formatCode>General</c:formatCode>
              <c:ptCount val="2"/>
              <c:pt idx="0">
                <c:v>6.048007262567018</c:v>
              </c:pt>
              <c:pt idx="1">
                <c:v>6.0164217039077394</c:v>
              </c:pt>
            </c:numLit>
          </c:xVal>
          <c:yVal>
            <c:numLit>
              <c:formatCode>General</c:formatCode>
              <c:ptCount val="2"/>
              <c:pt idx="0">
                <c:v>3.1227477040677638E-2</c:v>
              </c:pt>
              <c:pt idx="1">
                <c:v>3.1448137262977877E-2</c:v>
              </c:pt>
            </c:numLit>
          </c:yVal>
          <c:smooth val="0"/>
          <c:extLst>
            <c:ext xmlns:c16="http://schemas.microsoft.com/office/drawing/2014/chart" uri="{C3380CC4-5D6E-409C-BE32-E72D297353CC}">
              <c16:uniqueId val="{0000002A-6BE9-4072-907B-A4622C19C5E5}"/>
            </c:ext>
          </c:extLst>
        </c:ser>
        <c:ser>
          <c:idx val="36"/>
          <c:order val="36"/>
          <c:spPr>
            <a:ln w="3175">
              <a:solidFill>
                <a:srgbClr val="000000"/>
              </a:solidFill>
              <a:prstDash val="solid"/>
            </a:ln>
          </c:spPr>
          <c:marker>
            <c:symbol val="none"/>
          </c:marker>
          <c:xVal>
            <c:numLit>
              <c:formatCode>General</c:formatCode>
              <c:ptCount val="2"/>
              <c:pt idx="0">
                <c:v>5.5451140781737465</c:v>
              </c:pt>
              <c:pt idx="1">
                <c:v>5.4603903958097648</c:v>
              </c:pt>
            </c:numLit>
          </c:xVal>
          <c:yVal>
            <c:numLit>
              <c:formatCode>General</c:formatCode>
              <c:ptCount val="2"/>
              <c:pt idx="0">
                <c:v>3.1181274419367078E-2</c:v>
              </c:pt>
              <c:pt idx="1">
                <c:v>3.1620614751625663E-2</c:v>
              </c:pt>
            </c:numLit>
          </c:yVal>
          <c:smooth val="0"/>
          <c:extLst>
            <c:ext xmlns:c16="http://schemas.microsoft.com/office/drawing/2014/chart" uri="{C3380CC4-5D6E-409C-BE32-E72D297353CC}">
              <c16:uniqueId val="{0000002B-6BE9-4072-907B-A4622C19C5E5}"/>
            </c:ext>
          </c:extLst>
        </c:ser>
        <c:ser>
          <c:idx val="37"/>
          <c:order val="37"/>
          <c:spPr>
            <a:ln w="3175">
              <a:solidFill>
                <a:srgbClr val="000000"/>
              </a:solidFill>
              <a:prstDash val="solid"/>
            </a:ln>
          </c:spPr>
          <c:marker>
            <c:symbol val="none"/>
          </c:marker>
          <c:dLbls>
            <c:dLbl>
              <c:idx val="0"/>
              <c:tx>
                <c:rich>
                  <a:bodyPr rot="49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5.3050636448091302</c:v>
              </c:pt>
            </c:numLit>
          </c:xVal>
          <c:yVal>
            <c:numLit>
              <c:formatCode>General</c:formatCode>
              <c:ptCount val="1"/>
              <c:pt idx="0">
                <c:v>3.2426072027433077E-2</c:v>
              </c:pt>
            </c:numLit>
          </c:yVal>
          <c:smooth val="0"/>
          <c:extLst>
            <c:ext xmlns:c16="http://schemas.microsoft.com/office/drawing/2014/chart" uri="{C3380CC4-5D6E-409C-BE32-E72D297353CC}">
              <c16:uniqueId val="{0000002D-6BE9-4072-907B-A4622C19C5E5}"/>
            </c:ext>
          </c:extLst>
        </c:ser>
        <c:ser>
          <c:idx val="38"/>
          <c:order val="38"/>
          <c:spPr>
            <a:ln w="3175">
              <a:solidFill>
                <a:srgbClr val="000000"/>
              </a:solidFill>
              <a:prstDash val="solid"/>
            </a:ln>
          </c:spPr>
          <c:marker>
            <c:symbol val="none"/>
          </c:marker>
          <c:xVal>
            <c:numLit>
              <c:formatCode>General</c:formatCode>
              <c:ptCount val="2"/>
              <c:pt idx="0">
                <c:v>5.0499071430589693</c:v>
              </c:pt>
              <c:pt idx="1">
                <c:v>4.9969337246959471</c:v>
              </c:pt>
            </c:numLit>
          </c:xVal>
          <c:yVal>
            <c:numLit>
              <c:formatCode>General</c:formatCode>
              <c:ptCount val="2"/>
              <c:pt idx="0">
                <c:v>3.1122317270830653E-2</c:v>
              </c:pt>
              <c:pt idx="1">
                <c:v>3.1340724069491309E-2</c:v>
              </c:pt>
            </c:numLit>
          </c:yVal>
          <c:smooth val="0"/>
          <c:extLst>
            <c:ext xmlns:c16="http://schemas.microsoft.com/office/drawing/2014/chart" uri="{C3380CC4-5D6E-409C-BE32-E72D297353CC}">
              <c16:uniqueId val="{0000002E-6BE9-4072-907B-A4622C19C5E5}"/>
            </c:ext>
          </c:extLst>
        </c:ser>
        <c:ser>
          <c:idx val="39"/>
          <c:order val="39"/>
          <c:spPr>
            <a:ln w="3175">
              <a:solidFill>
                <a:srgbClr val="000000"/>
              </a:solidFill>
              <a:prstDash val="solid"/>
            </a:ln>
          </c:spPr>
          <c:marker>
            <c:symbol val="none"/>
          </c:marker>
          <c:xVal>
            <c:numLit>
              <c:formatCode>General</c:formatCode>
              <c:ptCount val="2"/>
              <c:pt idx="0">
                <c:v>4.5640932094034081</c:v>
              </c:pt>
              <c:pt idx="1">
                <c:v>4.437325775520697</c:v>
              </c:pt>
            </c:numLit>
          </c:xVal>
          <c:yVal>
            <c:numLit>
              <c:formatCode>General</c:formatCode>
              <c:ptCount val="2"/>
              <c:pt idx="0">
                <c:v>3.1051272895714872E-2</c:v>
              </c:pt>
              <c:pt idx="1">
                <c:v>3.1485041734102652E-2</c:v>
              </c:pt>
            </c:numLit>
          </c:yVal>
          <c:smooth val="0"/>
          <c:extLst>
            <c:ext xmlns:c16="http://schemas.microsoft.com/office/drawing/2014/chart" uri="{C3380CC4-5D6E-409C-BE32-E72D297353CC}">
              <c16:uniqueId val="{0000002F-6BE9-4072-907B-A4622C19C5E5}"/>
            </c:ext>
          </c:extLst>
        </c:ser>
        <c:ser>
          <c:idx val="40"/>
          <c:order val="40"/>
          <c:spPr>
            <a:ln w="3175">
              <a:solidFill>
                <a:srgbClr val="000000"/>
              </a:solidFill>
              <a:prstDash val="solid"/>
            </a:ln>
          </c:spPr>
          <c:marker>
            <c:symbol val="none"/>
          </c:marker>
          <c:xVal>
            <c:numLit>
              <c:formatCode>General</c:formatCode>
              <c:ptCount val="2"/>
              <c:pt idx="0">
                <c:v>4.0892088691906565</c:v>
              </c:pt>
              <c:pt idx="1">
                <c:v>4.0156490592447414</c:v>
              </c:pt>
            </c:numLit>
          </c:xVal>
          <c:yVal>
            <c:numLit>
              <c:formatCode>General</c:formatCode>
              <c:ptCount val="2"/>
              <c:pt idx="0">
                <c:v>3.0968918248820355E-2</c:v>
              </c:pt>
              <c:pt idx="1">
                <c:v>3.118403792558079E-2</c:v>
              </c:pt>
            </c:numLit>
          </c:yVal>
          <c:smooth val="0"/>
          <c:extLst>
            <c:ext xmlns:c16="http://schemas.microsoft.com/office/drawing/2014/chart" uri="{C3380CC4-5D6E-409C-BE32-E72D297353CC}">
              <c16:uniqueId val="{00000030-6BE9-4072-907B-A4622C19C5E5}"/>
            </c:ext>
          </c:extLst>
        </c:ser>
        <c:ser>
          <c:idx val="41"/>
          <c:order val="41"/>
          <c:spPr>
            <a:ln w="3175">
              <a:solidFill>
                <a:srgbClr val="000000"/>
              </a:solidFill>
              <a:prstDash val="solid"/>
            </a:ln>
          </c:spPr>
          <c:marker>
            <c:symbol val="none"/>
          </c:marker>
          <c:xVal>
            <c:numLit>
              <c:formatCode>General</c:formatCode>
              <c:ptCount val="2"/>
              <c:pt idx="0">
                <c:v>3.6266020041010818</c:v>
              </c:pt>
              <c:pt idx="1">
                <c:v>3.4596563757054137</c:v>
              </c:pt>
            </c:numLit>
          </c:xVal>
          <c:yVal>
            <c:numLit>
              <c:formatCode>General</c:formatCode>
              <c:ptCount val="2"/>
              <c:pt idx="0">
                <c:v>3.0876117725569325E-2</c:v>
              </c:pt>
              <c:pt idx="1">
                <c:v>3.1302379913808007E-2</c:v>
              </c:pt>
            </c:numLit>
          </c:yVal>
          <c:smooth val="0"/>
          <c:extLst>
            <c:ext xmlns:c16="http://schemas.microsoft.com/office/drawing/2014/chart" uri="{C3380CC4-5D6E-409C-BE32-E72D297353CC}">
              <c16:uniqueId val="{00000031-6BE9-4072-907B-A4622C19C5E5}"/>
            </c:ext>
          </c:extLst>
        </c:ser>
        <c:ser>
          <c:idx val="42"/>
          <c:order val="42"/>
          <c:spPr>
            <a:ln w="3175">
              <a:solidFill>
                <a:srgbClr val="000000"/>
              </a:solidFill>
              <a:prstDash val="solid"/>
            </a:ln>
          </c:spPr>
          <c:marker>
            <c:symbol val="none"/>
          </c:marker>
          <c:dLbls>
            <c:dLbl>
              <c:idx val="0"/>
              <c:tx>
                <c:rich>
                  <a:bodyPr rot="44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2-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3.1535893903133561</c:v>
              </c:pt>
            </c:numLit>
          </c:xVal>
          <c:yVal>
            <c:numLit>
              <c:formatCode>General</c:formatCode>
              <c:ptCount val="1"/>
              <c:pt idx="0">
                <c:v>3.2083860592245599E-2</c:v>
              </c:pt>
            </c:numLit>
          </c:yVal>
          <c:smooth val="0"/>
          <c:extLst>
            <c:ext xmlns:c16="http://schemas.microsoft.com/office/drawing/2014/chart" uri="{C3380CC4-5D6E-409C-BE32-E72D297353CC}">
              <c16:uniqueId val="{00000033-6BE9-4072-907B-A4622C19C5E5}"/>
            </c:ext>
          </c:extLst>
        </c:ser>
        <c:ser>
          <c:idx val="43"/>
          <c:order val="43"/>
          <c:spPr>
            <a:ln w="3175">
              <a:solidFill>
                <a:srgbClr val="000000"/>
              </a:solidFill>
              <a:prstDash val="solid"/>
            </a:ln>
          </c:spPr>
          <c:marker>
            <c:symbol val="none"/>
          </c:marker>
          <c:xVal>
            <c:numLit>
              <c:formatCode>General</c:formatCode>
              <c:ptCount val="2"/>
              <c:pt idx="0">
                <c:v>3.1774202657841126</c:v>
              </c:pt>
              <c:pt idx="1">
                <c:v>3.0843221286223432</c:v>
              </c:pt>
            </c:numLit>
          </c:xVal>
          <c:yVal>
            <c:numLit>
              <c:formatCode>General</c:formatCode>
              <c:ptCount val="2"/>
              <c:pt idx="0">
                <c:v>3.0773800028426088E-2</c:v>
              </c:pt>
              <c:pt idx="1">
                <c:v>3.0984738600463791E-2</c:v>
              </c:pt>
            </c:numLit>
          </c:yVal>
          <c:smooth val="0"/>
          <c:extLst>
            <c:ext xmlns:c16="http://schemas.microsoft.com/office/drawing/2014/chart" uri="{C3380CC4-5D6E-409C-BE32-E72D297353CC}">
              <c16:uniqueId val="{00000034-6BE9-4072-907B-A4622C19C5E5}"/>
            </c:ext>
          </c:extLst>
        </c:ser>
        <c:ser>
          <c:idx val="44"/>
          <c:order val="44"/>
          <c:spPr>
            <a:ln w="3175">
              <a:solidFill>
                <a:srgbClr val="000000"/>
              </a:solidFill>
              <a:prstDash val="solid"/>
            </a:ln>
          </c:spPr>
          <c:marker>
            <c:symbol val="none"/>
          </c:marker>
          <c:xVal>
            <c:numLit>
              <c:formatCode>General</c:formatCode>
              <c:ptCount val="2"/>
              <c:pt idx="0">
                <c:v>2.7426063708388666</c:v>
              </c:pt>
              <c:pt idx="1">
                <c:v>2.5377752153033892</c:v>
              </c:pt>
            </c:numLit>
          </c:xVal>
          <c:yVal>
            <c:numLit>
              <c:formatCode>General</c:formatCode>
              <c:ptCount val="2"/>
              <c:pt idx="0">
                <c:v>3.0662935204324095E-2</c:v>
              </c:pt>
              <c:pt idx="1">
                <c:v>3.1080060998795126E-2</c:v>
              </c:pt>
            </c:numLit>
          </c:yVal>
          <c:smooth val="0"/>
          <c:extLst>
            <c:ext xmlns:c16="http://schemas.microsoft.com/office/drawing/2014/chart" uri="{C3380CC4-5D6E-409C-BE32-E72D297353CC}">
              <c16:uniqueId val="{00000035-6BE9-4072-907B-A4622C19C5E5}"/>
            </c:ext>
          </c:extLst>
        </c:ser>
        <c:ser>
          <c:idx val="45"/>
          <c:order val="45"/>
          <c:spPr>
            <a:ln w="3175">
              <a:solidFill>
                <a:srgbClr val="000000"/>
              </a:solidFill>
              <a:prstDash val="solid"/>
            </a:ln>
          </c:spPr>
          <c:marker>
            <c:symbol val="none"/>
          </c:marker>
          <c:xVal>
            <c:numLit>
              <c:formatCode>General</c:formatCode>
              <c:ptCount val="2"/>
              <c:pt idx="0">
                <c:v>2.3228996376269366</c:v>
              </c:pt>
              <c:pt idx="1">
                <c:v>2.2114903441475136</c:v>
              </c:pt>
            </c:numLit>
          </c:xVal>
          <c:yVal>
            <c:numLit>
              <c:formatCode>General</c:formatCode>
              <c:ptCount val="2"/>
              <c:pt idx="0">
                <c:v>3.0544512802476664E-2</c:v>
              </c:pt>
              <c:pt idx="1">
                <c:v>3.0750538076815451E-2</c:v>
              </c:pt>
            </c:numLit>
          </c:yVal>
          <c:smooth val="0"/>
          <c:extLst>
            <c:ext xmlns:c16="http://schemas.microsoft.com/office/drawing/2014/chart" uri="{C3380CC4-5D6E-409C-BE32-E72D297353CC}">
              <c16:uniqueId val="{00000036-6BE9-4072-907B-A4622C19C5E5}"/>
            </c:ext>
          </c:extLst>
        </c:ser>
        <c:ser>
          <c:idx val="46"/>
          <c:order val="46"/>
          <c:spPr>
            <a:ln w="3175">
              <a:solidFill>
                <a:srgbClr val="000000"/>
              </a:solidFill>
              <a:prstDash val="solid"/>
            </a:ln>
          </c:spPr>
          <c:marker>
            <c:symbol val="none"/>
          </c:marker>
          <c:xVal>
            <c:numLit>
              <c:formatCode>General</c:formatCode>
              <c:ptCount val="2"/>
              <c:pt idx="0">
                <c:v>1.9188429271939578</c:v>
              </c:pt>
              <c:pt idx="1">
                <c:v>1.6787076240736989</c:v>
              </c:pt>
            </c:numLit>
          </c:xVal>
          <c:yVal>
            <c:numLit>
              <c:formatCode>General</c:formatCode>
              <c:ptCount val="2"/>
              <c:pt idx="0">
                <c:v>3.04195219111833E-2</c:v>
              </c:pt>
              <c:pt idx="1">
                <c:v>3.0826215707376869E-2</c:v>
              </c:pt>
            </c:numLit>
          </c:yVal>
          <c:smooth val="0"/>
          <c:extLst>
            <c:ext xmlns:c16="http://schemas.microsoft.com/office/drawing/2014/chart" uri="{C3380CC4-5D6E-409C-BE32-E72D297353CC}">
              <c16:uniqueId val="{00000037-6BE9-4072-907B-A4622C19C5E5}"/>
            </c:ext>
          </c:extLst>
        </c:ser>
        <c:ser>
          <c:idx val="47"/>
          <c:order val="47"/>
          <c:spPr>
            <a:ln w="3175">
              <a:solidFill>
                <a:srgbClr val="000000"/>
              </a:solidFill>
              <a:prstDash val="solid"/>
            </a:ln>
          </c:spPr>
          <c:marker>
            <c:symbol val="none"/>
          </c:marker>
          <c:dLbls>
            <c:dLbl>
              <c:idx val="0"/>
              <c:tx>
                <c:rich>
                  <a:bodyPr rot="3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8-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1.2384595683532245</c:v>
              </c:pt>
            </c:numLit>
          </c:xVal>
          <c:yVal>
            <c:numLit>
              <c:formatCode>General</c:formatCode>
              <c:ptCount val="1"/>
              <c:pt idx="0">
                <c:v>3.1571821000398417E-2</c:v>
              </c:pt>
            </c:numLit>
          </c:yVal>
          <c:smooth val="0"/>
          <c:extLst>
            <c:ext xmlns:c16="http://schemas.microsoft.com/office/drawing/2014/chart" uri="{C3380CC4-5D6E-409C-BE32-E72D297353CC}">
              <c16:uniqueId val="{00000039-6BE9-4072-907B-A4622C19C5E5}"/>
            </c:ext>
          </c:extLst>
        </c:ser>
        <c:ser>
          <c:idx val="48"/>
          <c:order val="48"/>
          <c:spPr>
            <a:ln w="3175">
              <a:solidFill>
                <a:srgbClr val="000000"/>
              </a:solidFill>
              <a:prstDash val="solid"/>
            </a:ln>
          </c:spPr>
          <c:marker>
            <c:symbol val="none"/>
          </c:marker>
          <c:xVal>
            <c:numLit>
              <c:formatCode>General</c:formatCode>
              <c:ptCount val="2"/>
              <c:pt idx="0">
                <c:v>1.5307939862731423</c:v>
              </c:pt>
              <c:pt idx="1">
                <c:v>1.4024110002647094</c:v>
              </c:pt>
            </c:numLit>
          </c:xVal>
          <c:yVal>
            <c:numLit>
              <c:formatCode>General</c:formatCode>
              <c:ptCount val="2"/>
              <c:pt idx="0">
                <c:v>3.0288933617716181E-2</c:v>
              </c:pt>
              <c:pt idx="1">
                <c:v>3.0489482195238671E-2</c:v>
              </c:pt>
            </c:numLit>
          </c:yVal>
          <c:smooth val="0"/>
          <c:extLst>
            <c:ext xmlns:c16="http://schemas.microsoft.com/office/drawing/2014/chart" uri="{C3380CC4-5D6E-409C-BE32-E72D297353CC}">
              <c16:uniqueId val="{0000003A-6BE9-4072-907B-A4622C19C5E5}"/>
            </c:ext>
          </c:extLst>
        </c:ser>
        <c:ser>
          <c:idx val="49"/>
          <c:order val="49"/>
          <c:spPr>
            <a:ln w="3175">
              <a:solidFill>
                <a:srgbClr val="000000"/>
              </a:solidFill>
              <a:prstDash val="solid"/>
            </a:ln>
          </c:spPr>
          <c:marker>
            <c:symbol val="none"/>
          </c:marker>
          <c:xVal>
            <c:numLit>
              <c:formatCode>General</c:formatCode>
              <c:ptCount val="2"/>
              <c:pt idx="0">
                <c:v>1.1589401224706948</c:v>
              </c:pt>
              <c:pt idx="1">
                <c:v>0.88623755629086753</c:v>
              </c:pt>
            </c:numLit>
          </c:xVal>
          <c:yVal>
            <c:numLit>
              <c:formatCode>General</c:formatCode>
              <c:ptCount val="2"/>
              <c:pt idx="0">
                <c:v>3.0153686220164965E-2</c:v>
              </c:pt>
              <c:pt idx="1">
                <c:v>3.0548987058172033E-2</c:v>
              </c:pt>
            </c:numLit>
          </c:yVal>
          <c:smooth val="0"/>
          <c:extLst>
            <c:ext xmlns:c16="http://schemas.microsoft.com/office/drawing/2014/chart" uri="{C3380CC4-5D6E-409C-BE32-E72D297353CC}">
              <c16:uniqueId val="{0000003B-6BE9-4072-907B-A4622C19C5E5}"/>
            </c:ext>
          </c:extLst>
        </c:ser>
        <c:ser>
          <c:idx val="50"/>
          <c:order val="50"/>
          <c:spPr>
            <a:ln w="3175">
              <a:solidFill>
                <a:srgbClr val="000000"/>
              </a:solidFill>
              <a:prstDash val="solid"/>
            </a:ln>
          </c:spPr>
          <c:marker>
            <c:symbol val="none"/>
          </c:marker>
          <c:xVal>
            <c:numLit>
              <c:formatCode>General</c:formatCode>
              <c:ptCount val="2"/>
              <c:pt idx="0">
                <c:v>0.80331515702341572</c:v>
              </c:pt>
              <c:pt idx="1">
                <c:v>0.65934333895963149</c:v>
              </c:pt>
            </c:numLit>
          </c:xVal>
          <c:yVal>
            <c:numLit>
              <c:formatCode>General</c:formatCode>
              <c:ptCount val="2"/>
              <c:pt idx="0">
                <c:v>3.0014673322626941E-2</c:v>
              </c:pt>
              <c:pt idx="1">
                <c:v>3.0209344893826089E-2</c:v>
              </c:pt>
            </c:numLit>
          </c:yVal>
          <c:smooth val="0"/>
          <c:extLst>
            <c:ext xmlns:c16="http://schemas.microsoft.com/office/drawing/2014/chart" uri="{C3380CC4-5D6E-409C-BE32-E72D297353CC}">
              <c16:uniqueId val="{0000003C-6BE9-4072-907B-A4622C19C5E5}"/>
            </c:ext>
          </c:extLst>
        </c:ser>
        <c:ser>
          <c:idx val="51"/>
          <c:order val="51"/>
          <c:spPr>
            <a:ln w="3175">
              <a:solidFill>
                <a:srgbClr val="000000"/>
              </a:solidFill>
              <a:prstDash val="solid"/>
            </a:ln>
          </c:spPr>
          <c:marker>
            <c:symbol val="none"/>
          </c:marker>
          <c:xVal>
            <c:numLit>
              <c:formatCode>General</c:formatCode>
              <c:ptCount val="2"/>
              <c:pt idx="0">
                <c:v>0.4638176802814884</c:v>
              </c:pt>
              <c:pt idx="1">
                <c:v>0.1613241522935524</c:v>
              </c:pt>
            </c:numLit>
          </c:xVal>
          <c:yVal>
            <c:numLit>
              <c:formatCode>General</c:formatCode>
              <c:ptCount val="2"/>
              <c:pt idx="0">
                <c:v>2.9872734777880133E-2</c:v>
              </c:pt>
              <c:pt idx="1">
                <c:v>3.0255994839789281E-2</c:v>
              </c:pt>
            </c:numLit>
          </c:yVal>
          <c:smooth val="0"/>
          <c:extLst>
            <c:ext xmlns:c16="http://schemas.microsoft.com/office/drawing/2014/chart" uri="{C3380CC4-5D6E-409C-BE32-E72D297353CC}">
              <c16:uniqueId val="{0000003D-6BE9-4072-907B-A4622C19C5E5}"/>
            </c:ext>
          </c:extLst>
        </c:ser>
        <c:ser>
          <c:idx val="52"/>
          <c:order val="52"/>
          <c:spPr>
            <a:ln w="3175">
              <a:solidFill>
                <a:srgbClr val="000000"/>
              </a:solidFill>
              <a:prstDash val="solid"/>
            </a:ln>
          </c:spPr>
          <c:marker>
            <c:symbol val="none"/>
          </c:marker>
          <c:dLbls>
            <c:dLbl>
              <c:idx val="0"/>
              <c:tx>
                <c:rich>
                  <a:bodyPr rot="3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-0.39324731568433041</c:v>
              </c:pt>
            </c:numLit>
          </c:xVal>
          <c:yVal>
            <c:numLit>
              <c:formatCode>General</c:formatCode>
              <c:ptCount val="1"/>
              <c:pt idx="0">
                <c:v>3.0958638286622722E-2</c:v>
              </c:pt>
            </c:numLit>
          </c:yVal>
          <c:smooth val="0"/>
          <c:extLst>
            <c:ext xmlns:c16="http://schemas.microsoft.com/office/drawing/2014/chart" uri="{C3380CC4-5D6E-409C-BE32-E72D297353CC}">
              <c16:uniqueId val="{0000003F-6BE9-4072-907B-A4622C19C5E5}"/>
            </c:ext>
          </c:extLst>
        </c:ser>
        <c:ser>
          <c:idx val="53"/>
          <c:order val="53"/>
          <c:spPr>
            <a:ln w="3175">
              <a:solidFill>
                <a:srgbClr val="000000"/>
              </a:solidFill>
              <a:prstDash val="solid"/>
            </a:ln>
          </c:spPr>
          <c:marker>
            <c:symbol val="none"/>
          </c:marker>
          <c:xVal>
            <c:numLit>
              <c:formatCode>General</c:formatCode>
              <c:ptCount val="2"/>
              <c:pt idx="0">
                <c:v>0.14022975872621024</c:v>
              </c:pt>
              <c:pt idx="1">
                <c:v>-1.7951032158228471E-2</c:v>
              </c:pt>
            </c:numLit>
          </c:xVal>
          <c:yVal>
            <c:numLit>
              <c:formatCode>General</c:formatCode>
              <c:ptCount val="2"/>
              <c:pt idx="0">
                <c:v>2.9728650311281322E-2</c:v>
              </c:pt>
              <c:pt idx="1">
                <c:v>2.9917192817951636E-2</c:v>
              </c:pt>
            </c:numLit>
          </c:yVal>
          <c:smooth val="0"/>
          <c:extLst>
            <c:ext xmlns:c16="http://schemas.microsoft.com/office/drawing/2014/chart" uri="{C3380CC4-5D6E-409C-BE32-E72D297353CC}">
              <c16:uniqueId val="{00000040-6BE9-4072-907B-A4622C19C5E5}"/>
            </c:ext>
          </c:extLst>
        </c:ser>
        <c:ser>
          <c:idx val="54"/>
          <c:order val="54"/>
          <c:spPr>
            <a:ln w="3175">
              <a:solidFill>
                <a:srgbClr val="000000"/>
              </a:solidFill>
              <a:prstDash val="solid"/>
            </a:ln>
          </c:spPr>
          <c:marker>
            <c:symbol val="none"/>
          </c:marker>
          <c:xVal>
            <c:numLit>
              <c:formatCode>General</c:formatCode>
              <c:ptCount val="2"/>
              <c:pt idx="0">
                <c:v>-0.16776460974090424</c:v>
              </c:pt>
              <c:pt idx="1">
                <c:v>-0.49732595015837133</c:v>
              </c:pt>
            </c:numLit>
          </c:xVal>
          <c:yVal>
            <c:numLit>
              <c:formatCode>General</c:formatCode>
              <c:ptCount val="2"/>
              <c:pt idx="0">
                <c:v>2.95831355675608E-2</c:v>
              </c:pt>
              <c:pt idx="1">
                <c:v>2.9953984234741979E-2</c:v>
              </c:pt>
            </c:numLit>
          </c:yVal>
          <c:smooth val="0"/>
          <c:extLst>
            <c:ext xmlns:c16="http://schemas.microsoft.com/office/drawing/2014/chart" uri="{C3380CC4-5D6E-409C-BE32-E72D297353CC}">
              <c16:uniqueId val="{00000041-6BE9-4072-907B-A4622C19C5E5}"/>
            </c:ext>
          </c:extLst>
        </c:ser>
        <c:ser>
          <c:idx val="55"/>
          <c:order val="55"/>
          <c:spPr>
            <a:ln w="3175">
              <a:solidFill>
                <a:srgbClr val="000000"/>
              </a:solidFill>
              <a:prstDash val="solid"/>
            </a:ln>
          </c:spPr>
          <c:marker>
            <c:symbol val="none"/>
          </c:marker>
          <c:xVal>
            <c:numLit>
              <c:formatCode>General</c:formatCode>
              <c:ptCount val="2"/>
              <c:pt idx="0">
                <c:v>-0.46056184007219381</c:v>
              </c:pt>
              <c:pt idx="1">
                <c:v>-0.63161673664516982</c:v>
              </c:pt>
            </c:numLit>
          </c:xVal>
          <c:yVal>
            <c:numLit>
              <c:formatCode>General</c:formatCode>
              <c:ptCount val="2"/>
              <c:pt idx="0">
                <c:v>2.9436840266009144E-2</c:v>
              </c:pt>
              <c:pt idx="1">
                <c:v>2.9619129700280768E-2</c:v>
              </c:pt>
            </c:numLit>
          </c:yVal>
          <c:smooth val="0"/>
          <c:extLst>
            <c:ext xmlns:c16="http://schemas.microsoft.com/office/drawing/2014/chart" uri="{C3380CC4-5D6E-409C-BE32-E72D297353CC}">
              <c16:uniqueId val="{00000042-6BE9-4072-907B-A4622C19C5E5}"/>
            </c:ext>
          </c:extLst>
        </c:ser>
        <c:ser>
          <c:idx val="56"/>
          <c:order val="56"/>
          <c:spPr>
            <a:ln w="3175">
              <a:solidFill>
                <a:srgbClr val="000000"/>
              </a:solidFill>
              <a:prstDash val="solid"/>
            </a:ln>
          </c:spPr>
          <c:marker>
            <c:symbol val="none"/>
          </c:marker>
          <c:xVal>
            <c:numLit>
              <c:formatCode>General</c:formatCode>
              <c:ptCount val="2"/>
              <c:pt idx="0">
                <c:v>-0.73862230174342836</c:v>
              </c:pt>
              <c:pt idx="1">
                <c:v>-1.0926489718181465</c:v>
              </c:pt>
            </c:numLit>
          </c:xVal>
          <c:yVal>
            <c:numLit>
              <c:formatCode>General</c:formatCode>
              <c:ptCount val="2"/>
              <c:pt idx="0">
                <c:v>2.9290348124299693E-2</c:v>
              </c:pt>
              <c:pt idx="1">
                <c:v>2.9648648758198254E-2</c:v>
              </c:pt>
            </c:numLit>
          </c:yVal>
          <c:smooth val="0"/>
          <c:extLst>
            <c:ext xmlns:c16="http://schemas.microsoft.com/office/drawing/2014/chart" uri="{C3380CC4-5D6E-409C-BE32-E72D297353CC}">
              <c16:uniqueId val="{00000043-6BE9-4072-907B-A4622C19C5E5}"/>
            </c:ext>
          </c:extLst>
        </c:ser>
        <c:ser>
          <c:idx val="57"/>
          <c:order val="57"/>
          <c:spPr>
            <a:ln w="3175">
              <a:solidFill>
                <a:srgbClr val="000000"/>
              </a:solidFill>
              <a:prstDash val="solid"/>
            </a:ln>
          </c:spPr>
          <c:marker>
            <c:symbol val="none"/>
          </c:marker>
          <c:dLbls>
            <c:dLbl>
              <c:idx val="0"/>
              <c:tx>
                <c:rich>
                  <a:bodyPr rot="32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4-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-1.74169786695513</c:v>
              </c:pt>
            </c:numLit>
          </c:xVal>
          <c:yVal>
            <c:numLit>
              <c:formatCode>General</c:formatCode>
              <c:ptCount val="1"/>
              <c:pt idx="0">
                <c:v>3.0305533253678942E-2</c:v>
              </c:pt>
            </c:numLit>
          </c:yVal>
          <c:smooth val="0"/>
          <c:extLst>
            <c:ext xmlns:c16="http://schemas.microsoft.com/office/drawing/2014/chart" uri="{C3380CC4-5D6E-409C-BE32-E72D297353CC}">
              <c16:uniqueId val="{00000045-6BE9-4072-907B-A4622C19C5E5}"/>
            </c:ext>
          </c:extLst>
        </c:ser>
        <c:ser>
          <c:idx val="58"/>
          <c:order val="58"/>
          <c:spPr>
            <a:ln w="3175">
              <a:solidFill>
                <a:srgbClr val="000000"/>
              </a:solidFill>
              <a:prstDash val="solid"/>
            </a:ln>
          </c:spPr>
          <c:marker>
            <c:symbol val="none"/>
          </c:marker>
          <c:xVal>
            <c:numLit>
              <c:formatCode>General</c:formatCode>
              <c:ptCount val="2"/>
              <c:pt idx="0">
                <c:v>-1.002455319966258</c:v>
              </c:pt>
              <c:pt idx="1">
                <c:v>-1.1851222196798212</c:v>
              </c:pt>
            </c:numLit>
          </c:xVal>
          <c:yVal>
            <c:numLit>
              <c:formatCode>General</c:formatCode>
              <c:ptCount val="2"/>
              <c:pt idx="0">
                <c:v>2.9144178210618831E-2</c:v>
              </c:pt>
              <c:pt idx="1">
                <c:v>2.932019631513209E-2</c:v>
              </c:pt>
            </c:numLit>
          </c:yVal>
          <c:smooth val="0"/>
          <c:extLst>
            <c:ext xmlns:c16="http://schemas.microsoft.com/office/drawing/2014/chart" uri="{C3380CC4-5D6E-409C-BE32-E72D297353CC}">
              <c16:uniqueId val="{00000046-6BE9-4072-907B-A4622C19C5E5}"/>
            </c:ext>
          </c:extLst>
        </c:ser>
        <c:ser>
          <c:idx val="59"/>
          <c:order val="59"/>
          <c:spPr>
            <a:ln w="3175">
              <a:solidFill>
                <a:srgbClr val="000000"/>
              </a:solidFill>
              <a:prstDash val="solid"/>
            </a:ln>
          </c:spPr>
          <c:marker>
            <c:symbol val="none"/>
          </c:marker>
          <c:xVal>
            <c:numLit>
              <c:formatCode>General</c:formatCode>
              <c:ptCount val="2"/>
              <c:pt idx="0">
                <c:v>-1.2526057824083219</c:v>
              </c:pt>
              <c:pt idx="1">
                <c:v>-1.6286603159401067</c:v>
              </c:pt>
            </c:numLit>
          </c:xVal>
          <c:yVal>
            <c:numLit>
              <c:formatCode>General</c:formatCode>
              <c:ptCount val="2"/>
              <c:pt idx="0">
                <c:v>2.8998787401373648E-2</c:v>
              </c:pt>
              <c:pt idx="1">
                <c:v>2.9344592575718233E-2</c:v>
              </c:pt>
            </c:numLit>
          </c:yVal>
          <c:smooth val="0"/>
          <c:extLst>
            <c:ext xmlns:c16="http://schemas.microsoft.com/office/drawing/2014/chart" uri="{C3380CC4-5D6E-409C-BE32-E72D297353CC}">
              <c16:uniqueId val="{00000047-6BE9-4072-907B-A4622C19C5E5}"/>
            </c:ext>
          </c:extLst>
        </c:ser>
        <c:ser>
          <c:idx val="60"/>
          <c:order val="60"/>
          <c:spPr>
            <a:ln w="3175">
              <a:solidFill>
                <a:srgbClr val="000000"/>
              </a:solidFill>
              <a:prstDash val="solid"/>
            </a:ln>
          </c:spPr>
          <c:marker>
            <c:symbol val="none"/>
          </c:marker>
          <c:xVal>
            <c:numLit>
              <c:formatCode>General</c:formatCode>
              <c:ptCount val="2"/>
              <c:pt idx="0">
                <c:v>-1.4896424028400646</c:v>
              </c:pt>
              <c:pt idx="1">
                <c:v>-1.6827490257580664</c:v>
              </c:pt>
            </c:numLit>
          </c:xVal>
          <c:yVal>
            <c:numLit>
              <c:formatCode>General</c:formatCode>
              <c:ptCount val="2"/>
              <c:pt idx="0">
                <c:v>2.8854573651448525E-2</c:v>
              </c:pt>
              <c:pt idx="1">
                <c:v>2.9024385943979564E-2</c:v>
              </c:pt>
            </c:numLit>
          </c:yVal>
          <c:smooth val="0"/>
          <c:extLst>
            <c:ext xmlns:c16="http://schemas.microsoft.com/office/drawing/2014/chart" uri="{C3380CC4-5D6E-409C-BE32-E72D297353CC}">
              <c16:uniqueId val="{00000048-6BE9-4072-907B-A4622C19C5E5}"/>
            </c:ext>
          </c:extLst>
        </c:ser>
        <c:ser>
          <c:idx val="61"/>
          <c:order val="61"/>
          <c:spPr>
            <a:ln w="3175">
              <a:solidFill>
                <a:srgbClr val="000000"/>
              </a:solidFill>
              <a:prstDash val="solid"/>
            </a:ln>
          </c:spPr>
          <c:marker>
            <c:symbol val="none"/>
          </c:marker>
          <c:xVal>
            <c:numLit>
              <c:formatCode>General</c:formatCode>
              <c:ptCount val="2"/>
              <c:pt idx="0">
                <c:v>-1.7141476200677335</c:v>
              </c:pt>
              <c:pt idx="1">
                <c:v>-2.1099825180706362</c:v>
              </c:pt>
            </c:numLit>
          </c:xVal>
          <c:yVal>
            <c:numLit>
              <c:formatCode>General</c:formatCode>
              <c:ptCount val="2"/>
              <c:pt idx="0">
                <c:v>2.8711879820593082E-2</c:v>
              </c:pt>
              <c:pt idx="1">
                <c:v>2.9045388955761357E-2</c:v>
              </c:pt>
            </c:numLit>
          </c:yVal>
          <c:smooth val="0"/>
          <c:extLst>
            <c:ext xmlns:c16="http://schemas.microsoft.com/office/drawing/2014/chart" uri="{C3380CC4-5D6E-409C-BE32-E72D297353CC}">
              <c16:uniqueId val="{00000049-6BE9-4072-907B-A4622C19C5E5}"/>
            </c:ext>
          </c:extLst>
        </c:ser>
        <c:ser>
          <c:idx val="62"/>
          <c:order val="62"/>
          <c:spPr>
            <a:ln w="3175">
              <a:solidFill>
                <a:srgbClr val="000000"/>
              </a:solidFill>
              <a:prstDash val="solid"/>
            </a:ln>
          </c:spPr>
          <c:marker>
            <c:symbol val="none"/>
          </c:marker>
          <c:dLbls>
            <c:dLbl>
              <c:idx val="0"/>
              <c:tx>
                <c:rich>
                  <a:bodyPr rot="29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A-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-2.8356798310759577</c:v>
              </c:pt>
            </c:numLit>
          </c:xVal>
          <c:yVal>
            <c:numLit>
              <c:formatCode>General</c:formatCode>
              <c:ptCount val="1"/>
              <c:pt idx="0">
                <c:v>2.9656822370236528E-2</c:v>
              </c:pt>
            </c:numLit>
          </c:yVal>
          <c:smooth val="0"/>
          <c:extLst>
            <c:ext xmlns:c16="http://schemas.microsoft.com/office/drawing/2014/chart" uri="{C3380CC4-5D6E-409C-BE32-E72D297353CC}">
              <c16:uniqueId val="{0000004B-6BE9-4072-907B-A4622C19C5E5}"/>
            </c:ext>
          </c:extLst>
        </c:ser>
        <c:ser>
          <c:idx val="63"/>
          <c:order val="63"/>
          <c:spPr>
            <a:ln w="3175">
              <a:solidFill>
                <a:srgbClr val="000000"/>
              </a:solidFill>
              <a:prstDash val="solid"/>
            </a:ln>
          </c:spPr>
          <c:marker>
            <c:symbol val="none"/>
          </c:marker>
          <c:xVal>
            <c:numLit>
              <c:formatCode>General</c:formatCode>
              <c:ptCount val="2"/>
              <c:pt idx="0">
                <c:v>-1.9267090572547372</c:v>
              </c:pt>
              <c:pt idx="1">
                <c:v>-2.1291813941959106</c:v>
              </c:pt>
            </c:numLit>
          </c:xVal>
          <c:yVal>
            <c:numLit>
              <c:formatCode>General</c:formatCode>
              <c:ptCount val="2"/>
              <c:pt idx="0">
                <c:v>2.8570997838905359E-2</c:v>
              </c:pt>
              <c:pt idx="1">
                <c:v>2.8734733506881903E-2</c:v>
              </c:pt>
            </c:numLit>
          </c:yVal>
          <c:smooth val="0"/>
          <c:extLst>
            <c:ext xmlns:c16="http://schemas.microsoft.com/office/drawing/2014/chart" uri="{C3380CC4-5D6E-409C-BE32-E72D297353CC}">
              <c16:uniqueId val="{0000004C-6BE9-4072-907B-A4622C19C5E5}"/>
            </c:ext>
          </c:extLst>
        </c:ser>
        <c:ser>
          <c:idx val="64"/>
          <c:order val="64"/>
          <c:spPr>
            <a:ln w="3175">
              <a:solidFill>
                <a:srgbClr val="000000"/>
              </a:solidFill>
              <a:prstDash val="solid"/>
            </a:ln>
          </c:spPr>
          <c:marker>
            <c:symbol val="none"/>
          </c:marker>
          <c:xVal>
            <c:numLit>
              <c:formatCode>General</c:formatCode>
              <c:ptCount val="2"/>
              <c:pt idx="0">
                <c:v>-2.1279124307072412</c:v>
              </c:pt>
              <c:pt idx="1">
                <c:v>-2.5414801063089798</c:v>
              </c:pt>
            </c:numLit>
          </c:xVal>
          <c:yVal>
            <c:numLit>
              <c:formatCode>General</c:formatCode>
              <c:ptCount val="2"/>
              <c:pt idx="0">
                <c:v>2.8432173033455556E-2</c:v>
              </c:pt>
              <c:pt idx="1">
                <c:v>2.8753694734889368E-2</c:v>
              </c:pt>
            </c:numLit>
          </c:yVal>
          <c:smooth val="0"/>
          <c:extLst>
            <c:ext xmlns:c16="http://schemas.microsoft.com/office/drawing/2014/chart" uri="{C3380CC4-5D6E-409C-BE32-E72D297353CC}">
              <c16:uniqueId val="{0000004D-6BE9-4072-907B-A4622C19C5E5}"/>
            </c:ext>
          </c:extLst>
        </c:ser>
        <c:ser>
          <c:idx val="65"/>
          <c:order val="65"/>
          <c:spPr>
            <a:ln w="3175">
              <a:solidFill>
                <a:srgbClr val="000000"/>
              </a:solidFill>
              <a:prstDash val="solid"/>
            </a:ln>
          </c:spPr>
          <c:marker>
            <c:symbol val="none"/>
          </c:marker>
          <c:xVal>
            <c:numLit>
              <c:formatCode>General</c:formatCode>
              <c:ptCount val="2"/>
              <c:pt idx="0">
                <c:v>-2.3183357754510565</c:v>
              </c:pt>
              <c:pt idx="1">
                <c:v>-2.529200113496437</c:v>
              </c:pt>
            </c:numLit>
          </c:xVal>
          <c:yVal>
            <c:numLit>
              <c:formatCode>General</c:formatCode>
              <c:ptCount val="2"/>
              <c:pt idx="0">
                <c:v>2.8295608474779587E-2</c:v>
              </c:pt>
              <c:pt idx="1">
                <c:v>2.8453442942096292E-2</c:v>
              </c:pt>
            </c:numLit>
          </c:yVal>
          <c:smooth val="0"/>
          <c:extLst>
            <c:ext xmlns:c16="http://schemas.microsoft.com/office/drawing/2014/chart" uri="{C3380CC4-5D6E-409C-BE32-E72D297353CC}">
              <c16:uniqueId val="{0000004E-6BE9-4072-907B-A4622C19C5E5}"/>
            </c:ext>
          </c:extLst>
        </c:ser>
        <c:ser>
          <c:idx val="66"/>
          <c:order val="66"/>
          <c:spPr>
            <a:ln w="3175">
              <a:solidFill>
                <a:srgbClr val="000000"/>
              </a:solidFill>
              <a:prstDash val="solid"/>
            </a:ln>
          </c:spPr>
          <c:marker>
            <c:symbol val="none"/>
          </c:marker>
          <c:xVal>
            <c:numLit>
              <c:formatCode>General</c:formatCode>
              <c:ptCount val="2"/>
              <c:pt idx="0">
                <c:v>-2.4985448444866902</c:v>
              </c:pt>
              <c:pt idx="1">
                <c:v>-2.9279967663932625</c:v>
              </c:pt>
            </c:numLit>
          </c:xVal>
          <c:yVal>
            <c:numLit>
              <c:formatCode>General</c:formatCode>
              <c:ptCount val="2"/>
              <c:pt idx="0">
                <c:v>2.8161469234973899E-2</c:v>
              </c:pt>
              <c:pt idx="1">
                <c:v>2.8471389345044212E-2</c:v>
              </c:pt>
            </c:numLit>
          </c:yVal>
          <c:smooth val="0"/>
          <c:extLst>
            <c:ext xmlns:c16="http://schemas.microsoft.com/office/drawing/2014/chart" uri="{C3380CC4-5D6E-409C-BE32-E72D297353CC}">
              <c16:uniqueId val="{0000004F-6BE9-4072-907B-A4622C19C5E5}"/>
            </c:ext>
          </c:extLst>
        </c:ser>
        <c:ser>
          <c:idx val="67"/>
          <c:order val="67"/>
          <c:spPr>
            <a:ln w="3175">
              <a:solidFill>
                <a:srgbClr val="000000"/>
              </a:solidFill>
              <a:prstDash val="solid"/>
            </a:ln>
          </c:spPr>
          <c:marker>
            <c:symbol val="none"/>
          </c:marker>
          <c:dLbls>
            <c:dLbl>
              <c:idx val="0"/>
              <c:tx>
                <c:rich>
                  <a:bodyPr rot="26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0-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-3.7153252898886451</c:v>
              </c:pt>
            </c:numLit>
          </c:xVal>
          <c:yVal>
            <c:numLit>
              <c:formatCode>General</c:formatCode>
              <c:ptCount val="1"/>
              <c:pt idx="0">
                <c:v>2.9039576213506446E-2</c:v>
              </c:pt>
            </c:numLit>
          </c:yVal>
          <c:smooth val="0"/>
          <c:extLst>
            <c:ext xmlns:c16="http://schemas.microsoft.com/office/drawing/2014/chart" uri="{C3380CC4-5D6E-409C-BE32-E72D297353CC}">
              <c16:uniqueId val="{00000051-6BE9-4072-907B-A4622C19C5E5}"/>
            </c:ext>
          </c:extLst>
        </c:ser>
        <c:ser>
          <c:idx val="68"/>
          <c:order val="68"/>
          <c:spPr>
            <a:ln w="3175">
              <a:solidFill>
                <a:srgbClr val="000000"/>
              </a:solidFill>
              <a:prstDash val="solid"/>
            </a:ln>
          </c:spPr>
          <c:marker>
            <c:symbol val="none"/>
          </c:marker>
          <c:xVal>
            <c:numLit>
              <c:formatCode>General</c:formatCode>
              <c:ptCount val="2"/>
              <c:pt idx="0">
                <c:v>-2.669089536724063</c:v>
              </c:pt>
              <c:pt idx="1">
                <c:v>-2.8874700267967222</c:v>
              </c:pt>
            </c:numLit>
          </c:xVal>
          <c:yVal>
            <c:numLit>
              <c:formatCode>General</c:formatCode>
              <c:ptCount val="2"/>
              <c:pt idx="0">
                <c:v>2.8029886477800841E-2</c:v>
              </c:pt>
              <c:pt idx="1">
                <c:v>2.8182026902325148E-2</c:v>
              </c:pt>
            </c:numLit>
          </c:yVal>
          <c:smooth val="0"/>
          <c:extLst>
            <c:ext xmlns:c16="http://schemas.microsoft.com/office/drawing/2014/chart" uri="{C3380CC4-5D6E-409C-BE32-E72D297353CC}">
              <c16:uniqueId val="{00000052-6BE9-4072-907B-A4622C19C5E5}"/>
            </c:ext>
          </c:extLst>
        </c:ser>
        <c:ser>
          <c:idx val="69"/>
          <c:order val="69"/>
          <c:spPr>
            <a:ln w="3175">
              <a:solidFill>
                <a:srgbClr val="000000"/>
              </a:solidFill>
              <a:prstDash val="solid"/>
            </a:ln>
          </c:spPr>
          <c:marker>
            <c:symbol val="none"/>
          </c:marker>
          <c:xVal>
            <c:numLit>
              <c:formatCode>General</c:formatCode>
              <c:ptCount val="2"/>
              <c:pt idx="0">
                <c:v>-2.8305012128620142</c:v>
              </c:pt>
              <c:pt idx="1">
                <c:v>-3.274179836270386</c:v>
              </c:pt>
            </c:numLit>
          </c:xVal>
          <c:yVal>
            <c:numLit>
              <c:formatCode>General</c:formatCode>
              <c:ptCount val="2"/>
              <c:pt idx="0">
                <c:v>2.7900961325394373E-2</c:v>
              </c:pt>
              <c:pt idx="1">
                <c:v>2.8199716810768417E-2</c:v>
              </c:pt>
            </c:numLit>
          </c:yVal>
          <c:smooth val="0"/>
          <c:extLst>
            <c:ext xmlns:c16="http://schemas.microsoft.com/office/drawing/2014/chart" uri="{C3380CC4-5D6E-409C-BE32-E72D297353CC}">
              <c16:uniqueId val="{00000053-6BE9-4072-907B-A4622C19C5E5}"/>
            </c:ext>
          </c:extLst>
        </c:ser>
        <c:ser>
          <c:idx val="70"/>
          <c:order val="70"/>
          <c:spPr>
            <a:ln w="3175">
              <a:solidFill>
                <a:srgbClr val="000000"/>
              </a:solidFill>
              <a:prstDash val="solid"/>
            </a:ln>
          </c:spPr>
          <c:marker>
            <c:symbol val="none"/>
          </c:marker>
          <c:xVal>
            <c:numLit>
              <c:formatCode>General</c:formatCode>
              <c:ptCount val="2"/>
              <c:pt idx="0">
                <c:v>-2.9832907668862556</c:v>
              </c:pt>
              <c:pt idx="1">
                <c:v>-3.20840414046239</c:v>
              </c:pt>
            </c:numLit>
          </c:xVal>
          <c:yVal>
            <c:numLit>
              <c:formatCode>General</c:formatCode>
              <c:ptCount val="2"/>
              <c:pt idx="0">
                <c:v>2.777476846598936E-2</c:v>
              </c:pt>
              <c:pt idx="1">
                <c:v>2.7921442075974846E-2</c:v>
              </c:pt>
            </c:numLit>
          </c:yVal>
          <c:smooth val="0"/>
          <c:extLst>
            <c:ext xmlns:c16="http://schemas.microsoft.com/office/drawing/2014/chart" uri="{C3380CC4-5D6E-409C-BE32-E72D297353CC}">
              <c16:uniqueId val="{00000054-6BE9-4072-907B-A4622C19C5E5}"/>
            </c:ext>
          </c:extLst>
        </c:ser>
        <c:ser>
          <c:idx val="71"/>
          <c:order val="71"/>
          <c:spPr>
            <a:ln w="3175">
              <a:solidFill>
                <a:srgbClr val="000000"/>
              </a:solidFill>
              <a:prstDash val="solid"/>
            </a:ln>
          </c:spPr>
          <c:marker>
            <c:symbol val="none"/>
          </c:marker>
          <c:xVal>
            <c:numLit>
              <c:formatCode>General</c:formatCode>
              <c:ptCount val="2"/>
              <c:pt idx="0">
                <c:v>-3.1279473318097732</c:v>
              </c:pt>
              <c:pt idx="1">
                <c:v>-3.5843736460301914</c:v>
              </c:pt>
            </c:numLit>
          </c:xVal>
          <c:yVal>
            <c:numLit>
              <c:formatCode>General</c:formatCode>
              <c:ptCount val="2"/>
              <c:pt idx="0">
                <c:v>2.765135948293641E-2</c:v>
              </c:pt>
              <c:pt idx="1">
                <c:v>2.7939417746490825E-2</c:v>
              </c:pt>
            </c:numLit>
          </c:yVal>
          <c:smooth val="0"/>
          <c:extLst>
            <c:ext xmlns:c16="http://schemas.microsoft.com/office/drawing/2014/chart" uri="{C3380CC4-5D6E-409C-BE32-E72D297353CC}">
              <c16:uniqueId val="{00000055-6BE9-4072-907B-A4622C19C5E5}"/>
            </c:ext>
          </c:extLst>
        </c:ser>
        <c:ser>
          <c:idx val="72"/>
          <c:order val="72"/>
          <c:spPr>
            <a:ln w="3175">
              <a:solidFill>
                <a:srgbClr val="000000"/>
              </a:solidFill>
              <a:prstDash val="solid"/>
            </a:ln>
          </c:spPr>
          <c:marker>
            <c:symbol val="none"/>
          </c:marker>
          <c:dLbls>
            <c:dLbl>
              <c:idx val="0"/>
              <c:tx>
                <c:rich>
                  <a:bodyPr rot="2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6-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-4.4211552221009596</c:v>
              </c:pt>
            </c:numLit>
          </c:xVal>
          <c:yVal>
            <c:numLit>
              <c:formatCode>General</c:formatCode>
              <c:ptCount val="1"/>
              <c:pt idx="0">
                <c:v>2.8467524563007256E-2</c:v>
              </c:pt>
            </c:numLit>
          </c:yVal>
          <c:smooth val="0"/>
          <c:extLst>
            <c:ext xmlns:c16="http://schemas.microsoft.com/office/drawing/2014/chart" uri="{C3380CC4-5D6E-409C-BE32-E72D297353CC}">
              <c16:uniqueId val="{00000057-6BE9-4072-907B-A4622C19C5E5}"/>
            </c:ext>
          </c:extLst>
        </c:ser>
        <c:ser>
          <c:idx val="73"/>
          <c:order val="73"/>
          <c:spPr>
            <a:ln w="3175">
              <a:solidFill>
                <a:srgbClr val="000000"/>
              </a:solidFill>
              <a:prstDash val="solid"/>
            </a:ln>
          </c:spPr>
          <c:marker>
            <c:symbol val="none"/>
          </c:marker>
          <c:xVal>
            <c:numLit>
              <c:formatCode>General</c:formatCode>
              <c:ptCount val="2"/>
              <c:pt idx="0">
                <c:v>-3.3947050354255355</c:v>
              </c:pt>
              <c:pt idx="1">
                <c:v>-3.6286344290417976</c:v>
              </c:pt>
            </c:numLit>
          </c:xVal>
          <c:yVal>
            <c:numLit>
              <c:formatCode>General</c:formatCode>
              <c:ptCount val="2"/>
              <c:pt idx="0">
                <c:v>2.741300192776747E-2</c:v>
              </c:pt>
              <c:pt idx="1">
                <c:v>2.7551923397648202E-2</c:v>
              </c:pt>
            </c:numLit>
          </c:yVal>
          <c:smooth val="0"/>
          <c:extLst>
            <c:ext xmlns:c16="http://schemas.microsoft.com/office/drawing/2014/chart" uri="{C3380CC4-5D6E-409C-BE32-E72D297353CC}">
              <c16:uniqueId val="{00000058-6BE9-4072-907B-A4622C19C5E5}"/>
            </c:ext>
          </c:extLst>
        </c:ser>
        <c:ser>
          <c:idx val="74"/>
          <c:order val="74"/>
          <c:spPr>
            <a:ln w="3175">
              <a:solidFill>
                <a:srgbClr val="000000"/>
              </a:solidFill>
              <a:prstDash val="solid"/>
            </a:ln>
          </c:spPr>
          <c:marker>
            <c:symbol val="none"/>
          </c:marker>
          <c:xVal>
            <c:numLit>
              <c:formatCode>General</c:formatCode>
              <c:ptCount val="2"/>
              <c:pt idx="0">
                <c:v>-3.6342329977636059</c:v>
              </c:pt>
              <c:pt idx="1">
                <c:v>-3.8732951334299695</c:v>
              </c:pt>
            </c:numLit>
          </c:xVal>
          <c:yVal>
            <c:numLit>
              <c:formatCode>General</c:formatCode>
              <c:ptCount val="2"/>
              <c:pt idx="0">
                <c:v>2.7185947823718054E-2</c:v>
              </c:pt>
              <c:pt idx="1">
                <c:v>2.7320003848512013E-2</c:v>
              </c:pt>
            </c:numLit>
          </c:yVal>
          <c:smooth val="0"/>
          <c:extLst>
            <c:ext xmlns:c16="http://schemas.microsoft.com/office/drawing/2014/chart" uri="{C3380CC4-5D6E-409C-BE32-E72D297353CC}">
              <c16:uniqueId val="{00000059-6BE9-4072-907B-A4622C19C5E5}"/>
            </c:ext>
          </c:extLst>
        </c:ser>
        <c:ser>
          <c:idx val="75"/>
          <c:order val="75"/>
          <c:spPr>
            <a:ln w="3175">
              <a:solidFill>
                <a:srgbClr val="000000"/>
              </a:solidFill>
              <a:prstDash val="solid"/>
            </a:ln>
          </c:spPr>
          <c:marker>
            <c:symbol val="none"/>
          </c:marker>
          <c:xVal>
            <c:numLit>
              <c:formatCode>General</c:formatCode>
              <c:ptCount val="2"/>
              <c:pt idx="0">
                <c:v>-3.8496301535387389</c:v>
              </c:pt>
              <c:pt idx="1">
                <c:v>-4.0933079425431407</c:v>
              </c:pt>
            </c:numLit>
          </c:xVal>
          <c:yVal>
            <c:numLit>
              <c:formatCode>General</c:formatCode>
              <c:ptCount val="2"/>
              <c:pt idx="0">
                <c:v>2.6970052763706429E-2</c:v>
              </c:pt>
              <c:pt idx="1">
                <c:v>2.7099482465785852E-2</c:v>
              </c:pt>
            </c:numLit>
          </c:yVal>
          <c:smooth val="0"/>
          <c:extLst>
            <c:ext xmlns:c16="http://schemas.microsoft.com/office/drawing/2014/chart" uri="{C3380CC4-5D6E-409C-BE32-E72D297353CC}">
              <c16:uniqueId val="{0000005A-6BE9-4072-907B-A4622C19C5E5}"/>
            </c:ext>
          </c:extLst>
        </c:ser>
        <c:ser>
          <c:idx val="76"/>
          <c:order val="76"/>
          <c:spPr>
            <a:ln w="3175">
              <a:solidFill>
                <a:srgbClr val="000000"/>
              </a:solidFill>
              <a:prstDash val="solid"/>
            </a:ln>
          </c:spPr>
          <c:marker>
            <c:symbol val="none"/>
          </c:marker>
          <c:xVal>
            <c:numLit>
              <c:formatCode>General</c:formatCode>
              <c:ptCount val="2"/>
              <c:pt idx="0">
                <c:v>-4.0436530888624631</c:v>
              </c:pt>
              <c:pt idx="1">
                <c:v>-4.2914885121952313</c:v>
              </c:pt>
            </c:numLit>
          </c:xVal>
          <c:yVal>
            <c:numLit>
              <c:formatCode>General</c:formatCode>
              <c:ptCount val="2"/>
              <c:pt idx="0">
                <c:v>2.6765028589466222E-2</c:v>
              </c:pt>
              <c:pt idx="1">
                <c:v>2.6890064916383356E-2</c:v>
              </c:pt>
            </c:numLit>
          </c:yVal>
          <c:smooth val="0"/>
          <c:extLst>
            <c:ext xmlns:c16="http://schemas.microsoft.com/office/drawing/2014/chart" uri="{C3380CC4-5D6E-409C-BE32-E72D297353CC}">
              <c16:uniqueId val="{0000005B-6BE9-4072-907B-A4622C19C5E5}"/>
            </c:ext>
          </c:extLst>
        </c:ser>
        <c:ser>
          <c:idx val="77"/>
          <c:order val="77"/>
          <c:spPr>
            <a:ln w="3175">
              <a:solidFill>
                <a:srgbClr val="000000"/>
              </a:solidFill>
              <a:prstDash val="solid"/>
            </a:ln>
          </c:spPr>
          <c:marker>
            <c:symbol val="none"/>
          </c:marker>
          <c:xVal>
            <c:numLit>
              <c:formatCode>General</c:formatCode>
              <c:ptCount val="2"/>
              <c:pt idx="0">
                <c:v>-4.2187412428710447</c:v>
              </c:pt>
              <c:pt idx="1">
                <c:v>-4.7219158675655173</c:v>
              </c:pt>
            </c:numLit>
          </c:xVal>
          <c:yVal>
            <c:numLit>
              <c:formatCode>General</c:formatCode>
              <c:ptCount val="2"/>
              <c:pt idx="0">
                <c:v>2.6570489823461451E-2</c:v>
              </c:pt>
              <c:pt idx="1">
                <c:v>2.6812225101609799E-2</c:v>
              </c:pt>
            </c:numLit>
          </c:yVal>
          <c:smooth val="0"/>
          <c:extLst>
            <c:ext xmlns:c16="http://schemas.microsoft.com/office/drawing/2014/chart" uri="{C3380CC4-5D6E-409C-BE32-E72D297353CC}">
              <c16:uniqueId val="{0000005C-6BE9-4072-907B-A4622C19C5E5}"/>
            </c:ext>
          </c:extLst>
        </c:ser>
        <c:ser>
          <c:idx val="78"/>
          <c:order val="78"/>
          <c:spPr>
            <a:ln w="3175">
              <a:solidFill>
                <a:srgbClr val="000000"/>
              </a:solidFill>
              <a:prstDash val="solid"/>
            </a:ln>
          </c:spPr>
          <c:marker>
            <c:symbol val="none"/>
          </c:marker>
          <c:dLbls>
            <c:dLbl>
              <c:idx val="0"/>
              <c:tx>
                <c:rich>
                  <a:bodyPr rot="19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D-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-5.6444026795053848</c:v>
              </c:pt>
            </c:numLit>
          </c:xVal>
          <c:yVal>
            <c:numLit>
              <c:formatCode>General</c:formatCode>
              <c:ptCount val="1"/>
              <c:pt idx="0">
                <c:v>2.725540644488177E-2</c:v>
              </c:pt>
            </c:numLit>
          </c:yVal>
          <c:smooth val="0"/>
          <c:extLst>
            <c:ext xmlns:c16="http://schemas.microsoft.com/office/drawing/2014/chart" uri="{C3380CC4-5D6E-409C-BE32-E72D297353CC}">
              <c16:uniqueId val="{0000005E-6BE9-4072-907B-A4622C19C5E5}"/>
            </c:ext>
          </c:extLst>
        </c:ser>
        <c:ser>
          <c:idx val="79"/>
          <c:order val="79"/>
          <c:spPr>
            <a:ln w="3175">
              <a:solidFill>
                <a:srgbClr val="000000"/>
              </a:solidFill>
              <a:prstDash val="solid"/>
            </a:ln>
          </c:spPr>
          <c:marker>
            <c:symbol val="none"/>
          </c:marker>
          <c:xVal>
            <c:numLit>
              <c:formatCode>General</c:formatCode>
              <c:ptCount val="2"/>
              <c:pt idx="0">
                <c:v>-4.3770457171884622</c:v>
              </c:pt>
              <c:pt idx="1">
                <c:v>-4.6320252682710734</c:v>
              </c:pt>
            </c:numLit>
          </c:xVal>
          <c:yVal>
            <c:numLit>
              <c:formatCode>General</c:formatCode>
              <c:ptCount val="2"/>
              <c:pt idx="0">
                <c:v>2.6385989057197627E-2</c:v>
              </c:pt>
              <c:pt idx="1">
                <c:v>2.6502903108423292E-2</c:v>
              </c:pt>
            </c:numLit>
          </c:yVal>
          <c:smooth val="0"/>
          <c:extLst>
            <c:ext xmlns:c16="http://schemas.microsoft.com/office/drawing/2014/chart" uri="{C3380CC4-5D6E-409C-BE32-E72D297353CC}">
              <c16:uniqueId val="{0000005F-6BE9-4072-907B-A4622C19C5E5}"/>
            </c:ext>
          </c:extLst>
        </c:ser>
        <c:ser>
          <c:idx val="80"/>
          <c:order val="80"/>
          <c:spPr>
            <a:ln w="3175">
              <a:solidFill>
                <a:srgbClr val="000000"/>
              </a:solidFill>
              <a:prstDash val="solid"/>
            </a:ln>
          </c:spPr>
          <c:marker>
            <c:symbol val="none"/>
          </c:marker>
          <c:xVal>
            <c:numLit>
              <c:formatCode>General</c:formatCode>
              <c:ptCount val="2"/>
              <c:pt idx="0">
                <c:v>-4.5204589487479616</c:v>
              </c:pt>
              <c:pt idx="1">
                <c:v>-4.7785116405068475</c:v>
              </c:pt>
            </c:numLit>
          </c:xVal>
          <c:yVal>
            <c:numLit>
              <c:formatCode>General</c:formatCode>
              <c:ptCount val="2"/>
              <c:pt idx="0">
                <c:v>2.6211043462266981E-2</c:v>
              </c:pt>
              <c:pt idx="1">
                <c:v>2.632420867931556E-2</c:v>
              </c:pt>
            </c:numLit>
          </c:yVal>
          <c:smooth val="0"/>
          <c:extLst>
            <c:ext xmlns:c16="http://schemas.microsoft.com/office/drawing/2014/chart" uri="{C3380CC4-5D6E-409C-BE32-E72D297353CC}">
              <c16:uniqueId val="{00000060-6BE9-4072-907B-A4622C19C5E5}"/>
            </c:ext>
          </c:extLst>
        </c:ser>
        <c:ser>
          <c:idx val="81"/>
          <c:order val="81"/>
          <c:spPr>
            <a:ln w="3175">
              <a:solidFill>
                <a:srgbClr val="000000"/>
              </a:solidFill>
              <a:prstDash val="solid"/>
            </a:ln>
          </c:spPr>
          <c:marker>
            <c:symbol val="none"/>
          </c:marker>
          <c:xVal>
            <c:numLit>
              <c:formatCode>General</c:formatCode>
              <c:ptCount val="2"/>
              <c:pt idx="0">
                <c:v>-4.6506435459878448</c:v>
              </c:pt>
              <c:pt idx="1">
                <c:v>-4.9114859076875854</c:v>
              </c:pt>
            </c:numLit>
          </c:xVal>
          <c:yVal>
            <c:numLit>
              <c:formatCode>General</c:formatCode>
              <c:ptCount val="2"/>
              <c:pt idx="0">
                <c:v>2.6045154305456879E-2</c:v>
              </c:pt>
              <c:pt idx="1">
                <c:v>2.615476475485953E-2</c:v>
              </c:pt>
            </c:numLit>
          </c:yVal>
          <c:smooth val="0"/>
          <c:extLst>
            <c:ext xmlns:c16="http://schemas.microsoft.com/office/drawing/2014/chart" uri="{C3380CC4-5D6E-409C-BE32-E72D297353CC}">
              <c16:uniqueId val="{00000061-6BE9-4072-907B-A4622C19C5E5}"/>
            </c:ext>
          </c:extLst>
        </c:ser>
        <c:ser>
          <c:idx val="82"/>
          <c:order val="82"/>
          <c:spPr>
            <a:ln w="3175">
              <a:solidFill>
                <a:srgbClr val="000000"/>
              </a:solidFill>
              <a:prstDash val="solid"/>
            </a:ln>
          </c:spPr>
          <c:marker>
            <c:symbol val="none"/>
          </c:marker>
          <c:xVal>
            <c:numLit>
              <c:formatCode>General</c:formatCode>
              <c:ptCount val="2"/>
              <c:pt idx="0">
                <c:v>-4.7690593110363508</c:v>
              </c:pt>
              <c:pt idx="1">
                <c:v>-5.0324391534157025</c:v>
              </c:pt>
            </c:numLit>
          </c:xVal>
          <c:yVal>
            <c:numLit>
              <c:formatCode>General</c:formatCode>
              <c:ptCount val="2"/>
              <c:pt idx="0">
                <c:v>2.5887821037250434E-2</c:v>
              </c:pt>
              <c:pt idx="1">
                <c:v>2.5994060059477228E-2</c:v>
              </c:pt>
            </c:numLit>
          </c:yVal>
          <c:smooth val="0"/>
          <c:extLst>
            <c:ext xmlns:c16="http://schemas.microsoft.com/office/drawing/2014/chart" uri="{C3380CC4-5D6E-409C-BE32-E72D297353CC}">
              <c16:uniqueId val="{00000062-6BE9-4072-907B-A4622C19C5E5}"/>
            </c:ext>
          </c:extLst>
        </c:ser>
        <c:ser>
          <c:idx val="83"/>
          <c:order val="83"/>
          <c:spPr>
            <a:ln w="3175">
              <a:solidFill>
                <a:srgbClr val="000000"/>
              </a:solidFill>
              <a:prstDash val="solid"/>
            </a:ln>
          </c:spPr>
          <c:marker>
            <c:symbol val="none"/>
          </c:marker>
          <c:xVal>
            <c:numLit>
              <c:formatCode>General</c:formatCode>
              <c:ptCount val="2"/>
              <c:pt idx="0">
                <c:v>-4.8769879543111792</c:v>
              </c:pt>
              <c:pt idx="1">
                <c:v>-5.4083731523530867</c:v>
              </c:pt>
            </c:numLit>
          </c:xVal>
          <c:yVal>
            <c:numLit>
              <c:formatCode>General</c:formatCode>
              <c:ptCount val="2"/>
              <c:pt idx="0">
                <c:v>2.573855122669123E-2</c:v>
              </c:pt>
              <c:pt idx="1">
                <c:v>2.5944631993549423E-2</c:v>
              </c:pt>
            </c:numLit>
          </c:yVal>
          <c:smooth val="0"/>
          <c:extLst>
            <c:ext xmlns:c16="http://schemas.microsoft.com/office/drawing/2014/chart" uri="{C3380CC4-5D6E-409C-BE32-E72D297353CC}">
              <c16:uniqueId val="{00000063-6BE9-4072-907B-A4622C19C5E5}"/>
            </c:ext>
          </c:extLst>
        </c:ser>
        <c:ser>
          <c:idx val="84"/>
          <c:order val="84"/>
          <c:spPr>
            <a:ln w="3175">
              <a:solidFill>
                <a:srgbClr val="000000"/>
              </a:solidFill>
              <a:prstDash val="solid"/>
            </a:ln>
          </c:spPr>
          <c:marker>
            <c:symbol val="none"/>
          </c:marker>
          <c:dLbls>
            <c:dLbl>
              <c:idx val="0"/>
              <c:tx>
                <c:rich>
                  <a:bodyPr rot="16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4-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-6.3825793487632509</c:v>
              </c:pt>
            </c:numLit>
          </c:xVal>
          <c:yVal>
            <c:numLit>
              <c:formatCode>General</c:formatCode>
              <c:ptCount val="1"/>
              <c:pt idx="0">
                <c:v>2.632244673278945E-2</c:v>
              </c:pt>
            </c:numLit>
          </c:yVal>
          <c:smooth val="0"/>
          <c:extLst>
            <c:ext xmlns:c16="http://schemas.microsoft.com/office/drawing/2014/chart" uri="{C3380CC4-5D6E-409C-BE32-E72D297353CC}">
              <c16:uniqueId val="{00000065-6BE9-4072-907B-A4622C19C5E5}"/>
            </c:ext>
          </c:extLst>
        </c:ser>
        <c:ser>
          <c:idx val="85"/>
          <c:order val="85"/>
          <c:spPr>
            <a:ln w="3175">
              <a:solidFill>
                <a:srgbClr val="000000"/>
              </a:solidFill>
              <a:prstDash val="solid"/>
            </a:ln>
          </c:spPr>
          <c:marker>
            <c:symbol val="none"/>
          </c:marker>
          <c:xVal>
            <c:numLit>
              <c:formatCode>General</c:formatCode>
              <c:ptCount val="2"/>
              <c:pt idx="0">
                <c:v>-4.97555532075208</c:v>
              </c:pt>
              <c:pt idx="1">
                <c:v>-5.2433600776253391</c:v>
              </c:pt>
            </c:numLit>
          </c:xVal>
          <c:yVal>
            <c:numLit>
              <c:formatCode>General</c:formatCode>
              <c:ptCount val="2"/>
              <c:pt idx="0">
                <c:v>2.5596867354371416E-2</c:v>
              </c:pt>
              <c:pt idx="1">
                <c:v>2.5696871654822231E-2</c:v>
              </c:pt>
            </c:numLit>
          </c:yVal>
          <c:smooth val="0"/>
          <c:extLst>
            <c:ext xmlns:c16="http://schemas.microsoft.com/office/drawing/2014/chart" uri="{C3380CC4-5D6E-409C-BE32-E72D297353CC}">
              <c16:uniqueId val="{00000066-6BE9-4072-907B-A4622C19C5E5}"/>
            </c:ext>
          </c:extLst>
        </c:ser>
        <c:ser>
          <c:idx val="86"/>
          <c:order val="86"/>
          <c:spPr>
            <a:ln w="3175">
              <a:solidFill>
                <a:srgbClr val="000000"/>
              </a:solidFill>
              <a:prstDash val="solid"/>
            </a:ln>
          </c:spPr>
          <c:marker>
            <c:symbol val="none"/>
          </c:marker>
          <c:xVal>
            <c:numLit>
              <c:formatCode>General</c:formatCode>
              <c:ptCount val="2"/>
              <c:pt idx="0">
                <c:v>-5.0657511406962898</c:v>
              </c:pt>
              <c:pt idx="1">
                <c:v>-5.335488665139783</c:v>
              </c:pt>
            </c:numLit>
          </c:xVal>
          <c:yVal>
            <c:numLit>
              <c:formatCode>General</c:formatCode>
              <c:ptCount val="2"/>
              <c:pt idx="0">
                <c:v>2.5462311255383133E-2</c:v>
              </c:pt>
              <c:pt idx="1">
                <c:v>2.5559432210855628E-2</c:v>
              </c:pt>
            </c:numLit>
          </c:yVal>
          <c:smooth val="0"/>
          <c:extLst>
            <c:ext xmlns:c16="http://schemas.microsoft.com/office/drawing/2014/chart" uri="{C3380CC4-5D6E-409C-BE32-E72D297353CC}">
              <c16:uniqueId val="{00000067-6BE9-4072-907B-A4622C19C5E5}"/>
            </c:ext>
          </c:extLst>
        </c:ser>
        <c:ser>
          <c:idx val="87"/>
          <c:order val="87"/>
          <c:spPr>
            <a:ln w="3175">
              <a:solidFill>
                <a:srgbClr val="000000"/>
              </a:solidFill>
              <a:prstDash val="solid"/>
            </a:ln>
          </c:spPr>
          <c:marker>
            <c:symbol val="none"/>
          </c:marker>
          <c:xVal>
            <c:numLit>
              <c:formatCode>General</c:formatCode>
              <c:ptCount val="2"/>
              <c:pt idx="0">
                <c:v>-5.1484464315058194</c:v>
              </c:pt>
              <c:pt idx="1">
                <c:v>-5.4199559978952303</c:v>
              </c:pt>
            </c:numLit>
          </c:xVal>
          <c:yVal>
            <c:numLit>
              <c:formatCode>General</c:formatCode>
              <c:ptCount val="2"/>
              <c:pt idx="0">
                <c:v>2.5334446824497189E-2</c:v>
              </c:pt>
              <c:pt idx="1">
                <c:v>2.5428827827879273E-2</c:v>
              </c:pt>
            </c:numLit>
          </c:yVal>
          <c:smooth val="0"/>
          <c:extLst>
            <c:ext xmlns:c16="http://schemas.microsoft.com/office/drawing/2014/chart" uri="{C3380CC4-5D6E-409C-BE32-E72D297353CC}">
              <c16:uniqueId val="{00000068-6BE9-4072-907B-A4622C19C5E5}"/>
            </c:ext>
          </c:extLst>
        </c:ser>
        <c:ser>
          <c:idx val="88"/>
          <c:order val="88"/>
          <c:spPr>
            <a:ln w="3175">
              <a:solidFill>
                <a:srgbClr val="000000"/>
              </a:solidFill>
              <a:prstDash val="solid"/>
            </a:ln>
          </c:spPr>
          <c:marker>
            <c:symbol val="none"/>
          </c:marker>
          <c:xVal>
            <c:numLit>
              <c:formatCode>General</c:formatCode>
              <c:ptCount val="2"/>
              <c:pt idx="0">
                <c:v>-5.2244087358312541</c:v>
              </c:pt>
              <c:pt idx="1">
                <c:v>-5.497546065884781</c:v>
              </c:pt>
            </c:numLit>
          </c:xVal>
          <c:yVal>
            <c:numLit>
              <c:formatCode>General</c:formatCode>
              <c:ptCount val="2"/>
              <c:pt idx="0">
                <c:v>2.5212861452320056E-2</c:v>
              </c:pt>
              <c:pt idx="1">
                <c:v>2.530463705486977E-2</c:v>
              </c:pt>
            </c:numLit>
          </c:yVal>
          <c:smooth val="0"/>
          <c:extLst>
            <c:ext xmlns:c16="http://schemas.microsoft.com/office/drawing/2014/chart" uri="{C3380CC4-5D6E-409C-BE32-E72D297353CC}">
              <c16:uniqueId val="{00000069-6BE9-4072-907B-A4622C19C5E5}"/>
            </c:ext>
          </c:extLst>
        </c:ser>
        <c:ser>
          <c:idx val="89"/>
          <c:order val="89"/>
          <c:spPr>
            <a:ln w="3175">
              <a:solidFill>
                <a:srgbClr val="000000"/>
              </a:solidFill>
              <a:prstDash val="solid"/>
            </a:ln>
          </c:spPr>
          <c:marker>
            <c:symbol val="none"/>
          </c:marker>
          <c:xVal>
            <c:numLit>
              <c:formatCode>General</c:formatCode>
              <c:ptCount val="2"/>
              <c:pt idx="0">
                <c:v>-5.2943154079273143</c:v>
              </c:pt>
              <c:pt idx="1">
                <c:v>-5.8435860682670562</c:v>
              </c:pt>
            </c:numLit>
          </c:xVal>
          <c:yVal>
            <c:numLit>
              <c:formatCode>General</c:formatCode>
              <c:ptCount val="2"/>
              <c:pt idx="0">
                <c:v>2.5097166548278888E-2</c:v>
              </c:pt>
              <c:pt idx="1">
                <c:v>2.5275759400347982E-2</c:v>
              </c:pt>
            </c:numLit>
          </c:yVal>
          <c:smooth val="0"/>
          <c:extLst>
            <c:ext xmlns:c16="http://schemas.microsoft.com/office/drawing/2014/chart" uri="{C3380CC4-5D6E-409C-BE32-E72D297353CC}">
              <c16:uniqueId val="{0000006A-6BE9-4072-907B-A4622C19C5E5}"/>
            </c:ext>
          </c:extLst>
        </c:ser>
        <c:ser>
          <c:idx val="90"/>
          <c:order val="90"/>
          <c:spPr>
            <a:ln w="3175">
              <a:solidFill>
                <a:srgbClr val="000000"/>
              </a:solidFill>
              <a:prstDash val="solid"/>
            </a:ln>
          </c:spPr>
          <c:marker>
            <c:symbol val="none"/>
          </c:marker>
          <c:dLbls>
            <c:dLbl>
              <c:idx val="0"/>
              <c:tx>
                <c:rich>
                  <a:bodyPr rot="14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B-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-6.8505822788899158</c:v>
              </c:pt>
            </c:numLit>
          </c:xVal>
          <c:yVal>
            <c:numLit>
              <c:formatCode>General</c:formatCode>
              <c:ptCount val="1"/>
              <c:pt idx="0">
                <c:v>2.5603179629141326E-2</c:v>
              </c:pt>
            </c:numLit>
          </c:yVal>
          <c:smooth val="0"/>
          <c:extLst>
            <c:ext xmlns:c16="http://schemas.microsoft.com/office/drawing/2014/chart" uri="{C3380CC4-5D6E-409C-BE32-E72D297353CC}">
              <c16:uniqueId val="{0000006C-6BE9-4072-907B-A4622C19C5E5}"/>
            </c:ext>
          </c:extLst>
        </c:ser>
        <c:ser>
          <c:idx val="91"/>
          <c:order val="91"/>
          <c:spPr>
            <a:ln w="3175">
              <a:solidFill>
                <a:srgbClr val="000000"/>
              </a:solidFill>
              <a:prstDash val="solid"/>
            </a:ln>
          </c:spPr>
          <c:marker>
            <c:symbol val="none"/>
          </c:marker>
          <c:xVal>
            <c:numLit>
              <c:formatCode>General</c:formatCode>
              <c:ptCount val="2"/>
              <c:pt idx="0">
                <c:v>-5.358765163744196</c:v>
              </c:pt>
              <c:pt idx="1">
                <c:v>-5.6347815601101443</c:v>
              </c:pt>
            </c:numLit>
          </c:xVal>
          <c:yVal>
            <c:numLit>
              <c:formatCode>General</c:formatCode>
              <c:ptCount val="2"/>
              <c:pt idx="0">
                <c:v>2.4986997418511792E-2</c:v>
              </c:pt>
              <c:pt idx="1">
                <c:v>2.5073933077479904E-2</c:v>
              </c:pt>
            </c:numLit>
          </c:yVal>
          <c:smooth val="0"/>
          <c:extLst>
            <c:ext xmlns:c16="http://schemas.microsoft.com/office/drawing/2014/chart" uri="{C3380CC4-5D6E-409C-BE32-E72D297353CC}">
              <c16:uniqueId val="{0000006D-6BE9-4072-907B-A4622C19C5E5}"/>
            </c:ext>
          </c:extLst>
        </c:ser>
        <c:ser>
          <c:idx val="92"/>
          <c:order val="92"/>
          <c:spPr>
            <a:ln w="3175">
              <a:solidFill>
                <a:srgbClr val="000000"/>
              </a:solidFill>
              <a:prstDash val="solid"/>
            </a:ln>
          </c:spPr>
          <c:marker>
            <c:symbol val="none"/>
          </c:marker>
          <c:xVal>
            <c:numLit>
              <c:formatCode>General</c:formatCode>
              <c:ptCount val="2"/>
              <c:pt idx="0">
                <c:v>-5.4182881023183391</c:v>
              </c:pt>
              <c:pt idx="1">
                <c:v>-5.6955799902251618</c:v>
              </c:pt>
            </c:numLit>
          </c:xVal>
          <c:yVal>
            <c:numLit>
              <c:formatCode>General</c:formatCode>
              <c:ptCount val="2"/>
              <c:pt idx="0">
                <c:v>2.4882012699129402E-2</c:v>
              </c:pt>
              <c:pt idx="1">
                <c:v>2.4966698685539319E-2</c:v>
              </c:pt>
            </c:numLit>
          </c:yVal>
          <c:smooth val="0"/>
          <c:extLst>
            <c:ext xmlns:c16="http://schemas.microsoft.com/office/drawing/2014/chart" uri="{C3380CC4-5D6E-409C-BE32-E72D297353CC}">
              <c16:uniqueId val="{0000006E-6BE9-4072-907B-A4622C19C5E5}"/>
            </c:ext>
          </c:extLst>
        </c:ser>
        <c:ser>
          <c:idx val="93"/>
          <c:order val="93"/>
          <c:spPr>
            <a:ln w="3175">
              <a:solidFill>
                <a:srgbClr val="000000"/>
              </a:solidFill>
              <a:prstDash val="solid"/>
            </a:ln>
          </c:spPr>
          <c:marker>
            <c:symbol val="none"/>
          </c:marker>
          <c:xVal>
            <c:numLit>
              <c:formatCode>General</c:formatCode>
              <c:ptCount val="2"/>
              <c:pt idx="0">
                <c:v>-5.4733543909858673</c:v>
              </c:pt>
              <c:pt idx="1">
                <c:v>-5.7518262707927077</c:v>
              </c:pt>
            </c:numLit>
          </c:xVal>
          <c:yVal>
            <c:numLit>
              <c:formatCode>General</c:formatCode>
              <c:ptCount val="2"/>
              <c:pt idx="0">
                <c:v>2.4781893493615731E-2</c:v>
              </c:pt>
              <c:pt idx="1">
                <c:v>2.4864434068478925E-2</c:v>
              </c:pt>
            </c:numLit>
          </c:yVal>
          <c:smooth val="0"/>
          <c:extLst>
            <c:ext xmlns:c16="http://schemas.microsoft.com/office/drawing/2014/chart" uri="{C3380CC4-5D6E-409C-BE32-E72D297353CC}">
              <c16:uniqueId val="{0000006F-6BE9-4072-907B-A4622C19C5E5}"/>
            </c:ext>
          </c:extLst>
        </c:ser>
        <c:ser>
          <c:idx val="94"/>
          <c:order val="94"/>
          <c:spPr>
            <a:ln w="3175">
              <a:solidFill>
                <a:srgbClr val="000000"/>
              </a:solidFill>
              <a:prstDash val="solid"/>
            </a:ln>
          </c:spPr>
          <c:marker>
            <c:symbol val="none"/>
          </c:marker>
          <c:xVal>
            <c:numLit>
              <c:formatCode>General</c:formatCode>
              <c:ptCount val="2"/>
              <c:pt idx="0">
                <c:v>-5.5243817887928159</c:v>
              </c:pt>
              <c:pt idx="1">
                <c:v>-5.8039471128383777</c:v>
              </c:pt>
            </c:numLit>
          </c:xVal>
          <c:yVal>
            <c:numLit>
              <c:formatCode>General</c:formatCode>
              <c:ptCount val="2"/>
              <c:pt idx="0">
                <c:v>2.4686342323848191E-2</c:v>
              </c:pt>
              <c:pt idx="1">
                <c:v>2.4766835373644939E-2</c:v>
              </c:pt>
            </c:numLit>
          </c:yVal>
          <c:smooth val="0"/>
          <c:extLst>
            <c:ext xmlns:c16="http://schemas.microsoft.com/office/drawing/2014/chart" uri="{C3380CC4-5D6E-409C-BE32-E72D297353CC}">
              <c16:uniqueId val="{00000070-6BE9-4072-907B-A4622C19C5E5}"/>
            </c:ext>
          </c:extLst>
        </c:ser>
        <c:ser>
          <c:idx val="95"/>
          <c:order val="95"/>
          <c:spPr>
            <a:ln w="3175">
              <a:solidFill>
                <a:srgbClr val="000000"/>
              </a:solidFill>
              <a:prstDash val="solid"/>
            </a:ln>
          </c:spPr>
          <c:marker>
            <c:symbol val="none"/>
          </c:marker>
          <c:xVal>
            <c:numLit>
              <c:formatCode>General</c:formatCode>
              <c:ptCount val="2"/>
              <c:pt idx="0">
                <c:v>-5.571742163443429</c:v>
              </c:pt>
              <c:pt idx="1">
                <c:v>-5.8523223526600745</c:v>
              </c:pt>
            </c:numLit>
          </c:xVal>
          <c:yVal>
            <c:numLit>
              <c:formatCode>General</c:formatCode>
              <c:ptCount val="2"/>
              <c:pt idx="0">
                <c:v>2.4595081974519786E-2</c:v>
              </c:pt>
              <c:pt idx="1">
                <c:v>2.4673619445402351E-2</c:v>
              </c:pt>
            </c:numLit>
          </c:yVal>
          <c:smooth val="0"/>
          <c:extLst>
            <c:ext xmlns:c16="http://schemas.microsoft.com/office/drawing/2014/chart" uri="{C3380CC4-5D6E-409C-BE32-E72D297353CC}">
              <c16:uniqueId val="{00000071-6BE9-4072-907B-A4622C19C5E5}"/>
            </c:ext>
          </c:extLst>
        </c:ser>
        <c:ser>
          <c:idx val="96"/>
          <c:order val="96"/>
          <c:spPr>
            <a:ln w="3175">
              <a:solidFill>
                <a:srgbClr val="000000"/>
              </a:solidFill>
              <a:prstDash val="solid"/>
            </a:ln>
          </c:spPr>
          <c:marker>
            <c:symbol val="none"/>
          </c:marker>
          <c:dLbls>
            <c:dLbl>
              <c:idx val="0"/>
              <c:tx>
                <c:rich>
                  <a:bodyPr rot="12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2-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-7.1616965690044161</c:v>
              </c:pt>
            </c:numLit>
          </c:xVal>
          <c:yVal>
            <c:numLit>
              <c:formatCode>General</c:formatCode>
              <c:ptCount val="1"/>
              <c:pt idx="0">
                <c:v>2.5040127642854328E-2</c:v>
              </c:pt>
            </c:numLit>
          </c:yVal>
          <c:smooth val="0"/>
          <c:extLst>
            <c:ext xmlns:c16="http://schemas.microsoft.com/office/drawing/2014/chart" uri="{C3380CC4-5D6E-409C-BE32-E72D297353CC}">
              <c16:uniqueId val="{00000073-6BE9-4072-907B-A4622C19C5E5}"/>
            </c:ext>
          </c:extLst>
        </c:ser>
        <c:ser>
          <c:idx val="97"/>
          <c:order val="97"/>
          <c:spPr>
            <a:ln w="3175">
              <a:solidFill>
                <a:srgbClr val="000000"/>
              </a:solidFill>
              <a:prstDash val="solid"/>
            </a:ln>
          </c:spPr>
          <c:marker>
            <c:symbol val="none"/>
          </c:marker>
          <c:xVal>
            <c:numLit>
              <c:formatCode>General</c:formatCode>
              <c:ptCount val="2"/>
              <c:pt idx="0">
                <c:v>-5.6567529906365968</c:v>
              </c:pt>
              <c:pt idx="1">
                <c:v>-5.9391548404359531</c:v>
              </c:pt>
            </c:numLit>
          </c:xVal>
          <c:yVal>
            <c:numLit>
              <c:formatCode>General</c:formatCode>
              <c:ptCount val="2"/>
              <c:pt idx="0">
                <c:v>2.4424418953236802E-2</c:v>
              </c:pt>
              <c:pt idx="1">
                <c:v>2.4499299359377589E-2</c:v>
              </c:pt>
            </c:numLit>
          </c:yVal>
          <c:smooth val="0"/>
          <c:extLst>
            <c:ext xmlns:c16="http://schemas.microsoft.com/office/drawing/2014/chart" uri="{C3380CC4-5D6E-409C-BE32-E72D297353CC}">
              <c16:uniqueId val="{00000074-6BE9-4072-907B-A4622C19C5E5}"/>
            </c:ext>
          </c:extLst>
        </c:ser>
        <c:ser>
          <c:idx val="98"/>
          <c:order val="98"/>
          <c:spPr>
            <a:ln w="3175">
              <a:solidFill>
                <a:srgbClr val="000000"/>
              </a:solidFill>
              <a:prstDash val="solid"/>
            </a:ln>
          </c:spPr>
          <c:marker>
            <c:symbol val="none"/>
          </c:marker>
          <c:xVal>
            <c:numLit>
              <c:formatCode>General</c:formatCode>
              <c:ptCount val="2"/>
              <c:pt idx="0">
                <c:v>-5.7306406407761212</c:v>
              </c:pt>
              <c:pt idx="1">
                <c:v>-6.0146257973641815</c:v>
              </c:pt>
            </c:numLit>
          </c:xVal>
          <c:yVal>
            <c:numLit>
              <c:formatCode>General</c:formatCode>
              <c:ptCount val="2"/>
              <c:pt idx="0">
                <c:v>2.4268046190440859E-2</c:v>
              </c:pt>
              <c:pt idx="1">
                <c:v>2.433957575166459E-2</c:v>
              </c:pt>
            </c:numLit>
          </c:yVal>
          <c:smooth val="0"/>
          <c:extLst>
            <c:ext xmlns:c16="http://schemas.microsoft.com/office/drawing/2014/chart" uri="{C3380CC4-5D6E-409C-BE32-E72D297353CC}">
              <c16:uniqueId val="{00000075-6BE9-4072-907B-A4622C19C5E5}"/>
            </c:ext>
          </c:extLst>
        </c:ser>
        <c:ser>
          <c:idx val="99"/>
          <c:order val="99"/>
          <c:spPr>
            <a:ln w="3175">
              <a:solidFill>
                <a:srgbClr val="000000"/>
              </a:solidFill>
              <a:prstDash val="solid"/>
            </a:ln>
          </c:spPr>
          <c:marker>
            <c:symbol val="none"/>
          </c:marker>
          <c:xVal>
            <c:numLit>
              <c:formatCode>General</c:formatCode>
              <c:ptCount val="2"/>
              <c:pt idx="0">
                <c:v>-5.7952165720117108</c:v>
              </c:pt>
              <c:pt idx="1">
                <c:v>-6.0805854985548189</c:v>
              </c:pt>
            </c:numLit>
          </c:xVal>
          <c:yVal>
            <c:numLit>
              <c:formatCode>General</c:formatCode>
              <c:ptCount val="2"/>
              <c:pt idx="0">
                <c:v>2.4124353808164946E-2</c:v>
              </c:pt>
              <c:pt idx="1">
                <c:v>2.4192804246911337E-2</c:v>
              </c:pt>
            </c:numLit>
          </c:yVal>
          <c:smooth val="0"/>
          <c:extLst>
            <c:ext xmlns:c16="http://schemas.microsoft.com/office/drawing/2014/chart" uri="{C3380CC4-5D6E-409C-BE32-E72D297353CC}">
              <c16:uniqueId val="{00000076-6BE9-4072-907B-A4622C19C5E5}"/>
            </c:ext>
          </c:extLst>
        </c:ser>
        <c:ser>
          <c:idx val="100"/>
          <c:order val="100"/>
          <c:spPr>
            <a:ln w="3175">
              <a:solidFill>
                <a:srgbClr val="000000"/>
              </a:solidFill>
              <a:prstDash val="solid"/>
            </a:ln>
          </c:spPr>
          <c:marker>
            <c:symbol val="none"/>
          </c:marker>
          <c:xVal>
            <c:numLit>
              <c:formatCode>General</c:formatCode>
              <c:ptCount val="2"/>
              <c:pt idx="0">
                <c:v>-5.851947118469381</c:v>
              </c:pt>
              <c:pt idx="1">
                <c:v>-6.1385316995794392</c:v>
              </c:pt>
            </c:numLit>
          </c:xVal>
          <c:yVal>
            <c:numLit>
              <c:formatCode>General</c:formatCode>
              <c:ptCount val="2"/>
              <c:pt idx="0">
                <c:v>2.3991946017564908E-2</c:v>
              </c:pt>
              <c:pt idx="1">
                <c:v>2.4057559146512728E-2</c:v>
              </c:pt>
            </c:numLit>
          </c:yVal>
          <c:smooth val="0"/>
          <c:extLst>
            <c:ext xmlns:c16="http://schemas.microsoft.com/office/drawing/2014/chart" uri="{C3380CC4-5D6E-409C-BE32-E72D297353CC}">
              <c16:uniqueId val="{00000077-6BE9-4072-907B-A4622C19C5E5}"/>
            </c:ext>
          </c:extLst>
        </c:ser>
        <c:ser>
          <c:idx val="101"/>
          <c:order val="101"/>
          <c:spPr>
            <a:ln w="3175">
              <a:solidFill>
                <a:srgbClr val="000000"/>
              </a:solidFill>
              <a:prstDash val="solid"/>
            </a:ln>
          </c:spPr>
          <c:marker>
            <c:symbol val="none"/>
          </c:marker>
          <c:xVal>
            <c:numLit>
              <c:formatCode>General</c:formatCode>
              <c:ptCount val="2"/>
              <c:pt idx="0">
                <c:v>-5.9020274437754896</c:v>
              </c:pt>
              <c:pt idx="1">
                <c:v>-6.4773429056515814</c:v>
              </c:pt>
            </c:numLit>
          </c:xVal>
          <c:yVal>
            <c:numLit>
              <c:formatCode>General</c:formatCode>
              <c:ptCount val="2"/>
              <c:pt idx="0">
                <c:v>2.3869610711458024E-2</c:v>
              </c:pt>
              <c:pt idx="1">
                <c:v>2.3995594027663367E-2</c:v>
              </c:pt>
            </c:numLit>
          </c:yVal>
          <c:smooth val="0"/>
          <c:extLst>
            <c:ext xmlns:c16="http://schemas.microsoft.com/office/drawing/2014/chart" uri="{C3380CC4-5D6E-409C-BE32-E72D297353CC}">
              <c16:uniqueId val="{00000078-6BE9-4072-907B-A4622C19C5E5}"/>
            </c:ext>
          </c:extLst>
        </c:ser>
        <c:ser>
          <c:idx val="102"/>
          <c:order val="102"/>
          <c:spPr>
            <a:ln w="3175">
              <a:solidFill>
                <a:srgbClr val="000000"/>
              </a:solidFill>
              <a:prstDash val="solid"/>
            </a:ln>
          </c:spPr>
          <c:marker>
            <c:symbol val="none"/>
          </c:marker>
          <c:dLbls>
            <c:dLbl>
              <c:idx val="0"/>
              <c:tx>
                <c:rich>
                  <a:bodyPr rot="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9-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-7.5320879190910839</c:v>
              </c:pt>
            </c:numLit>
          </c:xVal>
          <c:yVal>
            <c:numLit>
              <c:formatCode>General</c:formatCode>
              <c:ptCount val="1"/>
              <c:pt idx="0">
                <c:v>2.4226563440706499E-2</c:v>
              </c:pt>
            </c:numLit>
          </c:yVal>
          <c:smooth val="0"/>
          <c:extLst>
            <c:ext xmlns:c16="http://schemas.microsoft.com/office/drawing/2014/chart" uri="{C3380CC4-5D6E-409C-BE32-E72D297353CC}">
              <c16:uniqueId val="{0000007A-6BE9-4072-907B-A4622C19C5E5}"/>
            </c:ext>
          </c:extLst>
        </c:ser>
        <c:ser>
          <c:idx val="103"/>
          <c:order val="103"/>
          <c:spPr>
            <a:ln w="3175">
              <a:solidFill>
                <a:srgbClr val="000000"/>
              </a:solidFill>
              <a:prstDash val="solid"/>
            </a:ln>
          </c:spPr>
          <c:marker>
            <c:symbol val="none"/>
          </c:marker>
          <c:xVal>
            <c:numLit>
              <c:formatCode>General</c:formatCode>
              <c:ptCount val="2"/>
              <c:pt idx="0">
                <c:v>-6.0041567309797621</c:v>
              </c:pt>
              <c:pt idx="1">
                <c:v>-6.2940029466436149</c:v>
              </c:pt>
            </c:numLit>
          </c:xVal>
          <c:yVal>
            <c:numLit>
              <c:formatCode>General</c:formatCode>
              <c:ptCount val="2"/>
              <c:pt idx="0">
                <c:v>2.3601243359121643E-2</c:v>
              </c:pt>
              <c:pt idx="1">
                <c:v>2.3658484288245678E-2</c:v>
              </c:pt>
            </c:numLit>
          </c:yVal>
          <c:smooth val="0"/>
          <c:extLst>
            <c:ext xmlns:c16="http://schemas.microsoft.com/office/drawing/2014/chart" uri="{C3380CC4-5D6E-409C-BE32-E72D297353CC}">
              <c16:uniqueId val="{0000007B-6BE9-4072-907B-A4622C19C5E5}"/>
            </c:ext>
          </c:extLst>
        </c:ser>
        <c:ser>
          <c:idx val="104"/>
          <c:order val="104"/>
          <c:spPr>
            <a:ln w="3175">
              <a:solidFill>
                <a:srgbClr val="000000"/>
              </a:solidFill>
              <a:prstDash val="solid"/>
            </a:ln>
          </c:spPr>
          <c:marker>
            <c:symbol val="none"/>
          </c:marker>
          <c:xVal>
            <c:numLit>
              <c:formatCode>General</c:formatCode>
              <c:ptCount val="2"/>
              <c:pt idx="0">
                <c:v>-6.0816762741522021</c:v>
              </c:pt>
              <c:pt idx="1">
                <c:v>-6.664690971615868</c:v>
              </c:pt>
            </c:numLit>
          </c:xVal>
          <c:yVal>
            <c:numLit>
              <c:formatCode>General</c:formatCode>
              <c:ptCount val="2"/>
              <c:pt idx="0">
                <c:v>2.3376424442580822E-2</c:v>
              </c:pt>
              <c:pt idx="1">
                <c:v>2.3481271204405716E-2</c:v>
              </c:pt>
            </c:numLit>
          </c:yVal>
          <c:smooth val="0"/>
          <c:extLst>
            <c:ext xmlns:c16="http://schemas.microsoft.com/office/drawing/2014/chart" uri="{C3380CC4-5D6E-409C-BE32-E72D297353CC}">
              <c16:uniqueId val="{0000007C-6BE9-4072-907B-A4622C19C5E5}"/>
            </c:ext>
          </c:extLst>
        </c:ser>
        <c:ser>
          <c:idx val="105"/>
          <c:order val="105"/>
          <c:spPr>
            <a:ln w="3175">
              <a:solidFill>
                <a:srgbClr val="000000"/>
              </a:solidFill>
              <a:prstDash val="solid"/>
            </a:ln>
          </c:spPr>
          <c:marker>
            <c:symbol val="none"/>
          </c:marker>
          <c:dLbls>
            <c:dLbl>
              <c:idx val="0"/>
              <c:tx>
                <c:rich>
                  <a:bodyPr rot="8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D-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-7.7335512502992545</c:v>
              </c:pt>
            </c:numLit>
          </c:xVal>
          <c:yVal>
            <c:numLit>
              <c:formatCode>General</c:formatCode>
              <c:ptCount val="1"/>
              <c:pt idx="0">
                <c:v>2.3673490267751351E-2</c:v>
              </c:pt>
            </c:numLit>
          </c:yVal>
          <c:smooth val="0"/>
          <c:extLst>
            <c:ext xmlns:c16="http://schemas.microsoft.com/office/drawing/2014/chart" uri="{C3380CC4-5D6E-409C-BE32-E72D297353CC}">
              <c16:uniqueId val="{0000007E-6BE9-4072-907B-A4622C19C5E5}"/>
            </c:ext>
          </c:extLst>
        </c:ser>
        <c:ser>
          <c:idx val="106"/>
          <c:order val="106"/>
          <c:spPr>
            <a:ln w="3175">
              <a:solidFill>
                <a:srgbClr val="000000"/>
              </a:solidFill>
              <a:prstDash val="solid"/>
            </a:ln>
          </c:spPr>
          <c:marker>
            <c:symbol val="none"/>
          </c:marker>
          <c:xVal>
            <c:numLit>
              <c:formatCode>General</c:formatCode>
              <c:ptCount val="2"/>
              <c:pt idx="0">
                <c:v>-6.1418165019856463</c:v>
              </c:pt>
              <c:pt idx="1">
                <c:v>-6.4346125698853394</c:v>
              </c:pt>
            </c:numLit>
          </c:xVal>
          <c:yVal>
            <c:numLit>
              <c:formatCode>General</c:formatCode>
              <c:ptCount val="2"/>
              <c:pt idx="0">
                <c:v>2.3185628388742628E-2</c:v>
              </c:pt>
              <c:pt idx="1">
                <c:v>2.3233963282787113E-2</c:v>
              </c:pt>
            </c:numLit>
          </c:yVal>
          <c:smooth val="0"/>
          <c:extLst>
            <c:ext xmlns:c16="http://schemas.microsoft.com/office/drawing/2014/chart" uri="{C3380CC4-5D6E-409C-BE32-E72D297353CC}">
              <c16:uniqueId val="{0000007F-6BE9-4072-907B-A4622C19C5E5}"/>
            </c:ext>
          </c:extLst>
        </c:ser>
        <c:ser>
          <c:idx val="107"/>
          <c:order val="107"/>
          <c:spPr>
            <a:ln w="3175">
              <a:solidFill>
                <a:srgbClr val="000000"/>
              </a:solidFill>
              <a:prstDash val="solid"/>
            </a:ln>
          </c:spPr>
          <c:marker>
            <c:symbol val="none"/>
          </c:marker>
          <c:xVal>
            <c:numLit>
              <c:formatCode>General</c:formatCode>
              <c:ptCount val="2"/>
              <c:pt idx="0">
                <c:v>-6.1893611787955249</c:v>
              </c:pt>
              <c:pt idx="1">
                <c:v>-6.7769909436010467</c:v>
              </c:pt>
            </c:numLit>
          </c:xVal>
          <c:yVal>
            <c:numLit>
              <c:formatCode>General</c:formatCode>
              <c:ptCount val="2"/>
              <c:pt idx="0">
                <c:v>2.3021845518026735E-2</c:v>
              </c:pt>
              <c:pt idx="1">
                <c:v>2.3111496040227882E-2</c:v>
              </c:pt>
            </c:numLit>
          </c:yVal>
          <c:smooth val="0"/>
          <c:extLst>
            <c:ext xmlns:c16="http://schemas.microsoft.com/office/drawing/2014/chart" uri="{C3380CC4-5D6E-409C-BE32-E72D297353CC}">
              <c16:uniqueId val="{00000080-6BE9-4072-907B-A4622C19C5E5}"/>
            </c:ext>
          </c:extLst>
        </c:ser>
        <c:ser>
          <c:idx val="108"/>
          <c:order val="108"/>
          <c:spPr>
            <a:ln w="3175">
              <a:solidFill>
                <a:srgbClr val="000000"/>
              </a:solidFill>
              <a:prstDash val="solid"/>
            </a:ln>
          </c:spPr>
          <c:marker>
            <c:symbol val="none"/>
          </c:marker>
          <c:dLbls>
            <c:dLbl>
              <c:idx val="0"/>
              <c:tx>
                <c:rich>
                  <a:bodyPr rot="7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1-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-7.8543121790778381</c:v>
              </c:pt>
            </c:numLit>
          </c:xVal>
          <c:yVal>
            <c:numLit>
              <c:formatCode>General</c:formatCode>
              <c:ptCount val="1"/>
              <c:pt idx="0">
                <c:v>2.3275855330929983E-2</c:v>
              </c:pt>
            </c:numLit>
          </c:yVal>
          <c:smooth val="0"/>
          <c:extLst>
            <c:ext xmlns:c16="http://schemas.microsoft.com/office/drawing/2014/chart" uri="{C3380CC4-5D6E-409C-BE32-E72D297353CC}">
              <c16:uniqueId val="{00000082-6BE9-4072-907B-A4622C19C5E5}"/>
            </c:ext>
          </c:extLst>
        </c:ser>
        <c:ser>
          <c:idx val="109"/>
          <c:order val="109"/>
          <c:spPr>
            <a:ln w="3175">
              <a:solidFill>
                <a:srgbClr val="000000"/>
              </a:solidFill>
              <a:prstDash val="solid"/>
            </a:ln>
          </c:spPr>
          <c:marker>
            <c:symbol val="none"/>
          </c:marker>
          <c:xVal>
            <c:numLit>
              <c:formatCode>General</c:formatCode>
              <c:ptCount val="2"/>
              <c:pt idx="0">
                <c:v>-6.2275685419443816</c:v>
              </c:pt>
              <c:pt idx="1">
                <c:v>-6.5222021535574761</c:v>
              </c:pt>
            </c:numLit>
          </c:xVal>
          <c:yVal>
            <c:numLit>
              <c:formatCode>General</c:formatCode>
              <c:ptCount val="2"/>
              <c:pt idx="0">
                <c:v>2.2879826043585575E-2</c:v>
              </c:pt>
              <c:pt idx="1">
                <c:v>2.2921608030233839E-2</c:v>
              </c:pt>
            </c:numLit>
          </c:yVal>
          <c:smooth val="0"/>
          <c:extLst>
            <c:ext xmlns:c16="http://schemas.microsoft.com/office/drawing/2014/chart" uri="{C3380CC4-5D6E-409C-BE32-E72D297353CC}">
              <c16:uniqueId val="{00000083-6BE9-4072-907B-A4622C19C5E5}"/>
            </c:ext>
          </c:extLst>
        </c:ser>
        <c:ser>
          <c:idx val="110"/>
          <c:order val="110"/>
          <c:spPr>
            <a:ln w="3175">
              <a:solidFill>
                <a:srgbClr val="000000"/>
              </a:solidFill>
              <a:prstDash val="solid"/>
            </a:ln>
          </c:spPr>
          <c:marker>
            <c:symbol val="none"/>
          </c:marker>
          <c:xVal>
            <c:numLit>
              <c:formatCode>General</c:formatCode>
              <c:ptCount val="2"/>
              <c:pt idx="0">
                <c:v>-6.2587153367755777</c:v>
              </c:pt>
              <c:pt idx="1">
                <c:v>-6.8493174226373874</c:v>
              </c:pt>
            </c:numLit>
          </c:xVal>
          <c:yVal>
            <c:numLit>
              <c:formatCode>General</c:formatCode>
              <c:ptCount val="2"/>
              <c:pt idx="0">
                <c:v>2.2755572771766694E-2</c:v>
              </c:pt>
              <c:pt idx="1">
                <c:v>2.2833811604842408E-2</c:v>
              </c:pt>
            </c:numLit>
          </c:yVal>
          <c:smooth val="0"/>
          <c:extLst>
            <c:ext xmlns:c16="http://schemas.microsoft.com/office/drawing/2014/chart" uri="{C3380CC4-5D6E-409C-BE32-E72D297353CC}">
              <c16:uniqueId val="{00000084-6BE9-4072-907B-A4622C19C5E5}"/>
            </c:ext>
          </c:extLst>
        </c:ser>
        <c:ser>
          <c:idx val="111"/>
          <c:order val="111"/>
          <c:spPr>
            <a:ln w="3175">
              <a:solidFill>
                <a:srgbClr val="000000"/>
              </a:solidFill>
              <a:prstDash val="solid"/>
            </a:ln>
          </c:spPr>
          <c:marker>
            <c:symbol val="none"/>
          </c:marker>
          <c:dLbls>
            <c:dLbl>
              <c:idx val="0"/>
              <c:tx>
                <c:rich>
                  <a:bodyPr rot="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5-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-7.9320879133840396</c:v>
              </c:pt>
            </c:numLit>
          </c:xVal>
          <c:yVal>
            <c:numLit>
              <c:formatCode>General</c:formatCode>
              <c:ptCount val="1"/>
              <c:pt idx="0">
                <c:v>2.2977249465481218E-2</c:v>
              </c:pt>
            </c:numLit>
          </c:yVal>
          <c:smooth val="0"/>
          <c:extLst>
            <c:ext xmlns:c16="http://schemas.microsoft.com/office/drawing/2014/chart" uri="{C3380CC4-5D6E-409C-BE32-E72D297353CC}">
              <c16:uniqueId val="{00000086-6BE9-4072-907B-A4622C19C5E5}"/>
            </c:ext>
          </c:extLst>
        </c:ser>
        <c:ser>
          <c:idx val="112"/>
          <c:order val="112"/>
          <c:spPr>
            <a:ln w="3175">
              <a:solidFill>
                <a:srgbClr val="000000"/>
              </a:solidFill>
              <a:prstDash val="solid"/>
            </a:ln>
          </c:spPr>
          <c:marker>
            <c:symbol val="none"/>
          </c:marker>
          <c:xVal>
            <c:numLit>
              <c:formatCode>General</c:formatCode>
              <c:ptCount val="2"/>
              <c:pt idx="0">
                <c:v>-6.3058961870318369</c:v>
              </c:pt>
              <c:pt idx="1">
                <c:v>-6.6022082481825199</c:v>
              </c:pt>
            </c:numLit>
          </c:xVal>
          <c:yVal>
            <c:numLit>
              <c:formatCode>General</c:formatCode>
              <c:ptCount val="2"/>
              <c:pt idx="0">
                <c:v>2.2548671580655582E-2</c:v>
              </c:pt>
              <c:pt idx="1">
                <c:v>2.2583357400241057E-2</c:v>
              </c:pt>
            </c:numLit>
          </c:yVal>
          <c:smooth val="0"/>
          <c:extLst>
            <c:ext xmlns:c16="http://schemas.microsoft.com/office/drawing/2014/chart" uri="{C3380CC4-5D6E-409C-BE32-E72D297353CC}">
              <c16:uniqueId val="{00000087-6BE9-4072-907B-A4622C19C5E5}"/>
            </c:ext>
          </c:extLst>
        </c:ser>
        <c:ser>
          <c:idx val="113"/>
          <c:order val="113"/>
          <c:spPr>
            <a:ln w="3175">
              <a:solidFill>
                <a:srgbClr val="000000"/>
              </a:solidFill>
              <a:prstDash val="solid"/>
            </a:ln>
          </c:spPr>
          <c:marker>
            <c:symbol val="none"/>
          </c:marker>
          <c:xVal>
            <c:numLit>
              <c:formatCode>General</c:formatCode>
              <c:ptCount val="2"/>
              <c:pt idx="0">
                <c:v>-6.3394006467143074</c:v>
              </c:pt>
              <c:pt idx="1">
                <c:v>-6.6364306605724712</c:v>
              </c:pt>
            </c:numLit>
          </c:xVal>
          <c:yVal>
            <c:numLit>
              <c:formatCode>General</c:formatCode>
              <c:ptCount val="2"/>
              <c:pt idx="0">
                <c:v>2.2383467693411988E-2</c:v>
              </c:pt>
              <c:pt idx="1">
                <c:v>2.2414613429699387E-2</c:v>
              </c:pt>
            </c:numLit>
          </c:yVal>
          <c:smooth val="0"/>
          <c:extLst>
            <c:ext xmlns:c16="http://schemas.microsoft.com/office/drawing/2014/chart" uri="{C3380CC4-5D6E-409C-BE32-E72D297353CC}">
              <c16:uniqueId val="{00000088-6BE9-4072-907B-A4622C19C5E5}"/>
            </c:ext>
          </c:extLst>
        </c:ser>
        <c:ser>
          <c:idx val="114"/>
          <c:order val="114"/>
          <c:spPr>
            <a:ln w="3175">
              <a:solidFill>
                <a:srgbClr val="000000"/>
              </a:solidFill>
              <a:prstDash val="solid"/>
            </a:ln>
          </c:spPr>
          <c:marker>
            <c:symbol val="none"/>
          </c:marker>
          <c:xVal>
            <c:numLit>
              <c:formatCode>General</c:formatCode>
              <c:ptCount val="2"/>
              <c:pt idx="0">
                <c:v>-6.3640278309235088</c:v>
              </c:pt>
              <c:pt idx="1">
                <c:v>-6.6615855701575848</c:v>
              </c:pt>
            </c:numLit>
          </c:xVal>
          <c:yVal>
            <c:numLit>
              <c:formatCode>General</c:formatCode>
              <c:ptCount val="2"/>
              <c:pt idx="0">
                <c:v>2.2248609023778468E-2</c:v>
              </c:pt>
              <c:pt idx="1">
                <c:v>2.2276864931430863E-2</c:v>
              </c:pt>
            </c:numLit>
          </c:yVal>
          <c:smooth val="0"/>
          <c:extLst>
            <c:ext xmlns:c16="http://schemas.microsoft.com/office/drawing/2014/chart" uri="{C3380CC4-5D6E-409C-BE32-E72D297353CC}">
              <c16:uniqueId val="{00000089-6BE9-4072-907B-A4622C19C5E5}"/>
            </c:ext>
          </c:extLst>
        </c:ser>
        <c:ser>
          <c:idx val="115"/>
          <c:order val="115"/>
          <c:spPr>
            <a:ln w="3175">
              <a:solidFill>
                <a:srgbClr val="000000"/>
              </a:solidFill>
              <a:prstDash val="solid"/>
            </a:ln>
          </c:spPr>
          <c:marker>
            <c:symbol val="none"/>
          </c:marker>
          <c:xVal>
            <c:numLit>
              <c:formatCode>General</c:formatCode>
              <c:ptCount val="2"/>
              <c:pt idx="0">
                <c:v>-6.382648783342864</c:v>
              </c:pt>
              <c:pt idx="1">
                <c:v>-6.6806055429859255</c:v>
              </c:pt>
            </c:numLit>
          </c:xVal>
          <c:yVal>
            <c:numLit>
              <c:formatCode>General</c:formatCode>
              <c:ptCount val="2"/>
              <c:pt idx="0">
                <c:v>2.2136492726931425E-2</c:v>
              </c:pt>
              <c:pt idx="1">
                <c:v>2.2162346142508529E-2</c:v>
              </c:pt>
            </c:numLit>
          </c:yVal>
          <c:smooth val="0"/>
          <c:extLst>
            <c:ext xmlns:c16="http://schemas.microsoft.com/office/drawing/2014/chart" uri="{C3380CC4-5D6E-409C-BE32-E72D297353CC}">
              <c16:uniqueId val="{0000008A-6BE9-4072-907B-A4622C19C5E5}"/>
            </c:ext>
          </c:extLst>
        </c:ser>
        <c:ser>
          <c:idx val="116"/>
          <c:order val="116"/>
          <c:spPr>
            <a:ln w="3175">
              <a:solidFill>
                <a:srgbClr val="000000"/>
              </a:solidFill>
              <a:prstDash val="solid"/>
            </a:ln>
          </c:spPr>
          <c:marker>
            <c:symbol val="none"/>
          </c:marker>
          <c:xVal>
            <c:numLit>
              <c:formatCode>General</c:formatCode>
              <c:ptCount val="2"/>
              <c:pt idx="0">
                <c:v>-6.3970641036563771</c:v>
              </c:pt>
              <c:pt idx="1">
                <c:v>-6.9935954223845069</c:v>
              </c:pt>
            </c:numLit>
          </c:xVal>
          <c:yVal>
            <c:numLit>
              <c:formatCode>General</c:formatCode>
              <c:ptCount val="2"/>
              <c:pt idx="0">
                <c:v>2.2041845203134694E-2</c:v>
              </c:pt>
              <c:pt idx="1">
                <c:v>2.2089495711840466E-2</c:v>
              </c:pt>
            </c:numLit>
          </c:yVal>
          <c:smooth val="0"/>
          <c:extLst>
            <c:ext xmlns:c16="http://schemas.microsoft.com/office/drawing/2014/chart" uri="{C3380CC4-5D6E-409C-BE32-E72D297353CC}">
              <c16:uniqueId val="{0000008B-6BE9-4072-907B-A4622C19C5E5}"/>
            </c:ext>
          </c:extLst>
        </c:ser>
        <c:ser>
          <c:idx val="117"/>
          <c:order val="117"/>
          <c:spPr>
            <a:ln w="3175">
              <a:solidFill>
                <a:srgbClr val="000000"/>
              </a:solidFill>
              <a:prstDash val="solid"/>
            </a:ln>
          </c:spPr>
          <c:marker>
            <c:symbol val="none"/>
          </c:marker>
          <c:dLbls>
            <c:dLbl>
              <c:idx val="0"/>
              <c:tx>
                <c:rich>
                  <a:bodyPr rot="3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C-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-8.0872361733860796</c:v>
              </c:pt>
            </c:numLit>
          </c:xVal>
          <c:yVal>
            <c:numLit>
              <c:formatCode>General</c:formatCode>
              <c:ptCount val="1"/>
              <c:pt idx="0">
                <c:v>2.2176854977801051E-2</c:v>
              </c:pt>
            </c:numLit>
          </c:yVal>
          <c:smooth val="0"/>
          <c:extLst>
            <c:ext xmlns:c16="http://schemas.microsoft.com/office/drawing/2014/chart" uri="{C3380CC4-5D6E-409C-BE32-E72D297353CC}">
              <c16:uniqueId val="{0000008D-6BE9-4072-907B-A4622C19C5E5}"/>
            </c:ext>
          </c:extLst>
        </c:ser>
        <c:ser>
          <c:idx val="118"/>
          <c:order val="118"/>
          <c:spPr>
            <a:ln w="3175">
              <a:solidFill>
                <a:srgbClr val="000000"/>
              </a:solidFill>
              <a:prstDash val="solid"/>
            </a:ln>
          </c:spPr>
          <c:marker>
            <c:symbol val="none"/>
          </c:marker>
          <c:xVal>
            <c:numLit>
              <c:formatCode>General</c:formatCode>
              <c:ptCount val="2"/>
              <c:pt idx="0">
                <c:v>-6.436353647558132</c:v>
              </c:pt>
              <c:pt idx="1">
                <c:v>-6.7354612257200923</c:v>
              </c:pt>
            </c:numLit>
          </c:xVal>
          <c:yVal>
            <c:numLit>
              <c:formatCode>General</c:formatCode>
              <c:ptCount val="2"/>
              <c:pt idx="0">
                <c:v>2.172811889106761E-2</c:v>
              </c:pt>
              <c:pt idx="1">
                <c:v>2.1745221438733343E-2</c:v>
              </c:pt>
            </c:numLit>
          </c:yVal>
          <c:smooth val="0"/>
          <c:extLst>
            <c:ext xmlns:c16="http://schemas.microsoft.com/office/drawing/2014/chart" uri="{C3380CC4-5D6E-409C-BE32-E72D297353CC}">
              <c16:uniqueId val="{0000008E-6BE9-4072-907B-A4622C19C5E5}"/>
            </c:ext>
          </c:extLst>
        </c:ser>
        <c:ser>
          <c:idx val="119"/>
          <c:order val="119"/>
          <c:spPr>
            <a:ln w="3175">
              <a:solidFill>
                <a:srgbClr val="000000"/>
              </a:solidFill>
              <a:prstDash val="solid"/>
            </a:ln>
          </c:spPr>
          <c:marker>
            <c:symbol val="none"/>
          </c:marker>
          <c:xVal>
            <c:numLit>
              <c:formatCode>General</c:formatCode>
              <c:ptCount val="2"/>
              <c:pt idx="0">
                <c:v>-6.4527022004217862</c:v>
              </c:pt>
              <c:pt idx="1">
                <c:v>-7.0516180090112908</c:v>
              </c:pt>
            </c:numLit>
          </c:xVal>
          <c:yVal>
            <c:numLit>
              <c:formatCode>General</c:formatCode>
              <c:ptCount val="2"/>
              <c:pt idx="0">
                <c:v>2.1552224945278583E-2</c:v>
              </c:pt>
              <c:pt idx="1">
                <c:v>2.1578891728647666E-2</c:v>
              </c:pt>
            </c:numLit>
          </c:yVal>
          <c:smooth val="0"/>
          <c:extLst>
            <c:ext xmlns:c16="http://schemas.microsoft.com/office/drawing/2014/chart" uri="{C3380CC4-5D6E-409C-BE32-E72D297353CC}">
              <c16:uniqueId val="{0000008F-6BE9-4072-907B-A4622C19C5E5}"/>
            </c:ext>
          </c:extLst>
        </c:ser>
        <c:ser>
          <c:idx val="120"/>
          <c:order val="120"/>
          <c:spPr>
            <a:ln w="3175">
              <a:solidFill>
                <a:srgbClr val="000000"/>
              </a:solidFill>
              <a:prstDash val="solid"/>
            </a:ln>
          </c:spPr>
          <c:marker>
            <c:symbol val="none"/>
          </c:marker>
          <c:dLbls>
            <c:dLbl>
              <c:idx val="0"/>
              <c:tx>
                <c:rich>
                  <a:bodyPr rot="1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0-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-8.1496303247587161</c:v>
              </c:pt>
            </c:numLit>
          </c:xVal>
          <c:yVal>
            <c:numLit>
              <c:formatCode>General</c:formatCode>
              <c:ptCount val="1"/>
              <c:pt idx="0">
                <c:v>2.1627780831490983E-2</c:v>
              </c:pt>
            </c:numLit>
          </c:yVal>
          <c:smooth val="0"/>
          <c:extLst>
            <c:ext xmlns:c16="http://schemas.microsoft.com/office/drawing/2014/chart" uri="{C3380CC4-5D6E-409C-BE32-E72D297353CC}">
              <c16:uniqueId val="{00000091-6BE9-4072-907B-A4622C19C5E5}"/>
            </c:ext>
          </c:extLst>
        </c:ser>
        <c:ser>
          <c:idx val="121"/>
          <c:order val="121"/>
          <c:spPr>
            <a:ln w="3175">
              <a:solidFill>
                <a:srgbClr val="000000"/>
              </a:solidFill>
              <a:prstDash val="solid"/>
            </a:ln>
          </c:spPr>
          <c:marker>
            <c:symbol val="none"/>
          </c:marker>
          <c:xVal>
            <c:numLit>
              <c:formatCode>General</c:formatCode>
              <c:ptCount val="2"/>
              <c:pt idx="0">
                <c:v>-6.4658267837767367</c:v>
              </c:pt>
              <c:pt idx="1">
                <c:v>-6.7655659291433814</c:v>
              </c:pt>
            </c:numLit>
          </c:xVal>
          <c:yVal>
            <c:numLit>
              <c:formatCode>General</c:formatCode>
              <c:ptCount val="2"/>
              <c:pt idx="0">
                <c:v>2.1361728347072451E-2</c:v>
              </c:pt>
              <c:pt idx="1">
                <c:v>2.1370979668795431E-2</c:v>
              </c:pt>
            </c:numLit>
          </c:yVal>
          <c:smooth val="0"/>
          <c:extLst>
            <c:ext xmlns:c16="http://schemas.microsoft.com/office/drawing/2014/chart" uri="{C3380CC4-5D6E-409C-BE32-E72D297353CC}">
              <c16:uniqueId val="{00000092-6BE9-4072-907B-A4622C19C5E5}"/>
            </c:ext>
          </c:extLst>
        </c:ser>
        <c:ser>
          <c:idx val="122"/>
          <c:order val="122"/>
          <c:spPr>
            <a:ln w="3175">
              <a:solidFill>
                <a:srgbClr val="000000"/>
              </a:solidFill>
              <a:prstDash val="solid"/>
            </a:ln>
          </c:spPr>
          <c:marker>
            <c:symbol val="none"/>
          </c:marker>
          <c:xVal>
            <c:numLit>
              <c:formatCode>General</c:formatCode>
              <c:ptCount val="2"/>
              <c:pt idx="0">
                <c:v>-6.4708678812703511</c:v>
              </c:pt>
              <c:pt idx="1">
                <c:v>-7.07056221903908</c:v>
              </c:pt>
            </c:numLit>
          </c:xVal>
          <c:yVal>
            <c:numLit>
              <c:formatCode>General</c:formatCode>
              <c:ptCount val="2"/>
              <c:pt idx="0">
                <c:v>2.1260488451156453E-2</c:v>
              </c:pt>
              <c:pt idx="1">
                <c:v>2.1274652241920301E-2</c:v>
              </c:pt>
            </c:numLit>
          </c:yVal>
          <c:smooth val="0"/>
          <c:extLst>
            <c:ext xmlns:c16="http://schemas.microsoft.com/office/drawing/2014/chart" uri="{C3380CC4-5D6E-409C-BE32-E72D297353CC}">
              <c16:uniqueId val="{00000093-6BE9-4072-907B-A4622C19C5E5}"/>
            </c:ext>
          </c:extLst>
        </c:ser>
        <c:ser>
          <c:idx val="123"/>
          <c:order val="123"/>
          <c:spPr>
            <a:ln w="3175">
              <a:solidFill>
                <a:srgbClr val="000000"/>
              </a:solidFill>
              <a:prstDash val="solid"/>
            </a:ln>
          </c:spPr>
          <c:marker>
            <c:symbol val="none"/>
          </c:marker>
          <c:dLbls>
            <c:dLbl>
              <c:idx val="0"/>
              <c:tx>
                <c:rich>
                  <a:bodyPr rot="12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-40000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4-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-8.1700018382817508</c:v>
              </c:pt>
            </c:numLit>
          </c:xVal>
          <c:yVal>
            <c:numLit>
              <c:formatCode>General</c:formatCode>
              <c:ptCount val="1"/>
              <c:pt idx="0">
                <c:v>2.1300619191654022E-2</c:v>
              </c:pt>
            </c:numLit>
          </c:yVal>
          <c:smooth val="0"/>
          <c:extLst>
            <c:ext xmlns:c16="http://schemas.microsoft.com/office/drawing/2014/chart" uri="{C3380CC4-5D6E-409C-BE32-E72D297353CC}">
              <c16:uniqueId val="{00000095-6BE9-4072-907B-A4622C19C5E5}"/>
            </c:ext>
          </c:extLst>
        </c:ser>
        <c:ser>
          <c:idx val="124"/>
          <c:order val="124"/>
          <c:spPr>
            <a:ln w="3175">
              <a:solidFill>
                <a:srgbClr val="000000"/>
              </a:solidFill>
              <a:prstDash val="solid"/>
            </a:ln>
          </c:spPr>
          <c:marker>
            <c:symbol val="none"/>
          </c:marker>
          <c:xVal>
            <c:numLit>
              <c:formatCode>General</c:formatCode>
              <c:ptCount val="2"/>
              <c:pt idx="0">
                <c:v>-6.4780000000000006</c:v>
              </c:pt>
              <c:pt idx="1">
                <c:v>-7.0780000000000003</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96-6BE9-4072-907B-A4622C19C5E5}"/>
            </c:ext>
          </c:extLst>
        </c:ser>
        <c:ser>
          <c:idx val="125"/>
          <c:order val="125"/>
          <c:spPr>
            <a:ln w="3175">
              <a:solidFill>
                <a:srgbClr val="000000"/>
              </a:solidFill>
              <a:prstDash val="solid"/>
            </a:ln>
          </c:spPr>
          <c:marker>
            <c:symbol val="none"/>
          </c:marker>
          <c:dLbls>
            <c:dLbl>
              <c:idx val="0"/>
              <c:tx>
                <c:rich>
                  <a:bodyPr rot="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7-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-8.1780000000000008</c:v>
              </c:pt>
            </c:numLit>
          </c:xVal>
          <c:yVal>
            <c:numLit>
              <c:formatCode>General</c:formatCode>
              <c:ptCount val="1"/>
              <c:pt idx="0">
                <c:v>2.0930000000000001E-2</c:v>
              </c:pt>
            </c:numLit>
          </c:yVal>
          <c:smooth val="0"/>
          <c:extLst>
            <c:ext xmlns:c16="http://schemas.microsoft.com/office/drawing/2014/chart" uri="{C3380CC4-5D6E-409C-BE32-E72D297353CC}">
              <c16:uniqueId val="{00000098-6BE9-4072-907B-A4622C19C5E5}"/>
            </c:ext>
          </c:extLst>
        </c:ser>
        <c:ser>
          <c:idx val="126"/>
          <c:order val="126"/>
          <c:spPr>
            <a:ln w="3175">
              <a:solidFill>
                <a:srgbClr val="000000"/>
              </a:solidFill>
              <a:prstDash val="solid"/>
            </a:ln>
          </c:spPr>
          <c:marker>
            <c:symbol val="none"/>
          </c:marker>
          <c:xVal>
            <c:numLit>
              <c:formatCode>General</c:formatCode>
              <c:ptCount val="2"/>
              <c:pt idx="0">
                <c:v>-6.4687544134534143</c:v>
              </c:pt>
              <c:pt idx="1">
                <c:v>-7.0683581740299886</c:v>
              </c:pt>
            </c:numLit>
          </c:xVal>
          <c:yVal>
            <c:numLit>
              <c:formatCode>General</c:formatCode>
              <c:ptCount val="2"/>
              <c:pt idx="0">
                <c:v>2.0553731515266696E-2</c:v>
              </c:pt>
              <c:pt idx="1">
                <c:v>2.0537605723063838E-2</c:v>
              </c:pt>
            </c:numLit>
          </c:yVal>
          <c:smooth val="0"/>
          <c:extLst>
            <c:ext xmlns:c16="http://schemas.microsoft.com/office/drawing/2014/chart" uri="{C3380CC4-5D6E-409C-BE32-E72D297353CC}">
              <c16:uniqueId val="{00000099-6BE9-4072-907B-A4622C19C5E5}"/>
            </c:ext>
          </c:extLst>
        </c:ser>
        <c:ser>
          <c:idx val="127"/>
          <c:order val="127"/>
          <c:spPr>
            <a:ln w="3175">
              <a:solidFill>
                <a:srgbClr val="000000"/>
              </a:solidFill>
              <a:prstDash val="solid"/>
            </a:ln>
          </c:spPr>
          <c:marker>
            <c:symbol val="none"/>
          </c:marker>
          <c:dLbls>
            <c:dLbl>
              <c:idx val="0"/>
              <c:tx>
                <c:rich>
                  <a:bodyPr rot="-12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40000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A-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-8.167631735087042</c:v>
              </c:pt>
            </c:numLit>
          </c:xVal>
          <c:yVal>
            <c:numLit>
              <c:formatCode>General</c:formatCode>
              <c:ptCount val="1"/>
              <c:pt idx="0">
                <c:v>2.0508041770691935E-2</c:v>
              </c:pt>
            </c:numLit>
          </c:yVal>
          <c:smooth val="0"/>
          <c:extLst>
            <c:ext xmlns:c16="http://schemas.microsoft.com/office/drawing/2014/chart" uri="{C3380CC4-5D6E-409C-BE32-E72D297353CC}">
              <c16:uniqueId val="{0000009B-6BE9-4072-907B-A4622C19C5E5}"/>
            </c:ext>
          </c:extLst>
        </c:ser>
        <c:ser>
          <c:idx val="128"/>
          <c:order val="128"/>
          <c:spPr>
            <a:ln w="3175">
              <a:solidFill>
                <a:srgbClr val="000000"/>
              </a:solidFill>
              <a:prstDash val="solid"/>
            </a:ln>
          </c:spPr>
          <c:marker>
            <c:symbol val="none"/>
          </c:marker>
          <c:xVal>
            <c:numLit>
              <c:formatCode>General</c:formatCode>
              <c:ptCount val="2"/>
              <c:pt idx="0">
                <c:v>-6.4607910353144655</c:v>
              </c:pt>
              <c:pt idx="1">
                <c:v>-6.7604222717854903</c:v>
              </c:pt>
            </c:numLit>
          </c:xVal>
          <c:yVal>
            <c:numLit>
              <c:formatCode>General</c:formatCode>
              <c:ptCount val="2"/>
              <c:pt idx="0">
                <c:v>2.0416729629222568E-2</c:v>
              </c:pt>
              <c:pt idx="1">
                <c:v>2.0405730978420196E-2</c:v>
              </c:pt>
            </c:numLit>
          </c:yVal>
          <c:smooth val="0"/>
          <c:extLst>
            <c:ext xmlns:c16="http://schemas.microsoft.com/office/drawing/2014/chart" uri="{C3380CC4-5D6E-409C-BE32-E72D297353CC}">
              <c16:uniqueId val="{0000009C-6BE9-4072-907B-A4622C19C5E5}"/>
            </c:ext>
          </c:extLst>
        </c:ser>
        <c:ser>
          <c:idx val="129"/>
          <c:order val="129"/>
          <c:spPr>
            <a:ln w="3175">
              <a:solidFill>
                <a:srgbClr val="000000"/>
              </a:solidFill>
              <a:prstDash val="solid"/>
            </a:ln>
          </c:spPr>
          <c:marker>
            <c:symbol val="none"/>
          </c:marker>
          <c:xVal>
            <c:numLit>
              <c:formatCode>General</c:formatCode>
              <c:ptCount val="2"/>
              <c:pt idx="0">
                <c:v>-6.4354532742589932</c:v>
              </c:pt>
              <c:pt idx="1">
                <c:v>-7.0336298431558069</c:v>
              </c:pt>
            </c:numLit>
          </c:xVal>
          <c:yVal>
            <c:numLit>
              <c:formatCode>General</c:formatCode>
              <c:ptCount val="2"/>
              <c:pt idx="0">
                <c:v>2.0123312766063169E-2</c:v>
              </c:pt>
              <c:pt idx="1">
                <c:v>2.0088740456037306E-2</c:v>
              </c:pt>
            </c:numLit>
          </c:yVal>
          <c:smooth val="0"/>
          <c:extLst>
            <c:ext xmlns:c16="http://schemas.microsoft.com/office/drawing/2014/chart" uri="{C3380CC4-5D6E-409C-BE32-E72D297353CC}">
              <c16:uniqueId val="{0000009D-6BE9-4072-907B-A4622C19C5E5}"/>
            </c:ext>
          </c:extLst>
        </c:ser>
        <c:ser>
          <c:idx val="130"/>
          <c:order val="130"/>
          <c:spPr>
            <a:ln w="3175">
              <a:solidFill>
                <a:srgbClr val="000000"/>
              </a:solidFill>
              <a:prstDash val="solid"/>
            </a:ln>
          </c:spPr>
          <c:marker>
            <c:symbol val="none"/>
          </c:marker>
          <c:dLbls>
            <c:dLbl>
              <c:idx val="0"/>
              <c:tx>
                <c:rich>
                  <a:bodyPr rot="-24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20000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E-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-8.1302868861332982</c:v>
              </c:pt>
            </c:numLit>
          </c:xVal>
          <c:yVal>
            <c:numLit>
              <c:formatCode>General</c:formatCode>
              <c:ptCount val="1"/>
              <c:pt idx="0">
                <c:v>2.0025357887656553E-2</c:v>
              </c:pt>
            </c:numLit>
          </c:yVal>
          <c:smooth val="0"/>
          <c:extLst>
            <c:ext xmlns:c16="http://schemas.microsoft.com/office/drawing/2014/chart" uri="{C3380CC4-5D6E-409C-BE32-E72D297353CC}">
              <c16:uniqueId val="{0000009F-6BE9-4072-907B-A4622C19C5E5}"/>
            </c:ext>
          </c:extLst>
        </c:ser>
        <c:ser>
          <c:idx val="131"/>
          <c:order val="131"/>
          <c:spPr>
            <a:ln w="3175">
              <a:solidFill>
                <a:srgbClr val="000000"/>
              </a:solidFill>
              <a:prstDash val="solid"/>
            </a:ln>
          </c:spPr>
          <c:marker>
            <c:symbol val="none"/>
          </c:marker>
          <c:xVal>
            <c:numLit>
              <c:formatCode>General</c:formatCode>
              <c:ptCount val="2"/>
              <c:pt idx="0">
                <c:v>-6.3946145573537017</c:v>
              </c:pt>
              <c:pt idx="1">
                <c:v>-6.9910408955260026</c:v>
              </c:pt>
            </c:numLit>
          </c:xVal>
          <c:yVal>
            <c:numLit>
              <c:formatCode>General</c:formatCode>
              <c:ptCount val="2"/>
              <c:pt idx="0">
                <c:v>1.9801504574826875E-2</c:v>
              </c:pt>
              <c:pt idx="1">
                <c:v>1.9753140485176599E-2</c:v>
              </c:pt>
            </c:numLit>
          </c:yVal>
          <c:smooth val="0"/>
          <c:extLst>
            <c:ext xmlns:c16="http://schemas.microsoft.com/office/drawing/2014/chart" uri="{C3380CC4-5D6E-409C-BE32-E72D297353CC}">
              <c16:uniqueId val="{000000A0-6BE9-4072-907B-A4622C19C5E5}"/>
            </c:ext>
          </c:extLst>
        </c:ser>
        <c:ser>
          <c:idx val="132"/>
          <c:order val="132"/>
          <c:spPr>
            <a:ln w="3175">
              <a:solidFill>
                <a:srgbClr val="000000"/>
              </a:solidFill>
              <a:prstDash val="solid"/>
            </a:ln>
          </c:spPr>
          <c:marker>
            <c:symbol val="none"/>
          </c:marker>
          <c:dLbls>
            <c:dLbl>
              <c:idx val="0"/>
              <c:tx>
                <c:rich>
                  <a:bodyPr rot="-36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15000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1-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-8.0844891821752221</c:v>
              </c:pt>
            </c:numLit>
          </c:xVal>
          <c:yVal>
            <c:numLit>
              <c:formatCode>General</c:formatCode>
              <c:ptCount val="1"/>
              <c:pt idx="0">
                <c:v>1.9664472987484423E-2</c:v>
              </c:pt>
            </c:numLit>
          </c:yVal>
          <c:smooth val="0"/>
          <c:extLst>
            <c:ext xmlns:c16="http://schemas.microsoft.com/office/drawing/2014/chart" uri="{C3380CC4-5D6E-409C-BE32-E72D297353CC}">
              <c16:uniqueId val="{000000A2-6BE9-4072-907B-A4622C19C5E5}"/>
            </c:ext>
          </c:extLst>
        </c:ser>
        <c:ser>
          <c:idx val="133"/>
          <c:order val="133"/>
          <c:spPr>
            <a:ln w="3175">
              <a:solidFill>
                <a:srgbClr val="000000"/>
              </a:solidFill>
              <a:prstDash val="solid"/>
            </a:ln>
          </c:spPr>
          <c:marker>
            <c:symbol val="none"/>
          </c:marker>
          <c:xVal>
            <c:numLit>
              <c:formatCode>General</c:formatCode>
              <c:ptCount val="2"/>
              <c:pt idx="0">
                <c:v>-6.3795129803289274</c:v>
              </c:pt>
              <c:pt idx="1">
                <c:v>-6.6774025441931197</c:v>
              </c:pt>
            </c:numLit>
          </c:xVal>
          <c:yVal>
            <c:numLit>
              <c:formatCode>General</c:formatCode>
              <c:ptCount val="2"/>
              <c:pt idx="0">
                <c:v>1.9703897767998347E-2</c:v>
              </c:pt>
              <c:pt idx="1">
                <c:v>1.967762414874117E-2</c:v>
              </c:pt>
            </c:numLit>
          </c:yVal>
          <c:smooth val="0"/>
          <c:extLst>
            <c:ext xmlns:c16="http://schemas.microsoft.com/office/drawing/2014/chart" uri="{C3380CC4-5D6E-409C-BE32-E72D297353CC}">
              <c16:uniqueId val="{000000A3-6BE9-4072-907B-A4622C19C5E5}"/>
            </c:ext>
          </c:extLst>
        </c:ser>
        <c:ser>
          <c:idx val="134"/>
          <c:order val="134"/>
          <c:spPr>
            <a:ln w="3175">
              <a:solidFill>
                <a:srgbClr val="000000"/>
              </a:solidFill>
              <a:prstDash val="solid"/>
            </a:ln>
          </c:spPr>
          <c:marker>
            <c:symbol val="none"/>
          </c:marker>
          <c:xVal>
            <c:numLit>
              <c:formatCode>General</c:formatCode>
              <c:ptCount val="2"/>
              <c:pt idx="0">
                <c:v>-6.3599248979775851</c:v>
              </c:pt>
              <c:pt idx="1">
                <c:v>-6.6573947172199626</c:v>
              </c:pt>
            </c:numLit>
          </c:xVal>
          <c:yVal>
            <c:numLit>
              <c:formatCode>General</c:formatCode>
              <c:ptCount val="2"/>
              <c:pt idx="0">
                <c:v>1.9587964977189561E-2</c:v>
              </c:pt>
              <c:pt idx="1">
                <c:v>1.9559207083843622E-2</c:v>
              </c:pt>
            </c:numLit>
          </c:yVal>
          <c:smooth val="0"/>
          <c:extLst>
            <c:ext xmlns:c16="http://schemas.microsoft.com/office/drawing/2014/chart" uri="{C3380CC4-5D6E-409C-BE32-E72D297353CC}">
              <c16:uniqueId val="{000000A4-6BE9-4072-907B-A4622C19C5E5}"/>
            </c:ext>
          </c:extLst>
        </c:ser>
        <c:ser>
          <c:idx val="135"/>
          <c:order val="135"/>
          <c:spPr>
            <a:ln w="3175">
              <a:solidFill>
                <a:srgbClr val="000000"/>
              </a:solidFill>
              <a:prstDash val="solid"/>
            </a:ln>
          </c:spPr>
          <c:marker>
            <c:symbol val="none"/>
          </c:marker>
          <c:xVal>
            <c:numLit>
              <c:formatCode>General</c:formatCode>
              <c:ptCount val="2"/>
              <c:pt idx="0">
                <c:v>-6.3338909498930658</c:v>
              </c:pt>
              <c:pt idx="1">
                <c:v>-6.9277148477456256</c:v>
              </c:pt>
            </c:numLit>
          </c:xVal>
          <c:yVal>
            <c:numLit>
              <c:formatCode>General</c:formatCode>
              <c:ptCount val="2"/>
              <c:pt idx="0">
                <c:v>1.9448070774442654E-2</c:v>
              </c:pt>
              <c:pt idx="1">
                <c:v>1.9384559521918768E-2</c:v>
              </c:pt>
            </c:numLit>
          </c:yVal>
          <c:smooth val="0"/>
          <c:extLst>
            <c:ext xmlns:c16="http://schemas.microsoft.com/office/drawing/2014/chart" uri="{C3380CC4-5D6E-409C-BE32-E72D297353CC}">
              <c16:uniqueId val="{000000A5-6BE9-4072-907B-A4622C19C5E5}"/>
            </c:ext>
          </c:extLst>
        </c:ser>
        <c:ser>
          <c:idx val="136"/>
          <c:order val="136"/>
          <c:spPr>
            <a:ln w="3175">
              <a:solidFill>
                <a:srgbClr val="000000"/>
              </a:solidFill>
              <a:prstDash val="solid"/>
            </a:ln>
          </c:spPr>
          <c:marker>
            <c:symbol val="none"/>
          </c:marker>
          <c:xVal>
            <c:numLit>
              <c:formatCode>General</c:formatCode>
              <c:ptCount val="2"/>
              <c:pt idx="0">
                <c:v>-6.2982611859413211</c:v>
              </c:pt>
              <c:pt idx="1">
                <c:v>-6.5944096399257788</c:v>
              </c:pt>
            </c:numLit>
          </c:xVal>
          <c:yVal>
            <c:numLit>
              <c:formatCode>General</c:formatCode>
              <c:ptCount val="2"/>
              <c:pt idx="0">
                <c:v>1.9276040595639192E-2</c:v>
              </c:pt>
              <c:pt idx="1">
                <c:v>1.9240598608402888E-2</c:v>
              </c:pt>
            </c:numLit>
          </c:yVal>
          <c:smooth val="0"/>
          <c:extLst>
            <c:ext xmlns:c16="http://schemas.microsoft.com/office/drawing/2014/chart" uri="{C3380CC4-5D6E-409C-BE32-E72D297353CC}">
              <c16:uniqueId val="{000000A6-6BE9-4072-907B-A4622C19C5E5}"/>
            </c:ext>
          </c:extLst>
        </c:ser>
        <c:ser>
          <c:idx val="137"/>
          <c:order val="137"/>
          <c:spPr>
            <a:ln w="3175">
              <a:solidFill>
                <a:srgbClr val="000000"/>
              </a:solidFill>
              <a:prstDash val="solid"/>
            </a:ln>
          </c:spPr>
          <c:marker>
            <c:symbol val="none"/>
          </c:marker>
          <c:xVal>
            <c:numLit>
              <c:formatCode>General</c:formatCode>
              <c:ptCount val="2"/>
              <c:pt idx="0">
                <c:v>-6.2477177107241779</c:v>
              </c:pt>
              <c:pt idx="1">
                <c:v>-6.8378484697552135</c:v>
              </c:pt>
            </c:numLit>
          </c:xVal>
          <c:yVal>
            <c:numLit>
              <c:formatCode>General</c:formatCode>
              <c:ptCount val="2"/>
              <c:pt idx="0">
                <c:v>1.9059579257765528E-2</c:v>
              </c:pt>
              <c:pt idx="1">
                <c:v>1.8979418368812621E-2</c:v>
              </c:pt>
            </c:numLit>
          </c:yVal>
          <c:smooth val="0"/>
          <c:extLst>
            <c:ext xmlns:c16="http://schemas.microsoft.com/office/drawing/2014/chart" uri="{C3380CC4-5D6E-409C-BE32-E72D297353CC}">
              <c16:uniqueId val="{000000A7-6BE9-4072-907B-A4622C19C5E5}"/>
            </c:ext>
          </c:extLst>
        </c:ser>
        <c:ser>
          <c:idx val="138"/>
          <c:order val="138"/>
          <c:spPr>
            <a:ln w="3175">
              <a:solidFill>
                <a:srgbClr val="000000"/>
              </a:solidFill>
              <a:prstDash val="solid"/>
            </a:ln>
          </c:spPr>
          <c:marker>
            <c:symbol val="none"/>
          </c:marker>
          <c:dLbls>
            <c:dLbl>
              <c:idx val="0"/>
              <c:tx>
                <c:rich>
                  <a:bodyPr rot="-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8-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-7.9197548613121134</c:v>
              </c:pt>
            </c:numLit>
          </c:xVal>
          <c:yVal>
            <c:numLit>
              <c:formatCode>General</c:formatCode>
              <c:ptCount val="1"/>
              <c:pt idx="0">
                <c:v>1.8832456739065626E-2</c:v>
              </c:pt>
            </c:numLit>
          </c:yVal>
          <c:smooth val="0"/>
          <c:extLst>
            <c:ext xmlns:c16="http://schemas.microsoft.com/office/drawing/2014/chart" uri="{C3380CC4-5D6E-409C-BE32-E72D297353CC}">
              <c16:uniqueId val="{000000A9-6BE9-4072-907B-A4622C19C5E5}"/>
            </c:ext>
          </c:extLst>
        </c:ser>
        <c:ser>
          <c:idx val="139"/>
          <c:order val="139"/>
          <c:spPr>
            <a:ln w="3175">
              <a:solidFill>
                <a:srgbClr val="000000"/>
              </a:solidFill>
              <a:prstDash val="solid"/>
            </a:ln>
          </c:spPr>
          <c:marker>
            <c:symbol val="none"/>
          </c:marker>
          <c:xVal>
            <c:numLit>
              <c:formatCode>General</c:formatCode>
              <c:ptCount val="2"/>
              <c:pt idx="0">
                <c:v>-6.2141364364601657</c:v>
              </c:pt>
              <c:pt idx="1">
                <c:v>-6.5084822172414558</c:v>
              </c:pt>
            </c:numLit>
          </c:xVal>
          <c:yVal>
            <c:numLit>
              <c:formatCode>General</c:formatCode>
              <c:ptCount val="2"/>
              <c:pt idx="0">
                <c:v>1.8929051078036645E-2</c:v>
              </c:pt>
              <c:pt idx="1">
                <c:v>1.8886173601137431E-2</c:v>
              </c:pt>
            </c:numLit>
          </c:yVal>
          <c:smooth val="0"/>
          <c:extLst>
            <c:ext xmlns:c16="http://schemas.microsoft.com/office/drawing/2014/chart" uri="{C3380CC4-5D6E-409C-BE32-E72D297353CC}">
              <c16:uniqueId val="{000000AA-6BE9-4072-907B-A4622C19C5E5}"/>
            </c:ext>
          </c:extLst>
        </c:ser>
        <c:ser>
          <c:idx val="140"/>
          <c:order val="140"/>
          <c:spPr>
            <a:ln w="3175">
              <a:solidFill>
                <a:srgbClr val="000000"/>
              </a:solidFill>
              <a:prstDash val="solid"/>
            </a:ln>
          </c:spPr>
          <c:marker>
            <c:symbol val="none"/>
          </c:marker>
          <c:xVal>
            <c:numLit>
              <c:formatCode>General</c:formatCode>
              <c:ptCount val="2"/>
              <c:pt idx="0">
                <c:v>-6.1727292094729158</c:v>
              </c:pt>
              <c:pt idx="1">
                <c:v>-6.7596461755931836</c:v>
              </c:pt>
            </c:numLit>
          </c:xVal>
          <c:yVal>
            <c:numLit>
              <c:formatCode>General</c:formatCode>
              <c:ptCount val="2"/>
              <c:pt idx="0">
                <c:v>1.8779375962421206E-2</c:v>
              </c:pt>
              <c:pt idx="1">
                <c:v>1.8687206360810688E-2</c:v>
              </c:pt>
            </c:numLit>
          </c:yVal>
          <c:smooth val="0"/>
          <c:extLst>
            <c:ext xmlns:c16="http://schemas.microsoft.com/office/drawing/2014/chart" uri="{C3380CC4-5D6E-409C-BE32-E72D297353CC}">
              <c16:uniqueId val="{000000AB-6BE9-4072-907B-A4622C19C5E5}"/>
            </c:ext>
          </c:extLst>
        </c:ser>
        <c:ser>
          <c:idx val="141"/>
          <c:order val="141"/>
          <c:spPr>
            <a:ln w="3175">
              <a:solidFill>
                <a:srgbClr val="000000"/>
              </a:solidFill>
              <a:prstDash val="solid"/>
            </a:ln>
          </c:spPr>
          <c:marker>
            <c:symbol val="none"/>
          </c:marker>
          <c:xVal>
            <c:numLit>
              <c:formatCode>General</c:formatCode>
              <c:ptCount val="2"/>
              <c:pt idx="0">
                <c:v>-6.1208981028564446</c:v>
              </c:pt>
              <c:pt idx="1">
                <c:v>-6.4132459193462266</c:v>
              </c:pt>
            </c:numLit>
          </c:xVal>
          <c:yVal>
            <c:numLit>
              <c:formatCode>General</c:formatCode>
              <c:ptCount val="2"/>
              <c:pt idx="0">
                <c:v>1.8606133509740334E-2</c:v>
              </c:pt>
              <c:pt idx="1">
                <c:v>1.8556336370663343E-2</c:v>
              </c:pt>
            </c:numLit>
          </c:yVal>
          <c:smooth val="0"/>
          <c:extLst>
            <c:ext xmlns:c16="http://schemas.microsoft.com/office/drawing/2014/chart" uri="{C3380CC4-5D6E-409C-BE32-E72D297353CC}">
              <c16:uniqueId val="{000000AC-6BE9-4072-907B-A4622C19C5E5}"/>
            </c:ext>
          </c:extLst>
        </c:ser>
        <c:ser>
          <c:idx val="142"/>
          <c:order val="142"/>
          <c:spPr>
            <a:ln w="3175">
              <a:solidFill>
                <a:srgbClr val="000000"/>
              </a:solidFill>
              <a:prstDash val="solid"/>
            </a:ln>
          </c:spPr>
          <c:marker>
            <c:symbol val="none"/>
          </c:marker>
          <c:xVal>
            <c:numLit>
              <c:formatCode>General</c:formatCode>
              <c:ptCount val="2"/>
              <c:pt idx="0">
                <c:v>-6.0548906661909623</c:v>
              </c:pt>
              <c:pt idx="1">
                <c:v>-6.6367574090277168</c:v>
              </c:pt>
            </c:numLit>
          </c:xVal>
          <c:yVal>
            <c:numLit>
              <c:formatCode>General</c:formatCode>
              <c:ptCount val="2"/>
              <c:pt idx="0">
                <c:v>1.8403482795007753E-2</c:v>
              </c:pt>
              <c:pt idx="1">
                <c:v>1.8295203486222371E-2</c:v>
              </c:pt>
            </c:numLit>
          </c:yVal>
          <c:smooth val="0"/>
          <c:extLst>
            <c:ext xmlns:c16="http://schemas.microsoft.com/office/drawing/2014/chart" uri="{C3380CC4-5D6E-409C-BE32-E72D297353CC}">
              <c16:uniqueId val="{000000AD-6BE9-4072-907B-A4622C19C5E5}"/>
            </c:ext>
          </c:extLst>
        </c:ser>
        <c:ser>
          <c:idx val="143"/>
          <c:order val="143"/>
          <c:spPr>
            <a:ln w="3175">
              <a:solidFill>
                <a:srgbClr val="000000"/>
              </a:solidFill>
              <a:prstDash val="solid"/>
            </a:ln>
          </c:spPr>
          <c:marker>
            <c:symbol val="none"/>
          </c:marker>
          <c:xVal>
            <c:numLit>
              <c:formatCode>General</c:formatCode>
              <c:ptCount val="2"/>
              <c:pt idx="0">
                <c:v>-5.969139454636716</c:v>
              </c:pt>
              <c:pt idx="1">
                <c:v>-6.2582353000932178</c:v>
              </c:pt>
            </c:numLit>
          </c:xVal>
          <c:yVal>
            <c:numLit>
              <c:formatCode>General</c:formatCode>
              <c:ptCount val="2"/>
              <c:pt idx="0">
                <c:v>1.8163573931641964E-2</c:v>
              </c:pt>
              <c:pt idx="1">
                <c:v>1.8104293373034291E-2</c:v>
              </c:pt>
            </c:numLit>
          </c:yVal>
          <c:smooth val="0"/>
          <c:extLst>
            <c:ext xmlns:c16="http://schemas.microsoft.com/office/drawing/2014/chart" uri="{C3380CC4-5D6E-409C-BE32-E72D297353CC}">
              <c16:uniqueId val="{000000AE-6BE9-4072-907B-A4622C19C5E5}"/>
            </c:ext>
          </c:extLst>
        </c:ser>
        <c:ser>
          <c:idx val="144"/>
          <c:order val="144"/>
          <c:spPr>
            <a:ln w="3175">
              <a:solidFill>
                <a:srgbClr val="000000"/>
              </a:solidFill>
              <a:prstDash val="solid"/>
            </a:ln>
          </c:spPr>
          <c:marker>
            <c:symbol val="none"/>
          </c:marker>
          <c:xVal>
            <c:numLit>
              <c:formatCode>General</c:formatCode>
              <c:ptCount val="2"/>
              <c:pt idx="0">
                <c:v>-5.8551287645325596</c:v>
              </c:pt>
              <c:pt idx="1">
                <c:v>-6.4284342830125256</c:v>
              </c:pt>
            </c:numLit>
          </c:xVal>
          <c:yVal>
            <c:numLit>
              <c:formatCode>General</c:formatCode>
              <c:ptCount val="2"/>
              <c:pt idx="0">
                <c:v>1.7875666923032288E-2</c:v>
              </c:pt>
              <c:pt idx="1">
                <c:v>1.7744766934019388E-2</c:v>
              </c:pt>
            </c:numLit>
          </c:yVal>
          <c:smooth val="0"/>
          <c:extLst>
            <c:ext xmlns:c16="http://schemas.microsoft.com/office/drawing/2014/chart" uri="{C3380CC4-5D6E-409C-BE32-E72D297353CC}">
              <c16:uniqueId val="{000000AF-6BE9-4072-907B-A4622C19C5E5}"/>
            </c:ext>
          </c:extLst>
        </c:ser>
        <c:ser>
          <c:idx val="145"/>
          <c:order val="145"/>
          <c:spPr>
            <a:ln w="3175">
              <a:solidFill>
                <a:srgbClr val="000000"/>
              </a:solidFill>
              <a:prstDash val="solid"/>
            </a:ln>
          </c:spPr>
          <c:marker>
            <c:symbol val="none"/>
          </c:marker>
          <c:dLbls>
            <c:dLbl>
              <c:idx val="0"/>
              <c:tx>
                <c:rich>
                  <a:bodyPr rot="-10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7000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0-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-7.4794944002257981</c:v>
              </c:pt>
            </c:numLit>
          </c:xVal>
          <c:yVal>
            <c:numLit>
              <c:formatCode>General</c:formatCode>
              <c:ptCount val="1"/>
              <c:pt idx="0">
                <c:v>1.7504783620829068E-2</c:v>
              </c:pt>
            </c:numLit>
          </c:yVal>
          <c:smooth val="0"/>
          <c:extLst>
            <c:ext xmlns:c16="http://schemas.microsoft.com/office/drawing/2014/chart" uri="{C3380CC4-5D6E-409C-BE32-E72D297353CC}">
              <c16:uniqueId val="{000000B1-6BE9-4072-907B-A4622C19C5E5}"/>
            </c:ext>
          </c:extLst>
        </c:ser>
        <c:ser>
          <c:idx val="146"/>
          <c:order val="146"/>
          <c:spPr>
            <a:ln w="3175">
              <a:solidFill>
                <a:srgbClr val="000000"/>
              </a:solidFill>
              <a:prstDash val="solid"/>
            </a:ln>
          </c:spPr>
          <c:marker>
            <c:symbol val="none"/>
          </c:marker>
          <c:xVal>
            <c:numLit>
              <c:formatCode>General</c:formatCode>
              <c:ptCount val="2"/>
              <c:pt idx="0">
                <c:v>-5.7988285531075912</c:v>
              </c:pt>
              <c:pt idx="1">
                <c:v>-6.0842748792456121</c:v>
              </c:pt>
            </c:numLit>
          </c:xVal>
          <c:yVal>
            <c:numLit>
              <c:formatCode>General</c:formatCode>
              <c:ptCount val="2"/>
              <c:pt idx="0">
                <c:v>1.7743895976123102E-2</c:v>
              </c:pt>
              <c:pt idx="1">
                <c:v>1.7675622318468597E-2</c:v>
              </c:pt>
            </c:numLit>
          </c:yVal>
          <c:smooth val="0"/>
          <c:extLst>
            <c:ext xmlns:c16="http://schemas.microsoft.com/office/drawing/2014/chart" uri="{C3380CC4-5D6E-409C-BE32-E72D297353CC}">
              <c16:uniqueId val="{000000B2-6BE9-4072-907B-A4622C19C5E5}"/>
            </c:ext>
          </c:extLst>
        </c:ser>
        <c:ser>
          <c:idx val="147"/>
          <c:order val="147"/>
          <c:spPr>
            <a:ln w="3175">
              <a:solidFill>
                <a:srgbClr val="000000"/>
              </a:solidFill>
              <a:prstDash val="solid"/>
            </a:ln>
          </c:spPr>
          <c:marker>
            <c:symbol val="none"/>
          </c:marker>
          <c:xVal>
            <c:numLit>
              <c:formatCode>General</c:formatCode>
              <c:ptCount val="2"/>
              <c:pt idx="0">
                <c:v>-5.7347616757504305</c:v>
              </c:pt>
              <c:pt idx="1">
                <c:v>-6.0188351402307969</c:v>
              </c:pt>
            </c:numLit>
          </c:xVal>
          <c:yVal>
            <c:numLit>
              <c:formatCode>General</c:formatCode>
              <c:ptCount val="2"/>
              <c:pt idx="0">
                <c:v>1.7600918061456586E-2</c:v>
              </c:pt>
              <c:pt idx="1">
                <c:v>1.7529580591344941E-2</c:v>
              </c:pt>
            </c:numLit>
          </c:yVal>
          <c:smooth val="0"/>
          <c:extLst>
            <c:ext xmlns:c16="http://schemas.microsoft.com/office/drawing/2014/chart" uri="{C3380CC4-5D6E-409C-BE32-E72D297353CC}">
              <c16:uniqueId val="{000000B3-6BE9-4072-907B-A4622C19C5E5}"/>
            </c:ext>
          </c:extLst>
        </c:ser>
        <c:ser>
          <c:idx val="148"/>
          <c:order val="148"/>
          <c:spPr>
            <a:ln w="3175">
              <a:solidFill>
                <a:srgbClr val="000000"/>
              </a:solidFill>
              <a:prstDash val="solid"/>
            </a:ln>
          </c:spPr>
          <c:marker>
            <c:symbol val="none"/>
          </c:marker>
          <c:xVal>
            <c:numLit>
              <c:formatCode>General</c:formatCode>
              <c:ptCount val="2"/>
              <c:pt idx="0">
                <c:v>-5.6614799564344587</c:v>
              </c:pt>
              <c:pt idx="1">
                <c:v>-5.9439830983580544</c:v>
              </c:pt>
            </c:numLit>
          </c:xVal>
          <c:yVal>
            <c:numLit>
              <c:formatCode>General</c:formatCode>
              <c:ptCount val="2"/>
              <c:pt idx="0">
                <c:v>1.7445349228540973E-2</c:v>
              </c:pt>
              <c:pt idx="1">
                <c:v>1.7370678140581138E-2</c:v>
              </c:pt>
            </c:numLit>
          </c:yVal>
          <c:smooth val="0"/>
          <c:extLst>
            <c:ext xmlns:c16="http://schemas.microsoft.com/office/drawing/2014/chart" uri="{C3380CC4-5D6E-409C-BE32-E72D297353CC}">
              <c16:uniqueId val="{000000B4-6BE9-4072-907B-A4622C19C5E5}"/>
            </c:ext>
          </c:extLst>
        </c:ser>
        <c:ser>
          <c:idx val="149"/>
          <c:order val="149"/>
          <c:spPr>
            <a:ln w="3175">
              <a:solidFill>
                <a:srgbClr val="000000"/>
              </a:solidFill>
              <a:prstDash val="solid"/>
            </a:ln>
          </c:spPr>
          <c:marker>
            <c:symbol val="none"/>
          </c:marker>
          <c:xVal>
            <c:numLit>
              <c:formatCode>General</c:formatCode>
              <c:ptCount val="2"/>
              <c:pt idx="0">
                <c:v>-5.5771951197065643</c:v>
              </c:pt>
              <c:pt idx="1">
                <c:v>-5.8578921579859919</c:v>
              </c:pt>
            </c:numLit>
          </c:xVal>
          <c:yVal>
            <c:numLit>
              <c:formatCode>General</c:formatCode>
              <c:ptCount val="2"/>
              <c:pt idx="0">
                <c:v>1.7275593374812867E-2</c:v>
              </c:pt>
              <c:pt idx="1">
                <c:v>1.7197284661415999E-2</c:v>
              </c:pt>
            </c:numLit>
          </c:yVal>
          <c:smooth val="0"/>
          <c:extLst>
            <c:ext xmlns:c16="http://schemas.microsoft.com/office/drawing/2014/chart" uri="{C3380CC4-5D6E-409C-BE32-E72D297353CC}">
              <c16:uniqueId val="{000000B5-6BE9-4072-907B-A4622C19C5E5}"/>
            </c:ext>
          </c:extLst>
        </c:ser>
        <c:ser>
          <c:idx val="150"/>
          <c:order val="150"/>
          <c:spPr>
            <a:ln w="3175">
              <a:solidFill>
                <a:srgbClr val="000000"/>
              </a:solidFill>
              <a:prstDash val="solid"/>
            </a:ln>
          </c:spPr>
          <c:marker>
            <c:symbol val="none"/>
          </c:marker>
          <c:xVal>
            <c:numLit>
              <c:formatCode>General</c:formatCode>
              <c:ptCount val="2"/>
              <c:pt idx="0">
                <c:v>-5.4796832004534721</c:v>
              </c:pt>
              <c:pt idx="1">
                <c:v>-6.0368981947586198</c:v>
              </c:pt>
            </c:numLit>
          </c:xVal>
          <c:yVal>
            <c:numLit>
              <c:formatCode>General</c:formatCode>
              <c:ptCount val="2"/>
              <c:pt idx="0">
                <c:v>1.7089808191527837E-2</c:v>
              </c:pt>
              <c:pt idx="1">
                <c:v>1.6925228542593318E-2</c:v>
              </c:pt>
            </c:numLit>
          </c:yVal>
          <c:smooth val="0"/>
          <c:extLst>
            <c:ext xmlns:c16="http://schemas.microsoft.com/office/drawing/2014/chart" uri="{C3380CC4-5D6E-409C-BE32-E72D297353CC}">
              <c16:uniqueId val="{000000B6-6BE9-4072-907B-A4622C19C5E5}"/>
            </c:ext>
          </c:extLst>
        </c:ser>
        <c:ser>
          <c:idx val="151"/>
          <c:order val="151"/>
          <c:spPr>
            <a:ln w="3175">
              <a:solidFill>
                <a:srgbClr val="000000"/>
              </a:solidFill>
              <a:prstDash val="solid"/>
            </a:ln>
          </c:spPr>
          <c:marker>
            <c:symbol val="none"/>
          </c:marker>
          <c:dLbls>
            <c:dLbl>
              <c:idx val="0"/>
              <c:tx>
                <c:rich>
                  <a:bodyPr rot="-13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6000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7-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-7.0584590176513924</c:v>
              </c:pt>
            </c:numLit>
          </c:xVal>
          <c:yVal>
            <c:numLit>
              <c:formatCode>General</c:formatCode>
              <c:ptCount val="1"/>
              <c:pt idx="0">
                <c:v>1.6623499186213361E-2</c:v>
              </c:pt>
            </c:numLit>
          </c:yVal>
          <c:smooth val="0"/>
          <c:extLst>
            <c:ext xmlns:c16="http://schemas.microsoft.com/office/drawing/2014/chart" uri="{C3380CC4-5D6E-409C-BE32-E72D297353CC}">
              <c16:uniqueId val="{000000B8-6BE9-4072-907B-A4622C19C5E5}"/>
            </c:ext>
          </c:extLst>
        </c:ser>
        <c:ser>
          <c:idx val="152"/>
          <c:order val="152"/>
          <c:spPr>
            <a:ln w="3175">
              <a:solidFill>
                <a:srgbClr val="000000"/>
              </a:solidFill>
              <a:prstDash val="solid"/>
            </a:ln>
          </c:spPr>
          <c:marker>
            <c:symbol val="none"/>
          </c:marker>
          <c:xVal>
            <c:numLit>
              <c:formatCode>General</c:formatCode>
              <c:ptCount val="2"/>
              <c:pt idx="0">
                <c:v>-5.4251226750385708</c:v>
              </c:pt>
              <c:pt idx="1">
                <c:v>-5.7025610180751114</c:v>
              </c:pt>
            </c:numLit>
          </c:xVal>
          <c:yVal>
            <c:numLit>
              <c:formatCode>General</c:formatCode>
              <c:ptCount val="2"/>
              <c:pt idx="0">
                <c:v>1.6990252446736603E-2</c:v>
              </c:pt>
              <c:pt idx="1">
                <c:v>1.6905829284880956E-2</c:v>
              </c:pt>
            </c:numLit>
          </c:yVal>
          <c:smooth val="0"/>
          <c:extLst>
            <c:ext xmlns:c16="http://schemas.microsoft.com/office/drawing/2014/chart" uri="{C3380CC4-5D6E-409C-BE32-E72D297353CC}">
              <c16:uniqueId val="{000000B9-6BE9-4072-907B-A4622C19C5E5}"/>
            </c:ext>
          </c:extLst>
        </c:ser>
        <c:ser>
          <c:idx val="153"/>
          <c:order val="153"/>
          <c:spPr>
            <a:ln w="3175">
              <a:solidFill>
                <a:srgbClr val="000000"/>
              </a:solidFill>
              <a:prstDash val="solid"/>
            </a:ln>
          </c:spPr>
          <c:marker>
            <c:symbol val="none"/>
          </c:marker>
          <c:xVal>
            <c:numLit>
              <c:formatCode>General</c:formatCode>
              <c:ptCount val="2"/>
              <c:pt idx="0">
                <c:v>-5.3661582607451805</c:v>
              </c:pt>
              <c:pt idx="1">
                <c:v>-5.6423330806182914</c:v>
              </c:pt>
            </c:numLit>
          </c:xVal>
          <c:yVal>
            <c:numLit>
              <c:formatCode>General</c:formatCode>
              <c:ptCount val="2"/>
              <c:pt idx="0">
                <c:v>1.6885867994288942E-2</c:v>
              </c:pt>
              <c:pt idx="1">
                <c:v>1.6799208022737992E-2</c:v>
              </c:pt>
            </c:numLit>
          </c:yVal>
          <c:smooth val="0"/>
          <c:extLst>
            <c:ext xmlns:c16="http://schemas.microsoft.com/office/drawing/2014/chart" uri="{C3380CC4-5D6E-409C-BE32-E72D297353CC}">
              <c16:uniqueId val="{000000BA-6BE9-4072-907B-A4622C19C5E5}"/>
            </c:ext>
          </c:extLst>
        </c:ser>
        <c:ser>
          <c:idx val="154"/>
          <c:order val="154"/>
          <c:spPr>
            <a:ln w="3175">
              <a:solidFill>
                <a:srgbClr val="000000"/>
              </a:solidFill>
              <a:prstDash val="solid"/>
            </a:ln>
          </c:spPr>
          <c:marker>
            <c:symbol val="none"/>
          </c:marker>
          <c:xVal>
            <c:numLit>
              <c:formatCode>General</c:formatCode>
              <c:ptCount val="2"/>
              <c:pt idx="0">
                <c:v>-5.3023264552641391</c:v>
              </c:pt>
              <c:pt idx="1">
                <c:v>-5.5771334507340855</c:v>
              </c:pt>
            </c:numLit>
          </c:xVal>
          <c:yVal>
            <c:numLit>
              <c:formatCode>General</c:formatCode>
              <c:ptCount val="2"/>
              <c:pt idx="0">
                <c:v>1.677633856600267E-2</c:v>
              </c:pt>
              <c:pt idx="1">
                <c:v>1.6687331535274155E-2</c:v>
              </c:pt>
            </c:numLit>
          </c:yVal>
          <c:smooth val="0"/>
          <c:extLst>
            <c:ext xmlns:c16="http://schemas.microsoft.com/office/drawing/2014/chart" uri="{C3380CC4-5D6E-409C-BE32-E72D297353CC}">
              <c16:uniqueId val="{000000BB-6BE9-4072-907B-A4622C19C5E5}"/>
            </c:ext>
          </c:extLst>
        </c:ser>
        <c:ser>
          <c:idx val="155"/>
          <c:order val="155"/>
          <c:spPr>
            <a:ln w="3175">
              <a:solidFill>
                <a:srgbClr val="000000"/>
              </a:solidFill>
              <a:prstDash val="solid"/>
            </a:ln>
          </c:spPr>
          <c:marker>
            <c:symbol val="none"/>
          </c:marker>
          <c:xVal>
            <c:numLit>
              <c:formatCode>General</c:formatCode>
              <c:ptCount val="2"/>
              <c:pt idx="0">
                <c:v>-5.2331047854998651</c:v>
              </c:pt>
              <c:pt idx="1">
                <c:v>-5.5064284594748631</c:v>
              </c:pt>
            </c:numLit>
          </c:xVal>
          <c:yVal>
            <c:numLit>
              <c:formatCode>General</c:formatCode>
              <c:ptCount val="2"/>
              <c:pt idx="0">
                <c:v>1.6661325544174033E-2</c:v>
              </c:pt>
              <c:pt idx="1">
                <c:v>1.6569853948692048E-2</c:v>
              </c:pt>
            </c:numLit>
          </c:yVal>
          <c:smooth val="0"/>
          <c:extLst>
            <c:ext xmlns:c16="http://schemas.microsoft.com/office/drawing/2014/chart" uri="{C3380CC4-5D6E-409C-BE32-E72D297353CC}">
              <c16:uniqueId val="{000000BC-6BE9-4072-907B-A4622C19C5E5}"/>
            </c:ext>
          </c:extLst>
        </c:ser>
        <c:ser>
          <c:idx val="156"/>
          <c:order val="156"/>
          <c:spPr>
            <a:ln w="3175">
              <a:solidFill>
                <a:srgbClr val="000000"/>
              </a:solidFill>
              <a:prstDash val="solid"/>
            </a:ln>
          </c:spPr>
          <c:marker>
            <c:symbol val="none"/>
          </c:marker>
          <c:xVal>
            <c:numLit>
              <c:formatCode>General</c:formatCode>
              <c:ptCount val="2"/>
              <c:pt idx="0">
                <c:v>-5.1579032706065853</c:v>
              </c:pt>
              <c:pt idx="1">
                <c:v>-5.7013276964897246</c:v>
              </c:pt>
            </c:numLit>
          </c:xVal>
          <c:yVal>
            <c:numLit>
              <c:formatCode>General</c:formatCode>
              <c:ptCount val="2"/>
              <c:pt idx="0">
                <c:v>1.6540467071496829E-2</c:v>
              </c:pt>
              <c:pt idx="1">
                <c:v>1.6352344231703834E-2</c:v>
              </c:pt>
            </c:numLit>
          </c:yVal>
          <c:smooth val="0"/>
          <c:extLst>
            <c:ext xmlns:c16="http://schemas.microsoft.com/office/drawing/2014/chart" uri="{C3380CC4-5D6E-409C-BE32-E72D297353CC}">
              <c16:uniqueId val="{000000BD-6BE9-4072-907B-A4622C19C5E5}"/>
            </c:ext>
          </c:extLst>
        </c:ser>
        <c:ser>
          <c:idx val="157"/>
          <c:order val="157"/>
          <c:spPr>
            <a:ln w="3175">
              <a:solidFill>
                <a:srgbClr val="000000"/>
              </a:solidFill>
              <a:prstDash val="solid"/>
            </a:ln>
          </c:spPr>
          <c:marker>
            <c:symbol val="none"/>
          </c:marker>
          <c:dLbls>
            <c:dLbl>
              <c:idx val="0"/>
              <c:tx>
                <c:rich>
                  <a:bodyPr rot="-15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E-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-6.6976058106088132</c:v>
              </c:pt>
            </c:numLit>
          </c:xVal>
          <c:yVal>
            <c:numLit>
              <c:formatCode>General</c:formatCode>
              <c:ptCount val="1"/>
              <c:pt idx="0">
                <c:v>1.6007452358750014E-2</c:v>
              </c:pt>
            </c:numLit>
          </c:yVal>
          <c:smooth val="0"/>
          <c:extLst>
            <c:ext xmlns:c16="http://schemas.microsoft.com/office/drawing/2014/chart" uri="{C3380CC4-5D6E-409C-BE32-E72D297353CC}">
              <c16:uniqueId val="{000000BF-6BE9-4072-907B-A4622C19C5E5}"/>
            </c:ext>
          </c:extLst>
        </c:ser>
        <c:ser>
          <c:idx val="158"/>
          <c:order val="158"/>
          <c:spPr>
            <a:ln w="3175">
              <a:solidFill>
                <a:srgbClr val="000000"/>
              </a:solidFill>
              <a:prstDash val="solid"/>
            </a:ln>
          </c:spPr>
          <c:marker>
            <c:symbol val="none"/>
          </c:marker>
          <c:xVal>
            <c:numLit>
              <c:formatCode>General</c:formatCode>
              <c:ptCount val="2"/>
              <c:pt idx="0">
                <c:v>-5.0760545707644287</c:v>
              </c:pt>
              <c:pt idx="1">
                <c:v>-5.3460128829950957</c:v>
              </c:pt>
            </c:numLit>
          </c:xVal>
          <c:yVal>
            <c:numLit>
              <c:formatCode>General</c:formatCode>
              <c:ptCount val="2"/>
              <c:pt idx="0">
                <c:v>1.6413377441842833E-2</c:v>
              </c:pt>
              <c:pt idx="1">
                <c:v>1.6316592672739466E-2</c:v>
              </c:pt>
            </c:numLit>
          </c:yVal>
          <c:smooth val="0"/>
          <c:extLst>
            <c:ext xmlns:c16="http://schemas.microsoft.com/office/drawing/2014/chart" uri="{C3380CC4-5D6E-409C-BE32-E72D297353CC}">
              <c16:uniqueId val="{000000C0-6BE9-4072-907B-A4622C19C5E5}"/>
            </c:ext>
          </c:extLst>
        </c:ser>
        <c:ser>
          <c:idx val="159"/>
          <c:order val="159"/>
          <c:spPr>
            <a:ln w="3175">
              <a:solidFill>
                <a:srgbClr val="000000"/>
              </a:solidFill>
              <a:prstDash val="solid"/>
            </a:ln>
          </c:spPr>
          <c:marker>
            <c:symbol val="none"/>
          </c:marker>
          <c:xVal>
            <c:numLit>
              <c:formatCode>General</c:formatCode>
              <c:ptCount val="2"/>
              <c:pt idx="0">
                <c:v>-4.9868026312391578</c:v>
              </c:pt>
              <c:pt idx="1">
                <c:v>-5.2548484019085686</c:v>
              </c:pt>
            </c:numLit>
          </c:xVal>
          <c:yVal>
            <c:numLit>
              <c:formatCode>General</c:formatCode>
              <c:ptCount val="2"/>
              <c:pt idx="0">
                <c:v>1.6279646915363419E-2</c:v>
              </c:pt>
              <c:pt idx="1">
                <c:v>1.6179996492121203E-2</c:v>
              </c:pt>
            </c:numLit>
          </c:yVal>
          <c:smooth val="0"/>
          <c:extLst>
            <c:ext xmlns:c16="http://schemas.microsoft.com/office/drawing/2014/chart" uri="{C3380CC4-5D6E-409C-BE32-E72D297353CC}">
              <c16:uniqueId val="{000000C1-6BE9-4072-907B-A4622C19C5E5}"/>
            </c:ext>
          </c:extLst>
        </c:ser>
        <c:ser>
          <c:idx val="160"/>
          <c:order val="160"/>
          <c:spPr>
            <a:ln w="3175">
              <a:solidFill>
                <a:srgbClr val="000000"/>
              </a:solidFill>
              <a:prstDash val="solid"/>
            </a:ln>
          </c:spPr>
          <c:marker>
            <c:symbol val="none"/>
          </c:marker>
          <c:xVal>
            <c:numLit>
              <c:formatCode>General</c:formatCode>
              <c:ptCount val="2"/>
              <c:pt idx="0">
                <c:v>-4.889289615730835</c:v>
              </c:pt>
              <c:pt idx="1">
                <c:v>-5.155245821782211</c:v>
              </c:pt>
            </c:numLit>
          </c:xVal>
          <c:yVal>
            <c:numLit>
              <c:formatCode>General</c:formatCode>
              <c:ptCount val="2"/>
              <c:pt idx="0">
                <c:v>1.6138842151410121E-2</c:v>
              </c:pt>
              <c:pt idx="1">
                <c:v>1.6036174483226053E-2</c:v>
              </c:pt>
            </c:numLit>
          </c:yVal>
          <c:smooth val="0"/>
          <c:extLst>
            <c:ext xmlns:c16="http://schemas.microsoft.com/office/drawing/2014/chart" uri="{C3380CC4-5D6E-409C-BE32-E72D297353CC}">
              <c16:uniqueId val="{000000C2-6BE9-4072-907B-A4622C19C5E5}"/>
            </c:ext>
          </c:extLst>
        </c:ser>
        <c:ser>
          <c:idx val="161"/>
          <c:order val="161"/>
          <c:spPr>
            <a:ln w="3175">
              <a:solidFill>
                <a:srgbClr val="000000"/>
              </a:solidFill>
              <a:prstDash val="solid"/>
            </a:ln>
          </c:spPr>
          <c:marker>
            <c:symbol val="none"/>
          </c:marker>
          <c:xVal>
            <c:numLit>
              <c:formatCode>General</c:formatCode>
              <c:ptCount val="2"/>
              <c:pt idx="0">
                <c:v>-4.7825409137469856</c:v>
              </c:pt>
              <c:pt idx="1">
                <c:v>-5.0462096476129927</c:v>
              </c:pt>
            </c:numLit>
          </c:xVal>
          <c:yVal>
            <c:numLit>
              <c:formatCode>General</c:formatCode>
              <c:ptCount val="2"/>
              <c:pt idx="0">
                <c:v>1.599050751826438E-2</c:v>
              </c:pt>
              <c:pt idx="1">
                <c:v>1.5884661250798619E-2</c:v>
              </c:pt>
            </c:numLit>
          </c:yVal>
          <c:smooth val="0"/>
          <c:extLst>
            <c:ext xmlns:c16="http://schemas.microsoft.com/office/drawing/2014/chart" uri="{C3380CC4-5D6E-409C-BE32-E72D297353CC}">
              <c16:uniqueId val="{000000C3-6BE9-4072-907B-A4622C19C5E5}"/>
            </c:ext>
          </c:extLst>
        </c:ser>
        <c:ser>
          <c:idx val="162"/>
          <c:order val="162"/>
          <c:spPr>
            <a:ln w="3175">
              <a:solidFill>
                <a:srgbClr val="000000"/>
              </a:solidFill>
              <a:prstDash val="solid"/>
            </a:ln>
          </c:spPr>
          <c:marker>
            <c:symbol val="none"/>
          </c:marker>
          <c:xVal>
            <c:numLit>
              <c:formatCode>General</c:formatCode>
              <c:ptCount val="2"/>
              <c:pt idx="0">
                <c:v>-4.6654480091532298</c:v>
              </c:pt>
              <c:pt idx="1">
                <c:v>-5.1877672095455107</c:v>
              </c:pt>
            </c:numLit>
          </c:xVal>
          <c:yVal>
            <c:numLit>
              <c:formatCode>General</c:formatCode>
              <c:ptCount val="2"/>
              <c:pt idx="0">
                <c:v>1.5834167623770514E-2</c:v>
              </c:pt>
              <c:pt idx="1">
                <c:v>1.5615774807646391E-2</c:v>
              </c:pt>
            </c:numLit>
          </c:yVal>
          <c:smooth val="0"/>
          <c:extLst>
            <c:ext xmlns:c16="http://schemas.microsoft.com/office/drawing/2014/chart" uri="{C3380CC4-5D6E-409C-BE32-E72D297353CC}">
              <c16:uniqueId val="{000000C4-6BE9-4072-907B-A4622C19C5E5}"/>
            </c:ext>
          </c:extLst>
        </c:ser>
        <c:ser>
          <c:idx val="163"/>
          <c:order val="163"/>
          <c:spPr>
            <a:ln w="3175">
              <a:solidFill>
                <a:srgbClr val="000000"/>
              </a:solidFill>
              <a:prstDash val="solid"/>
            </a:ln>
          </c:spPr>
          <c:marker>
            <c:symbol val="none"/>
          </c:marker>
          <c:dLbls>
            <c:dLbl>
              <c:idx val="0"/>
              <c:tx>
                <c:rich>
                  <a:bodyPr rot="-17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5-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-6.1453524102646933</c:v>
              </c:pt>
            </c:numLit>
          </c:xVal>
          <c:yVal>
            <c:numLit>
              <c:formatCode>General</c:formatCode>
              <c:ptCount val="1"/>
              <c:pt idx="0">
                <c:v>1.5215387978085504E-2</c:v>
              </c:pt>
            </c:numLit>
          </c:yVal>
          <c:smooth val="0"/>
          <c:extLst>
            <c:ext xmlns:c16="http://schemas.microsoft.com/office/drawing/2014/chart" uri="{C3380CC4-5D6E-409C-BE32-E72D297353CC}">
              <c16:uniqueId val="{000000C6-6BE9-4072-907B-A4622C19C5E5}"/>
            </c:ext>
          </c:extLst>
        </c:ser>
        <c:ser>
          <c:idx val="164"/>
          <c:order val="164"/>
          <c:spPr>
            <a:ln w="3175">
              <a:solidFill>
                <a:srgbClr val="000000"/>
              </a:solidFill>
              <a:prstDash val="solid"/>
            </a:ln>
          </c:spPr>
          <c:marker>
            <c:symbol val="none"/>
          </c:marker>
          <c:xVal>
            <c:numLit>
              <c:formatCode>General</c:formatCode>
              <c:ptCount val="2"/>
              <c:pt idx="0">
                <c:v>-4.5367490194500562</c:v>
              </c:pt>
              <c:pt idx="1">
                <c:v>-4.7951507841525576</c:v>
              </c:pt>
            </c:numLit>
          </c:xVal>
          <c:yVal>
            <c:numLit>
              <c:formatCode>General</c:formatCode>
              <c:ptCount val="2"/>
              <c:pt idx="0">
                <c:v>1.5669331520569488E-2</c:v>
              </c:pt>
              <c:pt idx="1">
                <c:v>1.5556602910295978E-2</c:v>
              </c:pt>
            </c:numLit>
          </c:yVal>
          <c:smooth val="0"/>
          <c:extLst>
            <c:ext xmlns:c16="http://schemas.microsoft.com/office/drawing/2014/chart" uri="{C3380CC4-5D6E-409C-BE32-E72D297353CC}">
              <c16:uniqueId val="{000000C7-6BE9-4072-907B-A4622C19C5E5}"/>
            </c:ext>
          </c:extLst>
        </c:ser>
        <c:ser>
          <c:idx val="165"/>
          <c:order val="165"/>
          <c:spPr>
            <a:ln w="3175">
              <a:solidFill>
                <a:srgbClr val="000000"/>
              </a:solidFill>
              <a:prstDash val="solid"/>
            </a:ln>
          </c:spPr>
          <c:marker>
            <c:symbol val="none"/>
          </c:marker>
          <c:xVal>
            <c:numLit>
              <c:formatCode>General</c:formatCode>
              <c:ptCount val="2"/>
              <c:pt idx="0">
                <c:v>-4.3950067701211761</c:v>
              </c:pt>
              <c:pt idx="1">
                <c:v>-4.650371200909488</c:v>
              </c:pt>
            </c:numLit>
          </c:xVal>
          <c:yVal>
            <c:numLit>
              <c:formatCode>General</c:formatCode>
              <c:ptCount val="2"/>
              <c:pt idx="0">
                <c:v>1.5495499179174118E-2</c:v>
              </c:pt>
              <c:pt idx="1">
                <c:v>1.5379045590156421E-2</c:v>
              </c:pt>
            </c:numLit>
          </c:yVal>
          <c:smooth val="0"/>
          <c:extLst>
            <c:ext xmlns:c16="http://schemas.microsoft.com/office/drawing/2014/chart" uri="{C3380CC4-5D6E-409C-BE32-E72D297353CC}">
              <c16:uniqueId val="{000000C8-6BE9-4072-907B-A4622C19C5E5}"/>
            </c:ext>
          </c:extLst>
        </c:ser>
        <c:ser>
          <c:idx val="166"/>
          <c:order val="166"/>
          <c:spPr>
            <a:ln w="3175">
              <a:solidFill>
                <a:srgbClr val="000000"/>
              </a:solidFill>
              <a:prstDash val="solid"/>
            </a:ln>
          </c:spPr>
          <c:marker>
            <c:symbol val="none"/>
          </c:marker>
          <c:xVal>
            <c:numLit>
              <c:formatCode>General</c:formatCode>
              <c:ptCount val="2"/>
              <c:pt idx="0">
                <c:v>-4.2385843738412259</c:v>
              </c:pt>
              <c:pt idx="1">
                <c:v>-4.4905968961378235</c:v>
              </c:pt>
            </c:numLit>
          </c:xVal>
          <c:yVal>
            <c:numLit>
              <c:formatCode>General</c:formatCode>
              <c:ptCount val="2"/>
              <c:pt idx="0">
                <c:v>1.5312170997110987E-2</c:v>
              </c:pt>
              <c:pt idx="1">
                <c:v>1.5191788947049081E-2</c:v>
              </c:pt>
            </c:numLit>
          </c:yVal>
          <c:smooth val="0"/>
          <c:extLst>
            <c:ext xmlns:c16="http://schemas.microsoft.com/office/drawing/2014/chart" uri="{C3380CC4-5D6E-409C-BE32-E72D297353CC}">
              <c16:uniqueId val="{000000C9-6BE9-4072-907B-A4622C19C5E5}"/>
            </c:ext>
          </c:extLst>
        </c:ser>
        <c:ser>
          <c:idx val="167"/>
          <c:order val="167"/>
          <c:spPr>
            <a:ln w="3175">
              <a:solidFill>
                <a:srgbClr val="000000"/>
              </a:solidFill>
              <a:prstDash val="solid"/>
            </a:ln>
          </c:spPr>
          <c:marker>
            <c:symbol val="none"/>
          </c:marker>
          <c:xVal>
            <c:numLit>
              <c:formatCode>General</c:formatCode>
              <c:ptCount val="2"/>
              <c:pt idx="0">
                <c:v>-4.0656184666577015</c:v>
              </c:pt>
              <c:pt idx="1">
                <c:v>-4.3139245766575094</c:v>
              </c:pt>
            </c:numLit>
          </c:xVal>
          <c:yVal>
            <c:numLit>
              <c:formatCode>General</c:formatCode>
              <c:ptCount val="2"/>
              <c:pt idx="0">
                <c:v>1.5118861327289309E-2</c:v>
              </c:pt>
              <c:pt idx="1">
                <c:v>1.4994336927159794E-2</c:v>
              </c:pt>
            </c:numLit>
          </c:yVal>
          <c:smooth val="0"/>
          <c:extLst>
            <c:ext xmlns:c16="http://schemas.microsoft.com/office/drawing/2014/chart" uri="{C3380CC4-5D6E-409C-BE32-E72D297353CC}">
              <c16:uniqueId val="{000000CA-6BE9-4072-907B-A4622C19C5E5}"/>
            </c:ext>
          </c:extLst>
        </c:ser>
        <c:ser>
          <c:idx val="168"/>
          <c:order val="168"/>
          <c:spPr>
            <a:ln w="3175">
              <a:solidFill>
                <a:srgbClr val="000000"/>
              </a:solidFill>
              <a:prstDash val="solid"/>
            </a:ln>
          </c:spPr>
          <c:marker>
            <c:symbol val="none"/>
          </c:marker>
          <c:xVal>
            <c:numLit>
              <c:formatCode>General</c:formatCode>
              <c:ptCount val="2"/>
              <c:pt idx="0">
                <c:v>-3.8739905493226741</c:v>
              </c:pt>
              <c:pt idx="1">
                <c:v>-4.3623901442936459</c:v>
              </c:pt>
            </c:numLit>
          </c:xVal>
          <c:yVal>
            <c:numLit>
              <c:formatCode>General</c:formatCode>
              <c:ptCount val="2"/>
              <c:pt idx="0">
                <c:v>1.4915117265152884E-2</c:v>
              </c:pt>
              <c:pt idx="1">
                <c:v>1.4657336576516579E-2</c:v>
              </c:pt>
            </c:numLit>
          </c:yVal>
          <c:smooth val="0"/>
          <c:extLst>
            <c:ext xmlns:c16="http://schemas.microsoft.com/office/drawing/2014/chart" uri="{C3380CC4-5D6E-409C-BE32-E72D297353CC}">
              <c16:uniqueId val="{000000CB-6BE9-4072-907B-A4622C19C5E5}"/>
            </c:ext>
          </c:extLst>
        </c:ser>
        <c:ser>
          <c:idx val="169"/>
          <c:order val="169"/>
          <c:spPr>
            <a:ln w="3175">
              <a:solidFill>
                <a:srgbClr val="000000"/>
              </a:solidFill>
              <a:prstDash val="solid"/>
            </a:ln>
          </c:spPr>
          <c:marker>
            <c:symbol val="none"/>
          </c:marker>
          <c:dLbls>
            <c:dLbl>
              <c:idx val="0"/>
              <c:tx>
                <c:rich>
                  <a:bodyPr rot="-21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C-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-5.2577894017404265</c:v>
              </c:pt>
            </c:numLit>
          </c:xVal>
          <c:yVal>
            <c:numLit>
              <c:formatCode>General</c:formatCode>
              <c:ptCount val="1"/>
              <c:pt idx="0">
                <c:v>1.418473864735002E-2</c:v>
              </c:pt>
            </c:numLit>
          </c:yVal>
          <c:smooth val="0"/>
          <c:extLst>
            <c:ext xmlns:c16="http://schemas.microsoft.com/office/drawing/2014/chart" uri="{C3380CC4-5D6E-409C-BE32-E72D297353CC}">
              <c16:uniqueId val="{000000CD-6BE9-4072-907B-A4622C19C5E5}"/>
            </c:ext>
          </c:extLst>
        </c:ser>
        <c:ser>
          <c:idx val="170"/>
          <c:order val="170"/>
          <c:spPr>
            <a:ln w="3175">
              <a:solidFill>
                <a:srgbClr val="000000"/>
              </a:solidFill>
              <a:prstDash val="solid"/>
            </a:ln>
          </c:spPr>
          <c:marker>
            <c:symbol val="none"/>
          </c:marker>
          <c:xVal>
            <c:numLit>
              <c:formatCode>General</c:formatCode>
              <c:ptCount val="2"/>
              <c:pt idx="0">
                <c:v>-3.7704392439481627</c:v>
              </c:pt>
              <c:pt idx="1">
                <c:v>-4.0124200848899099</c:v>
              </c:pt>
            </c:numLit>
          </c:xVal>
          <c:yVal>
            <c:numLit>
              <c:formatCode>General</c:formatCode>
              <c:ptCount val="2"/>
              <c:pt idx="0">
                <c:v>1.4809205883937578E-2</c:v>
              </c:pt>
              <c:pt idx="1">
                <c:v>1.4678046010021956E-2</c:v>
              </c:pt>
            </c:numLit>
          </c:yVal>
          <c:smooth val="0"/>
          <c:extLst>
            <c:ext xmlns:c16="http://schemas.microsoft.com/office/drawing/2014/chart" uri="{C3380CC4-5D6E-409C-BE32-E72D297353CC}">
              <c16:uniqueId val="{000000CE-6BE9-4072-907B-A4622C19C5E5}"/>
            </c:ext>
          </c:extLst>
        </c:ser>
        <c:ser>
          <c:idx val="171"/>
          <c:order val="171"/>
          <c:spPr>
            <a:ln w="3175">
              <a:solidFill>
                <a:srgbClr val="000000"/>
              </a:solidFill>
              <a:prstDash val="solid"/>
            </a:ln>
          </c:spPr>
          <c:marker>
            <c:symbol val="none"/>
          </c:marker>
          <c:xVal>
            <c:numLit>
              <c:formatCode>General</c:formatCode>
              <c:ptCount val="2"/>
              <c:pt idx="0">
                <c:v>-3.6612973419810073</c:v>
              </c:pt>
              <c:pt idx="1">
                <c:v>-4.1405815137801936</c:v>
              </c:pt>
            </c:numLit>
          </c:xVal>
          <c:yVal>
            <c:numLit>
              <c:formatCode>General</c:formatCode>
              <c:ptCount val="2"/>
              <c:pt idx="0">
                <c:v>1.4700544227002829E-2</c:v>
              </c:pt>
              <c:pt idx="1">
                <c:v>1.4433567551017237E-2</c:v>
              </c:pt>
            </c:numLit>
          </c:yVal>
          <c:smooth val="0"/>
          <c:extLst>
            <c:ext xmlns:c16="http://schemas.microsoft.com/office/drawing/2014/chart" uri="{C3380CC4-5D6E-409C-BE32-E72D297353CC}">
              <c16:uniqueId val="{000000CF-6BE9-4072-907B-A4622C19C5E5}"/>
            </c:ext>
          </c:extLst>
        </c:ser>
        <c:ser>
          <c:idx val="172"/>
          <c:order val="172"/>
          <c:spPr>
            <a:ln w="3175">
              <a:solidFill>
                <a:srgbClr val="000000"/>
              </a:solidFill>
              <a:prstDash val="solid"/>
            </a:ln>
          </c:spPr>
          <c:marker>
            <c:symbol val="none"/>
          </c:marker>
          <c:xVal>
            <c:numLit>
              <c:formatCode>General</c:formatCode>
              <c:ptCount val="2"/>
              <c:pt idx="0">
                <c:v>-3.5462151642748525</c:v>
              </c:pt>
              <c:pt idx="1">
                <c:v>-3.7833912035093142</c:v>
              </c:pt>
            </c:numLit>
          </c:xVal>
          <c:yVal>
            <c:numLit>
              <c:formatCode>General</c:formatCode>
              <c:ptCount val="2"/>
              <c:pt idx="0">
                <c:v>1.4589097690626144E-2</c:v>
              </c:pt>
              <c:pt idx="1">
                <c:v>1.4453221212568132E-2</c:v>
              </c:pt>
            </c:numLit>
          </c:yVal>
          <c:smooth val="0"/>
          <c:extLst>
            <c:ext xmlns:c16="http://schemas.microsoft.com/office/drawing/2014/chart" uri="{C3380CC4-5D6E-409C-BE32-E72D297353CC}">
              <c16:uniqueId val="{000000D0-6BE9-4072-907B-A4622C19C5E5}"/>
            </c:ext>
          </c:extLst>
        </c:ser>
        <c:ser>
          <c:idx val="173"/>
          <c:order val="173"/>
          <c:spPr>
            <a:ln w="3175">
              <a:solidFill>
                <a:srgbClr val="000000"/>
              </a:solidFill>
              <a:prstDash val="solid"/>
            </a:ln>
          </c:spPr>
          <c:marker>
            <c:symbol val="none"/>
          </c:marker>
          <c:xVal>
            <c:numLit>
              <c:formatCode>General</c:formatCode>
              <c:ptCount val="2"/>
              <c:pt idx="0">
                <c:v>-3.4248217502543765</c:v>
              </c:pt>
              <c:pt idx="1">
                <c:v>-3.8939712538367064</c:v>
              </c:pt>
            </c:numLit>
          </c:xVal>
          <c:yVal>
            <c:numLit>
              <c:formatCode>General</c:formatCode>
              <c:ptCount val="2"/>
              <c:pt idx="0">
                <c:v>1.4474840163683531E-2</c:v>
              </c:pt>
              <c:pt idx="1">
                <c:v>1.4198190456412825E-2</c:v>
              </c:pt>
            </c:numLit>
          </c:yVal>
          <c:smooth val="0"/>
          <c:extLst>
            <c:ext xmlns:c16="http://schemas.microsoft.com/office/drawing/2014/chart" uri="{C3380CC4-5D6E-409C-BE32-E72D297353CC}">
              <c16:uniqueId val="{000000D1-6BE9-4072-907B-A4622C19C5E5}"/>
            </c:ext>
          </c:extLst>
        </c:ser>
        <c:ser>
          <c:idx val="174"/>
          <c:order val="174"/>
          <c:spPr>
            <a:ln w="3175">
              <a:solidFill>
                <a:srgbClr val="000000"/>
              </a:solidFill>
              <a:prstDash val="solid"/>
            </a:ln>
          </c:spPr>
          <c:marker>
            <c:symbol val="none"/>
          </c:marker>
          <c:xVal>
            <c:numLit>
              <c:formatCode>General</c:formatCode>
              <c:ptCount val="2"/>
              <c:pt idx="0">
                <c:v>-3.2967241795418643</c:v>
              </c:pt>
              <c:pt idx="1">
                <c:v>-3.5285539833891901</c:v>
              </c:pt>
            </c:numLit>
          </c:xVal>
          <c:yVal>
            <c:numLit>
              <c:formatCode>General</c:formatCode>
              <c:ptCount val="2"/>
              <c:pt idx="0">
                <c:v>1.4357755721848364E-2</c:v>
              </c:pt>
              <c:pt idx="1">
                <c:v>1.421692191588797E-2</c:v>
              </c:pt>
            </c:numLit>
          </c:yVal>
          <c:smooth val="0"/>
          <c:extLst>
            <c:ext xmlns:c16="http://schemas.microsoft.com/office/drawing/2014/chart" uri="{C3380CC4-5D6E-409C-BE32-E72D297353CC}">
              <c16:uniqueId val="{000000D2-6BE9-4072-907B-A4622C19C5E5}"/>
            </c:ext>
          </c:extLst>
        </c:ser>
        <c:ser>
          <c:idx val="175"/>
          <c:order val="175"/>
          <c:spPr>
            <a:ln w="3175">
              <a:solidFill>
                <a:srgbClr val="000000"/>
              </a:solidFill>
              <a:prstDash val="solid"/>
            </a:ln>
          </c:spPr>
          <c:marker>
            <c:symbol val="none"/>
          </c:marker>
          <c:xVal>
            <c:numLit>
              <c:formatCode>General</c:formatCode>
              <c:ptCount val="2"/>
              <c:pt idx="0">
                <c:v>-3.1615070418306956</c:v>
              </c:pt>
              <c:pt idx="1">
                <c:v>-3.6193716293377252</c:v>
              </c:pt>
            </c:numLit>
          </c:xVal>
          <c:yVal>
            <c:numLit>
              <c:formatCode>General</c:formatCode>
              <c:ptCount val="2"/>
              <c:pt idx="0">
                <c:v>1.4237840545403689E-2</c:v>
              </c:pt>
              <c:pt idx="1">
                <c:v>1.3951033711635275E-2</c:v>
              </c:pt>
            </c:numLit>
          </c:yVal>
          <c:smooth val="0"/>
          <c:extLst>
            <c:ext xmlns:c16="http://schemas.microsoft.com/office/drawing/2014/chart" uri="{C3380CC4-5D6E-409C-BE32-E72D297353CC}">
              <c16:uniqueId val="{000000D3-6BE9-4072-907B-A4622C19C5E5}"/>
            </c:ext>
          </c:extLst>
        </c:ser>
        <c:ser>
          <c:idx val="176"/>
          <c:order val="176"/>
          <c:spPr>
            <a:ln w="3175">
              <a:solidFill>
                <a:srgbClr val="000000"/>
              </a:solidFill>
              <a:prstDash val="solid"/>
            </a:ln>
          </c:spPr>
          <c:marker>
            <c:symbol val="none"/>
          </c:marker>
          <c:dLbls>
            <c:dLbl>
              <c:idx val="0"/>
              <c:tx>
                <c:rich>
                  <a:bodyPr rot="-2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D4-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-4.4587900397672797</c:v>
              </c:pt>
            </c:numLit>
          </c:xVal>
          <c:yVal>
            <c:numLit>
              <c:formatCode>General</c:formatCode>
              <c:ptCount val="1"/>
              <c:pt idx="0">
                <c:v>1.3425221183059851E-2</c:v>
              </c:pt>
            </c:numLit>
          </c:yVal>
          <c:smooth val="0"/>
          <c:extLst>
            <c:ext xmlns:c16="http://schemas.microsoft.com/office/drawing/2014/chart" uri="{C3380CC4-5D6E-409C-BE32-E72D297353CC}">
              <c16:uniqueId val="{000000D5-6BE9-4072-907B-A4622C19C5E5}"/>
            </c:ext>
          </c:extLst>
        </c:ser>
        <c:ser>
          <c:idx val="177"/>
          <c:order val="177"/>
          <c:spPr>
            <a:ln w="3175">
              <a:solidFill>
                <a:srgbClr val="000000"/>
              </a:solidFill>
              <a:prstDash val="solid"/>
            </a:ln>
          </c:spPr>
          <c:marker>
            <c:symbol val="none"/>
          </c:marker>
          <c:xVal>
            <c:numLit>
              <c:formatCode>General</c:formatCode>
              <c:ptCount val="2"/>
              <c:pt idx="0">
                <c:v>-3.0187321044678757</c:v>
              </c:pt>
              <c:pt idx="1">
                <c:v>-3.2446049352779021</c:v>
              </c:pt>
            </c:numLit>
          </c:xVal>
          <c:yVal>
            <c:numLit>
              <c:formatCode>General</c:formatCode>
              <c:ptCount val="2"/>
              <c:pt idx="0">
                <c:v>1.4115105078987998E-2</c:v>
              </c:pt>
              <c:pt idx="1">
                <c:v>1.3969071616394883E-2</c:v>
              </c:pt>
            </c:numLit>
          </c:yVal>
          <c:smooth val="0"/>
          <c:extLst>
            <c:ext xmlns:c16="http://schemas.microsoft.com/office/drawing/2014/chart" uri="{C3380CC4-5D6E-409C-BE32-E72D297353CC}">
              <c16:uniqueId val="{000000D6-6BE9-4072-907B-A4622C19C5E5}"/>
            </c:ext>
          </c:extLst>
        </c:ser>
        <c:ser>
          <c:idx val="178"/>
          <c:order val="178"/>
          <c:spPr>
            <a:ln w="3175">
              <a:solidFill>
                <a:srgbClr val="000000"/>
              </a:solidFill>
              <a:prstDash val="solid"/>
            </a:ln>
          </c:spPr>
          <c:marker>
            <c:symbol val="none"/>
          </c:marker>
          <c:xVal>
            <c:numLit>
              <c:formatCode>General</c:formatCode>
              <c:ptCount val="2"/>
              <c:pt idx="0">
                <c:v>-2.8679382367257746</c:v>
              </c:pt>
              <c:pt idx="1">
                <c:v>-3.3132213040140215</c:v>
              </c:pt>
            </c:numLit>
          </c:xVal>
          <c:yVal>
            <c:numLit>
              <c:formatCode>General</c:formatCode>
              <c:ptCount val="2"/>
              <c:pt idx="0">
                <c:v>1.3989576450102176E-2</c:v>
              </c:pt>
              <c:pt idx="1">
                <c:v>1.3692129726535128E-2</c:v>
              </c:pt>
            </c:numLit>
          </c:yVal>
          <c:smooth val="0"/>
          <c:extLst>
            <c:ext xmlns:c16="http://schemas.microsoft.com/office/drawing/2014/chart" uri="{C3380CC4-5D6E-409C-BE32-E72D297353CC}">
              <c16:uniqueId val="{000000D7-6BE9-4072-907B-A4622C19C5E5}"/>
            </c:ext>
          </c:extLst>
        </c:ser>
        <c:ser>
          <c:idx val="179"/>
          <c:order val="179"/>
          <c:spPr>
            <a:ln w="3175">
              <a:solidFill>
                <a:srgbClr val="000000"/>
              </a:solidFill>
              <a:prstDash val="solid"/>
            </a:ln>
          </c:spPr>
          <c:marker>
            <c:symbol val="none"/>
          </c:marker>
          <c:xVal>
            <c:numLit>
              <c:formatCode>General</c:formatCode>
              <c:ptCount val="2"/>
              <c:pt idx="0">
                <c:v>-2.7086416603368892</c:v>
              </c:pt>
              <c:pt idx="1">
                <c:v>-2.9278696959155375</c:v>
              </c:pt>
            </c:numLit>
          </c:xVal>
          <c:yVal>
            <c:numLit>
              <c:formatCode>General</c:formatCode>
              <c:ptCount val="2"/>
              <c:pt idx="0">
                <c:v>1.3861301160508996E-2</c:v>
              </c:pt>
              <c:pt idx="1">
                <c:v>1.3709829042519902E-2</c:v>
              </c:pt>
            </c:numLit>
          </c:yVal>
          <c:smooth val="0"/>
          <c:extLst>
            <c:ext xmlns:c16="http://schemas.microsoft.com/office/drawing/2014/chart" uri="{C3380CC4-5D6E-409C-BE32-E72D297353CC}">
              <c16:uniqueId val="{000000D8-6BE9-4072-907B-A4622C19C5E5}"/>
            </c:ext>
          </c:extLst>
        </c:ser>
        <c:ser>
          <c:idx val="180"/>
          <c:order val="180"/>
          <c:spPr>
            <a:ln w="3175">
              <a:solidFill>
                <a:srgbClr val="000000"/>
              </a:solidFill>
              <a:prstDash val="solid"/>
            </a:ln>
          </c:spPr>
          <c:marker>
            <c:symbol val="none"/>
          </c:marker>
          <c:xVal>
            <c:numLit>
              <c:formatCode>General</c:formatCode>
              <c:ptCount val="2"/>
              <c:pt idx="0">
                <c:v>-2.5403366074235816</c:v>
              </c:pt>
              <c:pt idx="1">
                <c:v>-2.9715796048845915</c:v>
              </c:pt>
            </c:numLit>
          </c:xVal>
          <c:yVal>
            <c:numLit>
              <c:formatCode>General</c:formatCode>
              <c:ptCount val="2"/>
              <c:pt idx="0">
                <c:v>1.3730348060406742E-2</c:v>
              </c:pt>
              <c:pt idx="1">
                <c:v>1.3421791548709889E-2</c:v>
              </c:pt>
            </c:numLit>
          </c:yVal>
          <c:smooth val="0"/>
          <c:extLst>
            <c:ext xmlns:c16="http://schemas.microsoft.com/office/drawing/2014/chart" uri="{C3380CC4-5D6E-409C-BE32-E72D297353CC}">
              <c16:uniqueId val="{000000D9-6BE9-4072-907B-A4622C19C5E5}"/>
            </c:ext>
          </c:extLst>
        </c:ser>
        <c:ser>
          <c:idx val="181"/>
          <c:order val="181"/>
          <c:spPr>
            <a:ln w="3175">
              <a:solidFill>
                <a:srgbClr val="000000"/>
              </a:solidFill>
              <a:prstDash val="solid"/>
            </a:ln>
          </c:spPr>
          <c:marker>
            <c:symbol val="none"/>
          </c:marker>
          <c:dLbls>
            <c:dLbl>
              <c:idx val="0"/>
              <c:tx>
                <c:rich>
                  <a:bodyPr rot="-26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DA-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-3.7621917668964442</c:v>
              </c:pt>
            </c:numLit>
          </c:xVal>
          <c:yVal>
            <c:numLit>
              <c:formatCode>General</c:formatCode>
              <c:ptCount val="1"/>
              <c:pt idx="0">
                <c:v>1.285610461059899E-2</c:v>
              </c:pt>
            </c:numLit>
          </c:yVal>
          <c:smooth val="0"/>
          <c:extLst>
            <c:ext xmlns:c16="http://schemas.microsoft.com/office/drawing/2014/chart" uri="{C3380CC4-5D6E-409C-BE32-E72D297353CC}">
              <c16:uniqueId val="{000000DB-6BE9-4072-907B-A4622C19C5E5}"/>
            </c:ext>
          </c:extLst>
        </c:ser>
        <c:ser>
          <c:idx val="182"/>
          <c:order val="182"/>
          <c:spPr>
            <a:ln w="3175">
              <a:solidFill>
                <a:srgbClr val="000000"/>
              </a:solidFill>
              <a:prstDash val="solid"/>
            </a:ln>
          </c:spPr>
          <c:marker>
            <c:symbol val="none"/>
          </c:marker>
          <c:xVal>
            <c:numLit>
              <c:formatCode>General</c:formatCode>
              <c:ptCount val="2"/>
              <c:pt idx="0">
                <c:v>-2.3624964792520693</c:v>
              </c:pt>
              <c:pt idx="1">
                <c:v>-2.5743071180931856</c:v>
              </c:pt>
            </c:numLit>
          </c:xVal>
          <c:yVal>
            <c:numLit>
              <c:formatCode>General</c:formatCode>
              <c:ptCount val="2"/>
              <c:pt idx="0">
                <c:v>1.3596811609050458E-2</c:v>
              </c:pt>
              <c:pt idx="1">
                <c:v>1.3439671857815824E-2</c:v>
              </c:pt>
            </c:numLit>
          </c:yVal>
          <c:smooth val="0"/>
          <c:extLst>
            <c:ext xmlns:c16="http://schemas.microsoft.com/office/drawing/2014/chart" uri="{C3380CC4-5D6E-409C-BE32-E72D297353CC}">
              <c16:uniqueId val="{000000DC-6BE9-4072-907B-A4622C19C5E5}"/>
            </c:ext>
          </c:extLst>
        </c:ser>
        <c:ser>
          <c:idx val="183"/>
          <c:order val="183"/>
          <c:spPr>
            <a:ln w="3175">
              <a:solidFill>
                <a:srgbClr val="000000"/>
              </a:solidFill>
              <a:prstDash val="solid"/>
            </a:ln>
          </c:spPr>
          <c:marker>
            <c:symbol val="none"/>
          </c:marker>
          <c:xVal>
            <c:numLit>
              <c:formatCode>General</c:formatCode>
              <c:ptCount val="2"/>
              <c:pt idx="0">
                <c:v>-2.1745756118950066</c:v>
              </c:pt>
              <c:pt idx="1">
                <c:v>-2.5901431381190783</c:v>
              </c:pt>
            </c:numLit>
          </c:xVal>
          <c:yVal>
            <c:numLit>
              <c:formatCode>General</c:formatCode>
              <c:ptCount val="2"/>
              <c:pt idx="0">
                <c:v>1.3460815416871075E-2</c:v>
              </c:pt>
              <c:pt idx="1">
                <c:v>1.314070750616555E-2</c:v>
              </c:pt>
            </c:numLit>
          </c:yVal>
          <c:smooth val="0"/>
          <c:extLst>
            <c:ext xmlns:c16="http://schemas.microsoft.com/office/drawing/2014/chart" uri="{C3380CC4-5D6E-409C-BE32-E72D297353CC}">
              <c16:uniqueId val="{000000DD-6BE9-4072-907B-A4622C19C5E5}"/>
            </c:ext>
          </c:extLst>
        </c:ser>
        <c:ser>
          <c:idx val="184"/>
          <c:order val="184"/>
          <c:spPr>
            <a:ln w="3175">
              <a:solidFill>
                <a:srgbClr val="000000"/>
              </a:solidFill>
              <a:prstDash val="solid"/>
            </a:ln>
          </c:spPr>
          <c:marker>
            <c:symbol val="none"/>
          </c:marker>
          <c:xVal>
            <c:numLit>
              <c:formatCode>General</c:formatCode>
              <c:ptCount val="2"/>
              <c:pt idx="0">
                <c:v>-1.9760117673163591</c:v>
              </c:pt>
              <c:pt idx="1">
                <c:v>-2.17954059090171</c:v>
              </c:pt>
            </c:numLit>
          </c:xVal>
          <c:yVal>
            <c:numLit>
              <c:formatCode>General</c:formatCode>
              <c:ptCount val="2"/>
              <c:pt idx="0">
                <c:v>1.3322516052611264E-2</c:v>
              </c:pt>
              <c:pt idx="1">
                <c:v>1.3159498539452934E-2</c:v>
              </c:pt>
            </c:numLit>
          </c:yVal>
          <c:smooth val="0"/>
          <c:extLst>
            <c:ext xmlns:c16="http://schemas.microsoft.com/office/drawing/2014/chart" uri="{C3380CC4-5D6E-409C-BE32-E72D297353CC}">
              <c16:uniqueId val="{000000DE-6BE9-4072-907B-A4622C19C5E5}"/>
            </c:ext>
          </c:extLst>
        </c:ser>
        <c:ser>
          <c:idx val="185"/>
          <c:order val="185"/>
          <c:spPr>
            <a:ln w="3175">
              <a:solidFill>
                <a:srgbClr val="000000"/>
              </a:solidFill>
              <a:prstDash val="solid"/>
            </a:ln>
          </c:spPr>
          <c:marker>
            <c:symbol val="none"/>
          </c:marker>
          <c:xVal>
            <c:numLit>
              <c:formatCode>General</c:formatCode>
              <c:ptCount val="2"/>
              <c:pt idx="0">
                <c:v>-1.7662294797563944</c:v>
              </c:pt>
              <c:pt idx="1">
                <c:v>-2.1642964574602397</c:v>
              </c:pt>
            </c:numLit>
          </c:xVal>
          <c:yVal>
            <c:numLit>
              <c:formatCode>General</c:formatCode>
              <c:ptCount val="2"/>
              <c:pt idx="0">
                <c:v>1.318210708405064E-2</c:v>
              </c:pt>
              <c:pt idx="1">
                <c:v>1.2850054530509953E-2</c:v>
              </c:pt>
            </c:numLit>
          </c:yVal>
          <c:smooth val="0"/>
          <c:extLst>
            <c:ext xmlns:c16="http://schemas.microsoft.com/office/drawing/2014/chart" uri="{C3380CC4-5D6E-409C-BE32-E72D297353CC}">
              <c16:uniqueId val="{000000DF-6BE9-4072-907B-A4622C19C5E5}"/>
            </c:ext>
          </c:extLst>
        </c:ser>
        <c:ser>
          <c:idx val="186"/>
          <c:order val="186"/>
          <c:spPr>
            <a:ln w="3175">
              <a:solidFill>
                <a:srgbClr val="000000"/>
              </a:solidFill>
              <a:prstDash val="solid"/>
            </a:ln>
          </c:spPr>
          <c:marker>
            <c:symbol val="none"/>
          </c:marker>
          <c:dLbls>
            <c:dLbl>
              <c:idx val="0"/>
              <c:tx>
                <c:rich>
                  <a:bodyPr rot="-28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E0-6BE9-4072-907B-A4622C19C5E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-2.8940859165839559</c:v>
              </c:pt>
            </c:numLit>
          </c:xVal>
          <c:yVal>
            <c:numLit>
              <c:formatCode>General</c:formatCode>
              <c:ptCount val="1"/>
              <c:pt idx="0">
                <c:v>1.2241291515685362E-2</c:v>
              </c:pt>
            </c:numLit>
          </c:yVal>
          <c:smooth val="0"/>
          <c:extLst>
            <c:ext xmlns:c16="http://schemas.microsoft.com/office/drawing/2014/chart" uri="{C3380CC4-5D6E-409C-BE32-E72D297353CC}">
              <c16:uniqueId val="{000000E1-6BE9-4072-907B-A4622C19C5E5}"/>
            </c:ext>
          </c:extLst>
        </c:ser>
        <c:ser>
          <c:idx val="187"/>
          <c:order val="187"/>
          <c:spPr>
            <a:ln w="3175">
              <a:solidFill>
                <a:srgbClr val="000000"/>
              </a:solidFill>
              <a:prstDash val="solid"/>
            </a:ln>
          </c:spPr>
          <c:marker>
            <c:symbol val="none"/>
          </c:marker>
          <c:xVal>
            <c:numLit>
              <c:formatCode>General</c:formatCode>
              <c:ptCount val="147"/>
              <c:pt idx="0">
                <c:v>16.810229479756391</c:v>
              </c:pt>
              <c:pt idx="1">
                <c:v>16.588644396444685</c:v>
              </c:pt>
              <c:pt idx="2">
                <c:v>16.354668757094764</c:v>
              </c:pt>
              <c:pt idx="3">
                <c:v>16.107718156429225</c:v>
              </c:pt>
              <c:pt idx="4">
                <c:v>15.847219725836448</c:v>
              </c:pt>
              <c:pt idx="5">
                <c:v>15.572621851491188</c:v>
              </c:pt>
              <c:pt idx="6">
                <c:v>15.283405513946459</c:v>
              </c:pt>
              <c:pt idx="7">
                <c:v>14.97909728533833</c:v>
              </c:pt>
              <c:pt idx="8">
                <c:v>14.659283952235356</c:v>
              </c:pt>
              <c:pt idx="9">
                <c:v>14.323628642858322</c:v>
              </c:pt>
              <c:pt idx="10">
                <c:v>13.971888226311023</c:v>
              </c:pt>
              <c:pt idx="11">
                <c:v>13.603931620112528</c:v>
              </c:pt>
              <c:pt idx="12">
                <c:v>13.2197584950931</c:v>
              </c:pt>
              <c:pt idx="13">
                <c:v>12.819517711563606</c:v>
              </c:pt>
              <c:pt idx="14">
                <c:v>12.403524669547116</c:v>
              </c:pt>
              <c:pt idx="15">
                <c:v>11.972276624673018</c:v>
              </c:pt>
              <c:pt idx="16">
                <c:v>11.526464929155814</c:v>
              </c:pt>
              <c:pt idx="17">
                <c:v>11.066983124686066</c:v>
              </c:pt>
              <c:pt idx="18">
                <c:v>10.594929860498169</c:v>
              </c:pt>
              <c:pt idx="19">
                <c:v>10.111605750259969</c:v>
              </c:pt>
              <c:pt idx="20">
                <c:v>9.6185035223870123</c:v>
              </c:pt>
              <c:pt idx="21">
                <c:v>9.1172911549090987</c:v>
              </c:pt>
              <c:pt idx="22">
                <c:v>8.6097880993478064</c:v>
              </c:pt>
              <c:pt idx="23">
                <c:v>8.0979351556909851</c:v>
              </c:pt>
              <c:pt idx="24">
                <c:v>7.5837590188694071</c:v>
              </c:pt>
              <c:pt idx="25">
                <c:v>7.069332926750965</c:v>
              </c:pt>
              <c:pt idx="26">
                <c:v>6.5567351526053601</c:v>
              </c:pt>
              <c:pt idx="27">
                <c:v>6.048007262567018</c:v>
              </c:pt>
              <c:pt idx="28">
                <c:v>5.5451140781737465</c:v>
              </c:pt>
              <c:pt idx="29">
                <c:v>5.0499071430589693</c:v>
              </c:pt>
              <c:pt idx="30">
                <c:v>4.5640932094034081</c:v>
              </c:pt>
              <c:pt idx="31">
                <c:v>4.0892088691906565</c:v>
              </c:pt>
              <c:pt idx="32">
                <c:v>3.6266020041010818</c:v>
              </c:pt>
              <c:pt idx="33">
                <c:v>3.1774202657841126</c:v>
              </c:pt>
              <c:pt idx="34">
                <c:v>2.7426063708388666</c:v>
              </c:pt>
              <c:pt idx="35">
                <c:v>2.3228996376269366</c:v>
              </c:pt>
              <c:pt idx="36">
                <c:v>1.9188429271939578</c:v>
              </c:pt>
              <c:pt idx="37">
                <c:v>1.5307939862731423</c:v>
              </c:pt>
              <c:pt idx="38">
                <c:v>1.1589401224706948</c:v>
              </c:pt>
              <c:pt idx="39">
                <c:v>0.80331515702341572</c:v>
              </c:pt>
              <c:pt idx="40">
                <c:v>0.4638176802814884</c:v>
              </c:pt>
              <c:pt idx="41">
                <c:v>0.14022975872621024</c:v>
              </c:pt>
              <c:pt idx="42">
                <c:v>-0.16776460974090424</c:v>
              </c:pt>
              <c:pt idx="43">
                <c:v>-0.46056184007219381</c:v>
              </c:pt>
              <c:pt idx="44">
                <c:v>-0.73862230174342836</c:v>
              </c:pt>
              <c:pt idx="45">
                <c:v>-1.002455319966258</c:v>
              </c:pt>
              <c:pt idx="46">
                <c:v>-1.2526057824083219</c:v>
              </c:pt>
              <c:pt idx="47">
                <c:v>-1.4896424028400646</c:v>
              </c:pt>
              <c:pt idx="48">
                <c:v>-1.7141476200677335</c:v>
              </c:pt>
              <c:pt idx="49">
                <c:v>-1.9267090572547372</c:v>
              </c:pt>
              <c:pt idx="50">
                <c:v>-2.1279124307072412</c:v>
              </c:pt>
              <c:pt idx="51">
                <c:v>-2.3183357754510565</c:v>
              </c:pt>
              <c:pt idx="52">
                <c:v>-2.4985448444866902</c:v>
              </c:pt>
              <c:pt idx="53">
                <c:v>-2.669089536724063</c:v>
              </c:pt>
              <c:pt idx="54">
                <c:v>-2.8305012128620142</c:v>
              </c:pt>
              <c:pt idx="55">
                <c:v>-2.9832907668862556</c:v>
              </c:pt>
              <c:pt idx="56">
                <c:v>-3.1279473318097732</c:v>
              </c:pt>
              <c:pt idx="57">
                <c:v>-3.3947050354255355</c:v>
              </c:pt>
              <c:pt idx="58">
                <c:v>-3.6342329977636059</c:v>
              </c:pt>
              <c:pt idx="59">
                <c:v>-3.8496301535387389</c:v>
              </c:pt>
              <c:pt idx="60">
                <c:v>-4.0436530888624631</c:v>
              </c:pt>
              <c:pt idx="61">
                <c:v>-4.2187412428710447</c:v>
              </c:pt>
              <c:pt idx="62">
                <c:v>-4.3770457171884622</c:v>
              </c:pt>
              <c:pt idx="63">
                <c:v>-4.5204589487479616</c:v>
              </c:pt>
              <c:pt idx="64">
                <c:v>-4.6506435459878448</c:v>
              </c:pt>
              <c:pt idx="65">
                <c:v>-4.7690593110363508</c:v>
              </c:pt>
              <c:pt idx="66">
                <c:v>-4.8769879543111792</c:v>
              </c:pt>
              <c:pt idx="67">
                <c:v>-4.97555532075208</c:v>
              </c:pt>
              <c:pt idx="68">
                <c:v>-5.0657511406962898</c:v>
              </c:pt>
              <c:pt idx="69">
                <c:v>-5.1484464315058194</c:v>
              </c:pt>
              <c:pt idx="70">
                <c:v>-5.2244087358312541</c:v>
              </c:pt>
              <c:pt idx="71">
                <c:v>-5.2943154079273143</c:v>
              </c:pt>
              <c:pt idx="72">
                <c:v>-5.358765163744196</c:v>
              </c:pt>
              <c:pt idx="73">
                <c:v>-5.4182881023183391</c:v>
              </c:pt>
              <c:pt idx="74">
                <c:v>-5.4733543909858673</c:v>
              </c:pt>
              <c:pt idx="75">
                <c:v>-5.5243817887928159</c:v>
              </c:pt>
              <c:pt idx="76">
                <c:v>-5.571742163443429</c:v>
              </c:pt>
              <c:pt idx="77">
                <c:v>-5.6567529906365968</c:v>
              </c:pt>
              <c:pt idx="78">
                <c:v>-5.7306406407761212</c:v>
              </c:pt>
              <c:pt idx="79">
                <c:v>-5.7952165720117108</c:v>
              </c:pt>
              <c:pt idx="80">
                <c:v>-5.851947118469381</c:v>
              </c:pt>
              <c:pt idx="81">
                <c:v>-5.9020274437754896</c:v>
              </c:pt>
              <c:pt idx="82">
                <c:v>-6.0041567309797621</c:v>
              </c:pt>
              <c:pt idx="83">
                <c:v>-6.0816762741522021</c:v>
              </c:pt>
              <c:pt idx="84">
                <c:v>-6.1418165019856463</c:v>
              </c:pt>
              <c:pt idx="85">
                <c:v>-6.1893611787955249</c:v>
              </c:pt>
              <c:pt idx="86">
                <c:v>-6.2275685419443816</c:v>
              </c:pt>
              <c:pt idx="87">
                <c:v>-6.2587153367755777</c:v>
              </c:pt>
              <c:pt idx="88">
                <c:v>-6.3058961870318369</c:v>
              </c:pt>
              <c:pt idx="89">
                <c:v>-6.3394006467143074</c:v>
              </c:pt>
              <c:pt idx="90">
                <c:v>-6.3640278309235088</c:v>
              </c:pt>
              <c:pt idx="91">
                <c:v>-6.382648783342864</c:v>
              </c:pt>
              <c:pt idx="92">
                <c:v>-6.3970641036563771</c:v>
              </c:pt>
              <c:pt idx="93">
                <c:v>-6.436353647558132</c:v>
              </c:pt>
              <c:pt idx="94">
                <c:v>-6.4527022004217862</c:v>
              </c:pt>
              <c:pt idx="95">
                <c:v>-6.4658267837767367</c:v>
              </c:pt>
              <c:pt idx="96">
                <c:v>-6.4708678812703511</c:v>
              </c:pt>
              <c:pt idx="97">
                <c:v>-6.4780000000000006</c:v>
              </c:pt>
              <c:pt idx="98">
                <c:v>-6.4687544134534143</c:v>
              </c:pt>
              <c:pt idx="99">
                <c:v>-6.4607910353144655</c:v>
              </c:pt>
              <c:pt idx="100">
                <c:v>-6.4354532742589932</c:v>
              </c:pt>
              <c:pt idx="101">
                <c:v>-6.3946145573537017</c:v>
              </c:pt>
              <c:pt idx="102">
                <c:v>-6.3795129803289274</c:v>
              </c:pt>
              <c:pt idx="103">
                <c:v>-6.3599248979775851</c:v>
              </c:pt>
              <c:pt idx="104">
                <c:v>-6.3338909498930658</c:v>
              </c:pt>
              <c:pt idx="105">
                <c:v>-6.2982611859413211</c:v>
              </c:pt>
              <c:pt idx="106">
                <c:v>-6.2477177107241779</c:v>
              </c:pt>
              <c:pt idx="107">
                <c:v>-6.2141364364601657</c:v>
              </c:pt>
              <c:pt idx="108">
                <c:v>-6.1727292094729158</c:v>
              </c:pt>
              <c:pt idx="109">
                <c:v>-6.1208981028564446</c:v>
              </c:pt>
              <c:pt idx="110">
                <c:v>-6.0548906661909623</c:v>
              </c:pt>
              <c:pt idx="111">
                <c:v>-5.969139454636716</c:v>
              </c:pt>
              <c:pt idx="112">
                <c:v>-5.8551287645325596</c:v>
              </c:pt>
              <c:pt idx="113">
                <c:v>-5.7988285531075912</c:v>
              </c:pt>
              <c:pt idx="114">
                <c:v>-5.7347616757504305</c:v>
              </c:pt>
              <c:pt idx="115">
                <c:v>-5.6614799564344587</c:v>
              </c:pt>
              <c:pt idx="116">
                <c:v>-5.5771951197065643</c:v>
              </c:pt>
              <c:pt idx="117">
                <c:v>-5.4796832004534721</c:v>
              </c:pt>
              <c:pt idx="118">
                <c:v>-5.4251226750385708</c:v>
              </c:pt>
              <c:pt idx="119">
                <c:v>-5.3661582607451805</c:v>
              </c:pt>
              <c:pt idx="120">
                <c:v>-5.3023264552641391</c:v>
              </c:pt>
              <c:pt idx="121">
                <c:v>-5.2331047854998651</c:v>
              </c:pt>
              <c:pt idx="122">
                <c:v>-5.1579032706065853</c:v>
              </c:pt>
              <c:pt idx="123">
                <c:v>-5.0760545707644287</c:v>
              </c:pt>
              <c:pt idx="124">
                <c:v>-4.9868026312391578</c:v>
              </c:pt>
              <c:pt idx="125">
                <c:v>-4.889289615730835</c:v>
              </c:pt>
              <c:pt idx="126">
                <c:v>-4.7825409137469856</c:v>
              </c:pt>
              <c:pt idx="127">
                <c:v>-4.6654480091532298</c:v>
              </c:pt>
              <c:pt idx="128">
                <c:v>-4.5367490194500562</c:v>
              </c:pt>
              <c:pt idx="129">
                <c:v>-4.3950067701211761</c:v>
              </c:pt>
              <c:pt idx="130">
                <c:v>-4.2385843738412259</c:v>
              </c:pt>
              <c:pt idx="131">
                <c:v>-4.0656184666577015</c:v>
              </c:pt>
              <c:pt idx="132">
                <c:v>-3.8739905493226741</c:v>
              </c:pt>
              <c:pt idx="133">
                <c:v>-3.7704392439481627</c:v>
              </c:pt>
              <c:pt idx="134">
                <c:v>-3.6612973419810073</c:v>
              </c:pt>
              <c:pt idx="135">
                <c:v>-3.5462151642748525</c:v>
              </c:pt>
              <c:pt idx="136">
                <c:v>-3.4248217502543765</c:v>
              </c:pt>
              <c:pt idx="137">
                <c:v>-3.2967241795418643</c:v>
              </c:pt>
              <c:pt idx="138">
                <c:v>-3.1615070418306956</c:v>
              </c:pt>
              <c:pt idx="139">
                <c:v>-3.0187321044678757</c:v>
              </c:pt>
              <c:pt idx="140">
                <c:v>-2.8679382367257746</c:v>
              </c:pt>
              <c:pt idx="141">
                <c:v>-2.7086416603368892</c:v>
              </c:pt>
              <c:pt idx="142">
                <c:v>-2.5403366074235816</c:v>
              </c:pt>
              <c:pt idx="143">
                <c:v>-2.3624964792520693</c:v>
              </c:pt>
              <c:pt idx="144">
                <c:v>-2.1745756118950066</c:v>
              </c:pt>
              <c:pt idx="145">
                <c:v>-1.9760117673163591</c:v>
              </c:pt>
              <c:pt idx="146">
                <c:v>-1.7662294797563944</c:v>
              </c:pt>
            </c:numLit>
          </c:xVal>
          <c:yVal>
            <c:numLit>
              <c:formatCode>General</c:formatCode>
              <c:ptCount val="147"/>
              <c:pt idx="0">
                <c:v>2.8677892915949361E-2</c:v>
              </c:pt>
              <c:pt idx="1">
                <c:v>2.882017669794408E-2</c:v>
              </c:pt>
              <c:pt idx="2">
                <c:v>2.8964054945422545E-2</c:v>
              </c:pt>
              <c:pt idx="3">
                <c:v>2.9109197410386176E-2</c:v>
              </c:pt>
              <c:pt idx="4">
                <c:v>2.9255219725836449E-2</c:v>
              </c:pt>
              <c:pt idx="5">
                <c:v>2.9401679479707257E-2</c:v>
              </c:pt>
              <c:pt idx="6">
                <c:v>2.9548072789216489E-2</c:v>
              </c:pt>
              <c:pt idx="7">
                <c:v>2.9693831622722384E-2</c:v>
              </c:pt>
              <c:pt idx="8">
                <c:v>2.9838322153782595E-2</c:v>
              </c:pt>
              <c:pt idx="9">
                <c:v>2.9980844463909358E-2</c:v>
              </c:pt>
              <c:pt idx="10">
                <c:v>3.0120633931542337E-2</c:v>
              </c:pt>
              <c:pt idx="11">
                <c:v>3.0256864649135986E-2</c:v>
              </c:pt>
              <c:pt idx="12">
                <c:v>3.0388655191524186E-2</c:v>
              </c:pt>
              <c:pt idx="13">
                <c:v>3.0515077010490988E-2</c:v>
              </c:pt>
              <c:pt idx="14">
                <c:v>3.0635165647360473E-2</c:v>
              </c:pt>
              <c:pt idx="15">
                <c:v>3.0747934834256706E-2</c:v>
              </c:pt>
              <c:pt idx="16">
                <c:v>3.085239339588855E-2</c:v>
              </c:pt>
              <c:pt idx="17">
                <c:v>3.0947564672567929E-2</c:v>
              </c:pt>
              <c:pt idx="18">
                <c:v>3.1032507972748882E-2</c:v>
              </c:pt>
              <c:pt idx="19">
                <c:v>3.1106341346724724E-2</c:v>
              </c:pt>
              <c:pt idx="20">
                <c:v>3.1168264774375409E-2</c:v>
              </c:pt>
              <c:pt idx="21">
                <c:v>3.1217582704093288E-2</c:v>
              </c:pt>
              <c:pt idx="22">
                <c:v>3.1253724791923544E-2</c:v>
              </c:pt>
              <c:pt idx="23">
                <c:v>3.127626368973449E-2</c:v>
              </c:pt>
              <c:pt idx="24">
                <c:v>3.1284928830437236E-2</c:v>
              </c:pt>
              <c:pt idx="25">
                <c:v>3.1279615356557502E-2</c:v>
              </c:pt>
              <c:pt idx="26">
                <c:v>3.1260387622117129E-2</c:v>
              </c:pt>
              <c:pt idx="27">
                <c:v>3.1227477040677638E-2</c:v>
              </c:pt>
              <c:pt idx="28">
                <c:v>3.1181274419367078E-2</c:v>
              </c:pt>
              <c:pt idx="29">
                <c:v>3.1122317270830653E-2</c:v>
              </c:pt>
              <c:pt idx="30">
                <c:v>3.1051272895714872E-2</c:v>
              </c:pt>
              <c:pt idx="31">
                <c:v>3.0968918248820355E-2</c:v>
              </c:pt>
              <c:pt idx="32">
                <c:v>3.0876117725569325E-2</c:v>
              </c:pt>
              <c:pt idx="33">
                <c:v>3.0773800028426088E-2</c:v>
              </c:pt>
              <c:pt idx="34">
                <c:v>3.0662935204324095E-2</c:v>
              </c:pt>
              <c:pt idx="35">
                <c:v>3.0544512802476664E-2</c:v>
              </c:pt>
              <c:pt idx="36">
                <c:v>3.04195219111833E-2</c:v>
              </c:pt>
              <c:pt idx="37">
                <c:v>3.0288933617716181E-2</c:v>
              </c:pt>
              <c:pt idx="38">
                <c:v>3.0153686220164965E-2</c:v>
              </c:pt>
              <c:pt idx="39">
                <c:v>3.0014673322626941E-2</c:v>
              </c:pt>
              <c:pt idx="40">
                <c:v>2.9872734777880133E-2</c:v>
              </c:pt>
              <c:pt idx="41">
                <c:v>2.9728650311281322E-2</c:v>
              </c:pt>
              <c:pt idx="42">
                <c:v>2.95831355675608E-2</c:v>
              </c:pt>
              <c:pt idx="43">
                <c:v>2.9436840266009144E-2</c:v>
              </c:pt>
              <c:pt idx="44">
                <c:v>2.9290348124299693E-2</c:v>
              </c:pt>
              <c:pt idx="45">
                <c:v>2.9144178210618831E-2</c:v>
              </c:pt>
              <c:pt idx="46">
                <c:v>2.8998787401373648E-2</c:v>
              </c:pt>
              <c:pt idx="47">
                <c:v>2.8854573651448525E-2</c:v>
              </c:pt>
              <c:pt idx="48">
                <c:v>2.8711879820593082E-2</c:v>
              </c:pt>
              <c:pt idx="49">
                <c:v>2.8570997838905359E-2</c:v>
              </c:pt>
              <c:pt idx="50">
                <c:v>2.8432173033455556E-2</c:v>
              </c:pt>
              <c:pt idx="51">
                <c:v>2.8295608474779587E-2</c:v>
              </c:pt>
              <c:pt idx="52">
                <c:v>2.8161469234973899E-2</c:v>
              </c:pt>
              <c:pt idx="53">
                <c:v>2.8029886477800841E-2</c:v>
              </c:pt>
              <c:pt idx="54">
                <c:v>2.7900961325394373E-2</c:v>
              </c:pt>
              <c:pt idx="55">
                <c:v>2.777476846598936E-2</c:v>
              </c:pt>
              <c:pt idx="56">
                <c:v>2.765135948293641E-2</c:v>
              </c:pt>
              <c:pt idx="57">
                <c:v>2.741300192776747E-2</c:v>
              </c:pt>
              <c:pt idx="58">
                <c:v>2.7185947823718054E-2</c:v>
              </c:pt>
              <c:pt idx="59">
                <c:v>2.6970052763706429E-2</c:v>
              </c:pt>
              <c:pt idx="60">
                <c:v>2.6765028589466222E-2</c:v>
              </c:pt>
              <c:pt idx="61">
                <c:v>2.6570489823461451E-2</c:v>
              </c:pt>
              <c:pt idx="62">
                <c:v>2.6385989057197627E-2</c:v>
              </c:pt>
              <c:pt idx="63">
                <c:v>2.6211043462266981E-2</c:v>
              </c:pt>
              <c:pt idx="64">
                <c:v>2.6045154305456879E-2</c:v>
              </c:pt>
              <c:pt idx="65">
                <c:v>2.5887821037250434E-2</c:v>
              </c:pt>
              <c:pt idx="66">
                <c:v>2.573855122669123E-2</c:v>
              </c:pt>
              <c:pt idx="67">
                <c:v>2.5596867354371416E-2</c:v>
              </c:pt>
              <c:pt idx="68">
                <c:v>2.5462311255383133E-2</c:v>
              </c:pt>
              <c:pt idx="69">
                <c:v>2.5334446824497189E-2</c:v>
              </c:pt>
              <c:pt idx="70">
                <c:v>2.5212861452320056E-2</c:v>
              </c:pt>
              <c:pt idx="71">
                <c:v>2.5097166548278888E-2</c:v>
              </c:pt>
              <c:pt idx="72">
                <c:v>2.4986997418511792E-2</c:v>
              </c:pt>
              <c:pt idx="73">
                <c:v>2.4882012699129402E-2</c:v>
              </c:pt>
              <c:pt idx="74">
                <c:v>2.4781893493615731E-2</c:v>
              </c:pt>
              <c:pt idx="75">
                <c:v>2.4686342323848191E-2</c:v>
              </c:pt>
              <c:pt idx="76">
                <c:v>2.4595081974519786E-2</c:v>
              </c:pt>
              <c:pt idx="77">
                <c:v>2.4424418953236802E-2</c:v>
              </c:pt>
              <c:pt idx="78">
                <c:v>2.4268046190440859E-2</c:v>
              </c:pt>
              <c:pt idx="79">
                <c:v>2.4124353808164946E-2</c:v>
              </c:pt>
              <c:pt idx="80">
                <c:v>2.3991946017564908E-2</c:v>
              </c:pt>
              <c:pt idx="81">
                <c:v>2.3869610711458024E-2</c:v>
              </c:pt>
              <c:pt idx="82">
                <c:v>2.3601243359121643E-2</c:v>
              </c:pt>
              <c:pt idx="83">
                <c:v>2.3376424442580822E-2</c:v>
              </c:pt>
              <c:pt idx="84">
                <c:v>2.3185628388742628E-2</c:v>
              </c:pt>
              <c:pt idx="85">
                <c:v>2.3021845518026735E-2</c:v>
              </c:pt>
              <c:pt idx="86">
                <c:v>2.2879826043585575E-2</c:v>
              </c:pt>
              <c:pt idx="87">
                <c:v>2.2755572771766694E-2</c:v>
              </c:pt>
              <c:pt idx="88">
                <c:v>2.2548671580655582E-2</c:v>
              </c:pt>
              <c:pt idx="89">
                <c:v>2.2383467693411988E-2</c:v>
              </c:pt>
              <c:pt idx="90">
                <c:v>2.2248609023778468E-2</c:v>
              </c:pt>
              <c:pt idx="91">
                <c:v>2.2136492726931425E-2</c:v>
              </c:pt>
              <c:pt idx="92">
                <c:v>2.2041845203134694E-2</c:v>
              </c:pt>
              <c:pt idx="93">
                <c:v>2.172811889106761E-2</c:v>
              </c:pt>
              <c:pt idx="94">
                <c:v>2.1552224945278583E-2</c:v>
              </c:pt>
              <c:pt idx="95">
                <c:v>2.1361728347072451E-2</c:v>
              </c:pt>
              <c:pt idx="96">
                <c:v>2.1260488451156453E-2</c:v>
              </c:pt>
              <c:pt idx="97">
                <c:v>2.0930000000000001E-2</c:v>
              </c:pt>
              <c:pt idx="98">
                <c:v>2.0553731515266696E-2</c:v>
              </c:pt>
              <c:pt idx="99">
                <c:v>2.0416729629222568E-2</c:v>
              </c:pt>
              <c:pt idx="100">
                <c:v>2.0123312766063169E-2</c:v>
              </c:pt>
              <c:pt idx="101">
                <c:v>1.9801504574826875E-2</c:v>
              </c:pt>
              <c:pt idx="102">
                <c:v>1.9703897767998347E-2</c:v>
              </c:pt>
              <c:pt idx="103">
                <c:v>1.9587964977189561E-2</c:v>
              </c:pt>
              <c:pt idx="104">
                <c:v>1.9448070774442654E-2</c:v>
              </c:pt>
              <c:pt idx="105">
                <c:v>1.9276040595639192E-2</c:v>
              </c:pt>
              <c:pt idx="106">
                <c:v>1.9059579257765528E-2</c:v>
              </c:pt>
              <c:pt idx="107">
                <c:v>1.8929051078036645E-2</c:v>
              </c:pt>
              <c:pt idx="108">
                <c:v>1.8779375962421206E-2</c:v>
              </c:pt>
              <c:pt idx="109">
                <c:v>1.8606133509740334E-2</c:v>
              </c:pt>
              <c:pt idx="110">
                <c:v>1.8403482795007753E-2</c:v>
              </c:pt>
              <c:pt idx="111">
                <c:v>1.8163573931641964E-2</c:v>
              </c:pt>
              <c:pt idx="112">
                <c:v>1.7875666923032288E-2</c:v>
              </c:pt>
              <c:pt idx="113">
                <c:v>1.7743895976123102E-2</c:v>
              </c:pt>
              <c:pt idx="114">
                <c:v>1.7600918061456586E-2</c:v>
              </c:pt>
              <c:pt idx="115">
                <c:v>1.7445349228540973E-2</c:v>
              </c:pt>
              <c:pt idx="116">
                <c:v>1.7275593374812867E-2</c:v>
              </c:pt>
              <c:pt idx="117">
                <c:v>1.7089808191527837E-2</c:v>
              </c:pt>
              <c:pt idx="118">
                <c:v>1.6990252446736603E-2</c:v>
              </c:pt>
              <c:pt idx="119">
                <c:v>1.6885867994288942E-2</c:v>
              </c:pt>
              <c:pt idx="120">
                <c:v>1.677633856600267E-2</c:v>
              </c:pt>
              <c:pt idx="121">
                <c:v>1.6661325544174033E-2</c:v>
              </c:pt>
              <c:pt idx="122">
                <c:v>1.6540467071496829E-2</c:v>
              </c:pt>
              <c:pt idx="123">
                <c:v>1.6413377441842833E-2</c:v>
              </c:pt>
              <c:pt idx="124">
                <c:v>1.6279646915363419E-2</c:v>
              </c:pt>
              <c:pt idx="125">
                <c:v>1.6138842151410121E-2</c:v>
              </c:pt>
              <c:pt idx="126">
                <c:v>1.599050751826438E-2</c:v>
              </c:pt>
              <c:pt idx="127">
                <c:v>1.5834167623770514E-2</c:v>
              </c:pt>
              <c:pt idx="128">
                <c:v>1.5669331520569488E-2</c:v>
              </c:pt>
              <c:pt idx="129">
                <c:v>1.5495499179174118E-2</c:v>
              </c:pt>
              <c:pt idx="130">
                <c:v>1.5312170997110987E-2</c:v>
              </c:pt>
              <c:pt idx="131">
                <c:v>1.5118861327289309E-2</c:v>
              </c:pt>
              <c:pt idx="132">
                <c:v>1.4915117265152884E-2</c:v>
              </c:pt>
              <c:pt idx="133">
                <c:v>1.4809205883937578E-2</c:v>
              </c:pt>
              <c:pt idx="134">
                <c:v>1.4700544227002829E-2</c:v>
              </c:pt>
              <c:pt idx="135">
                <c:v>1.4589097690626144E-2</c:v>
              </c:pt>
              <c:pt idx="136">
                <c:v>1.4474840163683531E-2</c:v>
              </c:pt>
              <c:pt idx="137">
                <c:v>1.4357755721848364E-2</c:v>
              </c:pt>
              <c:pt idx="138">
                <c:v>1.4237840545403689E-2</c:v>
              </c:pt>
              <c:pt idx="139">
                <c:v>1.4115105078987998E-2</c:v>
              </c:pt>
              <c:pt idx="140">
                <c:v>1.3989576450102176E-2</c:v>
              </c:pt>
              <c:pt idx="141">
                <c:v>1.3861301160508996E-2</c:v>
              </c:pt>
              <c:pt idx="142">
                <c:v>1.3730348060406742E-2</c:v>
              </c:pt>
              <c:pt idx="143">
                <c:v>1.3596811609050458E-2</c:v>
              </c:pt>
              <c:pt idx="144">
                <c:v>1.3460815416871075E-2</c:v>
              </c:pt>
              <c:pt idx="145">
                <c:v>1.3322516052611264E-2</c:v>
              </c:pt>
              <c:pt idx="146">
                <c:v>1.318210708405064E-2</c:v>
              </c:pt>
            </c:numLit>
          </c:yVal>
          <c:smooth val="1"/>
          <c:extLst>
            <c:ext xmlns:c16="http://schemas.microsoft.com/office/drawing/2014/chart" uri="{C3380CC4-5D6E-409C-BE32-E72D297353CC}">
              <c16:uniqueId val="{000000E2-6BE9-4072-907B-A4622C19C5E5}"/>
            </c:ext>
          </c:extLst>
        </c:ser>
        <c:ser>
          <c:idx val="188"/>
          <c:order val="188"/>
          <c:tx>
            <c:v>熱水分比基点</c:v>
          </c:tx>
          <c:spPr>
            <a:ln w="3175">
              <a:solidFill>
                <a:srgbClr val="000000"/>
              </a:solidFill>
              <a:prstDash val="solid"/>
            </a:ln>
          </c:spPr>
          <c:marker>
            <c:symbol val="circle"/>
            <c:size val="10"/>
            <c:spPr>
              <a:noFill/>
              <a:ln>
                <a:solidFill>
                  <a:srgbClr val="808080"/>
                </a:solidFill>
                <a:prstDash val="solid"/>
              </a:ln>
              <a:extLst>
                <a:ext uri="{909E8E84-426E-40DD-AFC4-6F175D3DCCD1}">
                  <a14:hiddenFill xmlns:a14="http://schemas.microsoft.com/office/drawing/2010/main">
                    <a:solidFill>
                      <a:srgbClr val="A5A5A5">
                        <a:tint val="35000"/>
                      </a:srgbClr>
                    </a:solidFill>
                  </a14:hiddenFill>
                </a:ext>
              </a:extLst>
            </c:spPr>
          </c:marker>
          <c:xVal>
            <c:numLit>
              <c:formatCode>General</c:formatCode>
              <c:ptCount val="1"/>
              <c:pt idx="0">
                <c:v>7.5219999999999994</c:v>
              </c:pt>
            </c:numLit>
          </c:xVal>
          <c:yVal>
            <c:numLit>
              <c:formatCode>General</c:formatCode>
              <c:ptCount val="1"/>
              <c:pt idx="0">
                <c:v>2.0930000000000001E-2</c:v>
              </c:pt>
            </c:numLit>
          </c:yVal>
          <c:smooth val="0"/>
          <c:extLst>
            <c:ext xmlns:c16="http://schemas.microsoft.com/office/drawing/2014/chart" uri="{C3380CC4-5D6E-409C-BE32-E72D297353CC}">
              <c16:uniqueId val="{000000E3-6BE9-4072-907B-A4622C19C5E5}"/>
            </c:ext>
          </c:extLst>
        </c:ser>
        <c:ser>
          <c:idx val="189"/>
          <c:order val="189"/>
          <c:tx>
            <c:v>熱水分比基点</c:v>
          </c:tx>
          <c:spPr>
            <a:ln w="3175">
              <a:solidFill>
                <a:srgbClr val="000000"/>
              </a:solidFill>
              <a:prstDash val="solid"/>
            </a:ln>
          </c:spPr>
          <c:marker>
            <c:symbol val="plus"/>
            <c:size val="10"/>
            <c:spPr>
              <a:noFill/>
              <a:ln>
                <a:solidFill>
                  <a:srgbClr val="808080"/>
                </a:solidFill>
                <a:prstDash val="solid"/>
              </a:ln>
              <a:extLst>
                <a:ext uri="{909E8E84-426E-40DD-AFC4-6F175D3DCCD1}">
                  <a14:hiddenFill xmlns:a14="http://schemas.microsoft.com/office/drawing/2010/main">
                    <a:solidFill>
                      <a:srgbClr val="FFC000">
                        <a:tint val="35000"/>
                      </a:srgbClr>
                    </a:solidFill>
                  </a14:hiddenFill>
                </a:ext>
              </a:extLst>
            </c:spPr>
          </c:marker>
          <c:xVal>
            <c:numLit>
              <c:formatCode>General</c:formatCode>
              <c:ptCount val="1"/>
              <c:pt idx="0">
                <c:v>7.5219999999999994</c:v>
              </c:pt>
            </c:numLit>
          </c:xVal>
          <c:yVal>
            <c:numLit>
              <c:formatCode>General</c:formatCode>
              <c:ptCount val="1"/>
              <c:pt idx="0">
                <c:v>2.0930000000000001E-2</c:v>
              </c:pt>
            </c:numLit>
          </c:yVal>
          <c:smooth val="0"/>
          <c:extLst>
            <c:ext xmlns:c16="http://schemas.microsoft.com/office/drawing/2014/chart" uri="{C3380CC4-5D6E-409C-BE32-E72D297353CC}">
              <c16:uniqueId val="{000000E4-6BE9-4072-907B-A4622C19C5E5}"/>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774A-40C1-BD06-DA789AA122DC}"/>
            </c:ext>
          </c:extLst>
        </c:ser>
        <c:ser>
          <c:idx val="1"/>
          <c:order val="1"/>
          <c:tx>
            <c:v>RH=10_1</c:v>
          </c:tx>
          <c:spPr>
            <a:ln w="3175">
              <a:solidFill>
                <a:srgbClr val="0000FF"/>
              </a:solidFill>
              <a:prstDash val="solid"/>
            </a:ln>
          </c:spPr>
          <c:marker>
            <c:symbol val="none"/>
          </c:marker>
          <c:xVal>
            <c:numLit>
              <c:formatCode>General</c:formatCode>
              <c:ptCount val="38"/>
              <c:pt idx="0">
                <c:v>-10.0177756677797</c:v>
              </c:pt>
              <c:pt idx="1">
                <c:v>-9.0190959721921065</c:v>
              </c:pt>
              <c:pt idx="2">
                <c:v>-8.0204947203038497</c:v>
              </c:pt>
              <c:pt idx="3">
                <c:v>-7.0219748302109002</c:v>
              </c:pt>
              <c:pt idx="4">
                <c:v>-6.0235391639546627</c:v>
              </c:pt>
              <c:pt idx="5">
                <c:v>-5.0251905057455675</c:v>
              </c:pt>
              <c:pt idx="6">
                <c:v>-4.0269315379580988</c:v>
              </c:pt>
              <c:pt idx="7">
                <c:v>-3.0287648147507311</c:v>
              </c:pt>
              <c:pt idx="8">
                <c:v>-2.0306927331577049</c:v>
              </c:pt>
              <c:pt idx="9">
                <c:v>-1.0327175014929011</c:v>
              </c:pt>
              <c:pt idx="10">
                <c:v>-3.484110489918895E-2</c:v>
              </c:pt>
              <c:pt idx="11">
                <c:v>0.96328939591528173</c:v>
              </c:pt>
              <c:pt idx="12">
                <c:v>1.9613621474223808</c:v>
              </c:pt>
              <c:pt idx="13">
                <c:v>2.9593749622169305</c:v>
              </c:pt>
              <c:pt idx="14">
                <c:v>3.9573294009540501</c:v>
              </c:pt>
              <c:pt idx="15">
                <c:v>4.9552274207672413</c:v>
              </c:pt>
              <c:pt idx="16">
                <c:v>5.9530704719223664</c:v>
              </c:pt>
              <c:pt idx="17">
                <c:v>6.9508622511413787</c:v>
              </c:pt>
              <c:pt idx="18">
                <c:v>7.9486061034176085</c:v>
              </c:pt>
              <c:pt idx="19">
                <c:v>8.946305910300195</c:v>
              </c:pt>
              <c:pt idx="20">
                <c:v>9.9439661291778094</c:v>
              </c:pt>
              <c:pt idx="21">
                <c:v>10.941590669234015</c:v>
              </c:pt>
              <c:pt idx="22">
                <c:v>11.939186333734822</c:v>
              </c:pt>
              <c:pt idx="23">
                <c:v>12.936759560270477</c:v>
              </c:pt>
              <c:pt idx="24">
                <c:v>13.934317538581611</c:v>
              </c:pt>
              <c:pt idx="25">
                <c:v>14.931868259472157</c:v>
              </c:pt>
              <c:pt idx="26">
                <c:v>15.929420565788638</c:v>
              </c:pt>
              <c:pt idx="27">
                <c:v>16.926984205518398</c:v>
              </c:pt>
              <c:pt idx="28">
                <c:v>17.9245698870604</c:v>
              </c:pt>
              <c:pt idx="29">
                <c:v>18.922189336723491</c:v>
              </c:pt>
              <c:pt idx="30">
                <c:v>19.919855358508599</c:v>
              </c:pt>
              <c:pt idx="31">
                <c:v>20.917581896232608</c:v>
              </c:pt>
              <c:pt idx="32">
                <c:v>21.915384098053682</c:v>
              </c:pt>
              <c:pt idx="33">
                <c:v>22.913278383459538</c:v>
              </c:pt>
              <c:pt idx="34">
                <c:v>23.911282512782485</c:v>
              </c:pt>
              <c:pt idx="35">
                <c:v>24.909415659307243</c:v>
              </c:pt>
              <c:pt idx="36">
                <c:v>25.907696639619608</c:v>
              </c:pt>
              <c:pt idx="37">
                <c:v>26.317040192907807</c:v>
              </c:pt>
            </c:numLit>
          </c:xVal>
          <c:yVal>
            <c:numLit>
              <c:formatCode>General</c:formatCode>
              <c:ptCount val="38"/>
              <c:pt idx="0">
                <c:v>1.6023585830088701E-4</c:v>
              </c:pt>
              <c:pt idx="1">
                <c:v>1.7505511231326874E-4</c:v>
              </c:pt>
              <c:pt idx="2">
                <c:v>1.911168763966824E-4</c:v>
              </c:pt>
              <c:pt idx="3">
                <c:v>2.0851423497609411E-4</c:v>
              </c:pt>
              <c:pt idx="4">
                <c:v>2.2734637997686826E-4</c:v>
              </c:pt>
              <c:pt idx="5">
                <c:v>2.4771895190655777E-4</c:v>
              </c:pt>
              <c:pt idx="6">
                <c:v>2.6974439651381417E-4</c:v>
              </c:pt>
              <c:pt idx="7">
                <c:v>2.9354233758607893E-4</c:v>
              </c:pt>
              <c:pt idx="8">
                <c:v>3.1923996646661596E-4</c:v>
              </c:pt>
              <c:pt idx="9">
                <c:v>3.4697244889161612E-4</c:v>
              </c:pt>
              <c:pt idx="10">
                <c:v>3.7688334976972127E-4</c:v>
              </c:pt>
              <c:pt idx="11">
                <c:v>4.0521031061253583E-4</c:v>
              </c:pt>
              <c:pt idx="12">
                <c:v>4.3536827613222564E-4</c:v>
              </c:pt>
              <c:pt idx="13">
                <c:v>4.6749929089188232E-4</c:v>
              </c:pt>
              <c:pt idx="14">
                <c:v>5.0171368209707661E-4</c:v>
              </c:pt>
              <c:pt idx="15">
                <c:v>5.3812681849648315E-4</c:v>
              </c:pt>
              <c:pt idx="16">
                <c:v>5.7687078746455054E-4</c:v>
              </c:pt>
              <c:pt idx="17">
                <c:v>6.1806170732398903E-4</c:v>
              </c:pt>
              <c:pt idx="18">
                <c:v>6.6183128471435158E-4</c:v>
              </c:pt>
              <c:pt idx="19">
                <c:v>7.0831699761347128E-4</c:v>
              </c:pt>
              <c:pt idx="20">
                <c:v>7.5766228557958958E-4</c:v>
              </c:pt>
              <c:pt idx="21">
                <c:v>8.100329025445516E-4</c:v>
              </c:pt>
              <c:pt idx="22">
                <c:v>8.6557085827349055E-4</c:v>
              </c:pt>
              <c:pt idx="23">
                <c:v>9.244388603298438E-4</c:v>
              </c:pt>
              <c:pt idx="24">
                <c:v>9.8680639466692979E-4</c:v>
              </c:pt>
              <c:pt idx="25">
                <c:v>1.0528499381107718E-3</c:v>
              </c:pt>
              <c:pt idx="26">
                <c:v>1.1227531754685466E-3</c:v>
              </c:pt>
              <c:pt idx="27">
                <c:v>1.196707221383005E-3</c:v>
              </c:pt>
              <c:pt idx="28">
                <c:v>1.2749108470638381E-3</c:v>
              </c:pt>
              <c:pt idx="29">
                <c:v>1.357570712039002E-3</c:v>
              </c:pt>
              <c:pt idx="30">
                <c:v>1.4449016010815252E-3</c:v>
              </c:pt>
              <c:pt idx="31">
                <c:v>1.5371266664811695E-3</c:v>
              </c:pt>
              <c:pt idx="32">
                <c:v>1.6344776758448051E-3</c:v>
              </c:pt>
              <c:pt idx="33">
                <c:v>1.7371952656253776E-3</c:v>
              </c:pt>
              <c:pt idx="34">
                <c:v>1.8455292005959472E-3</c:v>
              </c:pt>
              <c:pt idx="35">
                <c:v>1.9597386395035048E-3</c:v>
              </c:pt>
              <c:pt idx="36">
                <c:v>2.0801339727301582E-3</c:v>
              </c:pt>
              <c:pt idx="37">
                <c:v>2.1313379082339733E-3</c:v>
              </c:pt>
            </c:numLit>
          </c:yVal>
          <c:smooth val="1"/>
          <c:extLst>
            <c:ext xmlns:c16="http://schemas.microsoft.com/office/drawing/2014/chart" uri="{C3380CC4-5D6E-409C-BE32-E72D297353CC}">
              <c16:uniqueId val="{00000001-774A-40C1-BD06-DA789AA122DC}"/>
            </c:ext>
          </c:extLst>
        </c:ser>
        <c:ser>
          <c:idx val="2"/>
          <c:order val="2"/>
          <c:tx>
            <c:v>RH=10_Label1</c:v>
          </c:tx>
          <c:spPr>
            <a:ln w="3175">
              <a:solidFill>
                <a:srgbClr val="0000FF"/>
              </a:solidFill>
              <a:prstDash val="solid"/>
            </a:ln>
          </c:spPr>
          <c:marker>
            <c:symbol val="none"/>
          </c:marker>
          <c:dLbls>
            <c:dLbl>
              <c:idx val="0"/>
              <c:tx>
                <c:rich>
                  <a:bodyPr rot="-6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27.065919432379985</c:v>
              </c:pt>
            </c:numLit>
          </c:xVal>
          <c:yVal>
            <c:numLit>
              <c:formatCode>General</c:formatCode>
              <c:ptCount val="1"/>
              <c:pt idx="0">
                <c:v>2.2278649752776442E-3</c:v>
              </c:pt>
            </c:numLit>
          </c:yVal>
          <c:smooth val="0"/>
          <c:extLst>
            <c:ext xmlns:c16="http://schemas.microsoft.com/office/drawing/2014/chart" uri="{C3380CC4-5D6E-409C-BE32-E72D297353CC}">
              <c16:uniqueId val="{00000003-774A-40C1-BD06-DA789AA122DC}"/>
            </c:ext>
          </c:extLst>
        </c:ser>
        <c:ser>
          <c:idx val="3"/>
          <c:order val="3"/>
          <c:tx>
            <c:v>RH=10_2</c:v>
          </c:tx>
          <c:spPr>
            <a:ln w="3175">
              <a:solidFill>
                <a:srgbClr val="0000FF"/>
              </a:solidFill>
              <a:prstDash val="solid"/>
            </a:ln>
          </c:spPr>
          <c:marker>
            <c:symbol val="none"/>
          </c:marker>
          <c:xVal>
            <c:numLit>
              <c:formatCode>General</c:formatCode>
              <c:ptCount val="21"/>
              <c:pt idx="0">
                <c:v>27.804923631172404</c:v>
              </c:pt>
              <c:pt idx="1">
                <c:v>28.803770180784756</c:v>
              </c:pt>
              <c:pt idx="2">
                <c:v>29.802862673887123</c:v>
              </c:pt>
              <c:pt idx="3">
                <c:v>30.802230253577527</c:v>
              </c:pt>
              <c:pt idx="4">
                <c:v>31.801904052668917</c:v>
              </c:pt>
              <c:pt idx="5">
                <c:v>32.801917289185013</c:v>
              </c:pt>
              <c:pt idx="6">
                <c:v>33.802305365200944</c:v>
              </c:pt>
              <c:pt idx="7">
                <c:v>34.803105969135679</c:v>
              </c:pt>
              <c:pt idx="8">
                <c:v>35.804359181609868</c:v>
              </c:pt>
              <c:pt idx="9">
                <c:v>36.806107584989242</c:v>
              </c:pt>
              <c:pt idx="10">
                <c:v>37.808396376741563</c:v>
              </c:pt>
              <c:pt idx="11">
                <c:v>38.811273486743076</c:v>
              </c:pt>
              <c:pt idx="12">
                <c:v>39.81478969867927</c:v>
              </c:pt>
              <c:pt idx="13">
                <c:v>40.818998044575913</c:v>
              </c:pt>
              <c:pt idx="14">
                <c:v>41.823956140919336</c:v>
              </c:pt>
              <c:pt idx="15">
                <c:v>42.829724214366031</c:v>
              </c:pt>
              <c:pt idx="16">
                <c:v>43.836365792343038</c:v>
              </c:pt>
              <c:pt idx="17">
                <c:v>44.843947933065749</c:v>
              </c:pt>
              <c:pt idx="18">
                <c:v>45.852541375331619</c:v>
              </c:pt>
              <c:pt idx="19">
                <c:v>46.86222069374503</c:v>
              </c:pt>
              <c:pt idx="20">
                <c:v>47.165347874114275</c:v>
              </c:pt>
            </c:numLit>
          </c:xVal>
          <c:yVal>
            <c:numLit>
              <c:formatCode>General</c:formatCode>
              <c:ptCount val="21"/>
              <c:pt idx="0">
                <c:v>2.3268337235576001E-3</c:v>
              </c:pt>
              <c:pt idx="1">
                <c:v>2.466676811153637E-3</c:v>
              </c:pt>
              <c:pt idx="2">
                <c:v>2.6138166712018933E-3</c:v>
              </c:pt>
              <c:pt idx="3">
                <c:v>2.7685741400948331E-3</c:v>
              </c:pt>
              <c:pt idx="4">
                <c:v>2.9312815010714525E-3</c:v>
              </c:pt>
              <c:pt idx="5">
                <c:v>3.1022828107865022E-3</c:v>
              </c:pt>
              <c:pt idx="6">
                <c:v>3.2819342352185372E-3</c:v>
              </c:pt>
              <c:pt idx="7">
                <c:v>3.4706043954107185E-3</c:v>
              </c:pt>
              <c:pt idx="8">
                <c:v>3.6686747235745365E-3</c:v>
              </c:pt>
              <c:pt idx="9">
                <c:v>3.87653983012467E-3</c:v>
              </c:pt>
              <c:pt idx="10">
                <c:v>4.094607882253176E-3</c:v>
              </c:pt>
              <c:pt idx="11">
                <c:v>4.3233009946946083E-3</c:v>
              </c:pt>
              <c:pt idx="12">
                <c:v>4.5630556333788666E-3</c:v>
              </c:pt>
              <c:pt idx="13">
                <c:v>4.8143664868622081E-3</c:v>
              </c:pt>
              <c:pt idx="14">
                <c:v>5.0776664167760535E-3</c:v>
              </c:pt>
              <c:pt idx="15">
                <c:v>5.3534333142334486E-3</c:v>
              </c:pt>
              <c:pt idx="16">
                <c:v>5.6421657767406772E-3</c:v>
              </c:pt>
              <c:pt idx="17">
                <c:v>5.9443790149535658E-3</c:v>
              </c:pt>
              <c:pt idx="18">
                <c:v>6.2606053522673184E-3</c:v>
              </c:pt>
              <c:pt idx="19">
                <c:v>6.5913947437551716E-3</c:v>
              </c:pt>
              <c:pt idx="20">
                <c:v>6.693555806651999E-3</c:v>
              </c:pt>
            </c:numLit>
          </c:yVal>
          <c:smooth val="1"/>
          <c:extLst>
            <c:ext xmlns:c16="http://schemas.microsoft.com/office/drawing/2014/chart" uri="{C3380CC4-5D6E-409C-BE32-E72D297353CC}">
              <c16:uniqueId val="{00000004-774A-40C1-BD06-DA789AA122DC}"/>
            </c:ext>
          </c:extLst>
        </c:ser>
        <c:ser>
          <c:idx val="4"/>
          <c:order val="4"/>
          <c:tx>
            <c:v>RH=10_Label2</c:v>
          </c:tx>
          <c:spPr>
            <a:ln w="3175">
              <a:solidFill>
                <a:srgbClr val="0000FF"/>
              </a:solidFill>
              <a:prstDash val="solid"/>
            </a:ln>
          </c:spPr>
          <c:marker>
            <c:symbol val="none"/>
          </c:marker>
          <c:dLbls>
            <c:dLbl>
              <c:idx val="0"/>
              <c:tx>
                <c:rich>
                  <a:bodyPr rot="-15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47.468582019792713</c:v>
              </c:pt>
            </c:numLit>
          </c:xVal>
          <c:yVal>
            <c:numLit>
              <c:formatCode>General</c:formatCode>
              <c:ptCount val="1"/>
              <c:pt idx="0">
                <c:v>6.7970942125870166E-3</c:v>
              </c:pt>
            </c:numLit>
          </c:yVal>
          <c:smooth val="0"/>
          <c:extLst>
            <c:ext xmlns:c16="http://schemas.microsoft.com/office/drawing/2014/chart" uri="{C3380CC4-5D6E-409C-BE32-E72D297353CC}">
              <c16:uniqueId val="{00000006-774A-40C1-BD06-DA789AA122DC}"/>
            </c:ext>
          </c:extLst>
        </c:ser>
        <c:ser>
          <c:idx val="5"/>
          <c:order val="5"/>
          <c:tx>
            <c:v>RH=10_3</c:v>
          </c:tx>
          <c:spPr>
            <a:ln w="3175">
              <a:solidFill>
                <a:srgbClr val="0000FF"/>
              </a:solidFill>
              <a:prstDash val="solid"/>
            </a:ln>
          </c:spPr>
          <c:marker>
            <c:symbol val="none"/>
          </c:marker>
          <c:xVal>
            <c:numLit>
              <c:formatCode>General</c:formatCode>
              <c:ptCount val="4"/>
              <c:pt idx="0">
                <c:v>47.77192535836096</c:v>
              </c:pt>
              <c:pt idx="1">
                <c:v>48.783887743051473</c:v>
              </c:pt>
              <c:pt idx="2">
                <c:v>49.797175474186403</c:v>
              </c:pt>
              <c:pt idx="3">
                <c:v>50</c:v>
              </c:pt>
            </c:numLit>
          </c:xVal>
          <c:yVal>
            <c:numLit>
              <c:formatCode>General</c:formatCode>
              <c:ptCount val="4"/>
              <c:pt idx="0">
                <c:v>6.9020257792945907E-3</c:v>
              </c:pt>
              <c:pt idx="1">
                <c:v>7.262065631820038E-3</c:v>
              </c:pt>
              <c:pt idx="2">
                <c:v>7.6383681948431099E-3</c:v>
              </c:pt>
              <c:pt idx="3">
                <c:v>7.7156347951563434E-3</c:v>
              </c:pt>
            </c:numLit>
          </c:yVal>
          <c:smooth val="1"/>
          <c:extLst>
            <c:ext xmlns:c16="http://schemas.microsoft.com/office/drawing/2014/chart" uri="{C3380CC4-5D6E-409C-BE32-E72D297353CC}">
              <c16:uniqueId val="{00000007-774A-40C1-BD06-DA789AA122DC}"/>
            </c:ext>
          </c:extLst>
        </c:ser>
        <c:ser>
          <c:idx val="6"/>
          <c:order val="6"/>
          <c:tx>
            <c:v>RH=20_1</c:v>
          </c:tx>
          <c:spPr>
            <a:ln w="3175">
              <a:solidFill>
                <a:srgbClr val="0000FF"/>
              </a:solidFill>
              <a:prstDash val="solid"/>
            </a:ln>
          </c:spPr>
          <c:marker>
            <c:symbol val="none"/>
          </c:marker>
          <c:xVal>
            <c:numLit>
              <c:formatCode>General</c:formatCode>
              <c:ptCount val="34"/>
              <c:pt idx="0">
                <c:v>-10.035560496732938</c:v>
              </c:pt>
              <c:pt idx="1">
                <c:v>-9.0382026964619619</c:v>
              </c:pt>
              <c:pt idx="2">
                <c:v>-8.0410020393756554</c:v>
              </c:pt>
              <c:pt idx="3">
                <c:v>-7.0439643991642971</c:v>
              </c:pt>
              <c:pt idx="4">
                <c:v>-6.0470955422909016</c:v>
              </c:pt>
              <c:pt idx="5">
                <c:v>-5.0504010849725072</c:v>
              </c:pt>
              <c:pt idx="6">
                <c:v>-4.0538864457460759</c:v>
              </c:pt>
              <c:pt idx="7">
                <c:v>-3.0575567933261141</c:v>
              </c:pt>
              <c:pt idx="8">
                <c:v>-2.0614169894474266</c:v>
              </c:pt>
              <c:pt idx="9">
                <c:v>-1.0654715263721464</c:v>
              </c:pt>
              <c:pt idx="10">
                <c:v>-6.97244587252972E-2</c:v>
              </c:pt>
              <c:pt idx="11">
                <c:v>0.92653092787105074</c:v>
              </c:pt>
              <c:pt idx="12">
                <c:v>1.9226701661646581</c:v>
              </c:pt>
              <c:pt idx="13">
                <c:v>2.9186888084423579</c:v>
              </c:pt>
              <c:pt idx="14">
                <c:v>3.9145899067468815</c:v>
              </c:pt>
              <c:pt idx="15">
                <c:v>4.9103773014566139</c:v>
              </c:pt>
              <c:pt idx="16">
                <c:v>5.9060538111202767</c:v>
              </c:pt>
              <c:pt idx="17">
                <c:v>6.9016267487543175</c:v>
              </c:pt>
              <c:pt idx="18">
                <c:v>7.8971027167532792</c:v>
              </c:pt>
              <c:pt idx="19">
                <c:v>8.8924893864465524</c:v>
              </c:pt>
              <c:pt idx="20">
                <c:v>9.8877955770160781</c:v>
              </c:pt>
              <c:pt idx="21">
                <c:v>10.883029001805786</c:v>
              </c:pt>
              <c:pt idx="22">
                <c:v>11.878203170401681</c:v>
              </c:pt>
              <c:pt idx="23">
                <c:v>12.873330854228927</c:v>
              </c:pt>
              <c:pt idx="24">
                <c:v>13.868426328102487</c:v>
              </c:pt>
              <c:pt idx="25">
                <c:v>14.863505469299307</c:v>
              </c:pt>
              <c:pt idx="26">
                <c:v>15.858585861032267</c:v>
              </c:pt>
              <c:pt idx="27">
                <c:v>16.853686900469274</c:v>
              </c:pt>
              <c:pt idx="28">
                <c:v>17.848829911447321</c:v>
              </c:pt>
              <c:pt idx="29">
                <c:v>18.844038262038808</c:v>
              </c:pt>
              <c:pt idx="30">
                <c:v>19.839337487135094</c:v>
              </c:pt>
              <c:pt idx="31">
                <c:v>20.83475541622126</c:v>
              </c:pt>
              <c:pt idx="32">
                <c:v>21.830322306525588</c:v>
              </c:pt>
              <c:pt idx="33">
                <c:v>22.826070981737747</c:v>
              </c:pt>
            </c:numLit>
          </c:xVal>
          <c:yVal>
            <c:numLit>
              <c:formatCode>General</c:formatCode>
              <c:ptCount val="34"/>
              <c:pt idx="0">
                <c:v>3.2055429850658324E-4</c:v>
              </c:pt>
              <c:pt idx="1">
                <c:v>3.5020879023814594E-4</c:v>
              </c:pt>
              <c:pt idx="2">
                <c:v>3.8235123852344135E-4</c:v>
              </c:pt>
              <c:pt idx="3">
                <c:v>4.1716832257387661E-4</c:v>
              </c:pt>
              <c:pt idx="4">
                <c:v>4.5485902020590482E-4</c:v>
              </c:pt>
              <c:pt idx="5">
                <c:v>4.9563530285770194E-4</c:v>
              </c:pt>
              <c:pt idx="6">
                <c:v>5.3972286360566622E-4</c:v>
              </c:pt>
              <c:pt idx="7">
                <c:v>5.873618795503245E-4</c:v>
              </c:pt>
              <c:pt idx="8">
                <c:v>6.3880781000941775E-4</c:v>
              </c:pt>
              <c:pt idx="9">
                <c:v>6.9433223203014031E-4</c:v>
              </c:pt>
              <c:pt idx="10">
                <c:v>7.5422371481342985E-4</c:v>
              </c:pt>
              <c:pt idx="11">
                <c:v>8.1094894186661099E-4</c:v>
              </c:pt>
              <c:pt idx="12">
                <c:v>8.7134646996364098E-4</c:v>
              </c:pt>
              <c:pt idx="13">
                <c:v>9.3570188408817544E-4</c:v>
              </c:pt>
              <c:pt idx="14">
                <c:v>1.0042374218400759E-3</c:v>
              </c:pt>
              <c:pt idx="15">
                <c:v>1.0771856001749857E-3</c:v>
              </c:pt>
              <c:pt idx="16">
                <c:v>1.154812634567477E-3</c:v>
              </c:pt>
              <c:pt idx="17">
                <c:v>1.2373529726576297E-3</c:v>
              </c:pt>
              <c:pt idx="18">
                <c:v>1.3250725415540391E-3</c:v>
              </c:pt>
              <c:pt idx="19">
                <c:v>1.4182491113921719E-3</c:v>
              </c:pt>
              <c:pt idx="20">
                <c:v>1.5171727086266814E-3</c:v>
              </c:pt>
              <c:pt idx="21">
                <c:v>1.622178442009625E-3</c:v>
              </c:pt>
              <c:pt idx="22">
                <c:v>1.7335541960372019E-3</c:v>
              </c:pt>
              <c:pt idx="23">
                <c:v>1.8516297681735034E-3</c:v>
              </c:pt>
              <c:pt idx="24">
                <c:v>1.9767490132750658E-3</c:v>
              </c:pt>
              <c:pt idx="25">
                <c:v>2.10927032081257E-3</c:v>
              </c:pt>
              <c:pt idx="26">
                <c:v>2.2495671062861596E-3</c:v>
              </c:pt>
              <c:pt idx="27">
                <c:v>2.3980283174961114E-3</c:v>
              </c:pt>
              <c:pt idx="28">
                <c:v>2.5550589563843114E-3</c:v>
              </c:pt>
              <c:pt idx="29">
                <c:v>2.7210806172209283E-3</c:v>
              </c:pt>
              <c:pt idx="30">
                <c:v>2.8965320419730616E-3</c:v>
              </c:pt>
              <c:pt idx="31">
                <c:v>3.0818696937599506E-3</c:v>
              </c:pt>
              <c:pt idx="32">
                <c:v>3.2775683493713736E-3</c:v>
              </c:pt>
              <c:pt idx="33">
                <c:v>3.4841217119041239E-3</c:v>
              </c:pt>
            </c:numLit>
          </c:yVal>
          <c:smooth val="1"/>
          <c:extLst>
            <c:ext xmlns:c16="http://schemas.microsoft.com/office/drawing/2014/chart" uri="{C3380CC4-5D6E-409C-BE32-E72D297353CC}">
              <c16:uniqueId val="{00000008-774A-40C1-BD06-DA789AA122DC}"/>
            </c:ext>
          </c:extLst>
        </c:ser>
        <c:ser>
          <c:idx val="7"/>
          <c:order val="7"/>
          <c:tx>
            <c:v>RH=20_Label1</c:v>
          </c:tx>
          <c:spPr>
            <a:ln w="3175">
              <a:solidFill>
                <a:srgbClr val="0000FF"/>
              </a:solidFill>
              <a:prstDash val="solid"/>
            </a:ln>
          </c:spPr>
          <c:marker>
            <c:symbol val="none"/>
          </c:marker>
          <c:dLbls>
            <c:dLbl>
              <c:idx val="0"/>
              <c:tx>
                <c:rich>
                  <a:bodyPr rot="-9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20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23.4634618281546</c:v>
              </c:pt>
            </c:numLit>
          </c:xVal>
          <c:yVal>
            <c:numLit>
              <c:formatCode>General</c:formatCode>
              <c:ptCount val="1"/>
              <c:pt idx="0">
                <c:v>3.6222486187216128E-3</c:v>
              </c:pt>
            </c:numLit>
          </c:yVal>
          <c:smooth val="0"/>
          <c:extLst>
            <c:ext xmlns:c16="http://schemas.microsoft.com/office/drawing/2014/chart" uri="{C3380CC4-5D6E-409C-BE32-E72D297353CC}">
              <c16:uniqueId val="{0000000A-774A-40C1-BD06-DA789AA122DC}"/>
            </c:ext>
          </c:extLst>
        </c:ser>
        <c:ser>
          <c:idx val="8"/>
          <c:order val="8"/>
          <c:tx>
            <c:v>RH=20_2</c:v>
          </c:tx>
          <c:spPr>
            <a:ln w="3175">
              <a:solidFill>
                <a:srgbClr val="0000FF"/>
              </a:solidFill>
              <a:prstDash val="solid"/>
            </a:ln>
          </c:spPr>
          <c:marker>
            <c:symbol val="none"/>
          </c:marker>
          <c:xVal>
            <c:numLit>
              <c:formatCode>General</c:formatCode>
              <c:ptCount val="21"/>
              <c:pt idx="0">
                <c:v>24.090989965522958</c:v>
              </c:pt>
              <c:pt idx="1">
                <c:v>25.08728670106132</c:v>
              </c:pt>
              <c:pt idx="2">
                <c:v>26.083889525140563</c:v>
              </c:pt>
              <c:pt idx="3">
                <c:v>27.080846559796672</c:v>
              </c:pt>
              <c:pt idx="4">
                <c:v>28.078206710864933</c:v>
              </c:pt>
              <c:pt idx="5">
                <c:v>29.07602246563086</c:v>
              </c:pt>
              <c:pt idx="6">
                <c:v>30.074350079513291</c:v>
              </c:pt>
              <c:pt idx="7">
                <c:v>31.073249770509715</c:v>
              </c:pt>
              <c:pt idx="8">
                <c:v>32.072785921759255</c:v>
              </c:pt>
              <c:pt idx="9">
                <c:v>33.073027292605012</c:v>
              </c:pt>
              <c:pt idx="10">
                <c:v>34.074047238566301</c:v>
              </c:pt>
              <c:pt idx="11">
                <c:v>35.075923940662001</c:v>
              </c:pt>
              <c:pt idx="12">
                <c:v>36.078740644560909</c:v>
              </c:pt>
              <c:pt idx="13">
                <c:v>37.082585910071032</c:v>
              </c:pt>
              <c:pt idx="14">
                <c:v>38.087553871520392</c:v>
              </c:pt>
              <c:pt idx="15">
                <c:v>39.093744509625317</c:v>
              </c:pt>
              <c:pt idx="16">
                <c:v>40.101263475245702</c:v>
              </c:pt>
              <c:pt idx="17">
                <c:v>41.110222635937923</c:v>
              </c:pt>
              <c:pt idx="18">
                <c:v>42.120742613179722</c:v>
              </c:pt>
              <c:pt idx="19">
                <c:v>43.132949797257567</c:v>
              </c:pt>
              <c:pt idx="20">
                <c:v>43.143080835819099</c:v>
              </c:pt>
            </c:numLit>
          </c:xVal>
          <c:yVal>
            <c:numLit>
              <c:formatCode>General</c:formatCode>
              <c:ptCount val="21"/>
              <c:pt idx="0">
                <c:v>3.762899562535327E-3</c:v>
              </c:pt>
              <c:pt idx="1">
                <c:v>3.9960515227318218E-3</c:v>
              </c:pt>
              <c:pt idx="2">
                <c:v>4.2418774317838923E-3</c:v>
              </c:pt>
              <c:pt idx="3">
                <c:v>4.5009049866489162E-3</c:v>
              </c:pt>
              <c:pt idx="4">
                <c:v>4.7737395125384907E-3</c:v>
              </c:pt>
              <c:pt idx="5">
                <c:v>5.0610096938973562E-3</c:v>
              </c:pt>
              <c:pt idx="6">
                <c:v>5.3633683765682734E-3</c:v>
              </c:pt>
              <c:pt idx="7">
                <c:v>5.6814934027757868E-3</c:v>
              </c:pt>
              <c:pt idx="8">
                <c:v>6.0160884810445394E-3</c:v>
              </c:pt>
              <c:pt idx="9">
                <c:v>6.3678840933275062E-3</c:v>
              </c:pt>
              <c:pt idx="10">
                <c:v>6.7376384417931747E-3</c:v>
              </c:pt>
              <c:pt idx="11">
                <c:v>7.1261384379044338E-3</c:v>
              </c:pt>
              <c:pt idx="12">
                <c:v>7.5342007366225091E-3</c:v>
              </c:pt>
              <c:pt idx="13">
                <c:v>7.9626728187814425E-3</c:v>
              </c:pt>
              <c:pt idx="14">
                <c:v>8.4124341249109912E-3</c:v>
              </c:pt>
              <c:pt idx="15">
                <c:v>8.8843972440316565E-3</c:v>
              </c:pt>
              <c:pt idx="16">
                <c:v>9.3795347447102571E-3</c:v>
              </c:pt>
              <c:pt idx="17">
                <c:v>9.8988796663613213E-3</c:v>
              </c:pt>
              <c:pt idx="18">
                <c:v>1.0443387106594744E-2</c:v>
              </c:pt>
              <c:pt idx="19">
                <c:v>1.1014116215220278E-2</c:v>
              </c:pt>
              <c:pt idx="20">
                <c:v>1.1019959610694009E-2</c:v>
              </c:pt>
            </c:numLit>
          </c:yVal>
          <c:smooth val="1"/>
          <c:extLst>
            <c:ext xmlns:c16="http://schemas.microsoft.com/office/drawing/2014/chart" uri="{C3380CC4-5D6E-409C-BE32-E72D297353CC}">
              <c16:uniqueId val="{0000000B-774A-40C1-BD06-DA789AA122DC}"/>
            </c:ext>
          </c:extLst>
        </c:ser>
        <c:ser>
          <c:idx val="9"/>
          <c:order val="9"/>
          <c:tx>
            <c:v>RH=20_Label2</c:v>
          </c:tx>
          <c:spPr>
            <a:ln w="3175">
              <a:solidFill>
                <a:srgbClr val="0000FF"/>
              </a:solidFill>
              <a:prstDash val="solid"/>
            </a:ln>
          </c:spPr>
          <c:marker>
            <c:symbol val="none"/>
          </c:marker>
          <c:dLbls>
            <c:dLbl>
              <c:idx val="0"/>
              <c:tx>
                <c:rich>
                  <a:bodyPr rot="-22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20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43.447097324768826</c:v>
              </c:pt>
            </c:numLit>
          </c:xVal>
          <c:yVal>
            <c:numLit>
              <c:formatCode>General</c:formatCode>
              <c:ptCount val="1"/>
              <c:pt idx="0">
                <c:v>1.1196537306347976E-2</c:v>
              </c:pt>
            </c:numLit>
          </c:yVal>
          <c:smooth val="0"/>
          <c:extLst>
            <c:ext xmlns:c16="http://schemas.microsoft.com/office/drawing/2014/chart" uri="{C3380CC4-5D6E-409C-BE32-E72D297353CC}">
              <c16:uniqueId val="{0000000D-774A-40C1-BD06-DA789AA122DC}"/>
            </c:ext>
          </c:extLst>
        </c:ser>
        <c:ser>
          <c:idx val="10"/>
          <c:order val="10"/>
          <c:tx>
            <c:v>RH=20_3</c:v>
          </c:tx>
          <c:spPr>
            <a:ln w="3175">
              <a:solidFill>
                <a:srgbClr val="0000FF"/>
              </a:solidFill>
              <a:prstDash val="solid"/>
            </a:ln>
          </c:spPr>
          <c:marker>
            <c:symbol val="none"/>
          </c:marker>
          <c:dLbls>
            <c:dLbl>
              <c:idx val="3"/>
              <c:tx>
                <c:rich>
                  <a:bodyPr rot="-2520000" vert="horz" wrap="square" lIns="0" tIns="0" rIns="0" bIns="0" anchor="ctr">
                    <a:spAutoFit/>
                  </a:bodyPr>
                  <a:lstStyle/>
                  <a:p>
                    <a:pPr algn="ctr">
                      <a:defRPr altLang="en-US" sz="700" i="1" u="none" strike="noStrike" baseline="0">
                        <a:latin typeface="ＭＳ Ｐ明朝"/>
                        <a:ea typeface="ＭＳ Ｐ明朝"/>
                        <a:cs typeface="ＭＳ Ｐ明朝"/>
                      </a:defRPr>
                    </a:pPr>
                    <a:r>
                      <a:rPr lang="ja-JP" altLang="en-US"/>
                      <a:t>相対湿度 </a:t>
                    </a:r>
                    <a:r>
                      <a:rPr lang="el-GR"/>
                      <a:t>φ[</a:t>
                    </a:r>
                    <a:r>
                      <a:rPr lang="ja-JP" altLang="el-GR"/>
                      <a:t>％</a:t>
                    </a:r>
                    <a:r>
                      <a:rPr lang="el-GR"/>
                      <a:t>]
</a:t>
                    </a:r>
                    <a:endParaRPr lang="el-GR" altLang="ja-JP"/>
                  </a:p>
                </c:rich>
              </c:tx>
              <c:spPr>
                <a:solidFill>
                  <a:srgbClr val="FFFFFF">
                    <a:alpha val="0"/>
                  </a:srgbClr>
                </a:solidFill>
                <a:ln>
                  <a:noFill/>
                </a:ln>
                <a:effectLst/>
              </c:sp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8"/>
              <c:pt idx="0">
                <c:v>43.751281523767183</c:v>
              </c:pt>
              <c:pt idx="1">
                <c:v>44.766489529880268</c:v>
              </c:pt>
              <c:pt idx="2">
                <c:v>45.783750430022089</c:v>
              </c:pt>
              <c:pt idx="3">
                <c:v>46.803219082404993</c:v>
              </c:pt>
              <c:pt idx="4">
                <c:v>47.825059125327186</c:v>
              </c:pt>
              <c:pt idx="5">
                <c:v>48.849443401728202</c:v>
              </c:pt>
              <c:pt idx="6">
                <c:v>49.876554405498752</c:v>
              </c:pt>
              <c:pt idx="7">
                <c:v>50.000000000000007</c:v>
              </c:pt>
            </c:numLit>
          </c:xVal>
          <c:yVal>
            <c:numLit>
              <c:formatCode>General</c:formatCode>
              <c:ptCount val="8"/>
              <c:pt idx="0">
                <c:v>1.1375605022333236E-2</c:v>
              </c:pt>
              <c:pt idx="1">
                <c:v>1.199087837496329E-2</c:v>
              </c:pt>
              <c:pt idx="2">
                <c:v>1.2635330853661442E-2</c:v>
              </c:pt>
              <c:pt idx="3">
                <c:v>1.3310174231557656E-2</c:v>
              </c:pt>
              <c:pt idx="4">
                <c:v>1.4016666646594227E-2</c:v>
              </c:pt>
              <c:pt idx="5">
                <c:v>1.475611456481781E-2</c:v>
              </c:pt>
              <c:pt idx="6">
                <c:v>1.5529874857761593E-2</c:v>
              </c:pt>
              <c:pt idx="7">
                <c:v>1.5625098253228449E-2</c:v>
              </c:pt>
            </c:numLit>
          </c:yVal>
          <c:smooth val="1"/>
          <c:extLst>
            <c:ext xmlns:c16="http://schemas.microsoft.com/office/drawing/2014/chart" uri="{C3380CC4-5D6E-409C-BE32-E72D297353CC}">
              <c16:uniqueId val="{0000000F-774A-40C1-BD06-DA789AA122DC}"/>
            </c:ext>
          </c:extLst>
        </c:ser>
        <c:ser>
          <c:idx val="11"/>
          <c:order val="11"/>
          <c:tx>
            <c:v>RH=30_1</c:v>
          </c:tx>
          <c:spPr>
            <a:ln w="3175">
              <a:solidFill>
                <a:srgbClr val="0000FF"/>
              </a:solidFill>
              <a:prstDash val="solid"/>
            </a:ln>
          </c:spPr>
          <c:marker>
            <c:symbol val="none"/>
          </c:marker>
          <c:xVal>
            <c:numLit>
              <c:formatCode>General</c:formatCode>
              <c:ptCount val="32"/>
              <c:pt idx="0">
                <c:v>-10.053354493943724</c:v>
              </c:pt>
              <c:pt idx="1">
                <c:v>-9.0573201818931413</c:v>
              </c:pt>
              <c:pt idx="2">
                <c:v>-8.0615219688362885</c:v>
              </c:pt>
              <c:pt idx="3">
                <c:v>-7.0659687216933014</c:v>
              </c:pt>
              <c:pt idx="4">
                <c:v>-6.0706691538991491</c:v>
              </c:pt>
              <c:pt idx="5">
                <c:v>-5.0756317616842264</c:v>
              </c:pt>
              <c:pt idx="6">
                <c:v>-4.0808647537958755</c:v>
              </c:pt>
              <c:pt idx="7">
                <c:v>-3.0863759742222392</c:v>
              </c:pt>
              <c:pt idx="8">
                <c:v>-2.0921728174581125</c:v>
              </c:pt>
              <c:pt idx="9">
                <c:v>-1.0982621358298799</c:v>
              </c:pt>
              <c:pt idx="10">
                <c:v>-0.10465013837261665</c:v>
              </c:pt>
              <c:pt idx="11">
                <c:v>0.88972450219737909</c:v>
              </c:pt>
              <c:pt idx="12">
                <c:v>1.8839239424018834</c:v>
              </c:pt>
              <c:pt idx="13">
                <c:v>2.8779414006588313</c:v>
              </c:pt>
              <c:pt idx="14">
                <c:v>3.871781350388404</c:v>
              </c:pt>
              <c:pt idx="15">
                <c:v>4.8654494404600808</c:v>
              </c:pt>
              <c:pt idx="16">
                <c:v>5.8589497747029542</c:v>
              </c:pt>
              <c:pt idx="17">
                <c:v>6.8522932008453763</c:v>
              </c:pt>
              <c:pt idx="18">
                <c:v>7.8454894897457255</c:v>
              </c:pt>
              <c:pt idx="19">
                <c:v>8.8385500091965099</c:v>
              </c:pt>
              <c:pt idx="20">
                <c:v>9.8314878428015433</c:v>
              </c:pt>
              <c:pt idx="21">
                <c:v>10.824314400976062</c:v>
              </c:pt>
              <c:pt idx="22">
                <c:v>11.817049800389974</c:v>
              </c:pt>
              <c:pt idx="23">
                <c:v>12.809713039921014</c:v>
              </c:pt>
              <c:pt idx="24">
                <c:v>13.802325371823336</c:v>
              </c:pt>
              <c:pt idx="25">
                <c:v>14.794910452175319</c:v>
              </c:pt>
              <c:pt idx="26">
                <c:v>15.787494498334434</c:v>
              </c:pt>
              <c:pt idx="27">
                <c:v>16.780106453672715</c:v>
              </c:pt>
              <c:pt idx="28">
                <c:v>17.772778159883224</c:v>
              </c:pt>
              <c:pt idx="29">
                <c:v>18.765544537166129</c:v>
              </c:pt>
              <c:pt idx="30">
                <c:v>19.758443772623167</c:v>
              </c:pt>
              <c:pt idx="31">
                <c:v>20.24502537845661</c:v>
              </c:pt>
            </c:numLit>
          </c:xVal>
          <c:yVal>
            <c:numLit>
              <c:formatCode>General</c:formatCode>
              <c:ptCount val="32"/>
              <c:pt idx="0">
                <c:v>4.8095538447478798E-4</c:v>
              </c:pt>
              <c:pt idx="1">
                <c:v>5.2546111704482746E-4</c:v>
              </c:pt>
              <c:pt idx="2">
                <c:v>5.7370319474700678E-4</c:v>
              </c:pt>
              <c:pt idx="3">
                <c:v>6.2596240354141543E-4</c:v>
              </c:pt>
              <c:pt idx="4">
                <c:v>6.8253810313502938E-4</c:v>
              </c:pt>
              <c:pt idx="5">
                <c:v>7.4374928889864127E-4</c:v>
              </c:pt>
              <c:pt idx="6">
                <c:v>8.0993570607976032E-4</c:v>
              </c:pt>
              <c:pt idx="7">
                <c:v>8.8145901874186257E-4</c:v>
              </c:pt>
              <c:pt idx="8">
                <c:v>9.5870403600972981E-4</c:v>
              </c:pt>
              <c:pt idx="9">
                <c:v>1.042079998364528E-3</c:v>
              </c:pt>
              <c:pt idx="10">
                <c:v>1.1320219269123908E-3</c:v>
              </c:pt>
              <c:pt idx="11">
                <c:v>1.2172169276874775E-3</c:v>
              </c:pt>
              <c:pt idx="12">
                <c:v>1.3079358640647994E-3</c:v>
              </c:pt>
              <c:pt idx="13">
                <c:v>1.4046093678473526E-3</c:v>
              </c:pt>
              <c:pt idx="14">
                <c:v>1.5075731826702395E-3</c:v>
              </c:pt>
              <c:pt idx="15">
                <c:v>1.6171787681858833E-3</c:v>
              </c:pt>
              <c:pt idx="16">
                <c:v>1.7338285269895967E-3</c:v>
              </c:pt>
              <c:pt idx="17">
                <c:v>1.8578774687365771E-3</c:v>
              </c:pt>
              <c:pt idx="18">
                <c:v>1.9897282810522198E-3</c:v>
              </c:pt>
              <c:pt idx="19">
                <c:v>2.1298018718635013E-3</c:v>
              </c:pt>
              <c:pt idx="20">
                <c:v>2.278538039538269E-3</c:v>
              </c:pt>
              <c:pt idx="21">
                <c:v>2.4364448941009312E-3</c:v>
              </c:pt>
              <c:pt idx="22">
                <c:v>2.6039601132949388E-3</c:v>
              </c:pt>
              <c:pt idx="23">
                <c:v>2.7815850310877644E-3</c:v>
              </c:pt>
              <c:pt idx="24">
                <c:v>2.9698428307306547E-3</c:v>
              </c:pt>
              <c:pt idx="25">
                <c:v>3.1692793411924403E-3</c:v>
              </c:pt>
              <c:pt idx="26">
                <c:v>3.3804638626748922E-3</c:v>
              </c:pt>
              <c:pt idx="27">
                <c:v>3.6039900228942794E-3</c:v>
              </c:pt>
              <c:pt idx="28">
                <c:v>3.840476665952176E-3</c:v>
              </c:pt>
              <c:pt idx="29">
                <c:v>4.0905687757696188E-3</c:v>
              </c:pt>
              <c:pt idx="30">
                <c:v>4.3549384362202544E-3</c:v>
              </c:pt>
              <c:pt idx="31">
                <c:v>4.4899026259122817E-3</c:v>
              </c:pt>
            </c:numLit>
          </c:yVal>
          <c:smooth val="1"/>
          <c:extLst>
            <c:ext xmlns:c16="http://schemas.microsoft.com/office/drawing/2014/chart" uri="{C3380CC4-5D6E-409C-BE32-E72D297353CC}">
              <c16:uniqueId val="{00000010-774A-40C1-BD06-DA789AA122DC}"/>
            </c:ext>
          </c:extLst>
        </c:ser>
        <c:ser>
          <c:idx val="12"/>
          <c:order val="12"/>
          <c:tx>
            <c:v>RH=30_Label1</c:v>
          </c:tx>
          <c:spPr>
            <a:ln w="3175">
              <a:solidFill>
                <a:srgbClr val="0000FF"/>
              </a:solidFill>
              <a:prstDash val="solid"/>
            </a:ln>
          </c:spPr>
          <c:marker>
            <c:symbol val="none"/>
          </c:marker>
          <c:dLbls>
            <c:dLbl>
              <c:idx val="0"/>
              <c:tx>
                <c:rich>
                  <a:bodyPr rot="-12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20.811108461403002</c:v>
              </c:pt>
            </c:numLit>
          </c:xVal>
          <c:yVal>
            <c:numLit>
              <c:formatCode>General</c:formatCode>
              <c:ptCount val="1"/>
              <c:pt idx="0">
                <c:v>4.6515387384462158E-3</c:v>
              </c:pt>
            </c:numLit>
          </c:yVal>
          <c:smooth val="0"/>
          <c:extLst>
            <c:ext xmlns:c16="http://schemas.microsoft.com/office/drawing/2014/chart" uri="{C3380CC4-5D6E-409C-BE32-E72D297353CC}">
              <c16:uniqueId val="{00000012-774A-40C1-BD06-DA789AA122DC}"/>
            </c:ext>
          </c:extLst>
        </c:ser>
        <c:ser>
          <c:idx val="13"/>
          <c:order val="13"/>
          <c:tx>
            <c:v>RH=30_2</c:v>
          </c:tx>
          <c:spPr>
            <a:ln w="3175">
              <a:solidFill>
                <a:srgbClr val="0000FF"/>
              </a:solidFill>
              <a:prstDash val="solid"/>
            </a:ln>
          </c:spPr>
          <c:marker>
            <c:symbol val="none"/>
          </c:marker>
          <c:xVal>
            <c:numLit>
              <c:formatCode>General</c:formatCode>
              <c:ptCount val="18"/>
              <c:pt idx="0">
                <c:v>21.377263818739706</c:v>
              </c:pt>
              <c:pt idx="1">
                <c:v>22.370720895339069</c:v>
              </c:pt>
              <c:pt idx="2">
                <c:v>23.364480102613534</c:v>
              </c:pt>
              <c:pt idx="3">
                <c:v>24.35859746559164</c:v>
              </c:pt>
              <c:pt idx="4">
                <c:v>25.353129999964821</c:v>
              </c:pt>
              <c:pt idx="5">
                <c:v>26.348144260675021</c:v>
              </c:pt>
              <c:pt idx="6">
                <c:v>27.343712590614235</c:v>
              </c:pt>
              <c:pt idx="7">
                <c:v>28.339910613496379</c:v>
              </c:pt>
              <c:pt idx="8">
                <c:v>29.336819542810858</c:v>
              </c:pt>
              <c:pt idx="9">
                <c:v>30.334526485832559</c:v>
              </c:pt>
              <c:pt idx="10">
                <c:v>31.333124762061246</c:v>
              </c:pt>
              <c:pt idx="11">
                <c:v>32.332714236929732</c:v>
              </c:pt>
              <c:pt idx="12">
                <c:v>33.333401671690773</c:v>
              </c:pt>
              <c:pt idx="13">
                <c:v>34.335301090470558</c:v>
              </c:pt>
              <c:pt idx="14">
                <c:v>35.338534165561015</c:v>
              </c:pt>
              <c:pt idx="15">
                <c:v>36.343230622116273</c:v>
              </c:pt>
              <c:pt idx="16">
                <c:v>37.349528663520069</c:v>
              </c:pt>
              <c:pt idx="17">
                <c:v>38.286952001805297</c:v>
              </c:pt>
            </c:numLit>
          </c:xVal>
          <c:yVal>
            <c:numLit>
              <c:formatCode>General</c:formatCode>
              <c:ptCount val="18"/>
              <c:pt idx="0">
                <c:v>4.8182920461159124E-3</c:v>
              </c:pt>
              <c:pt idx="1">
                <c:v>5.1236299709849099E-3</c:v>
              </c:pt>
              <c:pt idx="2">
                <c:v>5.445929040633163E-3</c:v>
              </c:pt>
              <c:pt idx="3">
                <c:v>5.7860005173922934E-3</c:v>
              </c:pt>
              <c:pt idx="4">
                <c:v>6.1447668346722162E-3</c:v>
              </c:pt>
              <c:pt idx="5">
                <c:v>6.5230875389578839E-3</c:v>
              </c:pt>
              <c:pt idx="6">
                <c:v>6.9218359323902426E-3</c:v>
              </c:pt>
              <c:pt idx="7">
                <c:v>7.3419657449303828E-3</c:v>
              </c:pt>
              <c:pt idx="8">
                <c:v>7.7844695692135405E-3</c:v>
              </c:pt>
              <c:pt idx="9">
                <c:v>8.2503804034741533E-3</c:v>
              </c:pt>
              <c:pt idx="10">
                <c:v>8.7407732735813454E-3</c:v>
              </c:pt>
              <c:pt idx="11">
                <c:v>9.256766939931332E-3</c:v>
              </c:pt>
              <c:pt idx="12">
                <c:v>9.7995256954131298E-3</c:v>
              </c:pt>
              <c:pt idx="13">
                <c:v>1.0370261261171108E-2</c:v>
              </c:pt>
              <c:pt idx="14">
                <c:v>1.0970234787438431E-2</c:v>
              </c:pt>
              <c:pt idx="15">
                <c:v>1.1600758967316551E-2</c:v>
              </c:pt>
              <c:pt idx="16">
                <c:v>1.226320027202504E-2</c:v>
              </c:pt>
              <c:pt idx="17">
                <c:v>1.2909160753810515E-2</c:v>
              </c:pt>
            </c:numLit>
          </c:yVal>
          <c:smooth val="1"/>
          <c:extLst>
            <c:ext xmlns:c16="http://schemas.microsoft.com/office/drawing/2014/chart" uri="{C3380CC4-5D6E-409C-BE32-E72D297353CC}">
              <c16:uniqueId val="{00000013-774A-40C1-BD06-DA789AA122DC}"/>
            </c:ext>
          </c:extLst>
        </c:ser>
        <c:ser>
          <c:idx val="14"/>
          <c:order val="14"/>
          <c:tx>
            <c:v>RH=30_Label2</c:v>
          </c:tx>
          <c:spPr>
            <a:ln w="3175">
              <a:solidFill>
                <a:srgbClr val="0000FF"/>
              </a:solidFill>
              <a:prstDash val="solid"/>
            </a:ln>
          </c:spPr>
          <c:marker>
            <c:symbol val="none"/>
          </c:marker>
          <c:dLbls>
            <c:dLbl>
              <c:idx val="0"/>
              <c:tx>
                <c:rich>
                  <a:bodyPr rot="-264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38.589689789328688</c:v>
              </c:pt>
            </c:numLit>
          </c:xVal>
          <c:yVal>
            <c:numLit>
              <c:formatCode>General</c:formatCode>
              <c:ptCount val="1"/>
              <c:pt idx="0">
                <c:v>1.3123881389130688E-2</c:v>
              </c:pt>
            </c:numLit>
          </c:yVal>
          <c:smooth val="0"/>
          <c:extLst>
            <c:ext xmlns:c16="http://schemas.microsoft.com/office/drawing/2014/chart" uri="{C3380CC4-5D6E-409C-BE32-E72D297353CC}">
              <c16:uniqueId val="{00000015-774A-40C1-BD06-DA789AA122DC}"/>
            </c:ext>
          </c:extLst>
        </c:ser>
        <c:ser>
          <c:idx val="15"/>
          <c:order val="15"/>
          <c:tx>
            <c:v>RH=30_3</c:v>
          </c:tx>
          <c:spPr>
            <a:ln w="3175">
              <a:solidFill>
                <a:srgbClr val="0000FF"/>
              </a:solidFill>
              <a:prstDash val="solid"/>
            </a:ln>
          </c:spPr>
          <c:marker>
            <c:symbol val="none"/>
          </c:marker>
          <c:xVal>
            <c:numLit>
              <c:formatCode>General</c:formatCode>
              <c:ptCount val="12"/>
              <c:pt idx="0">
                <c:v>38.892602344462084</c:v>
              </c:pt>
              <c:pt idx="1">
                <c:v>39.903630523991851</c:v>
              </c:pt>
              <c:pt idx="2">
                <c:v>40.916820712497518</c:v>
              </c:pt>
              <c:pt idx="3">
                <c:v>41.932357840698131</c:v>
              </c:pt>
              <c:pt idx="4">
                <c:v>42.950435837011995</c:v>
              </c:pt>
              <c:pt idx="5">
                <c:v>43.971260512090304</c:v>
              </c:pt>
              <c:pt idx="6">
                <c:v>44.995050194605206</c:v>
              </c:pt>
              <c:pt idx="7">
                <c:v>46.022036404376692</c:v>
              </c:pt>
              <c:pt idx="8">
                <c:v>47.052464565732187</c:v>
              </c:pt>
              <c:pt idx="9">
                <c:v>48.086594764263893</c:v>
              </c:pt>
              <c:pt idx="10">
                <c:v>49.124702550447587</c:v>
              </c:pt>
              <c:pt idx="11">
                <c:v>50</c:v>
              </c:pt>
            </c:numLit>
          </c:xVal>
          <c:yVal>
            <c:numLit>
              <c:formatCode>General</c:formatCode>
              <c:ptCount val="12"/>
              <c:pt idx="0">
                <c:v>1.3341766926117184E-2</c:v>
              </c:pt>
              <c:pt idx="1">
                <c:v>1.4091468488515061E-2</c:v>
              </c:pt>
              <c:pt idx="2">
                <c:v>1.4878506983621821E-2</c:v>
              </c:pt>
              <c:pt idx="3">
                <c:v>1.5704411637157415E-2</c:v>
              </c:pt>
              <c:pt idx="4">
                <c:v>1.6570894482639917E-2</c:v>
              </c:pt>
              <c:pt idx="5">
                <c:v>1.7479739729448066E-2</c:v>
              </c:pt>
              <c:pt idx="6">
                <c:v>1.8432807276633257E-2</c:v>
              </c:pt>
              <c:pt idx="7">
                <c:v>1.9432036457920871E-2</c:v>
              </c:pt>
              <c:pt idx="8">
                <c:v>2.0479450036616827E-2</c:v>
              </c:pt>
              <c:pt idx="9">
                <c:v>2.1577158470815844E-2</c:v>
              </c:pt>
              <c:pt idx="10">
                <c:v>2.272736447115447E-2</c:v>
              </c:pt>
              <c:pt idx="11">
                <c:v>2.3735787197097544E-2</c:v>
              </c:pt>
            </c:numLit>
          </c:yVal>
          <c:smooth val="1"/>
          <c:extLst>
            <c:ext xmlns:c16="http://schemas.microsoft.com/office/drawing/2014/chart" uri="{C3380CC4-5D6E-409C-BE32-E72D297353CC}">
              <c16:uniqueId val="{00000016-774A-40C1-BD06-DA789AA122DC}"/>
            </c:ext>
          </c:extLst>
        </c:ser>
        <c:ser>
          <c:idx val="16"/>
          <c:order val="16"/>
          <c:tx>
            <c:v>RH=40_1</c:v>
          </c:tx>
          <c:spPr>
            <a:ln w="3175">
              <a:solidFill>
                <a:srgbClr val="0000FF"/>
              </a:solidFill>
              <a:prstDash val="solid"/>
            </a:ln>
          </c:spPr>
          <c:marker>
            <c:symbol val="none"/>
          </c:marker>
          <c:xVal>
            <c:numLit>
              <c:formatCode>General</c:formatCode>
              <c:ptCount val="30"/>
              <c:pt idx="0">
                <c:v>-10.071157666503382</c:v>
              </c:pt>
              <c:pt idx="1">
                <c:v>-9.0764484375794456</c:v>
              </c:pt>
              <c:pt idx="2">
                <c:v>-8.0820545203209271</c:v>
              </c:pt>
              <c:pt idx="3">
                <c:v>-7.0879878126509359</c:v>
              </c:pt>
              <c:pt idx="4">
                <c:v>-6.094260017697489</c:v>
              </c:pt>
              <c:pt idx="5">
                <c:v>-5.1008825599224101</c:v>
              </c:pt>
              <c:pt idx="6">
                <c:v>-4.107866492592299</c:v>
              </c:pt>
              <c:pt idx="7">
                <c:v>-3.1152223960079723</c:v>
              </c:pt>
              <c:pt idx="8">
                <c:v>-2.1229602658786209</c:v>
              </c:pt>
              <c:pt idx="9">
                <c:v>-1.1310893911950206</c:v>
              </c:pt>
              <c:pt idx="10">
                <c:v>-0.1396182209221522</c:v>
              </c:pt>
              <c:pt idx="11">
                <c:v>0.85287002497976261</c:v>
              </c:pt>
              <c:pt idx="12">
                <c:v>1.8451233619897396</c:v>
              </c:pt>
              <c:pt idx="13">
                <c:v>2.8371326004330104</c:v>
              </c:pt>
              <c:pt idx="14">
                <c:v>3.8289035643484142</c:v>
              </c:pt>
              <c:pt idx="15">
                <c:v>4.8204436354700766</c:v>
              </c:pt>
              <c:pt idx="16">
                <c:v>5.8117581188760123</c:v>
              </c:pt>
              <c:pt idx="17">
                <c:v>6.8028613142570338</c:v>
              </c:pt>
              <c:pt idx="18">
                <c:v>7.7937660706380818</c:v>
              </c:pt>
              <c:pt idx="19">
                <c:v>8.784487357391205</c:v>
              </c:pt>
              <c:pt idx="20">
                <c:v>9.7750424233722342</c:v>
              </c:pt>
              <c:pt idx="21">
                <c:v>10.765446266884746</c:v>
              </c:pt>
              <c:pt idx="22">
                <c:v>11.755725510122451</c:v>
              </c:pt>
              <c:pt idx="23">
                <c:v>12.745905270364457</c:v>
              </c:pt>
              <c:pt idx="24">
                <c:v>13.736013666649088</c:v>
              </c:pt>
              <c:pt idx="25">
                <c:v>14.726082022781892</c:v>
              </c:pt>
              <c:pt idx="26">
                <c:v>15.71614508022641</c:v>
              </c:pt>
              <c:pt idx="27">
                <c:v>16.706241221322188</c:v>
              </c:pt>
              <c:pt idx="28">
                <c:v>17.696412703306457</c:v>
              </c:pt>
              <c:pt idx="29">
                <c:v>18.171735229623049</c:v>
              </c:pt>
            </c:numLit>
          </c:xVal>
          <c:yVal>
            <c:numLit>
              <c:formatCode>General</c:formatCode>
              <c:ptCount val="30"/>
              <c:pt idx="0">
                <c:v>6.4143918012905593E-4</c:v>
              </c:pt>
              <c:pt idx="1">
                <c:v>7.008121760973331E-4</c:v>
              </c:pt>
              <c:pt idx="2">
                <c:v>7.651728535674235E-4</c:v>
              </c:pt>
              <c:pt idx="3">
                <c:v>8.3489661881570713E-4</c:v>
              </c:pt>
              <c:pt idx="4">
                <c:v>9.1038381147920844E-4</c:v>
              </c:pt>
              <c:pt idx="5">
                <c:v>9.9206114645107807E-4</c:v>
              </c:pt>
              <c:pt idx="6">
                <c:v>1.0803832292697476E-3</c:v>
              </c:pt>
              <c:pt idx="7">
                <c:v>1.1758341487524879E-3</c:v>
              </c:pt>
              <c:pt idx="8">
                <c:v>1.2789291508880532E-3</c:v>
              </c:pt>
              <c:pt idx="9">
                <c:v>1.3902163982942313E-3</c:v>
              </c:pt>
              <c:pt idx="10">
                <c:v>1.5102788198675821E-3</c:v>
              </c:pt>
              <c:pt idx="11">
                <c:v>1.6240153047000082E-3</c:v>
              </c:pt>
              <c:pt idx="12">
                <c:v>1.7451377446048627E-3</c:v>
              </c:pt>
              <c:pt idx="13">
                <c:v>1.8742233352138143E-3</c:v>
              </c:pt>
              <c:pt idx="14">
                <c:v>2.0117229343793344E-3</c:v>
              </c:pt>
              <c:pt idx="15">
                <c:v>2.1581087540872529E-3</c:v>
              </c:pt>
              <c:pt idx="16">
                <c:v>2.3139214615192092E-3</c:v>
              </c:pt>
              <c:pt idx="17">
                <c:v>2.4796388829385293E-3</c:v>
              </c:pt>
              <c:pt idx="18">
                <c:v>2.6558030330016539E-3</c:v>
              </c:pt>
              <c:pt idx="19">
                <c:v>2.8429808348341017E-3</c:v>
              </c:pt>
              <c:pt idx="20">
                <c:v>3.0417650818216663E-3</c:v>
              </c:pt>
              <c:pt idx="21">
                <c:v>3.2528405778045949E-3</c:v>
              </c:pt>
              <c:pt idx="22">
                <c:v>3.4767987665084011E-3</c:v>
              </c:pt>
              <c:pt idx="23">
                <c:v>3.7143170301272206E-3</c:v>
              </c:pt>
              <c:pt idx="24">
                <c:v>3.9661029174285749E-3</c:v>
              </c:pt>
              <c:pt idx="25">
                <c:v>4.2328953161507891E-3</c:v>
              </c:pt>
              <c:pt idx="26">
                <c:v>4.5154656750827386E-3</c:v>
              </c:pt>
              <c:pt idx="27">
                <c:v>4.8146192790791617E-3</c:v>
              </c:pt>
              <c:pt idx="28">
                <c:v>5.1311965805394127E-3</c:v>
              </c:pt>
              <c:pt idx="29">
                <c:v>5.289598667499288E-3</c:v>
              </c:pt>
            </c:numLit>
          </c:yVal>
          <c:smooth val="1"/>
          <c:extLst>
            <c:ext xmlns:c16="http://schemas.microsoft.com/office/drawing/2014/chart" uri="{C3380CC4-5D6E-409C-BE32-E72D297353CC}">
              <c16:uniqueId val="{00000017-774A-40C1-BD06-DA789AA122DC}"/>
            </c:ext>
          </c:extLst>
        </c:ser>
        <c:ser>
          <c:idx val="17"/>
          <c:order val="17"/>
          <c:tx>
            <c:v>RH=40_Label1</c:v>
          </c:tx>
          <c:spPr>
            <a:ln w="3175">
              <a:solidFill>
                <a:srgbClr val="0000FF"/>
              </a:solidFill>
              <a:prstDash val="solid"/>
            </a:ln>
          </c:spPr>
          <c:marker>
            <c:symbol val="none"/>
          </c:marker>
          <c:dLbls>
            <c:dLbl>
              <c:idx val="0"/>
              <c:tx>
                <c:rich>
                  <a:bodyPr rot="-15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18.696609618261668</c:v>
              </c:pt>
            </c:numLit>
          </c:xVal>
          <c:yVal>
            <c:numLit>
              <c:formatCode>General</c:formatCode>
              <c:ptCount val="1"/>
              <c:pt idx="0">
                <c:v>5.4695188532680209E-3</c:v>
              </c:pt>
            </c:numLit>
          </c:yVal>
          <c:smooth val="0"/>
          <c:extLst>
            <c:ext xmlns:c16="http://schemas.microsoft.com/office/drawing/2014/chart" uri="{C3380CC4-5D6E-409C-BE32-E72D297353CC}">
              <c16:uniqueId val="{00000019-774A-40C1-BD06-DA789AA122DC}"/>
            </c:ext>
          </c:extLst>
        </c:ser>
        <c:ser>
          <c:idx val="18"/>
          <c:order val="18"/>
          <c:tx>
            <c:v>RH=40_2</c:v>
          </c:tx>
          <c:spPr>
            <a:ln w="3175">
              <a:solidFill>
                <a:srgbClr val="0000FF"/>
              </a:solidFill>
              <a:prstDash val="solid"/>
            </a:ln>
          </c:spPr>
          <c:marker>
            <c:symbol val="none"/>
          </c:marker>
          <c:xVal>
            <c:numLit>
              <c:formatCode>General</c:formatCode>
              <c:ptCount val="17"/>
              <c:pt idx="0">
                <c:v>19.211627821712195</c:v>
              </c:pt>
              <c:pt idx="1">
                <c:v>20.202207062511963</c:v>
              </c:pt>
              <c:pt idx="2">
                <c:v>21.193045521947305</c:v>
              </c:pt>
              <c:pt idx="3">
                <c:v>22.184206264025072</c:v>
              </c:pt>
              <c:pt idx="4">
                <c:v>23.175757742162592</c:v>
              </c:pt>
              <c:pt idx="5">
                <c:v>24.167774118297825</c:v>
              </c:pt>
              <c:pt idx="6">
                <c:v>25.1603316445307</c:v>
              </c:pt>
              <c:pt idx="7">
                <c:v>26.153517149618409</c:v>
              </c:pt>
              <c:pt idx="8">
                <c:v>27.14742747249446</c:v>
              </c:pt>
              <c:pt idx="9">
                <c:v>28.142163180108163</c:v>
              </c:pt>
              <c:pt idx="10">
                <c:v>29.137832409025819</c:v>
              </c:pt>
              <c:pt idx="11">
                <c:v>30.134551295721444</c:v>
              </c:pt>
              <c:pt idx="12">
                <c:v>31.132444429611024</c:v>
              </c:pt>
              <c:pt idx="13">
                <c:v>32.131645330365913</c:v>
              </c:pt>
              <c:pt idx="14">
                <c:v>33.132296951182454</c:v>
              </c:pt>
              <c:pt idx="15">
                <c:v>34.13455220983942</c:v>
              </c:pt>
              <c:pt idx="16">
                <c:v>34.726700730219605</c:v>
              </c:pt>
            </c:numLit>
          </c:xVal>
          <c:yVal>
            <c:numLit>
              <c:formatCode>General</c:formatCode>
              <c:ptCount val="17"/>
              <c:pt idx="0">
                <c:v>5.6512912640590517E-3</c:v>
              </c:pt>
              <c:pt idx="1">
                <c:v>6.0159538060022208E-3</c:v>
              </c:pt>
              <c:pt idx="2">
                <c:v>6.4013091486796996E-3</c:v>
              </c:pt>
              <c:pt idx="3">
                <c:v>6.8083754788367118E-3</c:v>
              </c:pt>
              <c:pt idx="4">
                <c:v>7.2382147244076525E-3</c:v>
              </c:pt>
              <c:pt idx="5">
                <c:v>7.6919343649579095E-3</c:v>
              </c:pt>
              <c:pt idx="6">
                <c:v>8.1707767158846062E-3</c:v>
              </c:pt>
              <c:pt idx="7">
                <c:v>8.6759520844244559E-3</c:v>
              </c:pt>
              <c:pt idx="8">
                <c:v>9.208645282612761E-3</c:v>
              </c:pt>
              <c:pt idx="9">
                <c:v>9.7701679465518245E-3</c:v>
              </c:pt>
              <c:pt idx="10">
                <c:v>1.0361888011305007E-2</c:v>
              </c:pt>
              <c:pt idx="11">
                <c:v>1.0985232215656456E-2</c:v>
              </c:pt>
              <c:pt idx="12">
                <c:v>1.1641688754542854E-2</c:v>
              </c:pt>
              <c:pt idx="13">
                <c:v>1.2332810090782168E-2</c:v>
              </c:pt>
              <c:pt idx="14">
                <c:v>1.3060215938736743E-2</c:v>
              </c:pt>
              <c:pt idx="15">
                <c:v>1.3825596433664258E-2</c:v>
              </c:pt>
              <c:pt idx="16">
                <c:v>1.4295694061418956E-2</c:v>
              </c:pt>
            </c:numLit>
          </c:yVal>
          <c:smooth val="1"/>
          <c:extLst>
            <c:ext xmlns:c16="http://schemas.microsoft.com/office/drawing/2014/chart" uri="{C3380CC4-5D6E-409C-BE32-E72D297353CC}">
              <c16:uniqueId val="{0000001A-774A-40C1-BD06-DA789AA122DC}"/>
            </c:ext>
          </c:extLst>
        </c:ser>
        <c:ser>
          <c:idx val="19"/>
          <c:order val="19"/>
          <c:tx>
            <c:v>RH=40_Label2</c:v>
          </c:tx>
          <c:spPr>
            <a:ln w="3175">
              <a:solidFill>
                <a:srgbClr val="0000FF"/>
              </a:solidFill>
              <a:prstDash val="solid"/>
            </a:ln>
          </c:spPr>
          <c:marker>
            <c:symbol val="none"/>
          </c:marker>
          <c:dLbls>
            <c:dLbl>
              <c:idx val="0"/>
              <c:tx>
                <c:rich>
                  <a:bodyPr rot="-28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35.028040308533853</c:v>
              </c:pt>
            </c:numLit>
          </c:xVal>
          <c:yVal>
            <c:numLit>
              <c:formatCode>General</c:formatCode>
              <c:ptCount val="1"/>
              <c:pt idx="0">
                <c:v>1.4540151098681935E-2</c:v>
              </c:pt>
            </c:numLit>
          </c:yVal>
          <c:smooth val="0"/>
          <c:extLst>
            <c:ext xmlns:c16="http://schemas.microsoft.com/office/drawing/2014/chart" uri="{C3380CC4-5D6E-409C-BE32-E72D297353CC}">
              <c16:uniqueId val="{0000001C-774A-40C1-BD06-DA789AA122DC}"/>
            </c:ext>
          </c:extLst>
        </c:ser>
        <c:ser>
          <c:idx val="20"/>
          <c:order val="20"/>
          <c:tx>
            <c:v>RH=40_3</c:v>
          </c:tx>
          <c:spPr>
            <a:ln w="3175">
              <a:solidFill>
                <a:srgbClr val="0000FF"/>
              </a:solidFill>
              <a:prstDash val="solid"/>
            </a:ln>
          </c:spPr>
          <c:marker>
            <c:symbol val="none"/>
          </c:marker>
          <c:xVal>
            <c:numLit>
              <c:formatCode>General</c:formatCode>
              <c:ptCount val="16"/>
              <c:pt idx="0">
                <c:v>35.329552776174317</c:v>
              </c:pt>
              <c:pt idx="1">
                <c:v>36.335906363098594</c:v>
              </c:pt>
              <c:pt idx="2">
                <c:v>37.344424679792851</c:v>
              </c:pt>
              <c:pt idx="3">
                <c:v>38.355308879053233</c:v>
              </c:pt>
              <c:pt idx="4">
                <c:v>39.368773366008369</c:v>
              </c:pt>
              <c:pt idx="5">
                <c:v>40.385044078419881</c:v>
              </c:pt>
              <c:pt idx="6">
                <c:v>41.404366085039008</c:v>
              </c:pt>
              <c:pt idx="7">
                <c:v>42.426999385462096</c:v>
              </c:pt>
              <c:pt idx="8">
                <c:v>43.453219557967351</c:v>
              </c:pt>
              <c:pt idx="9">
                <c:v>44.483319737831081</c:v>
              </c:pt>
              <c:pt idx="10">
                <c:v>45.517611653111167</c:v>
              </c:pt>
              <c:pt idx="11">
                <c:v>46.556426731421674</c:v>
              </c:pt>
              <c:pt idx="12">
                <c:v>47.600117283983685</c:v>
              </c:pt>
              <c:pt idx="13">
                <c:v>48.64905777389</c:v>
              </c:pt>
              <c:pt idx="14">
                <c:v>49.703646176251077</c:v>
              </c:pt>
              <c:pt idx="15">
                <c:v>50.000000000000007</c:v>
              </c:pt>
            </c:numLit>
          </c:xVal>
          <c:yVal>
            <c:numLit>
              <c:formatCode>General</c:formatCode>
              <c:ptCount val="16"/>
              <c:pt idx="0">
                <c:v>1.478833119366236E-2</c:v>
              </c:pt>
              <c:pt idx="1">
                <c:v>1.5643145109583971E-2</c:v>
              </c:pt>
              <c:pt idx="2">
                <c:v>1.6541836193495318E-2</c:v>
              </c:pt>
              <c:pt idx="3">
                <c:v>1.7486428909881571E-2</c:v>
              </c:pt>
              <c:pt idx="4">
                <c:v>1.8479038209467172E-2</c:v>
              </c:pt>
              <c:pt idx="5">
                <c:v>1.9522018510706687E-2</c:v>
              </c:pt>
              <c:pt idx="6">
                <c:v>2.0617611971505051E-2</c:v>
              </c:pt>
              <c:pt idx="7">
                <c:v>2.1768183432671905E-2</c:v>
              </c:pt>
              <c:pt idx="8">
                <c:v>2.2976262300941908E-2</c:v>
              </c:pt>
              <c:pt idx="9">
                <c:v>2.424449573781436E-2</c:v>
              </c:pt>
              <c:pt idx="10">
                <c:v>2.5575655332400155E-2</c:v>
              </c:pt>
              <c:pt idx="11">
                <c:v>2.6972644274486847E-2</c:v>
              </c:pt>
              <c:pt idx="12">
                <c:v>2.8438505072725828E-2</c:v>
              </c:pt>
              <c:pt idx="13">
                <c:v>2.9976427867378353E-2</c:v>
              </c:pt>
              <c:pt idx="14">
                <c:v>3.1589759392127853E-2</c:v>
              </c:pt>
              <c:pt idx="15">
                <c:v>3.2055479665609135E-2</c:v>
              </c:pt>
            </c:numLit>
          </c:yVal>
          <c:smooth val="1"/>
          <c:extLst>
            <c:ext xmlns:c16="http://schemas.microsoft.com/office/drawing/2014/chart" uri="{C3380CC4-5D6E-409C-BE32-E72D297353CC}">
              <c16:uniqueId val="{0000001D-774A-40C1-BD06-DA789AA122DC}"/>
            </c:ext>
          </c:extLst>
        </c:ser>
        <c:ser>
          <c:idx val="21"/>
          <c:order val="21"/>
          <c:tx>
            <c:v>RH=50_1</c:v>
          </c:tx>
          <c:spPr>
            <a:ln w="3175">
              <a:solidFill>
                <a:srgbClr val="FF6600"/>
              </a:solidFill>
              <a:prstDash val="solid"/>
            </a:ln>
          </c:spPr>
          <c:marker>
            <c:symbol val="none"/>
          </c:marker>
          <c:xVal>
            <c:numLit>
              <c:formatCode>General</c:formatCode>
              <c:ptCount val="28"/>
              <c:pt idx="0">
                <c:v>-10.08897002151055</c:v>
              </c:pt>
              <c:pt idx="1">
                <c:v>-9.0955874726249295</c:v>
              </c:pt>
              <c:pt idx="2">
                <c:v>-8.1025997054790633</c:v>
              </c:pt>
              <c:pt idx="3">
                <c:v>-7.1100216869101676</c:v>
              </c:pt>
              <c:pt idx="4">
                <c:v>-6.1178681526317034</c:v>
              </c:pt>
              <c:pt idx="5">
                <c:v>-5.1261535037671155</c:v>
              </c:pt>
              <c:pt idx="6">
                <c:v>-4.1348916926731265</c:v>
              </c:pt>
              <c:pt idx="7">
                <c:v>-3.1440960973251273</c:v>
              </c:pt>
              <c:pt idx="8">
                <c:v>-2.1537793834979757</c:v>
              </c:pt>
              <c:pt idx="9">
                <c:v>-1.1639533539336429</c:v>
              </c:pt>
              <c:pt idx="10">
                <c:v>-0.17462878364218917</c:v>
              </c:pt>
              <c:pt idx="11">
                <c:v>0.81596740205832308</c:v>
              </c:pt>
              <c:pt idx="12">
                <c:v>1.806268310463421</c:v>
              </c:pt>
              <c:pt idx="13">
                <c:v>2.7962622689140946</c:v>
              </c:pt>
              <c:pt idx="14">
                <c:v>3.785956380554413</c:v>
              </c:pt>
              <c:pt idx="15">
                <c:v>4.7753596834764709</c:v>
              </c:pt>
              <c:pt idx="16">
                <c:v>5.7644785989372425</c:v>
              </c:pt>
              <c:pt idx="17">
                <c:v>6.753330794661875</c:v>
              </c:pt>
              <c:pt idx="18">
                <c:v>7.7419321061698998</c:v>
              </c:pt>
              <c:pt idx="19">
                <c:v>8.7303010079445151</c:v>
              </c:pt>
              <c:pt idx="20">
                <c:v>9.7184588131024761</c:v>
              </c:pt>
              <c:pt idx="21">
                <c:v>10.706423996530482</c:v>
              </c:pt>
              <c:pt idx="22">
                <c:v>11.694229582027464</c:v>
              </c:pt>
              <c:pt idx="23">
                <c:v>12.681906693511435</c:v>
              </c:pt>
              <c:pt idx="24">
                <c:v>13.669490203078148</c:v>
              </c:pt>
              <c:pt idx="25">
                <c:v>14.657018987720264</c:v>
              </c:pt>
              <c:pt idx="26">
                <c:v>15.644536199075654</c:v>
              </c:pt>
              <c:pt idx="27">
                <c:v>16.444449259100793</c:v>
              </c:pt>
            </c:numLit>
          </c:xVal>
          <c:yVal>
            <c:numLit>
              <c:formatCode>General</c:formatCode>
              <c:ptCount val="28"/>
              <c:pt idx="0">
                <c:v>8.0200574945888238E-4</c:v>
              </c:pt>
              <c:pt idx="1">
                <c:v>8.7626205085363938E-4</c:v>
              </c:pt>
              <c:pt idx="2">
                <c:v>9.5676032361825683E-4</c:v>
              </c:pt>
              <c:pt idx="3">
                <c:v>1.0439711095229951E-3</c:v>
              </c:pt>
              <c:pt idx="4">
                <c:v>1.1383963282209435E-3</c:v>
              </c:pt>
              <c:pt idx="5">
                <c:v>1.2405711123139587E-3</c:v>
              </c:pt>
              <c:pt idx="6">
                <c:v>1.3510657390398758E-3</c:v>
              </c:pt>
              <c:pt idx="7">
                <c:v>1.4704876639184206E-3</c:v>
              </c:pt>
              <c:pt idx="8">
                <c:v>1.5994836621067371E-3</c:v>
              </c:pt>
              <c:pt idx="9">
                <c:v>1.7387420836732516E-3</c:v>
              </c:pt>
              <c:pt idx="10">
                <c:v>1.8889952295058313E-3</c:v>
              </c:pt>
              <c:pt idx="11">
                <c:v>2.0313451122375144E-3</c:v>
              </c:pt>
              <c:pt idx="12">
                <c:v>2.1829534013642305E-3</c:v>
              </c:pt>
              <c:pt idx="13">
                <c:v>2.3445453840359293E-3</c:v>
              </c:pt>
              <c:pt idx="14">
                <c:v>2.5166886531353488E-3</c:v>
              </c:pt>
              <c:pt idx="15">
                <c:v>2.6999779978813701E-3</c:v>
              </c:pt>
              <c:pt idx="16">
                <c:v>2.8950944461037949E-3</c:v>
              </c:pt>
              <c:pt idx="17">
                <c:v>3.1026409173562676E-3</c:v>
              </c:pt>
              <c:pt idx="18">
                <c:v>3.3233013465576106E-3</c:v>
              </c:pt>
              <c:pt idx="19">
                <c:v>3.5577915815344584E-3</c:v>
              </c:pt>
              <c:pt idx="20">
                <c:v>3.8068606722971615E-3</c:v>
              </c:pt>
              <c:pt idx="21">
                <c:v>4.0713738556704586E-3</c:v>
              </c:pt>
              <c:pt idx="22">
                <c:v>4.3520803689922234E-3</c:v>
              </c:pt>
              <c:pt idx="23">
                <c:v>4.6498382203937379E-3</c:v>
              </c:pt>
              <c:pt idx="24">
                <c:v>4.9655444400146668E-3</c:v>
              </c:pt>
              <c:pt idx="25">
                <c:v>5.300136687456442E-3</c:v>
              </c:pt>
              <c:pt idx="26">
                <c:v>5.654594935640289E-3</c:v>
              </c:pt>
              <c:pt idx="27">
                <c:v>5.9569705434108725E-3</c:v>
              </c:pt>
            </c:numLit>
          </c:yVal>
          <c:smooth val="1"/>
          <c:extLst>
            <c:ext xmlns:c16="http://schemas.microsoft.com/office/drawing/2014/chart" uri="{C3380CC4-5D6E-409C-BE32-E72D297353CC}">
              <c16:uniqueId val="{0000001E-774A-40C1-BD06-DA789AA122DC}"/>
            </c:ext>
          </c:extLst>
        </c:ser>
        <c:ser>
          <c:idx val="22"/>
          <c:order val="22"/>
          <c:tx>
            <c:v>RH=50_Label1</c:v>
          </c:tx>
          <c:spPr>
            <a:ln w="3175">
              <a:solidFill>
                <a:srgbClr val="FF6600"/>
              </a:solidFill>
              <a:prstDash val="solid"/>
            </a:ln>
          </c:spPr>
          <c:marker>
            <c:symbol val="none"/>
          </c:marker>
          <c:dLbls>
            <c:dLbl>
              <c:idx val="0"/>
              <c:tx>
                <c:rich>
                  <a:bodyPr rot="-16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16.938246504261446</c:v>
              </c:pt>
            </c:numLit>
          </c:xVal>
          <c:yVal>
            <c:numLit>
              <c:formatCode>General</c:formatCode>
              <c:ptCount val="1"/>
              <c:pt idx="0">
                <c:v>6.1507089523445638E-3</c:v>
              </c:pt>
            </c:numLit>
          </c:yVal>
          <c:smooth val="0"/>
          <c:extLst>
            <c:ext xmlns:c16="http://schemas.microsoft.com/office/drawing/2014/chart" uri="{C3380CC4-5D6E-409C-BE32-E72D297353CC}">
              <c16:uniqueId val="{00000020-774A-40C1-BD06-DA789AA122DC}"/>
            </c:ext>
          </c:extLst>
        </c:ser>
        <c:ser>
          <c:idx val="23"/>
          <c:order val="23"/>
          <c:tx>
            <c:v>RH=50_2</c:v>
          </c:tx>
          <c:spPr>
            <a:ln w="3175">
              <a:solidFill>
                <a:srgbClr val="FF6600"/>
              </a:solidFill>
              <a:prstDash val="solid"/>
            </a:ln>
          </c:spPr>
          <c:marker>
            <c:symbol val="none"/>
          </c:marker>
          <c:xVal>
            <c:numLit>
              <c:formatCode>General</c:formatCode>
              <c:ptCount val="16"/>
              <c:pt idx="0">
                <c:v>17.422193396353077</c:v>
              </c:pt>
              <c:pt idx="1">
                <c:v>18.409947717682584</c:v>
              </c:pt>
              <c:pt idx="2">
                <c:v>19.397898605362961</c:v>
              </c:pt>
              <c:pt idx="3">
                <c:v>20.386113938329231</c:v>
              </c:pt>
              <c:pt idx="4">
                <c:v>21.374667728823542</c:v>
              </c:pt>
              <c:pt idx="5">
                <c:v>22.363640501219667</c:v>
              </c:pt>
              <c:pt idx="6">
                <c:v>23.353119690709409</c:v>
              </c:pt>
              <c:pt idx="7">
                <c:v>24.343200063094248</c:v>
              </c:pt>
              <c:pt idx="8">
                <c:v>25.333976607753801</c:v>
              </c:pt>
              <c:pt idx="9">
                <c:v>26.32556544086038</c:v>
              </c:pt>
              <c:pt idx="10">
                <c:v>27.318087972919766</c:v>
              </c:pt>
              <c:pt idx="11">
                <c:v>28.311673026562932</c:v>
              </c:pt>
              <c:pt idx="12">
                <c:v>29.306459234239682</c:v>
              </c:pt>
              <c:pt idx="13">
                <c:v>30.302595619159391</c:v>
              </c:pt>
              <c:pt idx="14">
                <c:v>31.300242210065303</c:v>
              </c:pt>
              <c:pt idx="15">
                <c:v>31.909621057494508</c:v>
              </c:pt>
            </c:numLit>
          </c:xVal>
          <c:yVal>
            <c:numLit>
              <c:formatCode>General</c:formatCode>
              <c:ptCount val="16"/>
              <c:pt idx="0">
                <c:v>6.3459801520872189E-3</c:v>
              </c:pt>
              <c:pt idx="1">
                <c:v>6.7616590159105252E-3</c:v>
              </c:pt>
              <c:pt idx="2">
                <c:v>7.201345919761834E-3</c:v>
              </c:pt>
              <c:pt idx="3">
                <c:v>7.6662501480482086E-3</c:v>
              </c:pt>
              <c:pt idx="4">
                <c:v>8.1576348814824777E-3</c:v>
              </c:pt>
              <c:pt idx="5">
                <c:v>8.676819571731012E-3</c:v>
              </c:pt>
              <c:pt idx="6">
                <c:v>9.2251824498550249E-3</c:v>
              </c:pt>
              <c:pt idx="7">
                <c:v>9.8041631790234604E-3</c:v>
              </c:pt>
              <c:pt idx="8">
                <c:v>1.0415434386378618E-2</c:v>
              </c:pt>
              <c:pt idx="9">
                <c:v>1.1060464555396202E-2</c:v>
              </c:pt>
              <c:pt idx="10">
                <c:v>1.1740857774937448E-2</c:v>
              </c:pt>
              <c:pt idx="11">
                <c:v>1.2458331691968276E-2</c:v>
              </c:pt>
              <c:pt idx="12">
                <c:v>1.3214681421134968E-2</c:v>
              </c:pt>
              <c:pt idx="13">
                <c:v>1.4011783353652977E-2</c:v>
              </c:pt>
              <c:pt idx="14">
                <c:v>1.4851599216421624E-2</c:v>
              </c:pt>
              <c:pt idx="15">
                <c:v>1.5385734079129848E-2</c:v>
              </c:pt>
            </c:numLit>
          </c:yVal>
          <c:smooth val="1"/>
          <c:extLst>
            <c:ext xmlns:c16="http://schemas.microsoft.com/office/drawing/2014/chart" uri="{C3380CC4-5D6E-409C-BE32-E72D297353CC}">
              <c16:uniqueId val="{00000021-774A-40C1-BD06-DA789AA122DC}"/>
            </c:ext>
          </c:extLst>
        </c:ser>
        <c:ser>
          <c:idx val="24"/>
          <c:order val="24"/>
          <c:tx>
            <c:v>RH=50_Label2</c:v>
          </c:tx>
          <c:spPr>
            <a:ln w="3175">
              <a:solidFill>
                <a:srgbClr val="FF6600"/>
              </a:solidFill>
              <a:prstDash val="solid"/>
            </a:ln>
          </c:spPr>
          <c:marker>
            <c:symbol val="none"/>
          </c:marker>
          <c:dLbls>
            <c:dLbl>
              <c:idx val="0"/>
              <c:tx>
                <c:rich>
                  <a:bodyPr rot="-30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32.209557548226279</c:v>
              </c:pt>
            </c:numLit>
          </c:xVal>
          <c:yVal>
            <c:numLit>
              <c:formatCode>General</c:formatCode>
              <c:ptCount val="1"/>
              <c:pt idx="0">
                <c:v>1.565467970435885E-2</c:v>
              </c:pt>
            </c:numLit>
          </c:yVal>
          <c:smooth val="0"/>
          <c:extLst>
            <c:ext xmlns:c16="http://schemas.microsoft.com/office/drawing/2014/chart" uri="{C3380CC4-5D6E-409C-BE32-E72D297353CC}">
              <c16:uniqueId val="{00000023-774A-40C1-BD06-DA789AA122DC}"/>
            </c:ext>
          </c:extLst>
        </c:ser>
        <c:ser>
          <c:idx val="25"/>
          <c:order val="25"/>
          <c:tx>
            <c:v>RH=50_3</c:v>
          </c:tx>
          <c:spPr>
            <a:ln w="3175">
              <a:solidFill>
                <a:srgbClr val="FF6600"/>
              </a:solidFill>
              <a:prstDash val="solid"/>
            </a:ln>
          </c:spPr>
          <c:marker>
            <c:symbol val="none"/>
          </c:marker>
          <c:xVal>
            <c:numLit>
              <c:formatCode>General</c:formatCode>
              <c:ptCount val="18"/>
              <c:pt idx="0">
                <c:v>32.50966034549127</c:v>
              </c:pt>
              <c:pt idx="1">
                <c:v>33.511271187330614</c:v>
              </c:pt>
              <c:pt idx="2">
                <c:v>34.514988192934567</c:v>
              </c:pt>
              <c:pt idx="3">
                <c:v>35.521025346691431</c:v>
              </c:pt>
              <c:pt idx="4">
                <c:v>36.529611499761643</c:v>
              </c:pt>
              <c:pt idx="5">
                <c:v>37.540991263473543</c:v>
              </c:pt>
              <c:pt idx="6">
                <c:v>38.555425961918715</c:v>
              </c:pt>
              <c:pt idx="7">
                <c:v>39.573194603758857</c:v>
              </c:pt>
              <c:pt idx="8">
                <c:v>40.594590851639929</c:v>
              </c:pt>
              <c:pt idx="9">
                <c:v>41.619937316690823</c:v>
              </c:pt>
              <c:pt idx="10">
                <c:v>42.649573211420787</c:v>
              </c:pt>
              <c:pt idx="11">
                <c:v>43.683860328611424</c:v>
              </c:pt>
              <c:pt idx="12">
                <c:v>44.723184479726754</c:v>
              </c:pt>
              <c:pt idx="13">
                <c:v>45.767957042375727</c:v>
              </c:pt>
              <c:pt idx="14">
                <c:v>46.818616627355617</c:v>
              </c:pt>
              <c:pt idx="15">
                <c:v>47.87563087698836</c:v>
              </c:pt>
              <c:pt idx="16">
                <c:v>48.939498407794616</c:v>
              </c:pt>
              <c:pt idx="17">
                <c:v>50</c:v>
              </c:pt>
            </c:numLit>
          </c:xVal>
          <c:yVal>
            <c:numLit>
              <c:formatCode>General</c:formatCode>
              <c:ptCount val="18"/>
              <c:pt idx="0">
                <c:v>1.5927828907446664E-2</c:v>
              </c:pt>
              <c:pt idx="1">
                <c:v>1.6869454213500404E-2</c:v>
              </c:pt>
              <c:pt idx="2">
                <c:v>1.7860719974887418E-2</c:v>
              </c:pt>
              <c:pt idx="3">
                <c:v>1.8903998294804217E-2</c:v>
              </c:pt>
              <c:pt idx="4">
                <c:v>2.000177271349279E-2</c:v>
              </c:pt>
              <c:pt idx="5">
                <c:v>2.1156644378631805E-2</c:v>
              </c:pt>
              <c:pt idx="6">
                <c:v>2.2371338671019026E-2</c:v>
              </c:pt>
              <c:pt idx="7">
                <c:v>2.3648714769532078E-2</c:v>
              </c:pt>
              <c:pt idx="8">
                <c:v>2.4992022393473451E-2</c:v>
              </c:pt>
              <c:pt idx="9">
                <c:v>2.6404178570594451E-2</c:v>
              </c:pt>
              <c:pt idx="10">
                <c:v>2.7888485033202765E-2</c:v>
              </c:pt>
              <c:pt idx="11">
                <c:v>2.9448409483270498E-2</c:v>
              </c:pt>
              <c:pt idx="12">
                <c:v>3.1087595987123743E-2</c:v>
              </c:pt>
              <c:pt idx="13">
                <c:v>3.2809876218774625E-2</c:v>
              </c:pt>
              <c:pt idx="14">
                <c:v>3.4619281634166249E-2</c:v>
              </c:pt>
              <c:pt idx="15">
                <c:v>3.6520056667667937E-2</c:v>
              </c:pt>
              <c:pt idx="16">
                <c:v>3.8516673052359653E-2</c:v>
              </c:pt>
              <c:pt idx="17">
                <c:v>4.0592359792918926E-2</c:v>
              </c:pt>
            </c:numLit>
          </c:yVal>
          <c:smooth val="1"/>
          <c:extLst>
            <c:ext xmlns:c16="http://schemas.microsoft.com/office/drawing/2014/chart" uri="{C3380CC4-5D6E-409C-BE32-E72D297353CC}">
              <c16:uniqueId val="{00000024-774A-40C1-BD06-DA789AA122DC}"/>
            </c:ext>
          </c:extLst>
        </c:ser>
        <c:ser>
          <c:idx val="26"/>
          <c:order val="26"/>
          <c:tx>
            <c:v>RH=60_1</c:v>
          </c:tx>
          <c:spPr>
            <a:ln w="3175">
              <a:solidFill>
                <a:srgbClr val="0000FF"/>
              </a:solidFill>
              <a:prstDash val="solid"/>
            </a:ln>
          </c:spPr>
          <c:marker>
            <c:symbol val="none"/>
          </c:marker>
          <c:xVal>
            <c:numLit>
              <c:formatCode>General</c:formatCode>
              <c:ptCount val="27"/>
              <c:pt idx="0">
                <c:v>-10.106791566071182</c:v>
              </c:pt>
              <c:pt idx="1">
                <c:v>-9.114737296143911</c:v>
              </c:pt>
              <c:pt idx="2">
                <c:v>-8.1231575359745278</c:v>
              </c:pt>
              <c:pt idx="3">
                <c:v>-7.1320703593639401</c:v>
              </c:pt>
              <c:pt idx="4">
                <c:v>-6.1414935776753259</c:v>
              </c:pt>
              <c:pt idx="5">
                <c:v>-5.1514446173368293</c:v>
              </c:pt>
              <c:pt idx="6">
                <c:v>-4.1619403846292249</c:v>
              </c:pt>
              <c:pt idx="7">
                <c:v>-3.1729971168886375</c:v>
              </c:pt>
              <c:pt idx="8">
                <c:v>-2.1846302192056264</c:v>
              </c:pt>
              <c:pt idx="9">
                <c:v>-1.1968540856493599</c:v>
              </c:pt>
              <c:pt idx="10">
                <c:v>-0.20968190398886188</c:v>
              </c:pt>
              <c:pt idx="11">
                <c:v>0.77901653902700452</c:v>
              </c:pt>
              <c:pt idx="12">
                <c:v>1.7673586730365087</c:v>
              </c:pt>
              <c:pt idx="13">
                <c:v>2.7553302668322517</c:v>
              </c:pt>
              <c:pt idx="14">
                <c:v>3.742939630389412</c:v>
              </c:pt>
              <c:pt idx="15">
                <c:v>4.7301973807635171</c:v>
              </c:pt>
              <c:pt idx="16">
                <c:v>5.7171109692723858</c:v>
              </c:pt>
              <c:pt idx="17">
                <c:v>6.7037013465567465</c:v>
              </c:pt>
              <c:pt idx="18">
                <c:v>7.6899872415691117</c:v>
              </c:pt>
              <c:pt idx="19">
                <c:v>8.6759905358320282</c:v>
              </c:pt>
              <c:pt idx="20">
                <c:v>9.6617365038877931</c:v>
              </c:pt>
              <c:pt idx="21">
                <c:v>10.647246983750058</c:v>
              </c:pt>
              <c:pt idx="22">
                <c:v>11.632561294510978</c:v>
              </c:pt>
              <c:pt idx="23">
                <c:v>12.617716452210654</c:v>
              </c:pt>
              <c:pt idx="24">
                <c:v>13.60275396515117</c:v>
              </c:pt>
              <c:pt idx="25">
                <c:v>14.587720145442251</c:v>
              </c:pt>
              <c:pt idx="26">
                <c:v>14.971848553064145</c:v>
              </c:pt>
            </c:numLit>
          </c:xVal>
          <c:yVal>
            <c:numLit>
              <c:formatCode>General</c:formatCode>
              <c:ptCount val="27"/>
              <c:pt idx="0">
                <c:v>9.6265515651978821E-4</c:v>
              </c:pt>
              <c:pt idx="1">
                <c:v>1.0518108248658113E-3</c:v>
              </c:pt>
              <c:pt idx="2">
                <c:v>1.1484657136667973E-3</c:v>
              </c:pt>
              <c:pt idx="3">
                <c:v>1.253186016979086E-3</c:v>
              </c:pt>
              <c:pt idx="4">
                <c:v>1.3665758366107619E-3</c:v>
              </c:pt>
              <c:pt idx="5">
                <c:v>1.4892794236642264E-3</c:v>
              </c:pt>
              <c:pt idx="6">
                <c:v>1.6219835417861427E-3</c:v>
              </c:pt>
              <c:pt idx="7">
                <c:v>1.7654199593220663E-3</c:v>
              </c:pt>
              <c:pt idx="8">
                <c:v>1.9203680781726613E-3</c:v>
              </c:pt>
              <c:pt idx="9">
                <c:v>2.087657707814211E-3</c:v>
              </c:pt>
              <c:pt idx="10">
                <c:v>2.2681719936859684E-3</c:v>
              </c:pt>
              <c:pt idx="11">
                <c:v>2.4392073923505966E-3</c:v>
              </c:pt>
              <c:pt idx="12">
                <c:v>2.6213841277472243E-3</c:v>
              </c:pt>
              <c:pt idx="13">
                <c:v>2.815577116984156E-3</c:v>
              </c:pt>
              <c:pt idx="14">
                <c:v>3.0224723215083122E-3</c:v>
              </c:pt>
              <c:pt idx="15">
                <c:v>3.2427889480513973E-3</c:v>
              </c:pt>
              <c:pt idx="16">
                <c:v>3.4773504999020071E-3</c:v>
              </c:pt>
              <c:pt idx="17">
                <c:v>3.7268872888711327E-3</c:v>
              </c:pt>
              <c:pt idx="18">
                <c:v>3.9922277903414322E-3</c:v>
              </c:pt>
              <c:pt idx="19">
                <c:v>4.2742397187644924E-3</c:v>
              </c:pt>
              <c:pt idx="20">
                <c:v>4.5738316813021601E-3</c:v>
              </c:pt>
              <c:pt idx="21">
                <c:v>4.8920531340976188E-3</c:v>
              </c:pt>
              <c:pt idx="22">
                <c:v>5.2298151913123467E-3</c:v>
              </c:pt>
              <c:pt idx="23">
                <c:v>5.5881611315908462E-3</c:v>
              </c:pt>
              <c:pt idx="24">
                <c:v>5.968182662155372E-3</c:v>
              </c:pt>
              <c:pt idx="25">
                <c:v>6.3710220228125171E-3</c:v>
              </c:pt>
              <c:pt idx="26">
                <c:v>6.5345703991554396E-3</c:v>
              </c:pt>
            </c:numLit>
          </c:yVal>
          <c:smooth val="1"/>
          <c:extLst>
            <c:ext xmlns:c16="http://schemas.microsoft.com/office/drawing/2014/chart" uri="{C3380CC4-5D6E-409C-BE32-E72D297353CC}">
              <c16:uniqueId val="{00000025-774A-40C1-BD06-DA789AA122DC}"/>
            </c:ext>
          </c:extLst>
        </c:ser>
        <c:ser>
          <c:idx val="27"/>
          <c:order val="27"/>
          <c:tx>
            <c:v>RH=60_Label1</c:v>
          </c:tx>
          <c:spPr>
            <a:ln w="3175">
              <a:solidFill>
                <a:srgbClr val="0000FF"/>
              </a:solidFill>
              <a:prstDash val="solid"/>
            </a:ln>
          </c:spPr>
          <c:marker>
            <c:symbol val="none"/>
          </c:marker>
          <c:dLbls>
            <c:dLbl>
              <c:idx val="0"/>
              <c:tx>
                <c:rich>
                  <a:bodyPr rot="-18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15.434773089390811</c:v>
              </c:pt>
            </c:numLit>
          </c:xVal>
          <c:yVal>
            <c:numLit>
              <c:formatCode>General</c:formatCode>
              <c:ptCount val="1"/>
              <c:pt idx="0">
                <c:v>6.736623266512377E-3</c:v>
              </c:pt>
            </c:numLit>
          </c:yVal>
          <c:smooth val="0"/>
          <c:extLst>
            <c:ext xmlns:c16="http://schemas.microsoft.com/office/drawing/2014/chart" uri="{C3380CC4-5D6E-409C-BE32-E72D297353CC}">
              <c16:uniqueId val="{00000027-774A-40C1-BD06-DA789AA122DC}"/>
            </c:ext>
          </c:extLst>
        </c:ser>
        <c:ser>
          <c:idx val="28"/>
          <c:order val="28"/>
          <c:tx>
            <c:v>RH=60_2</c:v>
          </c:tx>
          <c:spPr>
            <a:ln w="3175">
              <a:solidFill>
                <a:srgbClr val="0000FF"/>
              </a:solidFill>
              <a:prstDash val="solid"/>
            </a:ln>
          </c:spPr>
          <c:marker>
            <c:symbol val="none"/>
          </c:marker>
          <c:xVal>
            <c:numLit>
              <c:formatCode>General</c:formatCode>
              <c:ptCount val="15"/>
              <c:pt idx="0">
                <c:v>15.897703887038311</c:v>
              </c:pt>
              <c:pt idx="1">
                <c:v>16.882712907666683</c:v>
              </c:pt>
              <c:pt idx="2">
                <c:v>17.867843780457338</c:v>
              </c:pt>
              <c:pt idx="3">
                <c:v>18.853167632773957</c:v>
              </c:pt>
              <c:pt idx="4">
                <c:v>19.838762357666667</c:v>
              </c:pt>
              <c:pt idx="5">
                <c:v>20.824713047015294</c:v>
              </c:pt>
              <c:pt idx="6">
                <c:v>21.811112448447897</c:v>
              </c:pt>
              <c:pt idx="7">
                <c:v>22.798061447611477</c:v>
              </c:pt>
              <c:pt idx="8">
                <c:v>23.785669577521677</c:v>
              </c:pt>
              <c:pt idx="9">
                <c:v>24.774051831419158</c:v>
              </c:pt>
              <c:pt idx="10">
                <c:v>25.763332537489855</c:v>
              </c:pt>
              <c:pt idx="11">
                <c:v>26.753657982880188</c:v>
              </c:pt>
              <c:pt idx="12">
                <c:v>27.745178065536479</c:v>
              </c:pt>
              <c:pt idx="13">
                <c:v>28.738054370171888</c:v>
              </c:pt>
              <c:pt idx="14">
                <c:v>29.583195155694028</c:v>
              </c:pt>
            </c:numLit>
          </c:xVal>
          <c:yVal>
            <c:numLit>
              <c:formatCode>General</c:formatCode>
              <c:ptCount val="15"/>
              <c:pt idx="0">
                <c:v>6.9442164723304209E-3</c:v>
              </c:pt>
              <c:pt idx="1">
                <c:v>7.4049523400725346E-3</c:v>
              </c:pt>
              <c:pt idx="2">
                <c:v>7.8927032614548986E-3</c:v>
              </c:pt>
              <c:pt idx="3">
                <c:v>8.4088574073189169E-3</c:v>
              </c:pt>
              <c:pt idx="4">
                <c:v>8.9548667635628559E-3</c:v>
              </c:pt>
              <c:pt idx="5">
                <c:v>9.5322500891234421E-3</c:v>
              </c:pt>
              <c:pt idx="6">
                <c:v>1.0142596050639335E-2</c:v>
              </c:pt>
              <c:pt idx="7">
                <c:v>1.0787566548190554E-2</c:v>
              </c:pt>
              <c:pt idx="8">
                <c:v>1.1468900247835185E-2</c:v>
              </c:pt>
              <c:pt idx="9">
                <c:v>1.2188498014486378E-2</c:v>
              </c:pt>
              <c:pt idx="10">
                <c:v>1.2948368636975393E-2</c:v>
              </c:pt>
              <c:pt idx="11">
                <c:v>1.3750351447902053E-2</c:v>
              </c:pt>
              <c:pt idx="12">
                <c:v>1.4596535174992941E-2</c:v>
              </c:pt>
              <c:pt idx="13">
                <c:v>1.5489106949635579E-2</c:v>
              </c:pt>
              <c:pt idx="14">
                <c:v>1.6285973584079443E-2</c:v>
              </c:pt>
            </c:numLit>
          </c:yVal>
          <c:smooth val="1"/>
          <c:extLst>
            <c:ext xmlns:c16="http://schemas.microsoft.com/office/drawing/2014/chart" uri="{C3380CC4-5D6E-409C-BE32-E72D297353CC}">
              <c16:uniqueId val="{00000028-774A-40C1-BD06-DA789AA122DC}"/>
            </c:ext>
          </c:extLst>
        </c:ser>
        <c:ser>
          <c:idx val="29"/>
          <c:order val="29"/>
          <c:tx>
            <c:v>RH=60_Label2</c:v>
          </c:tx>
          <c:spPr>
            <a:ln w="3175">
              <a:solidFill>
                <a:srgbClr val="0000FF"/>
              </a:solidFill>
              <a:prstDash val="solid"/>
            </a:ln>
          </c:spPr>
          <c:marker>
            <c:symbol val="none"/>
          </c:marker>
          <c:dLbls>
            <c:dLbl>
              <c:idx val="0"/>
              <c:tx>
                <c:rich>
                  <a:bodyPr rot="-31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9-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29.881765236525613</c:v>
              </c:pt>
            </c:numLit>
          </c:xVal>
          <c:yVal>
            <c:numLit>
              <c:formatCode>General</c:formatCode>
              <c:ptCount val="1"/>
              <c:pt idx="0">
                <c:v>1.6575890513595995E-2</c:v>
              </c:pt>
            </c:numLit>
          </c:yVal>
          <c:smooth val="0"/>
          <c:extLst>
            <c:ext xmlns:c16="http://schemas.microsoft.com/office/drawing/2014/chart" uri="{C3380CC4-5D6E-409C-BE32-E72D297353CC}">
              <c16:uniqueId val="{0000002A-774A-40C1-BD06-DA789AA122DC}"/>
            </c:ext>
          </c:extLst>
        </c:ser>
        <c:ser>
          <c:idx val="30"/>
          <c:order val="30"/>
          <c:tx>
            <c:v>RH=60_3</c:v>
          </c:tx>
          <c:spPr>
            <a:ln w="3175">
              <a:solidFill>
                <a:srgbClr val="0000FF"/>
              </a:solidFill>
              <a:prstDash val="solid"/>
            </a:ln>
          </c:spPr>
          <c:marker>
            <c:symbol val="none"/>
          </c:marker>
          <c:xVal>
            <c:numLit>
              <c:formatCode>General</c:formatCode>
              <c:ptCount val="19"/>
              <c:pt idx="0">
                <c:v>30.180492418482846</c:v>
              </c:pt>
              <c:pt idx="1">
                <c:v>31.177453891540974</c:v>
              </c:pt>
              <c:pt idx="2">
                <c:v>32.176429201565348</c:v>
              </c:pt>
              <c:pt idx="3">
                <c:v>33.177641333674551</c:v>
              </c:pt>
              <c:pt idx="4">
                <c:v>34.181329486483897</c:v>
              </c:pt>
              <c:pt idx="5">
                <c:v>35.18775008865876</c:v>
              </c:pt>
              <c:pt idx="6">
                <c:v>36.19717788603942</c:v>
              </c:pt>
              <c:pt idx="7">
                <c:v>37.209907105737216</c:v>
              </c:pt>
              <c:pt idx="8">
                <c:v>38.226252704299107</c:v>
              </c:pt>
              <c:pt idx="9">
                <c:v>39.246551707818924</c:v>
              </c:pt>
              <c:pt idx="10">
                <c:v>40.271160513360229</c:v>
              </c:pt>
              <c:pt idx="11">
                <c:v>41.300468212126702</c:v>
              </c:pt>
              <c:pt idx="12">
                <c:v>42.334888519870255</c:v>
              </c:pt>
              <c:pt idx="13">
                <c:v>43.374862492056081</c:v>
              </c:pt>
              <c:pt idx="14">
                <c:v>44.420861699804476</c:v>
              </c:pt>
              <c:pt idx="15">
                <c:v>45.473390347027014</c:v>
              </c:pt>
              <c:pt idx="16">
                <c:v>46.53298756667926</c:v>
              </c:pt>
              <c:pt idx="17">
                <c:v>47.600229915093209</c:v>
              </c:pt>
              <c:pt idx="18">
                <c:v>42.698224206857375</c:v>
              </c:pt>
            </c:numLit>
          </c:xVal>
          <c:yVal>
            <c:numLit>
              <c:formatCode>General</c:formatCode>
              <c:ptCount val="19"/>
              <c:pt idx="0">
                <c:v>1.6870437016947411E-2</c:v>
              </c:pt>
              <c:pt idx="1">
                <c:v>1.7886565192149154E-2</c:v>
              </c:pt>
              <c:pt idx="2">
                <c:v>1.8957458295095053E-2</c:v>
              </c:pt>
              <c:pt idx="3">
                <c:v>2.0085809975849678E-2</c:v>
              </c:pt>
              <c:pt idx="4">
                <c:v>2.127444564301351E-2</c:v>
              </c:pt>
              <c:pt idx="5">
                <c:v>2.2526330127538324E-2</c:v>
              </c:pt>
              <c:pt idx="6">
                <c:v>2.3844575937580107E-2</c:v>
              </c:pt>
              <c:pt idx="7">
                <c:v>2.5232452159705081E-2</c:v>
              </c:pt>
              <c:pt idx="8">
                <c:v>2.6693394067577716E-2</c:v>
              </c:pt>
              <c:pt idx="9">
                <c:v>2.8231013505784899E-2</c:v>
              </c:pt>
              <c:pt idx="10">
                <c:v>2.984935294705339E-2</c:v>
              </c:pt>
              <c:pt idx="11">
                <c:v>3.1552270792490095E-2</c:v>
              </c:pt>
              <c:pt idx="12">
                <c:v>3.3343918402475865E-2</c:v>
              </c:pt>
              <c:pt idx="13">
                <c:v>3.522873949724975E-2</c:v>
              </c:pt>
              <c:pt idx="14">
                <c:v>3.7211421126014395E-2</c:v>
              </c:pt>
              <c:pt idx="15">
                <c:v>3.9296910626666244E-2</c:v>
              </c:pt>
              <c:pt idx="16">
                <c:v>4.1490434101493494E-2</c:v>
              </c:pt>
              <c:pt idx="17">
                <c:v>4.3797516568883268E-2</c:v>
              </c:pt>
              <c:pt idx="18">
                <c:v>3.4000000000000002E-2</c:v>
              </c:pt>
            </c:numLit>
          </c:yVal>
          <c:smooth val="1"/>
          <c:extLst>
            <c:ext xmlns:c16="http://schemas.microsoft.com/office/drawing/2014/chart" uri="{C3380CC4-5D6E-409C-BE32-E72D297353CC}">
              <c16:uniqueId val="{0000002B-774A-40C1-BD06-DA789AA122DC}"/>
            </c:ext>
          </c:extLst>
        </c:ser>
        <c:ser>
          <c:idx val="31"/>
          <c:order val="31"/>
          <c:tx>
            <c:v>RH=70_1</c:v>
          </c:tx>
          <c:spPr>
            <a:ln w="3175">
              <a:solidFill>
                <a:srgbClr val="0000FF"/>
              </a:solidFill>
              <a:prstDash val="solid"/>
            </a:ln>
          </c:spPr>
          <c:marker>
            <c:symbol val="none"/>
          </c:marker>
          <c:xVal>
            <c:numLit>
              <c:formatCode>General</c:formatCode>
              <c:ptCount val="26"/>
              <c:pt idx="0">
                <c:v>-10.124622307298575</c:v>
              </c:pt>
              <c:pt idx="1">
                <c:v>-9.1338979172609864</c:v>
              </c:pt>
              <c:pt idx="2">
                <c:v>-8.1437280234855134</c:v>
              </c:pt>
              <c:pt idx="3">
                <c:v>-7.1541338449252079</c:v>
              </c:pt>
              <c:pt idx="4">
                <c:v>-6.1651363118296896</c:v>
              </c:pt>
              <c:pt idx="5">
                <c:v>-5.1767559247885586</c:v>
              </c:pt>
              <c:pt idx="6">
                <c:v>-4.1890125991046698</c:v>
              </c:pt>
              <c:pt idx="7">
                <c:v>-3.2019254934867307</c:v>
              </c:pt>
              <c:pt idx="8">
                <c:v>-2.2155128219917031</c:v>
              </c:pt>
              <c:pt idx="9">
                <c:v>-1.2297916480837099</c:v>
              </c:pt>
              <c:pt idx="10">
                <c:v>-0.24477765960672535</c:v>
              </c:pt>
              <c:pt idx="11">
                <c:v>0.7420173412327703</c:v>
              </c:pt>
              <c:pt idx="12">
                <c:v>1.7283943345998389</c:v>
              </c:pt>
              <c:pt idx="13">
                <c:v>2.7143364544970345</c:v>
              </c:pt>
              <c:pt idx="14">
                <c:v>3.6998531446897225</c:v>
              </c:pt>
              <c:pt idx="15">
                <c:v>4.6849565229067851</c:v>
              </c:pt>
              <c:pt idx="16">
                <c:v>5.6696549833508803</c:v>
              </c:pt>
              <c:pt idx="17">
                <c:v>6.653972673256888</c:v>
              </c:pt>
              <c:pt idx="18">
                <c:v>7.6379311205439393</c:v>
              </c:pt>
              <c:pt idx="19">
                <c:v>8.6215555140799189</c:v>
              </c:pt>
              <c:pt idx="20">
                <c:v>9.6048749851296975</c:v>
              </c:pt>
              <c:pt idx="21">
                <c:v>10.587914619197658</c:v>
              </c:pt>
              <c:pt idx="22">
                <c:v>11.57071992192834</c:v>
              </c:pt>
              <c:pt idx="23">
                <c:v>12.553333684169095</c:v>
              </c:pt>
              <c:pt idx="24">
                <c:v>13.535803930399325</c:v>
              </c:pt>
              <c:pt idx="25">
                <c:v>13.663517251468223</c:v>
              </c:pt>
            </c:numLit>
          </c:xVal>
          <c:yVal>
            <c:numLit>
              <c:formatCode>General</c:formatCode>
              <c:ptCount val="26"/>
              <c:pt idx="0">
                <c:v>1.1233874654334045E-3</c:v>
              </c:pt>
              <c:pt idx="1">
                <c:v>1.2274585817801354E-3</c:v>
              </c:pt>
              <c:pt idx="2">
                <c:v>1.3402891326142665E-3</c:v>
              </c:pt>
              <c:pt idx="3">
                <c:v>1.4625414826896688E-3</c:v>
              </c:pt>
              <c:pt idx="4">
                <c:v>1.5949225201677061E-3</c:v>
              </c:pt>
              <c:pt idx="5">
                <c:v>1.7381863180575758E-3</c:v>
              </c:pt>
              <c:pt idx="6">
                <c:v>1.8931369444374524E-3</c:v>
              </c:pt>
              <c:pt idx="7">
                <c:v>2.0606314307937824E-3</c:v>
              </c:pt>
              <c:pt idx="8">
                <c:v>2.2415829086399218E-3</c:v>
              </c:pt>
              <c:pt idx="9">
                <c:v>2.436963925492433E-3</c:v>
              </c:pt>
              <c:pt idx="10">
                <c:v>2.6478099523050075E-3</c:v>
              </c:pt>
              <c:pt idx="11">
                <c:v>2.8476031898160307E-3</c:v>
              </c:pt>
              <c:pt idx="12">
                <c:v>3.0604312207948227E-3</c:v>
              </c:pt>
              <c:pt idx="13">
                <c:v>3.2873201415692466E-3</c:v>
              </c:pt>
              <c:pt idx="14">
                <c:v>3.5290759284962439E-3</c:v>
              </c:pt>
              <c:pt idx="15">
                <c:v>3.7865440615982605E-3</c:v>
              </c:pt>
              <c:pt idx="16">
                <c:v>4.0606926533359542E-3</c:v>
              </c:pt>
              <c:pt idx="17">
                <c:v>4.3523817292269416E-3</c:v>
              </c:pt>
              <c:pt idx="18">
                <c:v>4.662586952544772E-3</c:v>
              </c:pt>
              <c:pt idx="19">
                <c:v>4.9923308790401572E-3</c:v>
              </c:pt>
              <c:pt idx="20">
                <c:v>5.3426850128968318E-3</c:v>
              </c:pt>
              <c:pt idx="21">
                <c:v>5.7148868636222108E-3</c:v>
              </c:pt>
              <c:pt idx="22">
                <c:v>6.110013561687732E-3</c:v>
              </c:pt>
              <c:pt idx="23">
                <c:v>6.529298368583126E-3</c:v>
              </c:pt>
              <c:pt idx="24">
                <c:v>6.9740329453147794E-3</c:v>
              </c:pt>
              <c:pt idx="25">
                <c:v>7.0337875575625384E-3</c:v>
              </c:pt>
            </c:numLit>
          </c:yVal>
          <c:smooth val="1"/>
          <c:extLst>
            <c:ext xmlns:c16="http://schemas.microsoft.com/office/drawing/2014/chart" uri="{C3380CC4-5D6E-409C-BE32-E72D297353CC}">
              <c16:uniqueId val="{0000002C-774A-40C1-BD06-DA789AA122DC}"/>
            </c:ext>
          </c:extLst>
        </c:ser>
        <c:ser>
          <c:idx val="32"/>
          <c:order val="32"/>
          <c:tx>
            <c:v>RH=70_Label1</c:v>
          </c:tx>
          <c:spPr>
            <a:ln w="3175">
              <a:solidFill>
                <a:srgbClr val="0000FF"/>
              </a:solidFill>
              <a:prstDash val="solid"/>
            </a:ln>
          </c:spPr>
          <c:marker>
            <c:symbol val="none"/>
          </c:marker>
          <c:dLbls>
            <c:dLbl>
              <c:idx val="0"/>
              <c:tx>
                <c:rich>
                  <a:bodyPr rot="-19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14.115415531085313</c:v>
              </c:pt>
            </c:numLit>
          </c:xVal>
          <c:yVal>
            <c:numLit>
              <c:formatCode>General</c:formatCode>
              <c:ptCount val="1"/>
              <c:pt idx="0">
                <c:v>7.248908724043295E-3</c:v>
              </c:pt>
            </c:numLit>
          </c:yVal>
          <c:smooth val="0"/>
          <c:extLst>
            <c:ext xmlns:c16="http://schemas.microsoft.com/office/drawing/2014/chart" uri="{C3380CC4-5D6E-409C-BE32-E72D297353CC}">
              <c16:uniqueId val="{0000002E-774A-40C1-BD06-DA789AA122DC}"/>
            </c:ext>
          </c:extLst>
        </c:ser>
        <c:ser>
          <c:idx val="33"/>
          <c:order val="33"/>
          <c:tx>
            <c:v>RH=70_2</c:v>
          </c:tx>
          <c:spPr>
            <a:ln w="3175">
              <a:solidFill>
                <a:srgbClr val="0000FF"/>
              </a:solidFill>
              <a:prstDash val="solid"/>
            </a:ln>
          </c:spPr>
          <c:marker>
            <c:symbol val="none"/>
          </c:marker>
          <c:xVal>
            <c:numLit>
              <c:formatCode>General</c:formatCode>
              <c:ptCount val="15"/>
              <c:pt idx="0">
                <c:v>14.557478452716124</c:v>
              </c:pt>
              <c:pt idx="1">
                <c:v>15.539828650256451</c:v>
              </c:pt>
              <c:pt idx="2">
                <c:v>16.522217362965936</c:v>
              </c:pt>
              <c:pt idx="3">
                <c:v>17.504717714343734</c:v>
              </c:pt>
              <c:pt idx="4">
                <c:v>18.487410131551616</c:v>
              </c:pt>
              <c:pt idx="5">
                <c:v>19.470382827891875</c:v>
              </c:pt>
              <c:pt idx="6">
                <c:v>20.453732312792965</c:v>
              </c:pt>
              <c:pt idx="7">
                <c:v>21.437563931214026</c:v>
              </c:pt>
              <c:pt idx="8">
                <c:v>22.421992434567873</c:v>
              </c:pt>
              <c:pt idx="9">
                <c:v>23.407142585470929</c:v>
              </c:pt>
              <c:pt idx="10">
                <c:v>24.393149271932984</c:v>
              </c:pt>
              <c:pt idx="11">
                <c:v>25.380146828018695</c:v>
              </c:pt>
              <c:pt idx="12">
                <c:v>26.368306476005845</c:v>
              </c:pt>
              <c:pt idx="13">
                <c:v>27.357799918479614</c:v>
              </c:pt>
              <c:pt idx="14">
                <c:v>27.60540309392756</c:v>
              </c:pt>
            </c:numLit>
          </c:xVal>
          <c:yVal>
            <c:numLit>
              <c:formatCode>General</c:formatCode>
              <c:ptCount val="15"/>
              <c:pt idx="0">
                <c:v>7.4650088052640581E-3</c:v>
              </c:pt>
              <c:pt idx="1">
                <c:v>7.9659241397534303E-3</c:v>
              </c:pt>
              <c:pt idx="2">
                <c:v>8.4966028039244381E-3</c:v>
              </c:pt>
              <c:pt idx="3">
                <c:v>9.058601130616949E-3</c:v>
              </c:pt>
              <c:pt idx="4">
                <c:v>9.6535489368709364E-3</c:v>
              </c:pt>
              <c:pt idx="5">
                <c:v>1.0283153077594011E-2</c:v>
              </c:pt>
              <c:pt idx="6">
                <c:v>1.0949201221749659E-2</c:v>
              </c:pt>
              <c:pt idx="7">
                <c:v>1.1653565869804223E-2</c:v>
              </c:pt>
              <c:pt idx="8">
                <c:v>1.2398208632955276E-2</c:v>
              </c:pt>
              <c:pt idx="9">
                <c:v>1.318518479663176E-2</c:v>
              </c:pt>
              <c:pt idx="10">
                <c:v>1.4016659610978009E-2</c:v>
              </c:pt>
              <c:pt idx="11">
                <c:v>1.4895172308085002E-2</c:v>
              </c:pt>
              <c:pt idx="12">
                <c:v>1.5822835533000876E-2</c:v>
              </c:pt>
              <c:pt idx="13">
                <c:v>1.6802134918069693E-2</c:v>
              </c:pt>
              <c:pt idx="14">
                <c:v>1.7055330715959553E-2</c:v>
              </c:pt>
            </c:numLit>
          </c:yVal>
          <c:smooth val="1"/>
          <c:extLst>
            <c:ext xmlns:c16="http://schemas.microsoft.com/office/drawing/2014/chart" uri="{C3380CC4-5D6E-409C-BE32-E72D297353CC}">
              <c16:uniqueId val="{0000002F-774A-40C1-BD06-DA789AA122DC}"/>
            </c:ext>
          </c:extLst>
        </c:ser>
        <c:ser>
          <c:idx val="34"/>
          <c:order val="34"/>
          <c:tx>
            <c:v>RH=70_Label2</c:v>
          </c:tx>
          <c:spPr>
            <a:ln w="3175">
              <a:solidFill>
                <a:srgbClr val="0000FF"/>
              </a:solidFill>
              <a:prstDash val="solid"/>
            </a:ln>
          </c:spPr>
          <c:marker>
            <c:symbol val="none"/>
          </c:marker>
          <c:dLbls>
            <c:dLbl>
              <c:idx val="0"/>
              <c:tx>
                <c:rich>
                  <a:bodyPr rot="-33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0-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27.902656418060964</c:v>
              </c:pt>
            </c:numLit>
          </c:xVal>
          <c:yVal>
            <c:numLit>
              <c:formatCode>General</c:formatCode>
              <c:ptCount val="1"/>
              <c:pt idx="0">
                <c:v>1.7363699091236338E-2</c:v>
              </c:pt>
            </c:numLit>
          </c:yVal>
          <c:smooth val="0"/>
          <c:extLst>
            <c:ext xmlns:c16="http://schemas.microsoft.com/office/drawing/2014/chart" uri="{C3380CC4-5D6E-409C-BE32-E72D297353CC}">
              <c16:uniqueId val="{00000031-774A-40C1-BD06-DA789AA122DC}"/>
            </c:ext>
          </c:extLst>
        </c:ser>
        <c:ser>
          <c:idx val="35"/>
          <c:order val="35"/>
          <c:tx>
            <c:v>RH=70_3</c:v>
          </c:tx>
          <c:spPr>
            <a:ln w="3175">
              <a:solidFill>
                <a:srgbClr val="0000FF"/>
              </a:solidFill>
              <a:prstDash val="solid"/>
            </a:ln>
          </c:spPr>
          <c:marker>
            <c:symbol val="none"/>
          </c:marker>
          <c:xVal>
            <c:numLit>
              <c:formatCode>General</c:formatCode>
              <c:ptCount val="18"/>
              <c:pt idx="0">
                <c:v>28.200056090842775</c:v>
              </c:pt>
              <c:pt idx="1">
                <c:v>29.192516531934622</c:v>
              </c:pt>
              <c:pt idx="2">
                <c:v>30.186878036299017</c:v>
              </c:pt>
              <c:pt idx="3">
                <c:v>31.183369872871133</c:v>
              </c:pt>
              <c:pt idx="4">
                <c:v>32.182238665200806</c:v>
              </c:pt>
              <c:pt idx="5">
                <c:v>33.183749518970501</c:v>
              </c:pt>
              <c:pt idx="6">
                <c:v>34.188187230843702</c:v>
              </c:pt>
              <c:pt idx="7">
                <c:v>35.195857586295595</c:v>
              </c:pt>
              <c:pt idx="8">
                <c:v>36.207088754941182</c:v>
              </c:pt>
              <c:pt idx="9">
                <c:v>37.222232792847343</c:v>
              </c:pt>
              <c:pt idx="10">
                <c:v>38.241667262409628</c:v>
              </c:pt>
              <c:pt idx="11">
                <c:v>39.265796981608062</c:v>
              </c:pt>
              <c:pt idx="12">
                <c:v>40.295050347074792</c:v>
              </c:pt>
              <c:pt idx="13">
                <c:v>41.329898060190359</c:v>
              </c:pt>
              <c:pt idx="14">
                <c:v>42.370839619643959</c:v>
              </c:pt>
              <c:pt idx="15">
                <c:v>43.418409665420448</c:v>
              </c:pt>
              <c:pt idx="16">
                <c:v>44.47318133087601</c:v>
              </c:pt>
              <c:pt idx="17">
                <c:v>39.594578804453931</c:v>
              </c:pt>
            </c:numLit>
          </c:xVal>
          <c:yVal>
            <c:numLit>
              <c:formatCode>General</c:formatCode>
              <c:ptCount val="18"/>
              <c:pt idx="0">
                <c:v>1.7677082476637275E-2</c:v>
              </c:pt>
              <c:pt idx="1">
                <c:v>1.8758879091709882E-2</c:v>
              </c:pt>
              <c:pt idx="2">
                <c:v>1.9900088775318587E-2</c:v>
              </c:pt>
              <c:pt idx="3">
                <c:v>2.1103706378928135E-2</c:v>
              </c:pt>
              <c:pt idx="4">
                <c:v>2.2372878301942182E-2</c:v>
              </c:pt>
              <c:pt idx="5">
                <c:v>2.3710911672963426E-2</c:v>
              </c:pt>
              <c:pt idx="6">
                <c:v>2.5121284265609178E-2</c:v>
              </c:pt>
              <c:pt idx="7">
                <c:v>2.6607655219993035E-2</c:v>
              </c:pt>
              <c:pt idx="8">
                <c:v>2.8173876648752687E-2</c:v>
              </c:pt>
              <c:pt idx="9">
                <c:v>2.9824006215230181E-2</c:v>
              </c:pt>
              <c:pt idx="10">
                <c:v>3.1562320781235269E-2</c:v>
              </c:pt>
              <c:pt idx="11">
                <c:v>3.339333123290554E-2</c:v>
              </c:pt>
              <c:pt idx="12">
                <c:v>3.5322129223631905E-2</c:v>
              </c:pt>
              <c:pt idx="13">
                <c:v>3.7353496377000327E-2</c:v>
              </c:pt>
              <c:pt idx="14">
                <c:v>3.949271377872883E-2</c:v>
              </c:pt>
              <c:pt idx="15">
                <c:v>4.1745409128964649E-2</c:v>
              </c:pt>
              <c:pt idx="16">
                <c:v>4.4117541099966587E-2</c:v>
              </c:pt>
              <c:pt idx="17">
                <c:v>3.4000000000000002E-2</c:v>
              </c:pt>
            </c:numLit>
          </c:yVal>
          <c:smooth val="1"/>
          <c:extLst>
            <c:ext xmlns:c16="http://schemas.microsoft.com/office/drawing/2014/chart" uri="{C3380CC4-5D6E-409C-BE32-E72D297353CC}">
              <c16:uniqueId val="{00000032-774A-40C1-BD06-DA789AA122DC}"/>
            </c:ext>
          </c:extLst>
        </c:ser>
        <c:ser>
          <c:idx val="36"/>
          <c:order val="36"/>
          <c:tx>
            <c:v>RH=80_1</c:v>
          </c:tx>
          <c:spPr>
            <a:ln w="3175">
              <a:solidFill>
                <a:srgbClr val="0000FF"/>
              </a:solidFill>
              <a:prstDash val="solid"/>
            </a:ln>
          </c:spPr>
          <c:marker>
            <c:symbol val="none"/>
          </c:marker>
          <c:xVal>
            <c:numLit>
              <c:formatCode>General</c:formatCode>
              <c:ptCount val="25"/>
              <c:pt idx="0">
                <c:v>-10.142462252313372</c:v>
              </c:pt>
              <c:pt idx="1">
                <c:v>-9.1530693451110441</c:v>
              </c:pt>
              <c:pt idx="2">
                <c:v>-8.1643111797046028</c:v>
              </c:pt>
              <c:pt idx="3">
                <c:v>-7.1762121585269725</c:v>
              </c:pt>
              <c:pt idx="4">
                <c:v>-6.1887963741239869</c:v>
              </c:pt>
              <c:pt idx="5">
                <c:v>-5.2020874503179</c:v>
              </c:pt>
              <c:pt idx="6">
                <c:v>-4.216108366796858</c:v>
              </c:pt>
              <c:pt idx="7">
                <c:v>-3.2308812659811013</c:v>
              </c:pt>
              <c:pt idx="8">
                <c:v>-2.2464272409472805</c:v>
              </c:pt>
              <c:pt idx="9">
                <c:v>-1.2627661031165411</c:v>
              </c:pt>
              <c:pt idx="10">
                <c:v>-0.27991612832932827</c:v>
              </c:pt>
              <c:pt idx="11">
                <c:v>0.70496971377479312</c:v>
              </c:pt>
              <c:pt idx="12">
                <c:v>1.6893751797203689</c:v>
              </c:pt>
              <c:pt idx="13">
                <c:v>2.673280691795791</c:v>
              </c:pt>
              <c:pt idx="14">
                <c:v>3.6566967537427413</c:v>
              </c:pt>
              <c:pt idx="15">
                <c:v>4.6396369047700743</c:v>
              </c:pt>
              <c:pt idx="16">
                <c:v>5.6221103937215835</c:v>
              </c:pt>
              <c:pt idx="17">
                <c:v>6.6041444768900135</c:v>
              </c:pt>
              <c:pt idx="18">
                <c:v>7.5857633852747366</c:v>
              </c:pt>
              <c:pt idx="19">
                <c:v>8.5669955137537652</c:v>
              </c:pt>
              <c:pt idx="20">
                <c:v>9.5478737437203733</c:v>
              </c:pt>
              <c:pt idx="21">
                <c:v>10.528426290323946</c:v>
              </c:pt>
              <c:pt idx="22">
                <c:v>11.508704734555835</c:v>
              </c:pt>
              <c:pt idx="23">
                <c:v>12.488757521913389</c:v>
              </c:pt>
              <c:pt idx="24">
                <c:v>12.508356639226964</c:v>
              </c:pt>
            </c:numLit>
          </c:xVal>
          <c:yVal>
            <c:numLit>
              <c:formatCode>General</c:formatCode>
              <c:ptCount val="25"/>
              <c:pt idx="0">
                <c:v>1.2842027403875593E-3</c:v>
              </c:pt>
              <c:pt idx="1">
                <c:v>1.4032054053372527E-3</c:v>
              </c:pt>
              <c:pt idx="2">
                <c:v>1.5322306894960248E-3</c:v>
              </c:pt>
              <c:pt idx="3">
                <c:v>1.6720376483506344E-3</c:v>
              </c:pt>
              <c:pt idx="4">
                <c:v>1.8234365626798278E-3</c:v>
              </c:pt>
              <c:pt idx="5">
                <c:v>1.9872920334292098E-3</c:v>
              </c:pt>
              <c:pt idx="6">
                <c:v>2.1645262544567742E-3</c:v>
              </c:pt>
              <c:pt idx="7">
                <c:v>2.3561224749136492E-3</c:v>
              </c:pt>
              <c:pt idx="8">
                <c:v>2.5631286641125323E-3</c:v>
              </c:pt>
              <c:pt idx="9">
                <c:v>2.7866613929500377E-3</c:v>
              </c:pt>
              <c:pt idx="10">
                <c:v>3.027909947304347E-3</c:v>
              </c:pt>
              <c:pt idx="11">
                <c:v>3.2565335521456892E-3</c:v>
              </c:pt>
              <c:pt idx="12">
                <c:v>3.5000959811974544E-3</c:v>
              </c:pt>
              <c:pt idx="13">
                <c:v>3.7597760701605356E-3</c:v>
              </c:pt>
              <c:pt idx="14">
                <c:v>4.0365014695512222E-3</c:v>
              </c:pt>
              <c:pt idx="15">
                <c:v>4.3312458040777246E-3</c:v>
              </c:pt>
              <c:pt idx="16">
                <c:v>4.6451239481437702E-3</c:v>
              </c:pt>
              <c:pt idx="17">
                <c:v>4.9791279851043521E-3</c:v>
              </c:pt>
              <c:pt idx="18">
                <c:v>5.3343834410344883E-3</c:v>
              </c:pt>
              <c:pt idx="19">
                <c:v>5.7120707207410411E-3</c:v>
              </c:pt>
              <c:pt idx="20">
                <c:v>6.1134276050712729E-3</c:v>
              </c:pt>
              <c:pt idx="21">
                <c:v>6.5398835392074571E-3</c:v>
              </c:pt>
              <c:pt idx="22">
                <c:v>6.9926858663954712E-3</c:v>
              </c:pt>
              <c:pt idx="23">
                <c:v>7.4732626119606346E-3</c:v>
              </c:pt>
              <c:pt idx="24">
                <c:v>7.4831676078565192E-3</c:v>
              </c:pt>
            </c:numLit>
          </c:yVal>
          <c:smooth val="1"/>
          <c:extLst>
            <c:ext xmlns:c16="http://schemas.microsoft.com/office/drawing/2014/chart" uri="{C3380CC4-5D6E-409C-BE32-E72D297353CC}">
              <c16:uniqueId val="{00000033-774A-40C1-BD06-DA789AA122DC}"/>
            </c:ext>
          </c:extLst>
        </c:ser>
        <c:ser>
          <c:idx val="37"/>
          <c:order val="37"/>
          <c:tx>
            <c:v>RH=80_Label1</c:v>
          </c:tx>
          <c:spPr>
            <a:ln w="3175">
              <a:solidFill>
                <a:srgbClr val="0000FF"/>
              </a:solidFill>
              <a:prstDash val="solid"/>
            </a:ln>
          </c:spPr>
          <c:marker>
            <c:symbol val="none"/>
          </c:marker>
          <c:dLbls>
            <c:dLbl>
              <c:idx val="0"/>
              <c:tx>
                <c:rich>
                  <a:bodyPr rot="-21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4-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12.93952077992059</c:v>
              </c:pt>
            </c:numLit>
          </c:xVal>
          <c:yVal>
            <c:numLit>
              <c:formatCode>General</c:formatCode>
              <c:ptCount val="1"/>
              <c:pt idx="0">
                <c:v>7.7040641188605768E-3</c:v>
              </c:pt>
            </c:numLit>
          </c:yVal>
          <c:smooth val="0"/>
          <c:extLst>
            <c:ext xmlns:c16="http://schemas.microsoft.com/office/drawing/2014/chart" uri="{C3380CC4-5D6E-409C-BE32-E72D297353CC}">
              <c16:uniqueId val="{00000035-774A-40C1-BD06-DA789AA122DC}"/>
            </c:ext>
          </c:extLst>
        </c:ser>
        <c:ser>
          <c:idx val="38"/>
          <c:order val="38"/>
          <c:tx>
            <c:v>RH=80_2</c:v>
          </c:tx>
          <c:spPr>
            <a:ln w="3175">
              <a:solidFill>
                <a:srgbClr val="0000FF"/>
              </a:solidFill>
              <a:prstDash val="solid"/>
            </a:ln>
          </c:spPr>
          <c:marker>
            <c:symbol val="none"/>
          </c:marker>
          <c:xVal>
            <c:numLit>
              <c:formatCode>General</c:formatCode>
              <c:ptCount val="14"/>
              <c:pt idx="0">
                <c:v>13.3608586632075</c:v>
              </c:pt>
              <c:pt idx="1">
                <c:v>14.340638748180433</c:v>
              </c:pt>
              <c:pt idx="2">
                <c:v>15.320368273945533</c:v>
              </c:pt>
              <c:pt idx="3">
                <c:v>16.300121388752697</c:v>
              </c:pt>
              <c:pt idx="4">
                <c:v>17.279980004684329</c:v>
              </c:pt>
              <c:pt idx="5">
                <c:v>18.260034325056761</c:v>
              </c:pt>
              <c:pt idx="6">
                <c:v>19.240383402872951</c:v>
              </c:pt>
              <c:pt idx="7">
                <c:v>20.221135732568783</c:v>
              </c:pt>
              <c:pt idx="8">
                <c:v>21.202409877522989</c:v>
              </c:pt>
              <c:pt idx="9">
                <c:v>22.184335136054546</c:v>
              </c:pt>
              <c:pt idx="10">
                <c:v>23.167052248913919</c:v>
              </c:pt>
              <c:pt idx="11">
                <c:v>24.150714151590211</c:v>
              </c:pt>
              <c:pt idx="12">
                <c:v>25.135473037228405</c:v>
              </c:pt>
              <c:pt idx="13">
                <c:v>25.874877054992844</c:v>
              </c:pt>
            </c:numLit>
          </c:xVal>
          <c:yVal>
            <c:numLit>
              <c:formatCode>General</c:formatCode>
              <c:ptCount val="14"/>
              <c:pt idx="0">
                <c:v>7.9255468626814787E-3</c:v>
              </c:pt>
              <c:pt idx="1">
                <c:v>8.4627640216843013E-3</c:v>
              </c:pt>
              <c:pt idx="2">
                <c:v>9.0322819658535669E-3</c:v>
              </c:pt>
              <c:pt idx="3">
                <c:v>9.6358161442111449E-3</c:v>
              </c:pt>
              <c:pt idx="4">
                <c:v>1.0275164928481188E-2</c:v>
              </c:pt>
              <c:pt idx="5">
                <c:v>1.0952213771336889E-2</c:v>
              </c:pt>
              <c:pt idx="6">
                <c:v>1.1668939635490804E-2</c:v>
              </c:pt>
              <c:pt idx="7">
                <c:v>1.2427415717094702E-2</c:v>
              </c:pt>
              <c:pt idx="8">
                <c:v>1.3229816489212421E-2</c:v>
              </c:pt>
              <c:pt idx="9">
                <c:v>1.4078423093671105E-2</c:v>
              </c:pt>
              <c:pt idx="10">
                <c:v>1.497562911241101E-2</c:v>
              </c:pt>
              <c:pt idx="11">
                <c:v>1.5923946752573682E-2</c:v>
              </c:pt>
              <c:pt idx="12">
                <c:v>1.6926321665222295E-2</c:v>
              </c:pt>
              <c:pt idx="13">
                <c:v>1.7715092490545425E-2</c:v>
              </c:pt>
            </c:numLit>
          </c:yVal>
          <c:smooth val="1"/>
          <c:extLst>
            <c:ext xmlns:c16="http://schemas.microsoft.com/office/drawing/2014/chart" uri="{C3380CC4-5D6E-409C-BE32-E72D297353CC}">
              <c16:uniqueId val="{00000036-774A-40C1-BD06-DA789AA122DC}"/>
            </c:ext>
          </c:extLst>
        </c:ser>
        <c:ser>
          <c:idx val="39"/>
          <c:order val="39"/>
          <c:tx>
            <c:v>RH=80_Label2</c:v>
          </c:tx>
          <c:spPr>
            <a:ln w="3175">
              <a:solidFill>
                <a:srgbClr val="0000FF"/>
              </a:solidFill>
              <a:prstDash val="solid"/>
            </a:ln>
          </c:spPr>
          <c:marker>
            <c:symbol val="none"/>
          </c:marker>
          <c:dLbls>
            <c:dLbl>
              <c:idx val="0"/>
              <c:tx>
                <c:rich>
                  <a:bodyPr rot="-33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7-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26.170859778080111</c:v>
              </c:pt>
            </c:numLit>
          </c:xVal>
          <c:yVal>
            <c:numLit>
              <c:formatCode>General</c:formatCode>
              <c:ptCount val="1"/>
              <c:pt idx="0">
                <c:v>1.8039780825415901E-2</c:v>
              </c:pt>
            </c:numLit>
          </c:yVal>
          <c:smooth val="0"/>
          <c:extLst>
            <c:ext xmlns:c16="http://schemas.microsoft.com/office/drawing/2014/chart" uri="{C3380CC4-5D6E-409C-BE32-E72D297353CC}">
              <c16:uniqueId val="{00000038-774A-40C1-BD06-DA789AA122DC}"/>
            </c:ext>
          </c:extLst>
        </c:ser>
        <c:ser>
          <c:idx val="40"/>
          <c:order val="40"/>
          <c:tx>
            <c:v>RH=80_3</c:v>
          </c:tx>
          <c:spPr>
            <a:ln w="3175">
              <a:solidFill>
                <a:srgbClr val="0000FF"/>
              </a:solidFill>
              <a:prstDash val="solid"/>
            </a:ln>
          </c:spPr>
          <c:marker>
            <c:symbol val="none"/>
          </c:marker>
          <c:xVal>
            <c:numLit>
              <c:formatCode>General</c:formatCode>
              <c:ptCount val="17"/>
              <c:pt idx="0">
                <c:v>26.466976910593637</c:v>
              </c:pt>
              <c:pt idx="1">
                <c:v>27.455076949237203</c:v>
              </c:pt>
              <c:pt idx="2">
                <c:v>28.444949400883822</c:v>
              </c:pt>
              <c:pt idx="3">
                <c:v>29.436827565234527</c:v>
              </c:pt>
              <c:pt idx="4">
                <c:v>30.430963058409187</c:v>
              </c:pt>
              <c:pt idx="5">
                <c:v>31.427627039849007</c:v>
              </c:pt>
              <c:pt idx="6">
                <c:v>32.427111530608649</c:v>
              </c:pt>
              <c:pt idx="7">
                <c:v>33.429730831909019</c:v>
              </c:pt>
              <c:pt idx="8">
                <c:v>34.435823053853696</c:v>
              </c:pt>
              <c:pt idx="9">
                <c:v>35.445751765376748</c:v>
              </c:pt>
              <c:pt idx="10">
                <c:v>36.45990777780662</c:v>
              </c:pt>
              <c:pt idx="11">
                <c:v>37.478711075921858</c:v>
              </c:pt>
              <c:pt idx="12">
                <c:v>38.50261291206558</c:v>
              </c:pt>
              <c:pt idx="13">
                <c:v>39.532096283331867</c:v>
              </c:pt>
              <c:pt idx="14">
                <c:v>40.567678543689389</c:v>
              </c:pt>
              <c:pt idx="15">
                <c:v>41.609925340912454</c:v>
              </c:pt>
              <c:pt idx="16">
                <c:v>36.958513469612221</c:v>
              </c:pt>
            </c:numLit>
          </c:xVal>
          <c:yVal>
            <c:numLit>
              <c:formatCode>General</c:formatCode>
              <c:ptCount val="17"/>
              <c:pt idx="0">
                <c:v>1.8369834550872179E-2</c:v>
              </c:pt>
              <c:pt idx="1">
                <c:v>1.9509818475929395E-2</c:v>
              </c:pt>
              <c:pt idx="2">
                <c:v>2.0713450771512626E-2</c:v>
              </c:pt>
              <c:pt idx="3">
                <c:v>2.1984008896382069E-2</c:v>
              </c:pt>
              <c:pt idx="4">
                <c:v>2.3324941056249882E-2</c:v>
              </c:pt>
              <c:pt idx="5">
                <c:v>2.4739876910536536E-2</c:v>
              </c:pt>
              <c:pt idx="6">
                <c:v>2.6232639162871791E-2</c:v>
              </c:pt>
              <c:pt idx="7">
                <c:v>2.780725612342148E-2</c:v>
              </c:pt>
              <c:pt idx="8">
                <c:v>2.9467975341054942E-2</c:v>
              </c:pt>
              <c:pt idx="9">
                <c:v>3.1219278414564438E-2</c:v>
              </c:pt>
              <c:pt idx="10">
                <c:v>3.3065897104802532E-2</c:v>
              </c:pt>
              <c:pt idx="11">
                <c:v>3.5012830883924491E-2</c:v>
              </c:pt>
              <c:pt idx="12">
                <c:v>3.7065366074171026E-2</c:v>
              </c:pt>
              <c:pt idx="13">
                <c:v>3.9229196355992167E-2</c:v>
              </c:pt>
              <c:pt idx="14">
                <c:v>4.1510494000618466E-2</c:v>
              </c:pt>
              <c:pt idx="15">
                <c:v>4.39152468574769E-2</c:v>
              </c:pt>
              <c:pt idx="16">
                <c:v>3.4000000000000002E-2</c:v>
              </c:pt>
            </c:numLit>
          </c:yVal>
          <c:smooth val="1"/>
          <c:extLst>
            <c:ext xmlns:c16="http://schemas.microsoft.com/office/drawing/2014/chart" uri="{C3380CC4-5D6E-409C-BE32-E72D297353CC}">
              <c16:uniqueId val="{00000039-774A-40C1-BD06-DA789AA122DC}"/>
            </c:ext>
          </c:extLst>
        </c:ser>
        <c:ser>
          <c:idx val="41"/>
          <c:order val="41"/>
          <c:tx>
            <c:v>RH=90_1</c:v>
          </c:tx>
          <c:spPr>
            <a:ln w="3175">
              <a:solidFill>
                <a:srgbClr val="0000FF"/>
              </a:solidFill>
              <a:prstDash val="solid"/>
            </a:ln>
          </c:spPr>
          <c:marker>
            <c:symbol val="none"/>
          </c:marker>
          <c:xVal>
            <c:numLit>
              <c:formatCode>General</c:formatCode>
              <c:ptCount val="24"/>
              <c:pt idx="0">
                <c:v>-10.160311408243556</c:v>
              </c:pt>
              <c:pt idx="1">
                <c:v>-9.1722515888392806</c:v>
              </c:pt>
              <c:pt idx="2">
                <c:v>-8.1849070163387818</c:v>
              </c:pt>
              <c:pt idx="3">
                <c:v>-7.1983053151223135</c:v>
              </c:pt>
              <c:pt idx="4">
                <c:v>-6.2124737836153079</c:v>
              </c:pt>
              <c:pt idx="5">
                <c:v>-5.2274392181591223</c:v>
              </c:pt>
              <c:pt idx="6">
                <c:v>-4.2432277184566214</c:v>
              </c:pt>
              <c:pt idx="7">
                <c:v>-3.2598644733070836</c:v>
              </c:pt>
              <c:pt idx="8">
                <c:v>-2.2773735252646343</c:v>
              </c:pt>
              <c:pt idx="9">
                <c:v>-1.2957775127664004</c:v>
              </c:pt>
              <c:pt idx="10">
                <c:v>-0.31509738817978866</c:v>
              </c:pt>
              <c:pt idx="11">
                <c:v>0.66787356150364452</c:v>
              </c:pt>
              <c:pt idx="12">
                <c:v>1.6503010926400361</c:v>
              </c:pt>
              <c:pt idx="13">
                <c:v>2.632162838192071</c:v>
              </c:pt>
              <c:pt idx="14">
                <c:v>3.6134702872847182</c:v>
              </c:pt>
              <c:pt idx="15">
                <c:v>4.5942383205023143</c:v>
              </c:pt>
              <c:pt idx="16">
                <c:v>5.5744769520084745</c:v>
              </c:pt>
              <c:pt idx="17">
                <c:v>6.5542164583903677</c:v>
              </c:pt>
              <c:pt idx="18">
                <c:v>7.5334836764058082</c:v>
              </c:pt>
              <c:pt idx="19">
                <c:v>8.5123101039472857</c:v>
              </c:pt>
              <c:pt idx="20">
                <c:v>9.490732264027244</c:v>
              </c:pt>
              <c:pt idx="21">
                <c:v>10.468781381354987</c:v>
              </c:pt>
              <c:pt idx="22">
                <c:v>11.446514998561955</c:v>
              </c:pt>
              <c:pt idx="23">
                <c:v>11.466066812546941</c:v>
              </c:pt>
            </c:numLit>
          </c:xVal>
          <c:yVal>
            <c:numLit>
              <c:formatCode>General</c:formatCode>
              <c:ptCount val="24"/>
              <c:pt idx="0">
                <c:v>1.4451010456363609E-3</c:v>
              </c:pt>
              <c:pt idx="1">
                <c:v>1.5790513793722909E-3</c:v>
              </c:pt>
              <c:pt idx="2">
                <c:v>1.7242904934817753E-3</c:v>
              </c:pt>
              <c:pt idx="3">
                <c:v>1.8816746558483943E-3</c:v>
              </c:pt>
              <c:pt idx="4">
                <c:v>2.0521181482046785E-3</c:v>
              </c:pt>
              <c:pt idx="5">
                <c:v>2.2365968080945969E-3</c:v>
              </c:pt>
              <c:pt idx="6">
                <c:v>2.4361517798423041E-3</c:v>
              </c:pt>
              <c:pt idx="7">
                <c:v>2.651893489013245E-3</c:v>
              </c:pt>
              <c:pt idx="8">
                <c:v>2.8850058562471248E-3</c:v>
              </c:pt>
              <c:pt idx="9">
                <c:v>3.1367507679000511E-3</c:v>
              </c:pt>
              <c:pt idx="10">
                <c:v>3.4084728226759938E-3</c:v>
              </c:pt>
              <c:pt idx="11">
                <c:v>3.6659995295954982E-3</c:v>
              </c:pt>
              <c:pt idx="12">
                <c:v>3.9403797133078381E-3</c:v>
              </c:pt>
              <c:pt idx="13">
                <c:v>4.2329465200043074E-3</c:v>
              </c:pt>
              <c:pt idx="14">
                <c:v>4.5447509466055858E-3</c:v>
              </c:pt>
              <c:pt idx="15">
                <c:v>4.8768966496376548E-3</c:v>
              </c:pt>
              <c:pt idx="16">
                <c:v>5.2306474374324884E-3</c:v>
              </c:pt>
              <c:pt idx="17">
                <c:v>5.6071298181956681E-3</c:v>
              </c:pt>
              <c:pt idx="18">
                <c:v>6.0076218834582296E-3</c:v>
              </c:pt>
              <c:pt idx="19">
                <c:v>6.4334649282589956E-3</c:v>
              </c:pt>
              <c:pt idx="20">
                <c:v>6.8860664299542004E-3</c:v>
              </c:pt>
              <c:pt idx="21">
                <c:v>7.3670517005360123E-3</c:v>
              </c:pt>
              <c:pt idx="22">
                <c:v>7.8778425501793113E-3</c:v>
              </c:pt>
              <c:pt idx="23">
                <c:v>7.8883734305233554E-3</c:v>
              </c:pt>
            </c:numLit>
          </c:yVal>
          <c:smooth val="1"/>
          <c:extLst>
            <c:ext xmlns:c16="http://schemas.microsoft.com/office/drawing/2014/chart" uri="{C3380CC4-5D6E-409C-BE32-E72D297353CC}">
              <c16:uniqueId val="{0000003A-774A-40C1-BD06-DA789AA122DC}"/>
            </c:ext>
          </c:extLst>
        </c:ser>
        <c:ser>
          <c:idx val="42"/>
          <c:order val="42"/>
          <c:tx>
            <c:v>RH=90_Label1</c:v>
          </c:tx>
          <c:spPr>
            <a:ln w="3175">
              <a:solidFill>
                <a:srgbClr val="0000FF"/>
              </a:solidFill>
              <a:prstDash val="solid"/>
            </a:ln>
          </c:spPr>
          <c:marker>
            <c:symbol val="none"/>
          </c:marker>
          <c:dLbls>
            <c:dLbl>
              <c:idx val="0"/>
              <c:tx>
                <c:rich>
                  <a:bodyPr rot="-21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B-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11.886406335561087</c:v>
              </c:pt>
            </c:numLit>
          </c:xVal>
          <c:yVal>
            <c:numLit>
              <c:formatCode>General</c:formatCode>
              <c:ptCount val="1"/>
              <c:pt idx="0">
                <c:v>8.1178532770005106E-3</c:v>
              </c:pt>
            </c:numLit>
          </c:yVal>
          <c:smooth val="0"/>
          <c:extLst>
            <c:ext xmlns:c16="http://schemas.microsoft.com/office/drawing/2014/chart" uri="{C3380CC4-5D6E-409C-BE32-E72D297353CC}">
              <c16:uniqueId val="{0000003C-774A-40C1-BD06-DA789AA122DC}"/>
            </c:ext>
          </c:extLst>
        </c:ser>
        <c:ser>
          <c:idx val="43"/>
          <c:order val="43"/>
          <c:tx>
            <c:v>RH=90_2</c:v>
          </c:tx>
          <c:spPr>
            <a:ln w="3175">
              <a:solidFill>
                <a:srgbClr val="0000FF"/>
              </a:solidFill>
              <a:prstDash val="solid"/>
            </a:ln>
          </c:spPr>
          <c:marker>
            <c:symbol val="none"/>
          </c:marker>
          <c:xVal>
            <c:numLit>
              <c:formatCode>General</c:formatCode>
              <c:ptCount val="14"/>
              <c:pt idx="0">
                <c:v>12.287154552505491</c:v>
              </c:pt>
              <c:pt idx="1">
                <c:v>13.264450008749437</c:v>
              </c:pt>
              <c:pt idx="2">
                <c:v>14.241602544783566</c:v>
              </c:pt>
              <c:pt idx="3">
                <c:v>15.218686623205453</c:v>
              </c:pt>
              <c:pt idx="4">
                <c:v>16.195784869538244</c:v>
              </c:pt>
              <c:pt idx="5">
                <c:v>17.172988640875836</c:v>
              </c:pt>
              <c:pt idx="6">
                <c:v>18.150398628951599</c:v>
              </c:pt>
              <c:pt idx="7">
                <c:v>19.128125500200142</c:v>
              </c:pt>
              <c:pt idx="8">
                <c:v>20.106290575649407</c:v>
              </c:pt>
              <c:pt idx="9">
                <c:v>21.085026553779926</c:v>
              </c:pt>
              <c:pt idx="10">
                <c:v>22.064478279822467</c:v>
              </c:pt>
              <c:pt idx="11">
                <c:v>23.044803565339887</c:v>
              </c:pt>
              <c:pt idx="12">
                <c:v>24.026174062357637</c:v>
              </c:pt>
              <c:pt idx="13">
                <c:v>24.350283760914369</c:v>
              </c:pt>
            </c:numLit>
          </c:xVal>
          <c:yVal>
            <c:numLit>
              <c:formatCode>General</c:formatCode>
              <c:ptCount val="14"/>
              <c:pt idx="0">
                <c:v>8.3422001056663829E-3</c:v>
              </c:pt>
              <c:pt idx="1">
                <c:v>8.9128194892929211E-3</c:v>
              </c:pt>
              <c:pt idx="2">
                <c:v>9.518115555408645E-3</c:v>
              </c:pt>
              <c:pt idx="3">
                <c:v>1.0159955796425158E-2</c:v>
              </c:pt>
              <c:pt idx="4">
                <c:v>1.0840299888458355E-2</c:v>
              </c:pt>
              <c:pt idx="5">
                <c:v>1.1561204462982987E-2</c:v>
              </c:pt>
              <c:pt idx="6">
                <c:v>1.2324828199989819E-2</c:v>
              </c:pt>
              <c:pt idx="7">
                <c:v>1.3133437271204971E-2</c:v>
              </c:pt>
              <c:pt idx="8">
                <c:v>1.3989411164801244E-2</c:v>
              </c:pt>
              <c:pt idx="9">
                <c:v>1.4895248926209768E-2</c:v>
              </c:pt>
              <c:pt idx="10">
                <c:v>1.5853575853174682E-2</c:v>
              </c:pt>
              <c:pt idx="11">
                <c:v>1.68671506871205E-2</c:v>
              </c:pt>
              <c:pt idx="12">
                <c:v>1.7938873347281416E-2</c:v>
              </c:pt>
              <c:pt idx="13">
                <c:v>1.830588898250678E-2</c:v>
              </c:pt>
            </c:numLit>
          </c:yVal>
          <c:smooth val="1"/>
          <c:extLst>
            <c:ext xmlns:c16="http://schemas.microsoft.com/office/drawing/2014/chart" uri="{C3380CC4-5D6E-409C-BE32-E72D297353CC}">
              <c16:uniqueId val="{0000003D-774A-40C1-BD06-DA789AA122DC}"/>
            </c:ext>
          </c:extLst>
        </c:ser>
        <c:ser>
          <c:idx val="44"/>
          <c:order val="44"/>
          <c:tx>
            <c:v>RH=90_Label2</c:v>
          </c:tx>
          <c:spPr>
            <a:ln w="3175">
              <a:solidFill>
                <a:srgbClr val="0000FF"/>
              </a:solidFill>
              <a:prstDash val="solid"/>
            </a:ln>
          </c:spPr>
          <c:marker>
            <c:symbol val="none"/>
          </c:marker>
          <c:dLbls>
            <c:dLbl>
              <c:idx val="0"/>
              <c:tx>
                <c:rich>
                  <a:bodyPr rot="-342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24.645048916449817</c:v>
              </c:pt>
            </c:numLit>
          </c:xVal>
          <c:yVal>
            <c:numLit>
              <c:formatCode>General</c:formatCode>
              <c:ptCount val="1"/>
              <c:pt idx="0">
                <c:v>1.8645468166416327E-2</c:v>
              </c:pt>
            </c:numLit>
          </c:yVal>
          <c:smooth val="0"/>
          <c:extLst>
            <c:ext xmlns:c16="http://schemas.microsoft.com/office/drawing/2014/chart" uri="{C3380CC4-5D6E-409C-BE32-E72D297353CC}">
              <c16:uniqueId val="{0000003F-774A-40C1-BD06-DA789AA122DC}"/>
            </c:ext>
          </c:extLst>
        </c:ser>
        <c:ser>
          <c:idx val="45"/>
          <c:order val="45"/>
          <c:tx>
            <c:v>RH=90_3</c:v>
          </c:tx>
          <c:spPr>
            <a:ln w="3175">
              <a:solidFill>
                <a:srgbClr val="0000FF"/>
              </a:solidFill>
              <a:prstDash val="solid"/>
            </a:ln>
          </c:spPr>
          <c:marker>
            <c:symbol val="none"/>
          </c:marker>
          <c:xVal>
            <c:numLit>
              <c:formatCode>General</c:formatCode>
              <c:ptCount val="16"/>
              <c:pt idx="0">
                <c:v>24.939936032452529</c:v>
              </c:pt>
              <c:pt idx="1">
                <c:v>25.92384661002826</c:v>
              </c:pt>
              <c:pt idx="2">
                <c:v>26.909393516522343</c:v>
              </c:pt>
              <c:pt idx="3">
                <c:v>27.896812587546918</c:v>
              </c:pt>
              <c:pt idx="4">
                <c:v>28.886358806211785</c:v>
              </c:pt>
              <c:pt idx="5">
                <c:v>29.87830762052651</c:v>
              </c:pt>
              <c:pt idx="6">
                <c:v>30.872956361702308</c:v>
              </c:pt>
              <c:pt idx="7">
                <c:v>31.870625773419732</c:v>
              </c:pt>
              <c:pt idx="8">
                <c:v>32.871661663330364</c:v>
              </c:pt>
              <c:pt idx="9">
                <c:v>33.876436689422889</c:v>
              </c:pt>
              <c:pt idx="10">
                <c:v>34.885352295428454</c:v>
              </c:pt>
              <c:pt idx="11">
                <c:v>35.898840811195406</c:v>
              </c:pt>
              <c:pt idx="12">
                <c:v>36.917367735961534</c:v>
              </c:pt>
              <c:pt idx="13">
                <c:v>37.941434224729875</c:v>
              </c:pt>
              <c:pt idx="14">
                <c:v>38.971579800557322</c:v>
              </c:pt>
              <c:pt idx="15">
                <c:v>34.663014089963724</c:v>
              </c:pt>
            </c:numLit>
          </c:xVal>
          <c:yVal>
            <c:numLit>
              <c:formatCode>General</c:formatCode>
              <c:ptCount val="16"/>
              <c:pt idx="0">
                <c:v>1.8990738550069466E-2</c:v>
              </c:pt>
              <c:pt idx="1">
                <c:v>2.0183882325276323E-2</c:v>
              </c:pt>
              <c:pt idx="2">
                <c:v>2.1444620082461376E-2</c:v>
              </c:pt>
              <c:pt idx="3">
                <c:v>2.2776498631904309E-2</c:v>
              </c:pt>
              <c:pt idx="4">
                <c:v>2.4183254349516771E-2</c:v>
              </c:pt>
              <c:pt idx="5">
                <c:v>2.5668825425554889E-2</c:v>
              </c:pt>
              <c:pt idx="6">
                <c:v>2.7237365152299648E-2</c:v>
              </c:pt>
              <c:pt idx="7">
                <c:v>2.8893256356949129E-2</c:v>
              </c:pt>
              <c:pt idx="8">
                <c:v>3.0641127098288597E-2</c:v>
              </c:pt>
              <c:pt idx="9">
                <c:v>3.2485867759629528E-2</c:v>
              </c:pt>
              <c:pt idx="10">
                <c:v>3.4432649686309907E-2</c:v>
              </c:pt>
              <c:pt idx="11">
                <c:v>3.6486945533989089E-2</c:v>
              </c:pt>
              <c:pt idx="12">
                <c:v>3.8654551514389603E-2</c:v>
              </c:pt>
              <c:pt idx="13">
                <c:v>4.0941611748426872E-2</c:v>
              </c:pt>
              <c:pt idx="14">
                <c:v>4.3354644963263043E-2</c:v>
              </c:pt>
              <c:pt idx="15">
                <c:v>3.4000000000000002E-2</c:v>
              </c:pt>
            </c:numLit>
          </c:yVal>
          <c:smooth val="1"/>
          <c:extLst>
            <c:ext xmlns:c16="http://schemas.microsoft.com/office/drawing/2014/chart" uri="{C3380CC4-5D6E-409C-BE32-E72D297353CC}">
              <c16:uniqueId val="{00000040-774A-40C1-BD06-DA789AA122DC}"/>
            </c:ext>
          </c:extLst>
        </c:ser>
        <c:ser>
          <c:idx val="46"/>
          <c:order val="46"/>
          <c:tx>
            <c:v>RH=100_1</c:v>
          </c:tx>
          <c:spPr>
            <a:ln w="3175">
              <a:solidFill>
                <a:srgbClr val="0000FF"/>
              </a:solidFill>
              <a:prstDash val="solid"/>
            </a:ln>
          </c:spPr>
          <c:marker>
            <c:symbol val="none"/>
          </c:marker>
          <c:xVal>
            <c:numLit>
              <c:formatCode>General</c:formatCode>
              <c:ptCount val="23"/>
              <c:pt idx="0">
                <c:v>-10.178169782224485</c:v>
              </c:pt>
              <c:pt idx="1">
                <c:v>-9.1914446576012097</c:v>
              </c:pt>
              <c:pt idx="2">
                <c:v>-8.2055155451094635</c:v>
              </c:pt>
              <c:pt idx="3">
                <c:v>-7.22041332968442</c:v>
              </c:pt>
              <c:pt idx="4">
                <c:v>-6.2361685593886982</c:v>
              </c:pt>
              <c:pt idx="5">
                <c:v>-5.2528112525852375</c:v>
              </c:pt>
              <c:pt idx="6">
                <c:v>-4.2703706848883494</c:v>
              </c:pt>
              <c:pt idx="7">
                <c:v>-3.2888751544738279</c:v>
              </c:pt>
              <c:pt idx="8">
                <c:v>-2.3083517242375029</c:v>
              </c:pt>
              <c:pt idx="9">
                <c:v>-1.3288259391909207</c:v>
              </c:pt>
              <c:pt idx="10">
                <c:v>-0.35032151737137113</c:v>
              </c:pt>
              <c:pt idx="11">
                <c:v>0.63072878902048002</c:v>
              </c:pt>
              <c:pt idx="12">
                <c:v>1.6111719572746135</c:v>
              </c:pt>
              <c:pt idx="13">
                <c:v>2.5909827527240186</c:v>
              </c:pt>
              <c:pt idx="14">
                <c:v>3.5701735744985212</c:v>
              </c:pt>
              <c:pt idx="15">
                <c:v>4.5487605635344499</c:v>
              </c:pt>
              <c:pt idx="16">
                <c:v>5.5267544089063207</c:v>
              </c:pt>
              <c:pt idx="17">
                <c:v>6.5041883174927406</c:v>
              </c:pt>
              <c:pt idx="18">
                <c:v>7.481091633037142</c:v>
              </c:pt>
              <c:pt idx="19">
                <c:v>8.4574988517709855</c:v>
              </c:pt>
              <c:pt idx="20">
                <c:v>9.4334500278774112</c:v>
              </c:pt>
              <c:pt idx="21">
                <c:v>10.408979273270996</c:v>
              </c:pt>
              <c:pt idx="22">
                <c:v>10.516264586793987</c:v>
              </c:pt>
            </c:numLit>
          </c:xVal>
          <c:yVal>
            <c:numLit>
              <c:formatCode>General</c:formatCode>
              <c:ptCount val="23"/>
              <c:pt idx="0">
                <c:v>1.6060824455002855E-3</c:v>
              </c:pt>
              <c:pt idx="1">
                <c:v>1.7549965878149991E-3</c:v>
              </c:pt>
              <c:pt idx="2">
                <c:v>1.9164686538757729E-3</c:v>
              </c:pt>
              <c:pt idx="3">
                <c:v>2.0914526472602013E-3</c:v>
              </c:pt>
              <c:pt idx="4">
                <c:v>2.2809674610698065E-3</c:v>
              </c:pt>
              <c:pt idx="5">
                <c:v>2.4861008807502316E-3</c:v>
              </c:pt>
              <c:pt idx="6">
                <c:v>2.7080138291286308E-3</c:v>
              </c:pt>
              <c:pt idx="7">
                <c:v>2.9479448711774276E-3</c:v>
              </c:pt>
              <c:pt idx="8">
                <c:v>3.2072149977556683E-3</c:v>
              </c:pt>
              <c:pt idx="9">
                <c:v>3.4872327095305327E-3</c:v>
              </c:pt>
              <c:pt idx="10">
                <c:v>3.7894994244688104E-3</c:v>
              </c:pt>
              <c:pt idx="11">
                <c:v>4.076002175174424E-3</c:v>
              </c:pt>
              <c:pt idx="12">
                <c:v>4.3812837251538872E-3</c:v>
              </c:pt>
              <c:pt idx="13">
                <c:v>4.7068331132422495E-3</c:v>
              </c:pt>
              <c:pt idx="14">
                <c:v>5.0538263680982628E-3</c:v>
              </c:pt>
              <c:pt idx="15">
                <c:v>5.4234990810554818E-3</c:v>
              </c:pt>
              <c:pt idx="16">
                <c:v>5.8172661857312045E-3</c:v>
              </c:pt>
              <c:pt idx="17">
                <c:v>6.236391005280101E-3</c:v>
              </c:pt>
              <c:pt idx="18">
                <c:v>6.6823069273506883E-3</c:v>
              </c:pt>
              <c:pt idx="19">
                <c:v>7.156519212147776E-3</c:v>
              </c:pt>
              <c:pt idx="20">
                <c:v>7.6606084940231836E-3</c:v>
              </c:pt>
              <c:pt idx="21">
                <c:v>8.196399932304619E-3</c:v>
              </c:pt>
              <c:pt idx="22">
                <c:v>8.2573377030506299E-3</c:v>
              </c:pt>
            </c:numLit>
          </c:yVal>
          <c:smooth val="1"/>
          <c:extLst>
            <c:ext xmlns:c16="http://schemas.microsoft.com/office/drawing/2014/chart" uri="{C3380CC4-5D6E-409C-BE32-E72D297353CC}">
              <c16:uniqueId val="{00000041-774A-40C1-BD06-DA789AA122DC}"/>
            </c:ext>
          </c:extLst>
        </c:ser>
        <c:ser>
          <c:idx val="47"/>
          <c:order val="47"/>
          <c:tx>
            <c:v>RH=100_Label1</c:v>
          </c:tx>
          <c:spPr>
            <a:ln w="3175">
              <a:solidFill>
                <a:srgbClr val="0000FF"/>
              </a:solidFill>
              <a:prstDash val="solid"/>
            </a:ln>
          </c:spPr>
          <c:marker>
            <c:symbol val="none"/>
          </c:marker>
          <c:dLbls>
            <c:dLbl>
              <c:idx val="0"/>
              <c:tx>
                <c:rich>
                  <a:bodyPr rot="-22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2-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10.916109197854718</c:v>
              </c:pt>
            </c:numLit>
          </c:xVal>
          <c:yVal>
            <c:numLit>
              <c:formatCode>General</c:formatCode>
              <c:ptCount val="1"/>
              <c:pt idx="0">
                <c:v>8.4880589687444351E-3</c:v>
              </c:pt>
            </c:numLit>
          </c:yVal>
          <c:smooth val="0"/>
          <c:extLst>
            <c:ext xmlns:c16="http://schemas.microsoft.com/office/drawing/2014/chart" uri="{C3380CC4-5D6E-409C-BE32-E72D297353CC}">
              <c16:uniqueId val="{00000043-774A-40C1-BD06-DA789AA122DC}"/>
            </c:ext>
          </c:extLst>
        </c:ser>
        <c:ser>
          <c:idx val="48"/>
          <c:order val="48"/>
          <c:tx>
            <c:v>RH=100_2</c:v>
          </c:tx>
          <c:spPr>
            <a:ln w="3175">
              <a:solidFill>
                <a:srgbClr val="0000FF"/>
              </a:solidFill>
              <a:prstDash val="solid"/>
            </a:ln>
          </c:spPr>
          <c:marker>
            <c:symbol val="none"/>
          </c:marker>
          <c:xVal>
            <c:numLit>
              <c:formatCode>General</c:formatCode>
              <c:ptCount val="13"/>
              <c:pt idx="0">
                <c:v>11.306148161457124</c:v>
              </c:pt>
              <c:pt idx="1">
                <c:v>12.281041279910601</c:v>
              </c:pt>
              <c:pt idx="2">
                <c:v>13.255696426782698</c:v>
              </c:pt>
              <c:pt idx="3">
                <c:v>14.23018774206972</c:v>
              </c:pt>
              <c:pt idx="4">
                <c:v>15.204597871348779</c:v>
              </c:pt>
              <c:pt idx="5">
                <c:v>16.179018572095902</c:v>
              </c:pt>
              <c:pt idx="6">
                <c:v>17.153551357611043</c:v>
              </c:pt>
              <c:pt idx="7">
                <c:v>18.128308181438197</c:v>
              </c:pt>
              <c:pt idx="8">
                <c:v>19.103412165477447</c:v>
              </c:pt>
              <c:pt idx="9">
                <c:v>20.078998375331533</c:v>
              </c:pt>
              <c:pt idx="10">
                <c:v>21.055214646816154</c:v>
              </c:pt>
              <c:pt idx="11">
                <c:v>22.032222467998068</c:v>
              </c:pt>
              <c:pt idx="12">
                <c:v>22.980842787419583</c:v>
              </c:pt>
            </c:numLit>
          </c:xVal>
          <c:yVal>
            <c:numLit>
              <c:formatCode>General</c:formatCode>
              <c:ptCount val="13"/>
              <c:pt idx="0">
                <c:v>8.7186984612775478E-3</c:v>
              </c:pt>
              <c:pt idx="1">
                <c:v>9.3200472156966009E-3</c:v>
              </c:pt>
              <c:pt idx="2">
                <c:v>9.9582974908895144E-3</c:v>
              </c:pt>
              <c:pt idx="3">
                <c:v>1.0635461977505508E-2</c:v>
              </c:pt>
              <c:pt idx="4">
                <c:v>1.1353654611274092E-2</c:v>
              </c:pt>
              <c:pt idx="5">
                <c:v>1.2115095962728417E-2</c:v>
              </c:pt>
              <c:pt idx="6">
                <c:v>1.2922119000939997E-2</c:v>
              </c:pt>
              <c:pt idx="7">
                <c:v>1.377717526523955E-2</c:v>
              </c:pt>
              <c:pt idx="8">
                <c:v>1.46828414823855E-2</c:v>
              </c:pt>
              <c:pt idx="9">
                <c:v>1.5641826670521098E-2</c:v>
              </c:pt>
              <c:pt idx="10">
                <c:v>1.665697977558259E-2</c:v>
              </c:pt>
              <c:pt idx="11">
                <c:v>1.7731297890637539E-2</c:v>
              </c:pt>
              <c:pt idx="12">
                <c:v>1.8832897951509976E-2</c:v>
              </c:pt>
            </c:numLit>
          </c:yVal>
          <c:smooth val="1"/>
          <c:extLst>
            <c:ext xmlns:c16="http://schemas.microsoft.com/office/drawing/2014/chart" uri="{C3380CC4-5D6E-409C-BE32-E72D297353CC}">
              <c16:uniqueId val="{00000044-774A-40C1-BD06-DA789AA122DC}"/>
            </c:ext>
          </c:extLst>
        </c:ser>
        <c:ser>
          <c:idx val="49"/>
          <c:order val="49"/>
          <c:tx>
            <c:v>RH=100_Label2</c:v>
          </c:tx>
          <c:spPr>
            <a:ln w="3175">
              <a:solidFill>
                <a:srgbClr val="0000FF"/>
              </a:solidFill>
              <a:prstDash val="solid"/>
            </a:ln>
          </c:spPr>
          <c:marker>
            <c:symbol val="none"/>
          </c:marker>
          <c:dLbls>
            <c:dLbl>
              <c:idx val="0"/>
              <c:tx>
                <c:rich>
                  <a:bodyPr rot="-34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5-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23.274441676340576</c:v>
              </c:pt>
            </c:numLit>
          </c:xVal>
          <c:yVal>
            <c:numLit>
              <c:formatCode>General</c:formatCode>
              <c:ptCount val="1"/>
              <c:pt idx="0">
                <c:v>1.9185938466822944E-2</c:v>
              </c:pt>
            </c:numLit>
          </c:yVal>
          <c:smooth val="0"/>
          <c:extLst>
            <c:ext xmlns:c16="http://schemas.microsoft.com/office/drawing/2014/chart" uri="{C3380CC4-5D6E-409C-BE32-E72D297353CC}">
              <c16:uniqueId val="{00000046-774A-40C1-BD06-DA789AA122DC}"/>
            </c:ext>
          </c:extLst>
        </c:ser>
        <c:ser>
          <c:idx val="50"/>
          <c:order val="50"/>
          <c:tx>
            <c:v>RH=100_3</c:v>
          </c:tx>
          <c:spPr>
            <a:ln w="3175">
              <a:solidFill>
                <a:srgbClr val="0000FF"/>
              </a:solidFill>
              <a:prstDash val="solid"/>
            </a:ln>
          </c:spPr>
          <c:marker>
            <c:symbol val="none"/>
          </c:marker>
          <c:xVal>
            <c:numLit>
              <c:formatCode>General</c:formatCode>
              <c:ptCount val="15"/>
              <c:pt idx="0">
                <c:v>23.568149699182413</c:v>
              </c:pt>
              <c:pt idx="1">
                <c:v>24.548027900099004</c:v>
              </c:pt>
              <c:pt idx="2">
                <c:v>25.529389944809026</c:v>
              </c:pt>
              <c:pt idx="3">
                <c:v>26.512482514651783</c:v>
              </c:pt>
              <c:pt idx="4">
                <c:v>27.497562490796636</c:v>
              </c:pt>
              <c:pt idx="5">
                <c:v>28.484908011306281</c:v>
              </c:pt>
              <c:pt idx="6">
                <c:v>29.474819980120685</c:v>
              </c:pt>
              <c:pt idx="7">
                <c:v>30.467623697062518</c:v>
              </c:pt>
              <c:pt idx="8">
                <c:v>31.463670621458721</c:v>
              </c:pt>
              <c:pt idx="9">
                <c:v>32.463340283532261</c:v>
              </c:pt>
              <c:pt idx="10">
                <c:v>33.467042359491842</c:v>
              </c:pt>
              <c:pt idx="11">
                <c:v>34.475218928270039</c:v>
              </c:pt>
              <c:pt idx="12">
                <c:v>35.488346930168582</c:v>
              </c:pt>
              <c:pt idx="13">
                <c:v>36.506940850312191</c:v>
              </c:pt>
              <c:pt idx="14">
                <c:v>32.643696673944994</c:v>
              </c:pt>
            </c:numLit>
          </c:xVal>
          <c:yVal>
            <c:numLit>
              <c:formatCode>General</c:formatCode>
              <c:ptCount val="15"/>
              <c:pt idx="0">
                <c:v>1.9544968716094731E-2</c:v>
              </c:pt>
              <c:pt idx="1">
                <c:v>2.078642319572007E-2</c:v>
              </c:pt>
              <c:pt idx="2">
                <c:v>2.2099351809162063E-2</c:v>
              </c:pt>
              <c:pt idx="3">
                <c:v>2.3487353058385261E-2</c:v>
              </c:pt>
              <c:pt idx="4">
                <c:v>2.4954438152261969E-2</c:v>
              </c:pt>
              <c:pt idx="5">
                <c:v>2.6504840036747992E-2</c:v>
              </c:pt>
              <c:pt idx="6">
                <c:v>2.8143028389042056E-2</c:v>
              </c:pt>
              <c:pt idx="7">
                <c:v>2.9873725935853069E-2</c:v>
              </c:pt>
              <c:pt idx="8">
                <c:v>3.1701926236084019E-2</c:v>
              </c:pt>
              <c:pt idx="9">
                <c:v>3.3632913085147265E-2</c:v>
              </c:pt>
              <c:pt idx="10">
                <c:v>3.567228171735233E-2</c:v>
              </c:pt>
              <c:pt idx="11">
                <c:v>3.7825962004710931E-2</c:v>
              </c:pt>
              <c:pt idx="12">
                <c:v>4.0100243875520566E-2</c:v>
              </c:pt>
              <c:pt idx="13">
                <c:v>4.2501805204693884E-2</c:v>
              </c:pt>
              <c:pt idx="14">
                <c:v>3.4000000000000002E-2</c:v>
              </c:pt>
            </c:numLit>
          </c:yVal>
          <c:smooth val="1"/>
          <c:extLst>
            <c:ext xmlns:c16="http://schemas.microsoft.com/office/drawing/2014/chart" uri="{C3380CC4-5D6E-409C-BE32-E72D297353CC}">
              <c16:uniqueId val="{00000047-774A-40C1-BD06-DA789AA122DC}"/>
            </c:ext>
          </c:extLst>
        </c:ser>
        <c:ser>
          <c:idx val="51"/>
          <c:order val="51"/>
          <c:tx>
            <c:v>RH=5_1</c:v>
          </c:tx>
          <c:spPr>
            <a:ln w="3175">
              <a:solidFill>
                <a:srgbClr val="0000FF"/>
              </a:solidFill>
              <a:prstDash val="solid"/>
            </a:ln>
          </c:spPr>
          <c:marker>
            <c:symbol val="none"/>
          </c:marker>
          <c:xVal>
            <c:numLit>
              <c:formatCode>General</c:formatCode>
              <c:ptCount val="44"/>
              <c:pt idx="0">
                <c:v>4.9776233903200948</c:v>
              </c:pt>
              <c:pt idx="1">
                <c:v>5.9765461124062504</c:v>
              </c:pt>
              <c:pt idx="2">
                <c:v>6.9754433265574693</c:v>
              </c:pt>
              <c:pt idx="3">
                <c:v>7.9743167161359203</c:v>
              </c:pt>
              <c:pt idx="4">
                <c:v>8.9731682332912257</c:v>
              </c:pt>
              <c:pt idx="5">
                <c:v>9.9720001185570162</c:v>
              </c:pt>
              <c:pt idx="6">
                <c:v>10.970814339524935</c:v>
              </c:pt>
              <c:pt idx="7">
                <c:v>11.969614309804435</c:v>
              </c:pt>
              <c:pt idx="8">
                <c:v>12.96840326099748</c:v>
              </c:pt>
              <c:pt idx="9">
                <c:v>13.967184800874087</c:v>
              </c:pt>
              <c:pt idx="10">
                <c:v>14.965962937671193</c:v>
              </c:pt>
              <c:pt idx="11">
                <c:v>15.96474210539113</c:v>
              </c:pt>
              <c:pt idx="12">
                <c:v>16.963527190121308</c:v>
              </c:pt>
              <c:pt idx="13">
                <c:v>17.962323557396687</c:v>
              </c:pt>
              <c:pt idx="14">
                <c:v>18.96113708062671</c:v>
              </c:pt>
              <c:pt idx="15">
                <c:v>19.959974170608504</c:v>
              </c:pt>
              <c:pt idx="16">
                <c:v>20.958841806148165</c:v>
              </c:pt>
              <c:pt idx="17">
                <c:v>21.957747565812291</c:v>
              </c:pt>
              <c:pt idx="18">
                <c:v>22.956699660831834</c:v>
              </c:pt>
              <c:pt idx="19">
                <c:v>23.955706969180849</c:v>
              </c:pt>
              <c:pt idx="20">
                <c:v>24.954779070852826</c:v>
              </c:pt>
              <c:pt idx="21">
                <c:v>25.953925365223707</c:v>
              </c:pt>
              <c:pt idx="22">
                <c:v>26.953157835456782</c:v>
              </c:pt>
              <c:pt idx="23">
                <c:v>27.952488397435463</c:v>
              </c:pt>
              <c:pt idx="24">
                <c:v>28.951929823629314</c:v>
              </c:pt>
              <c:pt idx="25">
                <c:v>29.951495784802255</c:v>
              </c:pt>
              <c:pt idx="26">
                <c:v>30.951200893068666</c:v>
              </c:pt>
              <c:pt idx="27">
                <c:v>31.951060746323797</c:v>
              </c:pt>
              <c:pt idx="28">
                <c:v>32.951091974075759</c:v>
              </c:pt>
              <c:pt idx="29">
                <c:v>33.9513122847072</c:v>
              </c:pt>
              <c:pt idx="30">
                <c:v>34.951740514195947</c:v>
              </c:pt>
              <c:pt idx="31">
                <c:v>35.952396676324661</c:v>
              </c:pt>
              <c:pt idx="32">
                <c:v>36.9533020144112</c:v>
              </c:pt>
              <c:pt idx="33">
                <c:v>37.954479054592419</c:v>
              </c:pt>
              <c:pt idx="34">
                <c:v>38.955951660695632</c:v>
              </c:pt>
              <c:pt idx="35">
                <c:v>39.957745090733781</c:v>
              </c:pt>
              <c:pt idx="36">
                <c:v>40.959885654307307</c:v>
              </c:pt>
              <c:pt idx="37">
                <c:v>41.962402024883296</c:v>
              </c:pt>
              <c:pt idx="38">
                <c:v>42.965324010989782</c:v>
              </c:pt>
              <c:pt idx="39">
                <c:v>43.968683059608644</c:v>
              </c:pt>
              <c:pt idx="40">
                <c:v>44.972512321482363</c:v>
              </c:pt>
              <c:pt idx="41">
                <c:v>45.976846718306781</c:v>
              </c:pt>
              <c:pt idx="42">
                <c:v>46.981723011861952</c:v>
              </c:pt>
              <c:pt idx="43">
                <c:v>47.182766666949178</c:v>
              </c:pt>
            </c:numLit>
          </c:xVal>
          <c:yVal>
            <c:numLit>
              <c:formatCode>General</c:formatCode>
              <c:ptCount val="44"/>
              <c:pt idx="0">
                <c:v>2.6894706496995591E-4</c:v>
              </c:pt>
              <c:pt idx="1">
                <c:v>2.883016974500513E-4</c:v>
              </c:pt>
              <c:pt idx="2">
                <c:v>3.0887738788679987E-4</c:v>
              </c:pt>
              <c:pt idx="3">
                <c:v>3.3073967700030329E-4</c:v>
              </c:pt>
              <c:pt idx="4">
                <c:v>3.539569539605077E-4</c:v>
              </c:pt>
              <c:pt idx="5">
                <c:v>3.7860054746830814E-4</c:v>
              </c:pt>
              <c:pt idx="6">
                <c:v>4.0475288720587759E-4</c:v>
              </c:pt>
              <c:pt idx="7">
                <c:v>4.324844982560534E-4</c:v>
              </c:pt>
              <c:pt idx="8">
                <c:v>4.6187619059190967E-4</c:v>
              </c:pt>
              <c:pt idx="9">
                <c:v>4.930121015631261E-4</c:v>
              </c:pt>
              <c:pt idx="10">
                <c:v>5.2597979574161853E-4</c:v>
              </c:pt>
              <c:pt idx="11">
                <c:v>5.6087036648519981E-4</c:v>
              </c:pt>
              <c:pt idx="12">
                <c:v>5.9777853923045476E-4</c:v>
              </c:pt>
              <c:pt idx="13">
                <c:v>6.3680277652780669E-4</c:v>
              </c:pt>
              <c:pt idx="14">
                <c:v>6.780453848340256E-4</c:v>
              </c:pt>
              <c:pt idx="15">
                <c:v>7.2161262307971201E-4</c:v>
              </c:pt>
              <c:pt idx="16">
                <c:v>7.6761481303197878E-4</c:v>
              </c:pt>
              <c:pt idx="17">
                <c:v>8.1616645147532241E-4</c:v>
              </c:pt>
              <c:pt idx="18">
                <c:v>8.6738632423690452E-4</c:v>
              </c:pt>
              <c:pt idx="19">
                <c:v>9.2139762208571683E-4</c:v>
              </c:pt>
              <c:pt idx="20">
                <c:v>9.783280585388284E-4</c:v>
              </c:pt>
              <c:pt idx="21">
                <c:v>1.0383307030678828E-3</c:v>
              </c:pt>
              <c:pt idx="22">
                <c:v>1.1015244864534207E-3</c:v>
              </c:pt>
              <c:pt idx="23">
                <c:v>1.1680516173001498E-3</c:v>
              </c:pt>
              <c:pt idx="24">
                <c:v>1.2380593299771872E-3</c:v>
              </c:pt>
              <c:pt idx="25">
                <c:v>1.3117000131433135E-3</c:v>
              </c:pt>
              <c:pt idx="26">
                <c:v>1.3891313404901472E-3</c:v>
              </c:pt>
              <c:pt idx="27">
                <c:v>1.4705164037711607E-3</c:v>
              </c:pt>
              <c:pt idx="28">
                <c:v>1.5560238481906713E-3</c:v>
              </c:pt>
              <c:pt idx="29">
                <c:v>1.6458280102336351E-3</c:v>
              </c:pt>
              <c:pt idx="30">
                <c:v>1.7401090580242489E-3</c:v>
              </c:pt>
              <c:pt idx="31">
                <c:v>1.8390531343085432E-3</c:v>
              </c:pt>
              <c:pt idx="32">
                <c:v>1.9428525021642465E-3</c:v>
              </c:pt>
              <c:pt idx="33">
                <c:v>2.0517056935495715E-3</c:v>
              </c:pt>
              <c:pt idx="34">
                <c:v>2.1658176608111267E-3</c:v>
              </c:pt>
              <c:pt idx="35">
                <c:v>2.2853999312806269E-3</c:v>
              </c:pt>
              <c:pt idx="36">
                <c:v>2.4106948486765866E-3</c:v>
              </c:pt>
              <c:pt idx="37">
                <c:v>2.5419061134005754E-3</c:v>
              </c:pt>
              <c:pt idx="38">
                <c:v>2.6792661247527954E-3</c:v>
              </c:pt>
              <c:pt idx="39">
                <c:v>2.8230145191489361E-3</c:v>
              </c:pt>
              <c:pt idx="40">
                <c:v>2.9733983428754376E-3</c:v>
              </c:pt>
              <c:pt idx="41">
                <c:v>3.1306722289495314E-3</c:v>
              </c:pt>
              <c:pt idx="42">
                <c:v>3.295098578294037E-3</c:v>
              </c:pt>
              <c:pt idx="43">
                <c:v>3.3288657928423463E-3</c:v>
              </c:pt>
            </c:numLit>
          </c:yVal>
          <c:smooth val="1"/>
          <c:extLst>
            <c:ext xmlns:c16="http://schemas.microsoft.com/office/drawing/2014/chart" uri="{C3380CC4-5D6E-409C-BE32-E72D297353CC}">
              <c16:uniqueId val="{00000048-774A-40C1-BD06-DA789AA122DC}"/>
            </c:ext>
          </c:extLst>
        </c:ser>
        <c:ser>
          <c:idx val="52"/>
          <c:order val="52"/>
          <c:tx>
            <c:v>RH=5_Label</c:v>
          </c:tx>
          <c:spPr>
            <a:ln w="3175">
              <a:solidFill>
                <a:srgbClr val="0000FF"/>
              </a:solidFill>
              <a:prstDash val="solid"/>
            </a:ln>
          </c:spPr>
          <c:marker>
            <c:symbol val="none"/>
          </c:marker>
          <c:dLbls>
            <c:dLbl>
              <c:idx val="0"/>
              <c:tx>
                <c:rich>
                  <a:bodyPr rot="-78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9-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47.484376378579221</c:v>
              </c:pt>
            </c:numLit>
          </c:xVal>
          <c:yVal>
            <c:numLit>
              <c:formatCode>General</c:formatCode>
              <c:ptCount val="1"/>
              <c:pt idx="0">
                <c:v>3.3800780966238612E-3</c:v>
              </c:pt>
            </c:numLit>
          </c:yVal>
          <c:smooth val="0"/>
          <c:extLst>
            <c:ext xmlns:c16="http://schemas.microsoft.com/office/drawing/2014/chart" uri="{C3380CC4-5D6E-409C-BE32-E72D297353CC}">
              <c16:uniqueId val="{0000004A-774A-40C1-BD06-DA789AA122DC}"/>
            </c:ext>
          </c:extLst>
        </c:ser>
        <c:ser>
          <c:idx val="53"/>
          <c:order val="53"/>
          <c:tx>
            <c:v>RH=5_2</c:v>
          </c:tx>
          <c:spPr>
            <a:ln w="3175">
              <a:solidFill>
                <a:srgbClr val="0000FF"/>
              </a:solidFill>
              <a:prstDash val="solid"/>
            </a:ln>
          </c:spPr>
          <c:marker>
            <c:symbol val="none"/>
          </c:marker>
          <c:xVal>
            <c:numLit>
              <c:formatCode>General</c:formatCode>
              <c:ptCount val="4"/>
              <c:pt idx="0">
                <c:v>47.78604013452582</c:v>
              </c:pt>
              <c:pt idx="1">
                <c:v>48.791990629120036</c:v>
              </c:pt>
              <c:pt idx="2">
                <c:v>49.798596355979541</c:v>
              </c:pt>
              <c:pt idx="3">
                <c:v>50.000000000000007</c:v>
              </c:pt>
            </c:numLit>
          </c:xVal>
          <c:yVal>
            <c:numLit>
              <c:formatCode>General</c:formatCode>
              <c:ptCount val="4"/>
              <c:pt idx="0">
                <c:v>3.4319708374959527E-3</c:v>
              </c:pt>
              <c:pt idx="1">
                <c:v>3.6099583804882654E-3</c:v>
              </c:pt>
              <c:pt idx="2">
                <c:v>3.7958760338435635E-3</c:v>
              </c:pt>
              <c:pt idx="3">
                <c:v>3.8340368674482672E-3</c:v>
              </c:pt>
            </c:numLit>
          </c:yVal>
          <c:smooth val="1"/>
          <c:extLst>
            <c:ext xmlns:c16="http://schemas.microsoft.com/office/drawing/2014/chart" uri="{C3380CC4-5D6E-409C-BE32-E72D297353CC}">
              <c16:uniqueId val="{0000004B-774A-40C1-BD06-DA789AA122DC}"/>
            </c:ext>
          </c:extLst>
        </c:ser>
        <c:ser>
          <c:idx val="54"/>
          <c:order val="54"/>
          <c:tx>
            <c:v>RH=15_1</c:v>
          </c:tx>
          <c:spPr>
            <a:ln w="3175">
              <a:solidFill>
                <a:srgbClr val="0000FF"/>
              </a:solidFill>
              <a:prstDash val="solid"/>
            </a:ln>
          </c:spPr>
          <c:marker>
            <c:symbol val="none"/>
          </c:marker>
          <c:xVal>
            <c:numLit>
              <c:formatCode>General</c:formatCode>
              <c:ptCount val="43"/>
              <c:pt idx="0">
                <c:v>4.9328120662058037</c:v>
              </c:pt>
              <c:pt idx="1">
                <c:v>5.9295730482714228</c:v>
              </c:pt>
              <c:pt idx="2">
                <c:v>6.9262567373612773</c:v>
              </c:pt>
              <c:pt idx="3">
                <c:v>7.9228681182020555</c:v>
              </c:pt>
              <c:pt idx="4">
                <c:v>8.9194129788004801</c:v>
              </c:pt>
              <c:pt idx="5">
                <c:v>9.9158979695017493</c:v>
              </c:pt>
              <c:pt idx="6">
                <c:v>10.912328914825977</c:v>
              </c:pt>
              <c:pt idx="7">
                <c:v>11.908715983459764</c:v>
              </c:pt>
              <c:pt idx="8">
                <c:v>12.905068793043446</c:v>
              </c:pt>
              <c:pt idx="9">
                <c:v>13.901398089122475</c:v>
              </c:pt>
              <c:pt idx="10">
                <c:v>14.897715818985999</c:v>
              </c:pt>
              <c:pt idx="11">
                <c:v>15.894035208705857</c:v>
              </c:pt>
              <c:pt idx="12">
                <c:v>16.890370843469007</c:v>
              </c:pt>
              <c:pt idx="13">
                <c:v>17.886738751299848</c:v>
              </c:pt>
              <c:pt idx="14">
                <c:v>18.883156490272302</c:v>
              </c:pt>
              <c:pt idx="15">
                <c:v>19.879643239315833</c:v>
              </c:pt>
              <c:pt idx="16">
                <c:v>20.876219892723721</c:v>
              </c:pt>
              <c:pt idx="17">
                <c:v>21.872909158476965</c:v>
              </c:pt>
              <c:pt idx="18">
                <c:v>22.86973566050245</c:v>
              </c:pt>
              <c:pt idx="19">
                <c:v>23.866726044989953</c:v>
              </c:pt>
              <c:pt idx="20">
                <c:v>24.863909090898993</c:v>
              </c:pt>
              <c:pt idx="21">
                <c:v>25.861313048886803</c:v>
              </c:pt>
              <c:pt idx="22">
                <c:v>26.858973993203644</c:v>
              </c:pt>
              <c:pt idx="23">
                <c:v>27.856927825559083</c:v>
              </c:pt>
              <c:pt idx="24">
                <c:v>28.855213070331221</c:v>
              </c:pt>
              <c:pt idx="25">
                <c:v>29.853871008543511</c:v>
              </c:pt>
              <c:pt idx="26">
                <c:v>30.852945817009974</c:v>
              </c:pt>
              <c:pt idx="27">
                <c:v>31.852484712846547</c:v>
              </c:pt>
              <c:pt idx="28">
                <c:v>32.852538103559269</c:v>
              </c:pt>
              <c:pt idx="29">
                <c:v>33.853159742934409</c:v>
              </c:pt>
              <c:pt idx="30">
                <c:v>34.854406892971049</c:v>
              </c:pt>
              <c:pt idx="31">
                <c:v>35.856340492113461</c:v>
              </c:pt>
              <c:pt idx="32">
                <c:v>36.859025330058785</c:v>
              </c:pt>
              <c:pt idx="33">
                <c:v>37.86253022943545</c:v>
              </c:pt>
              <c:pt idx="34">
                <c:v>38.866928234668933</c:v>
              </c:pt>
              <c:pt idx="35">
                <c:v>39.872296808374962</c:v>
              </c:pt>
              <c:pt idx="36">
                <c:v>40.878716814523401</c:v>
              </c:pt>
              <c:pt idx="37">
                <c:v>41.886276545260401</c:v>
              </c:pt>
              <c:pt idx="38">
                <c:v>42.895068014466354</c:v>
              </c:pt>
              <c:pt idx="39">
                <c:v>43.90518852682635</c:v>
              </c:pt>
              <c:pt idx="40">
                <c:v>44.916740918221194</c:v>
              </c:pt>
              <c:pt idx="41">
                <c:v>45.929833806311073</c:v>
              </c:pt>
              <c:pt idx="42">
                <c:v>46.447141040472602</c:v>
              </c:pt>
            </c:numLit>
          </c:xVal>
          <c:yVal>
            <c:numLit>
              <c:formatCode>General</c:formatCode>
              <c:ptCount val="43"/>
              <c:pt idx="0">
                <c:v>8.0753956268771263E-4</c:v>
              </c:pt>
              <c:pt idx="1">
                <c:v>8.6570764221589327E-4</c:v>
              </c:pt>
              <c:pt idx="2">
                <c:v>9.2755341603594442E-4</c:v>
              </c:pt>
              <c:pt idx="3">
                <c:v>9.9327538516040146E-4</c:v>
              </c:pt>
              <c:pt idx="4">
                <c:v>1.0630808199149999E-3</c:v>
              </c:pt>
              <c:pt idx="5">
                <c:v>1.137186057543544E-3</c:v>
              </c:pt>
              <c:pt idx="6">
                <c:v>1.2158410764414958E-3</c:v>
              </c:pt>
              <c:pt idx="7">
                <c:v>1.2992603372874558E-3</c:v>
              </c:pt>
              <c:pt idx="8">
                <c:v>1.3876895408063471E-3</c:v>
              </c:pt>
              <c:pt idx="9">
                <c:v>1.4813847422758377E-3</c:v>
              </c:pt>
              <c:pt idx="10">
                <c:v>1.5806126897094368E-3</c:v>
              </c:pt>
              <c:pt idx="11">
                <c:v>1.6856511708081745E-3</c:v>
              </c:pt>
              <c:pt idx="12">
                <c:v>1.7967893690155705E-3</c:v>
              </c:pt>
              <c:pt idx="13">
                <c:v>1.9143282290381843E-3</c:v>
              </c:pt>
              <c:pt idx="14">
                <c:v>2.0385808322245149E-3</c:v>
              </c:pt>
              <c:pt idx="15">
                <c:v>2.1698727822271171E-3</c:v>
              </c:pt>
              <c:pt idx="16">
                <c:v>2.3085426014077663E-3</c:v>
              </c:pt>
              <c:pt idx="17">
                <c:v>2.4549421384825049E-3</c:v>
              </c:pt>
              <c:pt idx="18">
                <c:v>2.6094369879436801E-3</c:v>
              </c:pt>
              <c:pt idx="19">
                <c:v>2.7724069218384747E-3</c:v>
              </c:pt>
              <c:pt idx="20">
                <c:v>2.9442463345293766E-3</c:v>
              </c:pt>
              <c:pt idx="21">
                <c:v>3.1254272585097861E-3</c:v>
              </c:pt>
              <c:pt idx="22">
                <c:v>3.3163198419152674E-3</c:v>
              </c:pt>
              <c:pt idx="23">
                <c:v>3.517365774378339E-3</c:v>
              </c:pt>
              <c:pt idx="24">
                <c:v>3.729023329410901E-3</c:v>
              </c:pt>
              <c:pt idx="25">
                <c:v>3.9517678872373575E-3</c:v>
              </c:pt>
              <c:pt idx="26">
                <c:v>4.1860924756074117E-3</c:v>
              </c:pt>
              <c:pt idx="27">
                <c:v>4.4325083296407235E-3</c:v>
              </c:pt>
              <c:pt idx="28">
                <c:v>4.6915454718334821E-3</c:v>
              </c:pt>
              <c:pt idx="29">
                <c:v>4.9637533134403835E-3</c:v>
              </c:pt>
              <c:pt idx="30">
                <c:v>5.2497012785349493E-3</c:v>
              </c:pt>
              <c:pt idx="31">
                <c:v>5.5499794521452683E-3</c:v>
              </c:pt>
              <c:pt idx="32">
                <c:v>5.8651992539645445E-3</c:v>
              </c:pt>
              <c:pt idx="33">
                <c:v>6.1959941392444491E-3</c:v>
              </c:pt>
              <c:pt idx="34">
                <c:v>6.5430203285947253E-3</c:v>
              </c:pt>
              <c:pt idx="35">
                <c:v>6.906957568537187E-3</c:v>
              </c:pt>
              <c:pt idx="36">
                <c:v>7.2885833088089363E-3</c:v>
              </c:pt>
              <c:pt idx="37">
                <c:v>7.6885615233894828E-3</c:v>
              </c:pt>
              <c:pt idx="38">
                <c:v>8.1076480373922614E-3</c:v>
              </c:pt>
              <c:pt idx="39">
                <c:v>8.5466256283771892E-3</c:v>
              </c:pt>
              <c:pt idx="40">
                <c:v>9.0063049752121399E-3</c:v>
              </c:pt>
              <c:pt idx="41">
                <c:v>9.487525652025099E-3</c:v>
              </c:pt>
              <c:pt idx="42">
                <c:v>9.7415215954277639E-3</c:v>
              </c:pt>
            </c:numLit>
          </c:yVal>
          <c:smooth val="1"/>
          <c:extLst>
            <c:ext xmlns:c16="http://schemas.microsoft.com/office/drawing/2014/chart" uri="{C3380CC4-5D6E-409C-BE32-E72D297353CC}">
              <c16:uniqueId val="{0000004C-774A-40C1-BD06-DA789AA122DC}"/>
            </c:ext>
          </c:extLst>
        </c:ser>
        <c:ser>
          <c:idx val="55"/>
          <c:order val="55"/>
          <c:tx>
            <c:v>RH=15_Label</c:v>
          </c:tx>
          <c:spPr>
            <a:ln w="3175">
              <a:solidFill>
                <a:srgbClr val="0000FF"/>
              </a:solidFill>
              <a:prstDash val="solid"/>
            </a:ln>
          </c:spPr>
          <c:marker>
            <c:symbol val="none"/>
          </c:marker>
          <c:dLbls>
            <c:dLbl>
              <c:idx val="0"/>
              <c:tx>
                <c:rich>
                  <a:bodyPr rot="-20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15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D-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46.751646831740644</c:v>
              </c:pt>
            </c:numLit>
          </c:xVal>
          <c:yVal>
            <c:numLit>
              <c:formatCode>General</c:formatCode>
              <c:ptCount val="1"/>
              <c:pt idx="0">
                <c:v>9.8937012958702358E-3</c:v>
              </c:pt>
            </c:numLit>
          </c:yVal>
          <c:smooth val="0"/>
          <c:extLst>
            <c:ext xmlns:c16="http://schemas.microsoft.com/office/drawing/2014/chart" uri="{C3380CC4-5D6E-409C-BE32-E72D297353CC}">
              <c16:uniqueId val="{0000004E-774A-40C1-BD06-DA789AA122DC}"/>
            </c:ext>
          </c:extLst>
        </c:ser>
        <c:ser>
          <c:idx val="56"/>
          <c:order val="56"/>
          <c:tx>
            <c:v>RH=15_2</c:v>
          </c:tx>
          <c:spPr>
            <a:ln w="3175">
              <a:solidFill>
                <a:srgbClr val="0000FF"/>
              </a:solidFill>
              <a:prstDash val="solid"/>
            </a:ln>
          </c:spPr>
          <c:marker>
            <c:symbol val="none"/>
          </c:marker>
          <c:xVal>
            <c:numLit>
              <c:formatCode>General</c:formatCode>
              <c:ptCount val="4"/>
              <c:pt idx="0">
                <c:v>47.056310316800555</c:v>
              </c:pt>
              <c:pt idx="1">
                <c:v>48.073037537462</c:v>
              </c:pt>
              <c:pt idx="2">
                <c:v>49.091682918519822</c:v>
              </c:pt>
              <c:pt idx="3">
                <c:v>50</c:v>
              </c:pt>
            </c:numLit>
          </c:xVal>
          <c:yVal>
            <c:numLit>
              <c:formatCode>General</c:formatCode>
              <c:ptCount val="4"/>
              <c:pt idx="0">
                <c:v>1.0047963183881549E-2</c:v>
              </c:pt>
              <c:pt idx="1">
                <c:v>1.0577526686358711E-2</c:v>
              </c:pt>
              <c:pt idx="2">
                <c:v>1.1131438908453318E-2</c:v>
              </c:pt>
              <c:pt idx="3">
                <c:v>1.1645684295829718E-2</c:v>
              </c:pt>
            </c:numLit>
          </c:yVal>
          <c:smooth val="1"/>
          <c:extLst>
            <c:ext xmlns:c16="http://schemas.microsoft.com/office/drawing/2014/chart" uri="{C3380CC4-5D6E-409C-BE32-E72D297353CC}">
              <c16:uniqueId val="{0000004F-774A-40C1-BD06-DA789AA122DC}"/>
            </c:ext>
          </c:extLst>
        </c:ser>
        <c:ser>
          <c:idx val="57"/>
          <c:order val="57"/>
          <c:tx>
            <c:v>RH=25_1</c:v>
          </c:tx>
          <c:spPr>
            <a:ln w="3175">
              <a:solidFill>
                <a:srgbClr val="0000FF"/>
              </a:solidFill>
              <a:prstDash val="solid"/>
            </a:ln>
          </c:spPr>
          <c:marker>
            <c:symbol val="none"/>
          </c:marker>
          <c:xVal>
            <c:numLit>
              <c:formatCode>General</c:formatCode>
              <c:ptCount val="37"/>
              <c:pt idx="0">
                <c:v>4.8879231012968791</c:v>
              </c:pt>
              <c:pt idx="1">
                <c:v>5.8825127300794398</c:v>
              </c:pt>
              <c:pt idx="2">
                <c:v>6.8769722487850746</c:v>
              </c:pt>
              <c:pt idx="3">
                <c:v>7.8713098552420631</c:v>
              </c:pt>
              <c:pt idx="4">
                <c:v>8.8655350807734692</c:v>
              </c:pt>
              <c:pt idx="5">
                <c:v>9.8596588890554671</c:v>
              </c:pt>
              <c:pt idx="6">
                <c:v>10.853690855483984</c:v>
              </c:pt>
              <c:pt idx="7">
                <c:v>11.847647805735933</c:v>
              </c:pt>
              <c:pt idx="8">
                <c:v>12.841545638426375</c:v>
              </c:pt>
              <c:pt idx="9">
                <c:v>13.835402130731799</c:v>
              </c:pt>
              <c:pt idx="10">
                <c:v>14.829237063000017</c:v>
              </c:pt>
              <c:pt idx="11">
                <c:v>15.823072349030694</c:v>
              </c:pt>
              <c:pt idx="12">
                <c:v>16.816932172229965</c:v>
              </c:pt>
              <c:pt idx="13">
                <c:v>17.810843127853662</c:v>
              </c:pt>
              <c:pt idx="14">
                <c:v>18.804834371565729</c:v>
              </c:pt>
              <c:pt idx="15">
                <c:v>19.798937774551831</c:v>
              </c:pt>
              <c:pt idx="16">
                <c:v>20.793188085442747</c:v>
              </c:pt>
              <c:pt idx="17">
                <c:v>21.787623099318349</c:v>
              </c:pt>
              <c:pt idx="18">
                <c:v>22.782283834080481</c:v>
              </c:pt>
              <c:pt idx="19">
                <c:v>23.777214714502644</c:v>
              </c:pt>
              <c:pt idx="20">
                <c:v>24.772463764285462</c:v>
              </c:pt>
              <c:pt idx="21">
                <c:v>25.768078148805394</c:v>
              </c:pt>
              <c:pt idx="22">
                <c:v>26.764118193744252</c:v>
              </c:pt>
              <c:pt idx="23">
                <c:v>27.760643986089452</c:v>
              </c:pt>
              <c:pt idx="24">
                <c:v>28.757720072682208</c:v>
              </c:pt>
              <c:pt idx="25">
                <c:v>29.755415698625718</c:v>
              </c:pt>
              <c:pt idx="26">
                <c:v>30.753805056280719</c:v>
              </c:pt>
              <c:pt idx="27">
                <c:v>31.752967545395908</c:v>
              </c:pt>
              <c:pt idx="28">
                <c:v>32.752988044964312</c:v>
              </c:pt>
              <c:pt idx="29">
                <c:v>33.753957197444102</c:v>
              </c:pt>
              <c:pt idx="30">
                <c:v>34.755971706033954</c:v>
              </c:pt>
              <c:pt idx="31">
                <c:v>35.75913464574959</c:v>
              </c:pt>
              <c:pt idx="32">
                <c:v>36.763555789109603</c:v>
              </c:pt>
              <c:pt idx="33">
                <c:v>37.76935194730585</c:v>
              </c:pt>
              <c:pt idx="34">
                <c:v>38.776647327806749</c:v>
              </c:pt>
              <c:pt idx="35">
                <c:v>39.785573909421991</c:v>
              </c:pt>
              <c:pt idx="36">
                <c:v>40.502977025632909</c:v>
              </c:pt>
            </c:numLit>
          </c:xVal>
          <c:yVal>
            <c:numLit>
              <c:formatCode>General</c:formatCode>
              <c:ptCount val="37"/>
              <c:pt idx="0">
                <c:v>1.3470652341139875E-3</c:v>
              </c:pt>
              <c:pt idx="1">
                <c:v>1.444186138075305E-3</c:v>
              </c:pt>
              <c:pt idx="2">
                <c:v>1.5474608367368606E-3</c:v>
              </c:pt>
              <c:pt idx="3">
                <c:v>1.6572233183113699E-3</c:v>
              </c:pt>
              <c:pt idx="4">
                <c:v>1.7738225641475147E-3</c:v>
              </c:pt>
              <c:pt idx="5">
                <c:v>1.8976230861585969E-3</c:v>
              </c:pt>
              <c:pt idx="6">
                <c:v>2.0290460350580602E-3</c:v>
              </c:pt>
              <c:pt idx="7">
                <c:v>2.1684536987783059E-3</c:v>
              </c:pt>
              <c:pt idx="8">
                <c:v>2.3162610831599165E-3</c:v>
              </c:pt>
              <c:pt idx="9">
                <c:v>2.4729010824941617E-3</c:v>
              </c:pt>
              <c:pt idx="10">
                <c:v>2.6388251094006578E-3</c:v>
              </c:pt>
              <c:pt idx="11">
                <c:v>2.8145037456534252E-3</c:v>
              </c:pt>
              <c:pt idx="12">
                <c:v>3.0004274150644203E-3</c:v>
              </c:pt>
              <c:pt idx="13">
                <c:v>3.1971070796238963E-3</c:v>
              </c:pt>
              <c:pt idx="14">
                <c:v>3.4050749601955599E-3</c:v>
              </c:pt>
              <c:pt idx="15">
                <c:v>3.6248852831695564E-3</c:v>
              </c:pt>
              <c:pt idx="16">
                <c:v>3.8571150545902433E-3</c:v>
              </c:pt>
              <c:pt idx="17">
                <c:v>4.1023648633974888E-3</c:v>
              </c:pt>
              <c:pt idx="18">
                <c:v>4.361259715552286E-3</c:v>
              </c:pt>
              <c:pt idx="19">
                <c:v>4.6344499009583016E-3</c:v>
              </c:pt>
              <c:pt idx="20">
                <c:v>4.9226118952435081E-3</c:v>
              </c:pt>
              <c:pt idx="21">
                <c:v>5.2265542630326326E-3</c:v>
              </c:pt>
              <c:pt idx="22">
                <c:v>5.5469167155980728E-3</c:v>
              </c:pt>
              <c:pt idx="23">
                <c:v>5.8844611435486405E-3</c:v>
              </c:pt>
              <c:pt idx="24">
                <c:v>6.2399796948719773E-3</c:v>
              </c:pt>
              <c:pt idx="25">
                <c:v>6.6142958920034235E-3</c:v>
              </c:pt>
              <c:pt idx="26">
                <c:v>7.0082658002715171E-3</c:v>
              </c:pt>
              <c:pt idx="27">
                <c:v>7.4227792512461021E-3</c:v>
              </c:pt>
              <c:pt idx="28">
                <c:v>7.8587611247914815E-3</c:v>
              </c:pt>
              <c:pt idx="29">
                <c:v>8.3171726939259092E-3</c:v>
              </c:pt>
              <c:pt idx="30">
                <c:v>8.7990130369118413E-3</c:v>
              </c:pt>
              <c:pt idx="31">
                <c:v>9.3053205213483765E-3</c:v>
              </c:pt>
              <c:pt idx="32">
                <c:v>9.8371743654150946E-3</c:v>
              </c:pt>
              <c:pt idx="33">
                <c:v>1.0395696281824395E-2</c:v>
              </c:pt>
              <c:pt idx="34">
                <c:v>1.0982052210479678E-2</c:v>
              </c:pt>
              <c:pt idx="35">
                <c:v>1.1597454146316129E-2</c:v>
              </c:pt>
              <c:pt idx="36">
                <c:v>1.2052797678929153E-2</c:v>
              </c:pt>
            </c:numLit>
          </c:yVal>
          <c:smooth val="1"/>
          <c:extLst>
            <c:ext xmlns:c16="http://schemas.microsoft.com/office/drawing/2014/chart" uri="{C3380CC4-5D6E-409C-BE32-E72D297353CC}">
              <c16:uniqueId val="{00000050-774A-40C1-BD06-DA789AA122DC}"/>
            </c:ext>
          </c:extLst>
        </c:ser>
        <c:ser>
          <c:idx val="58"/>
          <c:order val="58"/>
          <c:tx>
            <c:v>RH=25_Label</c:v>
          </c:tx>
          <c:spPr>
            <a:ln w="3175">
              <a:solidFill>
                <a:srgbClr val="0000FF"/>
              </a:solidFill>
              <a:prstDash val="solid"/>
            </a:ln>
          </c:spPr>
          <c:marker>
            <c:symbol val="none"/>
          </c:marker>
          <c:dLbls>
            <c:dLbl>
              <c:idx val="0"/>
              <c:tx>
                <c:rich>
                  <a:bodyPr rot="-246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25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1-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40.806386169423767</c:v>
              </c:pt>
            </c:numLit>
          </c:xVal>
          <c:yVal>
            <c:numLit>
              <c:formatCode>General</c:formatCode>
              <c:ptCount val="1"/>
              <c:pt idx="0">
                <c:v>1.2249902134970242E-2</c:v>
              </c:pt>
            </c:numLit>
          </c:yVal>
          <c:smooth val="0"/>
          <c:extLst>
            <c:ext xmlns:c16="http://schemas.microsoft.com/office/drawing/2014/chart" uri="{C3380CC4-5D6E-409C-BE32-E72D297353CC}">
              <c16:uniqueId val="{00000052-774A-40C1-BD06-DA789AA122DC}"/>
            </c:ext>
          </c:extLst>
        </c:ser>
        <c:ser>
          <c:idx val="59"/>
          <c:order val="59"/>
          <c:tx>
            <c:v>RH=25_2</c:v>
          </c:tx>
          <c:spPr>
            <a:ln w="3175">
              <a:solidFill>
                <a:srgbClr val="0000FF"/>
              </a:solidFill>
              <a:prstDash val="solid"/>
            </a:ln>
          </c:spPr>
          <c:marker>
            <c:symbol val="none"/>
          </c:marker>
          <c:xVal>
            <c:numLit>
              <c:formatCode>General</c:formatCode>
              <c:ptCount val="10"/>
              <c:pt idx="0">
                <c:v>41.109968218308687</c:v>
              </c:pt>
              <c:pt idx="1">
                <c:v>42.123211303357891</c:v>
              </c:pt>
              <c:pt idx="2">
                <c:v>43.138583326693805</c:v>
              </c:pt>
              <c:pt idx="3">
                <c:v>44.156254599087745</c:v>
              </c:pt>
              <c:pt idx="4">
                <c:v>45.176405544700636</c:v>
              </c:pt>
              <c:pt idx="5">
                <c:v>46.199227216995773</c:v>
              </c:pt>
              <c:pt idx="6">
                <c:v>47.224921842907413</c:v>
              </c:pt>
              <c:pt idx="7">
                <c:v>48.25370339732104</c:v>
              </c:pt>
              <c:pt idx="8">
                <c:v>49.28579821010468</c:v>
              </c:pt>
              <c:pt idx="9">
                <c:v>50.000000000000007</c:v>
              </c:pt>
            </c:numLit>
          </c:xVal>
          <c:yVal>
            <c:numLit>
              <c:formatCode>General</c:formatCode>
              <c:ptCount val="10"/>
              <c:pt idx="0">
                <c:v>1.2449854138452305E-2</c:v>
              </c:pt>
              <c:pt idx="1">
                <c:v>1.3137395921386881E-2</c:v>
              </c:pt>
              <c:pt idx="2">
                <c:v>1.3858364542330524E-2</c:v>
              </c:pt>
              <c:pt idx="3">
                <c:v>1.4614195184697873E-2</c:v>
              </c:pt>
              <c:pt idx="4">
                <c:v>1.5406380772538593E-2</c:v>
              </c:pt>
              <c:pt idx="5">
                <c:v>1.6236474590181415E-2</c:v>
              </c:pt>
              <c:pt idx="6">
                <c:v>1.710609306374512E-2</c:v>
              </c:pt>
              <c:pt idx="7">
                <c:v>1.801691871700566E-2</c:v>
              </c:pt>
              <c:pt idx="8">
                <c:v>1.8970703315174638E-2</c:v>
              </c:pt>
              <c:pt idx="9">
                <c:v>1.9654812629101279E-2</c:v>
              </c:pt>
            </c:numLit>
          </c:yVal>
          <c:smooth val="1"/>
          <c:extLst>
            <c:ext xmlns:c16="http://schemas.microsoft.com/office/drawing/2014/chart" uri="{C3380CC4-5D6E-409C-BE32-E72D297353CC}">
              <c16:uniqueId val="{00000053-774A-40C1-BD06-DA789AA122DC}"/>
            </c:ext>
          </c:extLst>
        </c:ser>
        <c:ser>
          <c:idx val="60"/>
          <c:order val="60"/>
          <c:tx>
            <c:v>RH=35_1</c:v>
          </c:tx>
          <c:spPr>
            <a:ln w="3175">
              <a:solidFill>
                <a:srgbClr val="0000FF"/>
              </a:solidFill>
              <a:prstDash val="solid"/>
            </a:ln>
          </c:spPr>
          <c:marker>
            <c:symbol val="none"/>
          </c:marker>
          <c:xVal>
            <c:numLit>
              <c:formatCode>General</c:formatCode>
              <c:ptCount val="33"/>
              <c:pt idx="0">
                <c:v>4.8429562936358943</c:v>
              </c:pt>
              <c:pt idx="1">
                <c:v>5.8353649144882471</c:v>
              </c:pt>
              <c:pt idx="2">
                <c:v>6.8275895682541066</c:v>
              </c:pt>
              <c:pt idx="3">
                <c:v>7.8196415762478599</c:v>
              </c:pt>
              <c:pt idx="4">
                <c:v>8.8115341190108474</c:v>
              </c:pt>
              <c:pt idx="5">
                <c:v>9.8032823752824214</c:v>
              </c:pt>
              <c:pt idx="6">
                <c:v>10.794899563201826</c:v>
              </c:pt>
              <c:pt idx="7">
                <c:v>11.786409065042472</c:v>
              </c:pt>
              <c:pt idx="8">
                <c:v>12.77783295268264</c:v>
              </c:pt>
              <c:pt idx="9">
                <c:v>13.769195925791198</c:v>
              </c:pt>
              <c:pt idx="10">
                <c:v>14.760525488409519</c:v>
              </c:pt>
              <c:pt idx="11">
                <c:v>15.751852133944434</c:v>
              </c:pt>
              <c:pt idx="12">
                <c:v>16.74320953892617</c:v>
              </c:pt>
              <c:pt idx="13">
                <c:v>17.734634765908794</c:v>
              </c:pt>
              <c:pt idx="14">
                <c:v>18.726168475916662</c:v>
              </c:pt>
              <c:pt idx="15">
                <c:v>19.717855150869013</c:v>
              </c:pt>
              <c:pt idx="16">
                <c:v>20.709743326446262</c:v>
              </c:pt>
              <c:pt idx="17">
                <c:v>21.701885835896331</c:v>
              </c:pt>
              <c:pt idx="18">
                <c:v>22.694340065317235</c:v>
              </c:pt>
              <c:pt idx="19">
                <c:v>23.687168220994245</c:v>
              </c:pt>
              <c:pt idx="20">
                <c:v>24.680437609415605</c:v>
              </c:pt>
              <c:pt idx="21">
                <c:v>25.674214365853523</c:v>
              </c:pt>
              <c:pt idx="22">
                <c:v>26.668583220188367</c:v>
              </c:pt>
              <c:pt idx="23">
                <c:v>27.6636286365605</c:v>
              </c:pt>
              <c:pt idx="24">
                <c:v>28.659441447875434</c:v>
              </c:pt>
              <c:pt idx="25">
                <c:v>29.656119211242075</c:v>
              </c:pt>
              <c:pt idx="26">
                <c:v>30.653766581138218</c:v>
              </c:pt>
              <c:pt idx="27">
                <c:v>31.652495701406082</c:v>
              </c:pt>
              <c:pt idx="28">
                <c:v>32.652426617277726</c:v>
              </c:pt>
              <c:pt idx="29">
                <c:v>33.6536877087363</c:v>
              </c:pt>
              <c:pt idx="30">
                <c:v>34.656416146635898</c:v>
              </c:pt>
              <c:pt idx="31">
                <c:v>35.660758373130619</c:v>
              </c:pt>
              <c:pt idx="32">
                <c:v>36.384971337507565</c:v>
              </c:pt>
            </c:numLit>
          </c:xVal>
          <c:yVal>
            <c:numLit>
              <c:formatCode>General</c:formatCode>
              <c:ptCount val="33"/>
              <c:pt idx="0">
                <c:v>1.8875265065984568E-3</c:v>
              </c:pt>
              <c:pt idx="1">
                <c:v>2.0237401762564001E-3</c:v>
              </c:pt>
              <c:pt idx="2">
                <c:v>2.1686033300371225E-3</c:v>
              </c:pt>
              <c:pt idx="3">
                <c:v>2.3225879966033455E-3</c:v>
              </c:pt>
              <c:pt idx="4">
                <c:v>2.4861877298070602E-3</c:v>
              </c:pt>
              <c:pt idx="5">
                <c:v>2.6599184202403814E-3</c:v>
              </c:pt>
              <c:pt idx="6">
                <c:v>2.8443760603662129E-3</c:v>
              </c:pt>
              <c:pt idx="7">
                <c:v>3.0400747109121822E-3</c:v>
              </c:pt>
              <c:pt idx="8">
                <c:v>3.2476031618899315E-3</c:v>
              </c:pt>
              <c:pt idx="9">
                <c:v>3.467576144773824E-3</c:v>
              </c:pt>
              <c:pt idx="10">
                <c:v>3.7006353096777946E-3</c:v>
              </c:pt>
              <c:pt idx="11">
                <c:v>3.9474502411748786E-3</c:v>
              </c:pt>
              <c:pt idx="12">
                <c:v>4.2087195151559722E-3</c:v>
              </c:pt>
              <c:pt idx="13">
                <c:v>4.4851717993238342E-3</c:v>
              </c:pt>
              <c:pt idx="14">
                <c:v>4.7775670001359146E-3</c:v>
              </c:pt>
              <c:pt idx="15">
                <c:v>5.0866974592432227E-3</c:v>
              </c:pt>
              <c:pt idx="16">
                <c:v>5.4133892027263455E-3</c:v>
              </c:pt>
              <c:pt idx="17">
                <c:v>5.7585032467030641E-3</c:v>
              </c:pt>
              <c:pt idx="18">
                <c:v>6.1229369631792784E-3</c:v>
              </c:pt>
              <c:pt idx="19">
                <c:v>6.5076255103347367E-3</c:v>
              </c:pt>
              <c:pt idx="20">
                <c:v>6.9135433317828654E-3</c:v>
              </c:pt>
              <c:pt idx="21">
                <c:v>7.3418536727454121E-3</c:v>
              </c:pt>
              <c:pt idx="22">
                <c:v>7.7934848174498117E-3</c:v>
              </c:pt>
              <c:pt idx="23">
                <c:v>8.2695403621734203E-3</c:v>
              </c:pt>
              <c:pt idx="24">
                <c:v>8.771170082880541E-3</c:v>
              </c:pt>
              <c:pt idx="25">
                <c:v>9.299571868023453E-3</c:v>
              </c:pt>
              <c:pt idx="26">
                <c:v>9.8559937570728701E-3</c:v>
              </c:pt>
              <c:pt idx="27">
                <c:v>1.0441736092756343E-2</c:v>
              </c:pt>
              <c:pt idx="28">
                <c:v>1.1058153795654896E-2</c:v>
              </c:pt>
              <c:pt idx="29">
                <c:v>1.1706658770540258E-2</c:v>
              </c:pt>
              <c:pt idx="30">
                <c:v>1.2388722454634234E-2</c:v>
              </c:pt>
              <c:pt idx="31">
                <c:v>1.310587851884021E-2</c:v>
              </c:pt>
              <c:pt idx="32">
                <c:v>1.3644855003375554E-2</c:v>
              </c:pt>
            </c:numLit>
          </c:yVal>
          <c:smooth val="1"/>
          <c:extLst>
            <c:ext xmlns:c16="http://schemas.microsoft.com/office/drawing/2014/chart" uri="{C3380CC4-5D6E-409C-BE32-E72D297353CC}">
              <c16:uniqueId val="{00000054-774A-40C1-BD06-DA789AA122DC}"/>
            </c:ext>
          </c:extLst>
        </c:ser>
        <c:ser>
          <c:idx val="61"/>
          <c:order val="61"/>
          <c:tx>
            <c:v>RH=35_Label</c:v>
          </c:tx>
          <c:spPr>
            <a:ln w="3175">
              <a:solidFill>
                <a:srgbClr val="0000FF"/>
              </a:solidFill>
              <a:prstDash val="solid"/>
            </a:ln>
          </c:spPr>
          <c:marker>
            <c:symbol val="none"/>
          </c:marker>
          <c:dLbls>
            <c:dLbl>
              <c:idx val="0"/>
              <c:tx>
                <c:rich>
                  <a:bodyPr rot="-276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35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5-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36.687012032716936</c:v>
              </c:pt>
            </c:numLit>
          </c:xVal>
          <c:yVal>
            <c:numLit>
              <c:formatCode>General</c:formatCode>
              <c:ptCount val="1"/>
              <c:pt idx="0">
                <c:v>1.3875188258477089E-2</c:v>
              </c:pt>
            </c:numLit>
          </c:yVal>
          <c:smooth val="0"/>
          <c:extLst>
            <c:ext xmlns:c16="http://schemas.microsoft.com/office/drawing/2014/chart" uri="{C3380CC4-5D6E-409C-BE32-E72D297353CC}">
              <c16:uniqueId val="{00000056-774A-40C1-BD06-DA789AA122DC}"/>
            </c:ext>
          </c:extLst>
        </c:ser>
        <c:ser>
          <c:idx val="62"/>
          <c:order val="62"/>
          <c:tx>
            <c:v>RH=35_2</c:v>
          </c:tx>
          <c:spPr>
            <a:ln w="3175">
              <a:solidFill>
                <a:srgbClr val="0000FF"/>
              </a:solidFill>
              <a:prstDash val="solid"/>
            </a:ln>
          </c:spPr>
          <c:marker>
            <c:symbol val="none"/>
          </c:marker>
          <c:xVal>
            <c:numLit>
              <c:formatCode>General</c:formatCode>
              <c:ptCount val="14"/>
              <c:pt idx="0">
                <c:v>36.989227251847005</c:v>
              </c:pt>
              <c:pt idx="1">
                <c:v>37.997932651779394</c:v>
              </c:pt>
              <c:pt idx="2">
                <c:v>39.00881116417105</c:v>
              </c:pt>
              <c:pt idx="3">
                <c:v>40.02205449777933</c:v>
              </c:pt>
              <c:pt idx="4">
                <c:v>41.037866760035634</c:v>
              </c:pt>
              <c:pt idx="5">
                <c:v>42.056468183587832</c:v>
              </c:pt>
              <c:pt idx="6">
                <c:v>43.078090565743416</c:v>
              </c:pt>
              <c:pt idx="7">
                <c:v>44.102980194192732</c:v>
              </c:pt>
              <c:pt idx="8">
                <c:v>45.131398661199782</c:v>
              </c:pt>
              <c:pt idx="9">
                <c:v>46.163623729572627</c:v>
              </c:pt>
              <c:pt idx="10">
                <c:v>47.199950254715397</c:v>
              </c:pt>
              <c:pt idx="11">
                <c:v>48.240691167489317</c:v>
              </c:pt>
              <c:pt idx="12">
                <c:v>49.286178523080601</c:v>
              </c:pt>
              <c:pt idx="13">
                <c:v>50</c:v>
              </c:pt>
            </c:numLit>
          </c:xVal>
          <c:yVal>
            <c:numLit>
              <c:formatCode>General</c:formatCode>
              <c:ptCount val="14"/>
              <c:pt idx="0">
                <c:v>1.4108976317031181E-2</c:v>
              </c:pt>
              <c:pt idx="1">
                <c:v>1.491381979626661E-2</c:v>
              </c:pt>
              <c:pt idx="2">
                <c:v>1.5759331523293861E-2</c:v>
              </c:pt>
              <c:pt idx="3">
                <c:v>1.6647403760885849E-2</c:v>
              </c:pt>
              <c:pt idx="4">
                <c:v>1.7580028207482008E-2</c:v>
              </c:pt>
              <c:pt idx="5">
                <c:v>1.8559098294035549E-2</c:v>
              </c:pt>
              <c:pt idx="6">
                <c:v>1.9586704885560857E-2</c:v>
              </c:pt>
              <c:pt idx="7">
                <c:v>2.0665031485887941E-2</c:v>
              </c:pt>
              <c:pt idx="8">
                <c:v>2.1796359116006504E-2</c:v>
              </c:pt>
              <c:pt idx="9">
                <c:v>2.298307153604754E-2</c:v>
              </c:pt>
              <c:pt idx="10">
                <c:v>2.4227660840216245E-2</c:v>
              </c:pt>
              <c:pt idx="11">
                <c:v>2.5532733456782093E-2</c:v>
              </c:pt>
              <c:pt idx="12">
                <c:v>2.6901016588325579E-2</c:v>
              </c:pt>
              <c:pt idx="13">
                <c:v>2.7869006304865641E-2</c:v>
              </c:pt>
            </c:numLit>
          </c:yVal>
          <c:smooth val="1"/>
          <c:extLst>
            <c:ext xmlns:c16="http://schemas.microsoft.com/office/drawing/2014/chart" uri="{C3380CC4-5D6E-409C-BE32-E72D297353CC}">
              <c16:uniqueId val="{00000057-774A-40C1-BD06-DA789AA122DC}"/>
            </c:ext>
          </c:extLst>
        </c:ser>
        <c:ser>
          <c:idx val="63"/>
          <c:order val="63"/>
          <c:tx>
            <c:v>RH=45_1</c:v>
          </c:tx>
          <c:spPr>
            <a:ln w="3175">
              <a:solidFill>
                <a:srgbClr val="0000FF"/>
              </a:solidFill>
              <a:prstDash val="solid"/>
            </a:ln>
          </c:spPr>
          <c:marker>
            <c:symbol val="none"/>
          </c:marker>
          <c:xVal>
            <c:numLit>
              <c:formatCode>General</c:formatCode>
              <c:ptCount val="30"/>
              <c:pt idx="0">
                <c:v>4.7979114405643841</c:v>
              </c:pt>
              <c:pt idx="1">
                <c:v>5.7881293572500709</c:v>
              </c:pt>
              <c:pt idx="2">
                <c:v>6.7781084020266285</c:v>
              </c:pt>
              <c:pt idx="3">
                <c:v>7.7678629287117902</c:v>
              </c:pt>
              <c:pt idx="4">
                <c:v>8.7574096713914997</c:v>
              </c:pt>
              <c:pt idx="5">
                <c:v>9.7467679237906673</c:v>
              </c:pt>
              <c:pt idx="6">
                <c:v>10.735954436551337</c:v>
              </c:pt>
              <c:pt idx="7">
                <c:v>11.724999045808413</c:v>
              </c:pt>
              <c:pt idx="8">
                <c:v>12.7139298863019</c:v>
              </c:pt>
              <c:pt idx="9">
                <c:v>13.702778468008708</c:v>
              </c:pt>
              <c:pt idx="10">
                <c:v>14.691579905864549</c:v>
              </c:pt>
              <c:pt idx="11">
                <c:v>15.680373160907957</c:v>
              </c:pt>
              <c:pt idx="12">
                <c:v>16.669201293391961</c:v>
              </c:pt>
              <c:pt idx="13">
                <c:v>17.658111728450482</c:v>
              </c:pt>
              <c:pt idx="14">
                <c:v>18.647156534952014</c:v>
              </c:pt>
              <c:pt idx="15">
                <c:v>19.636392718223561</c:v>
              </c:pt>
              <c:pt idx="16">
                <c:v>20.625882527383471</c:v>
              </c:pt>
              <c:pt idx="17">
                <c:v>21.615693778082875</c:v>
              </c:pt>
              <c:pt idx="18">
                <c:v>22.60590019152318</c:v>
              </c:pt>
              <c:pt idx="19">
                <c:v>23.596581750691325</c:v>
              </c:pt>
              <c:pt idx="20">
                <c:v>24.587825074836598</c:v>
              </c:pt>
              <c:pt idx="21">
                <c:v>25.579715315640659</c:v>
              </c:pt>
              <c:pt idx="22">
                <c:v>26.572361751927581</c:v>
              </c:pt>
              <c:pt idx="23">
                <c:v>27.565873408785404</c:v>
              </c:pt>
              <c:pt idx="24">
                <c:v>28.560367661273503</c:v>
              </c:pt>
              <c:pt idx="25">
                <c:v>29.555970719929455</c:v>
              </c:pt>
              <c:pt idx="26">
                <c:v>30.552818142991558</c:v>
              </c:pt>
              <c:pt idx="27">
                <c:v>31.551055377229062</c:v>
              </c:pt>
              <c:pt idx="28">
                <c:v>32.550838329451459</c:v>
              </c:pt>
              <c:pt idx="29">
                <c:v>33.241676623013277</c:v>
              </c:pt>
            </c:numLit>
          </c:xVal>
          <c:yVal>
            <c:numLit>
              <c:formatCode>General</c:formatCode>
              <c:ptCount val="30"/>
              <c:pt idx="0">
                <c:v>2.4289258159167224E-3</c:v>
              </c:pt>
              <c:pt idx="1">
                <c:v>2.6043727591205873E-3</c:v>
              </c:pt>
              <c:pt idx="2">
                <c:v>2.7909845906628123E-3</c:v>
              </c:pt>
              <c:pt idx="3">
                <c:v>2.9893739594974377E-3</c:v>
              </c:pt>
              <c:pt idx="4">
                <c:v>3.2001818853940622E-3</c:v>
              </c:pt>
              <c:pt idx="5">
                <c:v>3.4240788799272735E-3</c:v>
              </c:pt>
              <c:pt idx="6">
                <c:v>3.6618394930983864E-3</c:v>
              </c:pt>
              <c:pt idx="7">
                <c:v>3.9141335585276644E-3</c:v>
              </c:pt>
              <c:pt idx="8">
                <c:v>4.181728195005634E-3</c:v>
              </c:pt>
              <c:pt idx="9">
                <c:v>4.4654250475394362E-3</c:v>
              </c:pt>
              <c:pt idx="10">
                <c:v>4.7660616697429072E-3</c:v>
              </c:pt>
              <c:pt idx="11">
                <c:v>5.0845129684787566E-3</c:v>
              </c:pt>
              <c:pt idx="12">
                <c:v>5.4216927150161328E-3</c:v>
              </c:pt>
              <c:pt idx="13">
                <c:v>5.7785551273322622E-3</c:v>
              </c:pt>
              <c:pt idx="14">
                <c:v>6.1560965285861443E-3</c:v>
              </c:pt>
              <c:pt idx="15">
                <c:v>6.5553570872239637E-3</c:v>
              </c:pt>
              <c:pt idx="16">
                <c:v>6.9774226446464435E-3</c:v>
              </c:pt>
              <c:pt idx="17">
                <c:v>7.4234266368784479E-3</c:v>
              </c:pt>
              <c:pt idx="18">
                <c:v>7.8945521172378037E-3</c:v>
              </c:pt>
              <c:pt idx="19">
                <c:v>8.3920338876039037E-3</c:v>
              </c:pt>
              <c:pt idx="20">
                <c:v>8.9171607465458672E-3</c:v>
              </c:pt>
              <c:pt idx="21">
                <c:v>9.4714693652664696E-3</c:v>
              </c:pt>
              <c:pt idx="22">
                <c:v>1.0056196296420142E-2</c:v>
              </c:pt>
              <c:pt idx="23">
                <c:v>1.0672809158403808E-2</c:v>
              </c:pt>
              <c:pt idx="24">
                <c:v>1.1322840060390603E-2</c:v>
              </c:pt>
              <c:pt idx="25">
                <c:v>1.2007888595456073E-2</c:v>
              </c:pt>
              <c:pt idx="26">
                <c:v>1.272962501840671E-2</c:v>
              </c:pt>
              <c:pt idx="27">
                <c:v>1.3489793623284507E-2</c:v>
              </c:pt>
              <c:pt idx="28">
                <c:v>1.4290216336870146E-2</c:v>
              </c:pt>
              <c:pt idx="29">
                <c:v>1.4866969840016564E-2</c:v>
              </c:pt>
            </c:numLit>
          </c:yVal>
          <c:smooth val="1"/>
          <c:extLst>
            <c:ext xmlns:c16="http://schemas.microsoft.com/office/drawing/2014/chart" uri="{C3380CC4-5D6E-409C-BE32-E72D297353CC}">
              <c16:uniqueId val="{00000058-774A-40C1-BD06-DA789AA122DC}"/>
            </c:ext>
          </c:extLst>
        </c:ser>
        <c:ser>
          <c:idx val="64"/>
          <c:order val="64"/>
          <c:tx>
            <c:v>RH=45_Label</c:v>
          </c:tx>
          <c:spPr>
            <a:ln w="3175">
              <a:solidFill>
                <a:srgbClr val="0000FF"/>
              </a:solidFill>
              <a:prstDash val="solid"/>
            </a:ln>
          </c:spPr>
          <c:marker>
            <c:symbol val="none"/>
          </c:marker>
          <c:dLbls>
            <c:dLbl>
              <c:idx val="0"/>
              <c:tx>
                <c:rich>
                  <a:bodyPr rot="-29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45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9-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33.542309960090257</c:v>
              </c:pt>
            </c:numLit>
          </c:xVal>
          <c:yVal>
            <c:numLit>
              <c:formatCode>General</c:formatCode>
              <c:ptCount val="1"/>
              <c:pt idx="0">
                <c:v>1.5124155606683983E-2</c:v>
              </c:pt>
            </c:numLit>
          </c:yVal>
          <c:smooth val="0"/>
          <c:extLst>
            <c:ext xmlns:c16="http://schemas.microsoft.com/office/drawing/2014/chart" uri="{C3380CC4-5D6E-409C-BE32-E72D297353CC}">
              <c16:uniqueId val="{0000005A-774A-40C1-BD06-DA789AA122DC}"/>
            </c:ext>
          </c:extLst>
        </c:ser>
        <c:ser>
          <c:idx val="65"/>
          <c:order val="65"/>
          <c:tx>
            <c:v>RH=45_2</c:v>
          </c:tx>
          <c:spPr>
            <a:ln w="3175">
              <a:solidFill>
                <a:srgbClr val="0000FF"/>
              </a:solidFill>
              <a:prstDash val="solid"/>
            </a:ln>
          </c:spPr>
          <c:marker>
            <c:symbol val="none"/>
          </c:marker>
          <c:xVal>
            <c:numLit>
              <c:formatCode>General</c:formatCode>
              <c:ptCount val="17"/>
              <c:pt idx="0">
                <c:v>33.843113269370306</c:v>
              </c:pt>
              <c:pt idx="1">
                <c:v>34.847083943135722</c:v>
              </c:pt>
              <c:pt idx="2">
                <c:v>35.853194864619347</c:v>
              </c:pt>
              <c:pt idx="3">
                <c:v>36.861654133883768</c:v>
              </c:pt>
              <c:pt idx="4">
                <c:v>37.872683946588978</c:v>
              </c:pt>
              <c:pt idx="5">
                <c:v>38.886521420379061</c:v>
              </c:pt>
              <c:pt idx="6">
                <c:v>39.903418320194405</c:v>
              </c:pt>
              <c:pt idx="7">
                <c:v>40.923642892256069</c:v>
              </c:pt>
              <c:pt idx="8">
                <c:v>41.947485589808181</c:v>
              </c:pt>
              <c:pt idx="9">
                <c:v>42.975252742791277</c:v>
              </c:pt>
              <c:pt idx="10">
                <c:v>44.007270646239782</c:v>
              </c:pt>
              <c:pt idx="11">
                <c:v>45.043886785233312</c:v>
              </c:pt>
              <c:pt idx="12">
                <c:v>46.085471148292477</c:v>
              </c:pt>
              <c:pt idx="13">
                <c:v>47.132417637407976</c:v>
              </c:pt>
              <c:pt idx="14">
                <c:v>48.185145583777889</c:v>
              </c:pt>
              <c:pt idx="15">
                <c:v>49.244101379321037</c:v>
              </c:pt>
              <c:pt idx="16">
                <c:v>50.000000000000007</c:v>
              </c:pt>
            </c:numLit>
          </c:xVal>
          <c:yVal>
            <c:numLit>
              <c:formatCode>General</c:formatCode>
              <c:ptCount val="17"/>
              <c:pt idx="0">
                <c:v>1.5385312109042031E-2</c:v>
              </c:pt>
              <c:pt idx="1">
                <c:v>1.6285225952846927E-2</c:v>
              </c:pt>
              <c:pt idx="2">
                <c:v>1.7231985372616151E-2</c:v>
              </c:pt>
              <c:pt idx="3">
                <c:v>1.8227792074351917E-2</c:v>
              </c:pt>
              <c:pt idx="4">
                <c:v>1.9274948795326451E-2</c:v>
              </c:pt>
              <c:pt idx="5">
                <c:v>2.0375864737942648E-2</c:v>
              </c:pt>
              <c:pt idx="6">
                <c:v>2.1533125692636469E-2</c:v>
              </c:pt>
              <c:pt idx="7">
                <c:v>2.274948152478275E-2</c:v>
              </c:pt>
              <c:pt idx="8">
                <c:v>2.4027550915091813E-2</c:v>
              </c:pt>
              <c:pt idx="9">
                <c:v>2.5370233863113451E-2</c:v>
              </c:pt>
              <c:pt idx="10">
                <c:v>2.6780570766508603E-2</c:v>
              </c:pt>
              <c:pt idx="11">
                <c:v>2.8261750799635506E-2</c:v>
              </c:pt>
              <c:pt idx="12">
                <c:v>2.9817120948578829E-2</c:v>
              </c:pt>
              <c:pt idx="13">
                <c:v>3.1450195763913363E-2</c:v>
              </c:pt>
              <c:pt idx="14">
                <c:v>3.3164667898963343E-2</c:v>
              </c:pt>
              <c:pt idx="15">
                <c:v>3.4964419508579071E-2</c:v>
              </c:pt>
              <c:pt idx="16">
                <c:v>3.6296243180437608E-2</c:v>
              </c:pt>
            </c:numLit>
          </c:yVal>
          <c:smooth val="1"/>
          <c:extLst>
            <c:ext xmlns:c16="http://schemas.microsoft.com/office/drawing/2014/chart" uri="{C3380CC4-5D6E-409C-BE32-E72D297353CC}">
              <c16:uniqueId val="{0000005B-774A-40C1-BD06-DA789AA122DC}"/>
            </c:ext>
          </c:extLst>
        </c:ser>
        <c:ser>
          <c:idx val="66"/>
          <c:order val="66"/>
          <c:tx>
            <c:v>RH=55_1</c:v>
          </c:tx>
          <c:spPr>
            <a:ln w="3175">
              <a:solidFill>
                <a:srgbClr val="0000FF"/>
              </a:solidFill>
              <a:prstDash val="solid"/>
            </a:ln>
          </c:spPr>
          <c:marker>
            <c:symbol val="none"/>
          </c:marker>
          <c:xVal>
            <c:numLit>
              <c:formatCode>General</c:formatCode>
              <c:ptCount val="28"/>
              <c:pt idx="0">
                <c:v>4.7527883387197933</c:v>
              </c:pt>
              <c:pt idx="1">
                <c:v>5.7408058132072091</c:v>
              </c:pt>
              <c:pt idx="2">
                <c:v>6.7285284551880915</c:v>
              </c:pt>
              <c:pt idx="3">
                <c:v>7.7159735586186047</c:v>
              </c:pt>
              <c:pt idx="4">
                <c:v>8.7031613138615409</c:v>
              </c:pt>
              <c:pt idx="5">
                <c:v>9.690115027717022</c:v>
              </c:pt>
              <c:pt idx="6">
                <c:v>10.676854870952818</c:v>
              </c:pt>
              <c:pt idx="7">
                <c:v>11.663417028454429</c:v>
              </c:pt>
              <c:pt idx="8">
                <c:v>12.649835584689367</c:v>
              </c:pt>
              <c:pt idx="9">
                <c:v>13.636148744660289</c:v>
              </c:pt>
              <c:pt idx="10">
                <c:v>14.622399117900304</c:v>
              </c:pt>
              <c:pt idx="11">
                <c:v>15.608634017172154</c:v>
              </c:pt>
              <c:pt idx="12">
                <c:v>16.59490577265089</c:v>
              </c:pt>
              <c:pt idx="13">
                <c:v>17.581272062434444</c:v>
              </c:pt>
              <c:pt idx="14">
                <c:v>18.567796260297889</c:v>
              </c:pt>
              <c:pt idx="15">
                <c:v>19.554547801686571</c:v>
              </c:pt>
              <c:pt idx="16">
                <c:v>20.541602569030708</c:v>
              </c:pt>
              <c:pt idx="17">
                <c:v>21.529043297560914</c:v>
              </c:pt>
              <c:pt idx="18">
                <c:v>22.516960002911134</c:v>
              </c:pt>
              <c:pt idx="19">
                <c:v>23.50545043191384</c:v>
              </c:pt>
              <c:pt idx="20">
                <c:v>24.494620538123129</c:v>
              </c:pt>
              <c:pt idx="21">
                <c:v>25.484574527064105</c:v>
              </c:pt>
              <c:pt idx="22">
                <c:v>26.475446362765325</c:v>
              </c:pt>
              <c:pt idx="23">
                <c:v>27.467369806450417</c:v>
              </c:pt>
              <c:pt idx="24">
                <c:v>28.460489023324861</c:v>
              </c:pt>
              <c:pt idx="25">
                <c:v>29.454959211633383</c:v>
              </c:pt>
              <c:pt idx="26">
                <c:v>30.450947269402214</c:v>
              </c:pt>
              <c:pt idx="27">
                <c:v>30.690229911761239</c:v>
              </c:pt>
            </c:numLit>
          </c:xVal>
          <c:yVal>
            <c:numLit>
              <c:formatCode>General</c:formatCode>
              <c:ptCount val="28"/>
              <c:pt idx="0">
                <c:v>2.9712656063069056E-3</c:v>
              </c:pt>
              <c:pt idx="1">
                <c:v>3.1860869002144176E-3</c:v>
              </c:pt>
              <c:pt idx="2">
                <c:v>3.414608328091779E-3</c:v>
              </c:pt>
              <c:pt idx="3">
                <c:v>3.6575857658689651E-3</c:v>
              </c:pt>
              <c:pt idx="4">
                <c:v>3.9158106249054629E-3</c:v>
              </c:pt>
              <c:pt idx="5">
                <c:v>4.19011131877251E-3</c:v>
              </c:pt>
              <c:pt idx="6">
                <c:v>4.4814447176932176E-3</c:v>
              </c:pt>
              <c:pt idx="7">
                <c:v>4.7906404835150358E-3</c:v>
              </c:pt>
              <c:pt idx="8">
                <c:v>5.1186486748401082E-3</c:v>
              </c:pt>
              <c:pt idx="9">
                <c:v>5.4664630058504768E-3</c:v>
              </c:pt>
              <c:pt idx="10">
                <c:v>5.8351226941980557E-3</c:v>
              </c:pt>
              <c:pt idx="11">
                <c:v>6.2257144010881621E-3</c:v>
              </c:pt>
              <c:pt idx="12">
                <c:v>6.6393742703356956E-3</c:v>
              </c:pt>
              <c:pt idx="13">
                <c:v>7.0772900737726746E-3</c:v>
              </c:pt>
              <c:pt idx="14">
                <c:v>7.5407034710427414E-3</c:v>
              </c:pt>
              <c:pt idx="15">
                <c:v>8.0309123925323949E-3</c:v>
              </c:pt>
              <c:pt idx="16">
                <c:v>8.5492735549704338E-3</c:v>
              </c:pt>
              <c:pt idx="17">
                <c:v>9.0972051200791226E-3</c:v>
              </c:pt>
              <c:pt idx="18">
                <c:v>9.6761895075946035E-3</c:v>
              </c:pt>
              <c:pt idx="19">
                <c:v>1.0287776374993248E-2</c:v>
              </c:pt>
              <c:pt idx="20">
                <c:v>1.0933585777379171E-2</c:v>
              </c:pt>
              <c:pt idx="21">
                <c:v>1.1615547172345699E-2</c:v>
              </c:pt>
              <c:pt idx="22">
                <c:v>1.2335225784433806E-2</c:v>
              </c:pt>
              <c:pt idx="23">
                <c:v>1.3094476410334279E-2</c:v>
              </c:pt>
              <c:pt idx="24">
                <c:v>1.3895239184208591E-2</c:v>
              </c:pt>
              <c:pt idx="25">
                <c:v>1.4739543900452028E-2</c:v>
              </c:pt>
              <c:pt idx="26">
                <c:v>1.5629514628788175E-2</c:v>
              </c:pt>
              <c:pt idx="27">
                <c:v>1.5850147556233648E-2</c:v>
              </c:pt>
            </c:numLit>
          </c:yVal>
          <c:smooth val="1"/>
          <c:extLst>
            <c:ext xmlns:c16="http://schemas.microsoft.com/office/drawing/2014/chart" uri="{C3380CC4-5D6E-409C-BE32-E72D297353CC}">
              <c16:uniqueId val="{0000005C-774A-40C1-BD06-DA789AA122DC}"/>
            </c:ext>
          </c:extLst>
        </c:ser>
        <c:ser>
          <c:idx val="67"/>
          <c:order val="67"/>
          <c:tx>
            <c:v>RH=55_Label</c:v>
          </c:tx>
          <c:spPr>
            <a:ln w="3175">
              <a:solidFill>
                <a:srgbClr val="0000FF"/>
              </a:solidFill>
              <a:prstDash val="solid"/>
            </a:ln>
          </c:spPr>
          <c:marker>
            <c:symbol val="none"/>
          </c:marker>
          <c:dLbls>
            <c:dLbl>
              <c:idx val="0"/>
              <c:tx>
                <c:rich>
                  <a:bodyPr rot="-312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55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D-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30.989474550516114</c:v>
              </c:pt>
            </c:numLit>
          </c:xVal>
          <c:yVal>
            <c:numLit>
              <c:formatCode>General</c:formatCode>
              <c:ptCount val="1"/>
              <c:pt idx="0">
                <c:v>1.6129865276295948E-2</c:v>
              </c:pt>
            </c:numLit>
          </c:yVal>
          <c:smooth val="0"/>
          <c:extLst>
            <c:ext xmlns:c16="http://schemas.microsoft.com/office/drawing/2014/chart" uri="{C3380CC4-5D6E-409C-BE32-E72D297353CC}">
              <c16:uniqueId val="{0000005E-774A-40C1-BD06-DA789AA122DC}"/>
            </c:ext>
          </c:extLst>
        </c:ser>
        <c:ser>
          <c:idx val="68"/>
          <c:order val="68"/>
          <c:tx>
            <c:v>RH=55_2</c:v>
          </c:tx>
          <c:spPr>
            <a:ln w="3175">
              <a:solidFill>
                <a:srgbClr val="0000FF"/>
              </a:solidFill>
              <a:prstDash val="solid"/>
            </a:ln>
          </c:spPr>
          <c:marker>
            <c:symbol val="none"/>
          </c:marker>
          <c:xVal>
            <c:numLit>
              <c:formatCode>General</c:formatCode>
              <c:ptCount val="18"/>
              <c:pt idx="0">
                <c:v>31.288881044490907</c:v>
              </c:pt>
              <c:pt idx="1">
                <c:v>32.28814007408657</c:v>
              </c:pt>
              <c:pt idx="2">
                <c:v>33.289461162964656</c:v>
              </c:pt>
              <c:pt idx="3">
                <c:v>34.293063110456032</c:v>
              </c:pt>
              <c:pt idx="4">
                <c:v>35.299180279992967</c:v>
              </c:pt>
              <c:pt idx="5">
                <c:v>36.308063555400999</c:v>
              </c:pt>
              <c:pt idx="6">
                <c:v>37.319981362124537</c:v>
              </c:pt>
              <c:pt idx="7">
                <c:v>38.335220759151703</c:v>
              </c:pt>
              <c:pt idx="8">
                <c:v>39.354088608020184</c:v>
              </c:pt>
              <c:pt idx="9">
                <c:v>40.376908784565998</c:v>
              </c:pt>
              <c:pt idx="10">
                <c:v>41.404035377551232</c:v>
              </c:pt>
              <c:pt idx="11">
                <c:v>42.435843506013669</c:v>
              </c:pt>
              <c:pt idx="12">
                <c:v>43.472732904478228</c:v>
              </c:pt>
              <c:pt idx="13">
                <c:v>44.515130408086179</c:v>
              </c:pt>
              <c:pt idx="14">
                <c:v>45.563491765100324</c:v>
              </c:pt>
              <c:pt idx="15">
                <c:v>46.618303596101995</c:v>
              </c:pt>
              <c:pt idx="16">
                <c:v>47.680085514829216</c:v>
              </c:pt>
              <c:pt idx="17">
                <c:v>44.483774059522453</c:v>
              </c:pt>
            </c:numLit>
          </c:xVal>
          <c:yVal>
            <c:numLit>
              <c:formatCode>General</c:formatCode>
              <c:ptCount val="18"/>
              <c:pt idx="0">
                <c:v>1.6414004228901657E-2</c:v>
              </c:pt>
              <c:pt idx="1">
                <c:v>1.7393885676520521E-2</c:v>
              </c:pt>
              <c:pt idx="2">
                <c:v>1.8426024368464747E-2</c:v>
              </c:pt>
              <c:pt idx="3">
                <c:v>1.9512955389155106E-2</c:v>
              </c:pt>
              <c:pt idx="4">
                <c:v>2.0657335456802466E-2</c:v>
              </c:pt>
              <c:pt idx="5">
                <c:v>2.18619498344035E-2</c:v>
              </c:pt>
              <c:pt idx="6">
                <c:v>2.3129719762606075E-2</c:v>
              </c:pt>
              <c:pt idx="7">
                <c:v>2.4463710462355535E-2</c:v>
              </c:pt>
              <c:pt idx="8">
                <c:v>2.586713976016505E-2</c:v>
              </c:pt>
              <c:pt idx="9">
                <c:v>2.7343626022832548E-2</c:v>
              </c:pt>
              <c:pt idx="10">
                <c:v>2.8896558756553385E-2</c:v>
              </c:pt>
              <c:pt idx="11">
                <c:v>3.0529632437545379E-2</c:v>
              </c:pt>
              <c:pt idx="12">
                <c:v>3.2246779263973561E-2</c:v>
              </c:pt>
              <c:pt idx="13">
                <c:v>3.4052139020724105E-2</c:v>
              </c:pt>
              <c:pt idx="14">
                <c:v>3.5950072930764715E-2</c:v>
              </c:pt>
              <c:pt idx="15">
                <c:v>3.7945178699027013E-2</c:v>
              </c:pt>
              <c:pt idx="16">
                <c:v>4.0042306870224254E-2</c:v>
              </c:pt>
              <c:pt idx="17">
                <c:v>3.4000000000000002E-2</c:v>
              </c:pt>
            </c:numLit>
          </c:yVal>
          <c:smooth val="1"/>
          <c:extLst>
            <c:ext xmlns:c16="http://schemas.microsoft.com/office/drawing/2014/chart" uri="{C3380CC4-5D6E-409C-BE32-E72D297353CC}">
              <c16:uniqueId val="{0000005F-774A-40C1-BD06-DA789AA122DC}"/>
            </c:ext>
          </c:extLst>
        </c:ser>
        <c:ser>
          <c:idx val="69"/>
          <c:order val="69"/>
          <c:tx>
            <c:v>RH=65_1</c:v>
          </c:tx>
          <c:spPr>
            <a:ln w="3175">
              <a:solidFill>
                <a:srgbClr val="0000FF"/>
              </a:solidFill>
              <a:prstDash val="solid"/>
            </a:ln>
          </c:spPr>
          <c:marker>
            <c:symbol val="none"/>
          </c:marker>
          <c:xVal>
            <c:numLit>
              <c:formatCode>General</c:formatCode>
              <c:ptCount val="26"/>
              <c:pt idx="0">
                <c:v>4.7075867840324177</c:v>
              </c:pt>
              <c:pt idx="1">
                <c:v>5.693394036287784</c:v>
              </c:pt>
              <c:pt idx="2">
                <c:v>6.6788494316452747</c:v>
              </c:pt>
              <c:pt idx="3">
                <c:v>7.6639731104373956</c:v>
              </c:pt>
              <c:pt idx="4">
                <c:v>8.6487886204232431</c:v>
              </c:pt>
              <c:pt idx="5">
                <c:v>9.633323177711917</c:v>
              </c:pt>
              <c:pt idx="6">
                <c:v>10.61760025865436</c:v>
              </c:pt>
              <c:pt idx="7">
                <c:v>11.601662289364722</c:v>
              </c:pt>
              <c:pt idx="8">
                <c:v>12.585549188127688</c:v>
              </c:pt>
              <c:pt idx="9">
                <c:v>13.569305736538357</c:v>
              </c:pt>
              <c:pt idx="10">
                <c:v>14.5529819188678</c:v>
              </c:pt>
              <c:pt idx="11">
                <c:v>15.536633279684853</c:v>
              </c:pt>
              <c:pt idx="12">
                <c:v>16.520321300791181</c:v>
              </c:pt>
              <c:pt idx="13">
                <c:v>17.504113798620708</c:v>
              </c:pt>
              <c:pt idx="14">
                <c:v>18.488085343358691</c:v>
              </c:pt>
              <c:pt idx="15">
                <c:v>19.472317701151294</c:v>
              </c:pt>
              <c:pt idx="16">
                <c:v>20.456900300904735</c:v>
              </c:pt>
              <c:pt idx="17">
                <c:v>21.441930727315192</c:v>
              </c:pt>
              <c:pt idx="18">
                <c:v>22.427515241928276</c:v>
              </c:pt>
              <c:pt idx="19">
                <c:v>23.413769334201806</c:v>
              </c:pt>
              <c:pt idx="20">
                <c:v>24.400818304739552</c:v>
              </c:pt>
              <c:pt idx="21">
                <c:v>25.388785440831832</c:v>
              </c:pt>
              <c:pt idx="22">
                <c:v>26.37782951900634</c:v>
              </c:pt>
              <c:pt idx="23">
                <c:v>27.36810920265324</c:v>
              </c:pt>
              <c:pt idx="24">
                <c:v>28.35979568640477</c:v>
              </c:pt>
              <c:pt idx="25">
                <c:v>28.558317792615352</c:v>
              </c:pt>
            </c:numLit>
          </c:xVal>
          <c:yVal>
            <c:numLit>
              <c:formatCode>General</c:formatCode>
              <c:ptCount val="26"/>
              <c:pt idx="0">
                <c:v>3.5145483305064288E-3</c:v>
              </c:pt>
              <c:pt idx="1">
                <c:v>3.7688856243217176E-3</c:v>
              </c:pt>
              <c:pt idx="2">
                <c:v>4.0394782666273339E-3</c:v>
              </c:pt>
              <c:pt idx="3">
                <c:v>4.3272279941113561E-3</c:v>
              </c:pt>
              <c:pt idx="4">
                <c:v>4.6330795679808117E-3</c:v>
              </c:pt>
              <c:pt idx="5">
                <c:v>4.9580226239490759E-3</c:v>
              </c:pt>
              <c:pt idx="6">
                <c:v>5.3032001625822091E-3</c:v>
              </c:pt>
              <c:pt idx="7">
                <c:v>5.669605785216322E-3</c:v>
              </c:pt>
              <c:pt idx="8">
                <c:v>6.0583771686071762E-3</c:v>
              </c:pt>
              <c:pt idx="9">
                <c:v>6.4707053321746109E-3</c:v>
              </c:pt>
              <c:pt idx="10">
                <c:v>6.907837014116615E-3</c:v>
              </c:pt>
              <c:pt idx="11">
                <c:v>7.3710771764237074E-3</c:v>
              </c:pt>
              <c:pt idx="12">
                <c:v>7.861791648811841E-3</c:v>
              </c:pt>
              <c:pt idx="13">
                <c:v>8.3814099225061629E-3</c:v>
              </c:pt>
              <c:pt idx="14">
                <c:v>8.9314281058126502E-3</c:v>
              </c:pt>
              <c:pt idx="15">
                <c:v>9.513412054512508E-3</c:v>
              </c:pt>
              <c:pt idx="16">
                <c:v>1.0129000691320653E-2</c:v>
              </c:pt>
              <c:pt idx="17">
                <c:v>1.0779909529971536E-2</c:v>
              </c:pt>
              <c:pt idx="18">
                <c:v>1.1467934420950916E-2</c:v>
              </c:pt>
              <c:pt idx="19">
                <c:v>1.2194955537489258E-2</c:v>
              </c:pt>
              <c:pt idx="20">
                <c:v>1.2962941622193738E-2</c:v>
              </c:pt>
              <c:pt idx="21">
                <c:v>1.3774234913153584E-2</c:v>
              </c:pt>
              <c:pt idx="22">
                <c:v>1.4630750441318861E-2</c:v>
              </c:pt>
              <c:pt idx="23">
                <c:v>1.5534754206521045E-2</c:v>
              </c:pt>
              <c:pt idx="24">
                <c:v>1.6488621082355326E-2</c:v>
              </c:pt>
              <c:pt idx="25">
                <c:v>1.6685595032799646E-2</c:v>
              </c:pt>
            </c:numLit>
          </c:yVal>
          <c:smooth val="1"/>
          <c:extLst>
            <c:ext xmlns:c16="http://schemas.microsoft.com/office/drawing/2014/chart" uri="{C3380CC4-5D6E-409C-BE32-E72D297353CC}">
              <c16:uniqueId val="{00000060-774A-40C1-BD06-DA789AA122DC}"/>
            </c:ext>
          </c:extLst>
        </c:ser>
        <c:ser>
          <c:idx val="70"/>
          <c:order val="70"/>
          <c:tx>
            <c:v>RH=65_Label</c:v>
          </c:tx>
          <c:spPr>
            <a:ln w="3175">
              <a:solidFill>
                <a:srgbClr val="0000FF"/>
              </a:solidFill>
              <a:prstDash val="solid"/>
            </a:ln>
          </c:spPr>
          <c:marker>
            <c:symbol val="none"/>
          </c:marker>
          <c:dLbls>
            <c:dLbl>
              <c:idx val="0"/>
              <c:tx>
                <c:rich>
                  <a:bodyPr rot="-32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65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1-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28.826426268543489</c:v>
              </c:pt>
            </c:numLit>
          </c:xVal>
          <c:yVal>
            <c:numLit>
              <c:formatCode>General</c:formatCode>
              <c:ptCount val="1"/>
              <c:pt idx="0">
                <c:v>1.69548673550181E-2</c:v>
              </c:pt>
            </c:numLit>
          </c:yVal>
          <c:smooth val="0"/>
          <c:extLst>
            <c:ext xmlns:c16="http://schemas.microsoft.com/office/drawing/2014/chart" uri="{C3380CC4-5D6E-409C-BE32-E72D297353CC}">
              <c16:uniqueId val="{00000062-774A-40C1-BD06-DA789AA122DC}"/>
            </c:ext>
          </c:extLst>
        </c:ser>
        <c:ser>
          <c:idx val="71"/>
          <c:order val="71"/>
          <c:tx>
            <c:v>RH=65_2</c:v>
          </c:tx>
          <c:spPr>
            <a:ln w="3175">
              <a:solidFill>
                <a:srgbClr val="0000FF"/>
              </a:solidFill>
              <a:prstDash val="solid"/>
            </a:ln>
          </c:spPr>
          <c:marker>
            <c:symbol val="none"/>
          </c:marker>
          <c:xVal>
            <c:numLit>
              <c:formatCode>General</c:formatCode>
              <c:ptCount val="17"/>
              <c:pt idx="0">
                <c:v>29.154281293235872</c:v>
              </c:pt>
              <c:pt idx="1">
                <c:v>30.148974471149877</c:v>
              </c:pt>
              <c:pt idx="2">
                <c:v>31.14562735244127</c:v>
              </c:pt>
              <c:pt idx="3">
                <c:v>32.144466372583011</c:v>
              </c:pt>
              <c:pt idx="4">
                <c:v>33.145734775067154</c:v>
              </c:pt>
              <c:pt idx="5">
                <c:v>34.149693684929971</c:v>
              </c:pt>
              <c:pt idx="6">
                <c:v>35.156623258311356</c:v>
              </c:pt>
              <c:pt idx="7">
                <c:v>36.166823915077146</c:v>
              </c:pt>
              <c:pt idx="8">
                <c:v>37.180617662312947</c:v>
              </c:pt>
              <c:pt idx="9">
                <c:v>38.198349517373778</c:v>
              </c:pt>
              <c:pt idx="10">
                <c:v>39.220389040157556</c:v>
              </c:pt>
              <c:pt idx="11">
                <c:v>40.247127353684583</c:v>
              </c:pt>
              <c:pt idx="12">
                <c:v>41.278992238745232</c:v>
              </c:pt>
              <c:pt idx="13">
                <c:v>42.316438727336042</c:v>
              </c:pt>
              <c:pt idx="14">
                <c:v>43.359952662944558</c:v>
              </c:pt>
              <c:pt idx="15">
                <c:v>44.410054181301376</c:v>
              </c:pt>
              <c:pt idx="16">
                <c:v>41.082522687554388</c:v>
              </c:pt>
            </c:numLit>
          </c:xVal>
          <c:yVal>
            <c:numLit>
              <c:formatCode>General</c:formatCode>
              <c:ptCount val="17"/>
              <c:pt idx="0">
                <c:v>1.7289285079439821E-2</c:v>
              </c:pt>
              <c:pt idx="1">
                <c:v>1.8339260809342089E-2</c:v>
              </c:pt>
              <c:pt idx="2">
                <c:v>1.9446380817797437E-2</c:v>
              </c:pt>
              <c:pt idx="3">
                <c:v>2.0613491784867648E-2</c:v>
              </c:pt>
              <c:pt idx="4">
                <c:v>2.1843582114776178E-2</c:v>
              </c:pt>
              <c:pt idx="5">
                <c:v>2.3139790356552118E-2</c:v>
              </c:pt>
              <c:pt idx="6">
                <c:v>2.450541428664121E-2</c:v>
              </c:pt>
              <c:pt idx="7">
                <c:v>2.5943920716535944E-2</c:v>
              </c:pt>
              <c:pt idx="8">
                <c:v>2.7458956095239195E-2</c:v>
              </c:pt>
              <c:pt idx="9">
                <c:v>2.9054357983965853E-2</c:v>
              </c:pt>
              <c:pt idx="10">
                <c:v>3.0734167489009444E-2</c:v>
              </c:pt>
              <c:pt idx="11">
                <c:v>3.2502915041684302E-2</c:v>
              </c:pt>
              <c:pt idx="12">
                <c:v>3.4364923145966897E-2</c:v>
              </c:pt>
              <c:pt idx="13">
                <c:v>3.6324868600653211E-2</c:v>
              </c:pt>
              <c:pt idx="14">
                <c:v>3.838775763768433E-2</c:v>
              </c:pt>
              <c:pt idx="15">
                <c:v>4.05588806462788E-2</c:v>
              </c:pt>
              <c:pt idx="16">
                <c:v>3.4000000000000002E-2</c:v>
              </c:pt>
            </c:numLit>
          </c:yVal>
          <c:smooth val="1"/>
          <c:extLst>
            <c:ext xmlns:c16="http://schemas.microsoft.com/office/drawing/2014/chart" uri="{C3380CC4-5D6E-409C-BE32-E72D297353CC}">
              <c16:uniqueId val="{00000063-774A-40C1-BD06-DA789AA122DC}"/>
            </c:ext>
          </c:extLst>
        </c:ser>
        <c:ser>
          <c:idx val="72"/>
          <c:order val="72"/>
          <c:tx>
            <c:v>RH=75_1</c:v>
          </c:tx>
          <c:spPr>
            <a:ln w="3175">
              <a:solidFill>
                <a:srgbClr val="0000FF"/>
              </a:solidFill>
              <a:prstDash val="solid"/>
            </a:ln>
          </c:spPr>
          <c:marker>
            <c:symbol val="none"/>
          </c:marker>
          <c:xVal>
            <c:numLit>
              <c:formatCode>General</c:formatCode>
              <c:ptCount val="24"/>
              <c:pt idx="0">
                <c:v>4.6623065717223273</c:v>
              </c:pt>
              <c:pt idx="1">
                <c:v>5.6458937795014803</c:v>
              </c:pt>
              <c:pt idx="2">
                <c:v>6.629071034120396</c:v>
              </c:pt>
              <c:pt idx="3">
                <c:v>7.6118612271134749</c:v>
              </c:pt>
              <c:pt idx="4">
                <c:v>8.5942911631238914</c:v>
              </c:pt>
              <c:pt idx="5">
                <c:v>9.5763918619241188</c:v>
              </c:pt>
              <c:pt idx="6">
                <c:v>10.558189988711014</c:v>
              </c:pt>
              <c:pt idx="7">
                <c:v>11.539734100858675</c:v>
              </c:pt>
              <c:pt idx="8">
                <c:v>12.521069831738515</c:v>
              </c:pt>
              <c:pt idx="9">
                <c:v>13.5022484178998</c:v>
              </c:pt>
              <c:pt idx="10">
                <c:v>14.48332709486384</c:v>
              </c:pt>
              <c:pt idx="11">
                <c:v>15.464369514996749</c:v>
              </c:pt>
              <c:pt idx="12">
                <c:v>16.4454461888397</c:v>
              </c:pt>
              <c:pt idx="13">
                <c:v>17.426634951405386</c:v>
              </c:pt>
              <c:pt idx="14">
                <c:v>18.40802145509323</c:v>
              </c:pt>
              <c:pt idx="15">
                <c:v>19.389699691036181</c:v>
              </c:pt>
              <c:pt idx="16">
                <c:v>20.371772540870129</c:v>
              </c:pt>
              <c:pt idx="17">
                <c:v>21.354352361114962</c:v>
              </c:pt>
              <c:pt idx="18">
                <c:v>22.33756160257677</c:v>
              </c:pt>
              <c:pt idx="19">
                <c:v>23.321533467426086</c:v>
              </c:pt>
              <c:pt idx="20">
                <c:v>24.306412606880112</c:v>
              </c:pt>
              <c:pt idx="21">
                <c:v>25.29234140795505</c:v>
              </c:pt>
              <c:pt idx="22">
                <c:v>26.279503577504428</c:v>
              </c:pt>
              <c:pt idx="23">
                <c:v>26.714292480798427</c:v>
              </c:pt>
            </c:numLit>
          </c:xVal>
          <c:yVal>
            <c:numLit>
              <c:formatCode>General</c:formatCode>
              <c:ptCount val="24"/>
              <c:pt idx="0">
                <c:v>4.0587764497889908E-3</c:v>
              </c:pt>
              <c:pt idx="1">
                <c:v>4.3527719675160188E-3</c:v>
              </c:pt>
              <c:pt idx="2">
                <c:v>4.6655981454723928E-3</c:v>
              </c:pt>
              <c:pt idx="3">
                <c:v>4.998305242240709E-3</c:v>
              </c:pt>
              <c:pt idx="4">
                <c:v>5.3519943600493667E-3</c:v>
              </c:pt>
              <c:pt idx="5">
                <c:v>5.727819716456117E-3</c:v>
              </c:pt>
              <c:pt idx="6">
                <c:v>6.1271143004786397E-3</c:v>
              </c:pt>
              <c:pt idx="7">
                <c:v>6.5510398208286965E-3</c:v>
              </c:pt>
              <c:pt idx="8">
                <c:v>7.0009263189632839E-3</c:v>
              </c:pt>
              <c:pt idx="9">
                <c:v>7.4781674371684767E-3</c:v>
              </c:pt>
              <c:pt idx="10">
                <c:v>7.9842233881256032E-3</c:v>
              </c:pt>
              <c:pt idx="11">
                <c:v>8.5206240973003389E-3</c:v>
              </c:pt>
              <c:pt idx="12">
                <c:v>9.0889725322134893E-3</c:v>
              </c:pt>
              <c:pt idx="13">
                <c:v>9.6909482339747766E-3</c:v>
              </c:pt>
              <c:pt idx="14">
                <c:v>1.032831106791901E-2</c:v>
              </c:pt>
              <c:pt idx="15">
                <c:v>1.1002905211784977E-2</c:v>
              </c:pt>
              <c:pt idx="16">
                <c:v>1.1716663401643478E-2</c:v>
              </c:pt>
              <c:pt idx="17">
                <c:v>1.2471611457725566E-2</c:v>
              </c:pt>
              <c:pt idx="18">
                <c:v>1.3269873114451802E-2</c:v>
              </c:pt>
              <c:pt idx="19">
                <c:v>1.411367518133497E-2</c:v>
              </c:pt>
              <c:pt idx="20">
                <c:v>1.5005353064056037E-2</c:v>
              </c:pt>
              <c:pt idx="21">
                <c:v>1.5947682428253101E-2</c:v>
              </c:pt>
              <c:pt idx="22">
                <c:v>1.6942950000713969E-2</c:v>
              </c:pt>
              <c:pt idx="23">
                <c:v>1.7398330004498919E-2</c:v>
              </c:pt>
            </c:numLit>
          </c:yVal>
          <c:smooth val="1"/>
          <c:extLst>
            <c:ext xmlns:c16="http://schemas.microsoft.com/office/drawing/2014/chart" uri="{C3380CC4-5D6E-409C-BE32-E72D297353CC}">
              <c16:uniqueId val="{00000064-774A-40C1-BD06-DA789AA122DC}"/>
            </c:ext>
          </c:extLst>
        </c:ser>
        <c:ser>
          <c:idx val="73"/>
          <c:order val="73"/>
          <c:tx>
            <c:v>RH=75_Label</c:v>
          </c:tx>
          <c:spPr>
            <a:ln w="3175">
              <a:solidFill>
                <a:srgbClr val="0000FF"/>
              </a:solidFill>
              <a:prstDash val="solid"/>
            </a:ln>
          </c:spPr>
          <c:marker>
            <c:symbol val="none"/>
          </c:marker>
          <c:dLbls>
            <c:dLbl>
              <c:idx val="0"/>
              <c:tx>
                <c:rich>
                  <a:bodyPr rot="-330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75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5-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26.971348751559898</c:v>
              </c:pt>
            </c:numLit>
          </c:xVal>
          <c:yVal>
            <c:numLit>
              <c:formatCode>General</c:formatCode>
              <c:ptCount val="1"/>
              <c:pt idx="0">
                <c:v>1.7672577171771574E-2</c:v>
              </c:pt>
            </c:numLit>
          </c:yVal>
          <c:smooth val="0"/>
          <c:extLst>
            <c:ext xmlns:c16="http://schemas.microsoft.com/office/drawing/2014/chart" uri="{C3380CC4-5D6E-409C-BE32-E72D297353CC}">
              <c16:uniqueId val="{00000066-774A-40C1-BD06-DA789AA122DC}"/>
            </c:ext>
          </c:extLst>
        </c:ser>
        <c:ser>
          <c:idx val="74"/>
          <c:order val="74"/>
          <c:tx>
            <c:v>RH=75_2</c:v>
          </c:tx>
          <c:spPr>
            <a:ln w="3175">
              <a:solidFill>
                <a:srgbClr val="0000FF"/>
              </a:solidFill>
              <a:prstDash val="solid"/>
            </a:ln>
          </c:spPr>
          <c:marker>
            <c:symbol val="none"/>
          </c:marker>
          <c:xVal>
            <c:numLit>
              <c:formatCode>General</c:formatCode>
              <c:ptCount val="16"/>
              <c:pt idx="0">
                <c:v>27.307658238247463</c:v>
              </c:pt>
              <c:pt idx="1">
                <c:v>28.297922010597887</c:v>
              </c:pt>
              <c:pt idx="2">
                <c:v>29.290024378160101</c:v>
              </c:pt>
              <c:pt idx="3">
                <c:v>30.284196891370367</c:v>
              </c:pt>
              <c:pt idx="4">
                <c:v>31.280688957760731</c:v>
              </c:pt>
              <c:pt idx="5">
                <c:v>32.279769020620691</c:v>
              </c:pt>
              <c:pt idx="6">
                <c:v>33.281725824114545</c:v>
              </c:pt>
              <c:pt idx="7">
                <c:v>34.286869773121346</c:v>
              </c:pt>
              <c:pt idx="8">
                <c:v>35.295534397012268</c:v>
              </c:pt>
              <c:pt idx="9">
                <c:v>36.3080779276481</c:v>
              </c:pt>
              <c:pt idx="10">
                <c:v>37.324885003084674</c:v>
              </c:pt>
              <c:pt idx="11">
                <c:v>38.346368509836374</c:v>
              </c:pt>
              <c:pt idx="12">
                <c:v>39.372971297089094</c:v>
              </c:pt>
              <c:pt idx="13">
                <c:v>40.40516277076739</c:v>
              </c:pt>
              <c:pt idx="14">
                <c:v>41.443460412028806</c:v>
              </c:pt>
              <c:pt idx="15">
                <c:v>38.22352920257061</c:v>
              </c:pt>
            </c:numLit>
          </c:xVal>
          <c:yVal>
            <c:numLit>
              <c:formatCode>General</c:formatCode>
              <c:ptCount val="16"/>
              <c:pt idx="0">
                <c:v>1.8037091200106173E-2</c:v>
              </c:pt>
              <c:pt idx="1">
                <c:v>1.9148876952991056E-2</c:v>
              </c:pt>
              <c:pt idx="2">
                <c:v>2.0322243292255012E-2</c:v>
              </c:pt>
              <c:pt idx="3">
                <c:v>2.1560328685217813E-2</c:v>
              </c:pt>
              <c:pt idx="4">
                <c:v>2.2866432828409361E-2</c:v>
              </c:pt>
              <c:pt idx="5">
                <c:v>2.4244026591841397E-2</c:v>
              </c:pt>
              <c:pt idx="6">
                <c:v>2.5696762771875013E-2</c:v>
              </c:pt>
              <c:pt idx="7">
                <c:v>2.7228487732157729E-2</c:v>
              </c:pt>
              <c:pt idx="8">
                <c:v>2.8843254020922502E-2</c:v>
              </c:pt>
              <c:pt idx="9">
                <c:v>3.0545334062874491E-2</c:v>
              </c:pt>
              <c:pt idx="10">
                <c:v>3.2339235035100056E-2</c:v>
              </c:pt>
              <c:pt idx="11">
                <c:v>3.4229715049084494E-2</c:v>
              </c:pt>
              <c:pt idx="12">
                <c:v>3.6221816034480936E-2</c:v>
              </c:pt>
              <c:pt idx="13">
                <c:v>3.8321227715054529E-2</c:v>
              </c:pt>
              <c:pt idx="14">
                <c:v>4.0533232391732191E-2</c:v>
              </c:pt>
              <c:pt idx="15">
                <c:v>3.4000000000000002E-2</c:v>
              </c:pt>
            </c:numLit>
          </c:yVal>
          <c:smooth val="1"/>
          <c:extLst>
            <c:ext xmlns:c16="http://schemas.microsoft.com/office/drawing/2014/chart" uri="{C3380CC4-5D6E-409C-BE32-E72D297353CC}">
              <c16:uniqueId val="{00000067-774A-40C1-BD06-DA789AA122DC}"/>
            </c:ext>
          </c:extLst>
        </c:ser>
        <c:ser>
          <c:idx val="75"/>
          <c:order val="75"/>
          <c:tx>
            <c:v>RH=85_1</c:v>
          </c:tx>
          <c:spPr>
            <a:ln w="3175">
              <a:solidFill>
                <a:srgbClr val="0000FF"/>
              </a:solidFill>
              <a:prstDash val="solid"/>
            </a:ln>
          </c:spPr>
          <c:marker>
            <c:symbol val="none"/>
          </c:marker>
          <c:xVal>
            <c:numLit>
              <c:formatCode>General</c:formatCode>
              <c:ptCount val="22"/>
              <c:pt idx="0">
                <c:v>4.6169474962962767</c:v>
              </c:pt>
              <c:pt idx="1">
                <c:v>5.5983047949352542</c:v>
              </c:pt>
              <c:pt idx="2">
                <c:v>6.5791929641451805</c:v>
              </c:pt>
              <c:pt idx="3">
                <c:v>7.5596375500601978</c:v>
              </c:pt>
              <c:pt idx="4">
                <c:v>8.5396685120445444</c:v>
              </c:pt>
              <c:pt idx="5">
                <c:v>9.5193205659853692</c:v>
              </c:pt>
              <c:pt idx="6">
                <c:v>10.498623446963785</c:v>
              </c:pt>
              <c:pt idx="7">
                <c:v>11.477631731162283</c:v>
              </c:pt>
              <c:pt idx="8">
                <c:v>12.456396645443721</c:v>
              </c:pt>
              <c:pt idx="9">
                <c:v>13.434975756413518</c:v>
              </c:pt>
              <c:pt idx="10">
                <c:v>14.413433423660246</c:v>
              </c:pt>
              <c:pt idx="11">
                <c:v>15.391841279166217</c:v>
              </c:pt>
              <c:pt idx="12">
                <c:v>16.37027873463445</c:v>
              </c:pt>
              <c:pt idx="13">
                <c:v>17.348833518650352</c:v>
              </c:pt>
              <c:pt idx="14">
                <c:v>18.327602245787897</c:v>
              </c:pt>
              <c:pt idx="15">
                <c:v>19.306691019983756</c:v>
              </c:pt>
              <c:pt idx="16">
                <c:v>20.286216074740807</c:v>
              </c:pt>
              <c:pt idx="17">
                <c:v>21.266304452988376</c:v>
              </c:pt>
              <c:pt idx="18">
                <c:v>22.247094729722747</c:v>
              </c:pt>
              <c:pt idx="19">
                <c:v>23.228737780882987</c:v>
              </c:pt>
              <c:pt idx="20">
                <c:v>24.211397602286706</c:v>
              </c:pt>
              <c:pt idx="21">
                <c:v>25.096792770011287</c:v>
              </c:pt>
            </c:numLit>
          </c:xVal>
          <c:yVal>
            <c:numLit>
              <c:formatCode>General</c:formatCode>
              <c:ptCount val="22"/>
              <c:pt idx="0">
                <c:v>4.6039524340017379E-3</c:v>
              </c:pt>
              <c:pt idx="1">
                <c:v>4.9377489772132778E-3</c:v>
              </c:pt>
              <c:pt idx="2">
                <c:v>5.2929717188040567E-3</c:v>
              </c:pt>
              <c:pt idx="3">
                <c:v>5.6708221280010393E-3</c:v>
              </c:pt>
              <c:pt idx="4">
                <c:v>6.0725606724782053E-3</c:v>
              </c:pt>
              <c:pt idx="5">
                <c:v>6.4995095513268536E-3</c:v>
              </c:pt>
              <c:pt idx="6">
                <c:v>6.9531956486687616E-3</c:v>
              </c:pt>
              <c:pt idx="7">
                <c:v>7.4349530058112978E-3</c:v>
              </c:pt>
              <c:pt idx="8">
                <c:v>7.9463088445744789E-3</c:v>
              </c:pt>
              <c:pt idx="9">
                <c:v>8.4888648304659586E-3</c:v>
              </c:pt>
              <c:pt idx="10">
                <c:v>9.06430070349914E-3</c:v>
              </c:pt>
              <c:pt idx="11">
                <c:v>9.6743781334406344E-3</c:v>
              </c:pt>
              <c:pt idx="12">
                <c:v>1.0320944818470866E-2</c:v>
              </c:pt>
              <c:pt idx="13">
                <c:v>1.1005938848080411E-2</c:v>
              </c:pt>
              <c:pt idx="14">
                <c:v>1.1731393353058893E-2</c:v>
              </c:pt>
              <c:pt idx="15">
                <c:v>1.2499441467676403E-2</c:v>
              </c:pt>
              <c:pt idx="16">
                <c:v>1.3312321631641564E-2</c:v>
              </c:pt>
              <c:pt idx="17">
                <c:v>1.4172383262167699E-2</c:v>
              </c:pt>
              <c:pt idx="18">
                <c:v>1.5082092829528373E-2</c:v>
              </c:pt>
              <c:pt idx="19">
                <c:v>1.6044040372864291E-2</c:v>
              </c:pt>
              <c:pt idx="20">
                <c:v>1.7060946496765018E-2</c:v>
              </c:pt>
              <c:pt idx="21">
                <c:v>1.8025843781926617E-2</c:v>
              </c:pt>
            </c:numLit>
          </c:yVal>
          <c:smooth val="1"/>
          <c:extLst>
            <c:ext xmlns:c16="http://schemas.microsoft.com/office/drawing/2014/chart" uri="{C3380CC4-5D6E-409C-BE32-E72D297353CC}">
              <c16:uniqueId val="{00000068-774A-40C1-BD06-DA789AA122DC}"/>
            </c:ext>
          </c:extLst>
        </c:ser>
        <c:ser>
          <c:idx val="76"/>
          <c:order val="76"/>
          <c:tx>
            <c:v>RH=85_Label</c:v>
          </c:tx>
          <c:spPr>
            <a:ln w="3175">
              <a:solidFill>
                <a:srgbClr val="0000FF"/>
              </a:solidFill>
              <a:prstDash val="solid"/>
            </a:ln>
          </c:spPr>
          <c:marker>
            <c:symbol val="none"/>
          </c:marker>
          <c:dLbls>
            <c:dLbl>
              <c:idx val="0"/>
              <c:tx>
                <c:rich>
                  <a:bodyPr rot="-342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85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9-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25.352773263547515</c:v>
              </c:pt>
            </c:numLit>
          </c:xVal>
          <c:yVal>
            <c:numLit>
              <c:formatCode>General</c:formatCode>
              <c:ptCount val="1"/>
              <c:pt idx="0">
                <c:v>1.8313625263206273E-2</c:v>
              </c:pt>
            </c:numLit>
          </c:yVal>
          <c:smooth val="0"/>
          <c:extLst>
            <c:ext xmlns:c16="http://schemas.microsoft.com/office/drawing/2014/chart" uri="{C3380CC4-5D6E-409C-BE32-E72D297353CC}">
              <c16:uniqueId val="{0000006A-774A-40C1-BD06-DA789AA122DC}"/>
            </c:ext>
          </c:extLst>
        </c:ser>
        <c:ser>
          <c:idx val="77"/>
          <c:order val="77"/>
          <c:tx>
            <c:v>RH=85_2</c:v>
          </c:tx>
          <c:spPr>
            <a:ln w="3175">
              <a:solidFill>
                <a:srgbClr val="0000FF"/>
              </a:solidFill>
              <a:prstDash val="solid"/>
            </a:ln>
          </c:spPr>
          <c:marker>
            <c:symbol val="none"/>
          </c:marker>
          <c:xVal>
            <c:numLit>
              <c:formatCode>General</c:formatCode>
              <c:ptCount val="15"/>
              <c:pt idx="0">
                <c:v>25.6876621875757</c:v>
              </c:pt>
              <c:pt idx="1">
                <c:v>26.673658098131735</c:v>
              </c:pt>
              <c:pt idx="2">
                <c:v>27.661360715570094</c:v>
              </c:pt>
              <c:pt idx="3">
                <c:v>28.651004900924384</c:v>
              </c:pt>
              <c:pt idx="4">
                <c:v>29.642844270739275</c:v>
              </c:pt>
              <c:pt idx="5">
                <c:v>30.637152470911296</c:v>
              </c:pt>
              <c:pt idx="6">
                <c:v>31.634224546804546</c:v>
              </c:pt>
              <c:pt idx="7">
                <c:v>32.634378419120495</c:v>
              </c:pt>
              <c:pt idx="8">
                <c:v>33.637956476119065</c:v>
              </c:pt>
              <c:pt idx="9">
                <c:v>34.645327294052166</c:v>
              </c:pt>
              <c:pt idx="10">
                <c:v>35.656887499102659</c:v>
              </c:pt>
              <c:pt idx="11">
                <c:v>36.673063785745285</c:v>
              </c:pt>
              <c:pt idx="12">
                <c:v>37.694315108291399</c:v>
              </c:pt>
              <c:pt idx="13">
                <c:v>38.721135064479967</c:v>
              </c:pt>
              <c:pt idx="14">
                <c:v>35.768432905416319</c:v>
              </c:pt>
            </c:numLit>
          </c:xVal>
          <c:yVal>
            <c:numLit>
              <c:formatCode>General</c:formatCode>
              <c:ptCount val="15"/>
              <c:pt idx="0">
                <c:v>1.8696221443579193E-2</c:v>
              </c:pt>
              <c:pt idx="1">
                <c:v>1.9863798166773625E-2</c:v>
              </c:pt>
              <c:pt idx="2">
                <c:v>2.1097052266478809E-2</c:v>
              </c:pt>
              <c:pt idx="3">
                <c:v>2.239939862759165E-2</c:v>
              </c:pt>
              <c:pt idx="4">
                <c:v>2.377443241346253E-2</c:v>
              </c:pt>
              <c:pt idx="5">
                <c:v>2.5225940548190579E-2</c:v>
              </c:pt>
              <c:pt idx="6">
                <c:v>2.6757914160203695E-2</c:v>
              </c:pt>
              <c:pt idx="7">
                <c:v>2.8374562084222253E-2</c:v>
              </c:pt>
              <c:pt idx="8">
                <c:v>3.008032552980296E-2</c:v>
              </c:pt>
              <c:pt idx="9">
                <c:v>3.1879894037208895E-2</c:v>
              </c:pt>
              <c:pt idx="10">
                <c:v>3.3778222855544576E-2</c:v>
              </c:pt>
              <c:pt idx="11">
                <c:v>3.5780551894204121E-2</c:v>
              </c:pt>
              <c:pt idx="12">
                <c:v>3.7892426416963755E-2</c:v>
              </c:pt>
              <c:pt idx="13">
                <c:v>4.0119719668876355E-2</c:v>
              </c:pt>
              <c:pt idx="14">
                <c:v>3.4000000000000002E-2</c:v>
              </c:pt>
            </c:numLit>
          </c:yVal>
          <c:smooth val="1"/>
          <c:extLst>
            <c:ext xmlns:c16="http://schemas.microsoft.com/office/drawing/2014/chart" uri="{C3380CC4-5D6E-409C-BE32-E72D297353CC}">
              <c16:uniqueId val="{0000006B-774A-40C1-BD06-DA789AA122DC}"/>
            </c:ext>
          </c:extLst>
        </c:ser>
        <c:ser>
          <c:idx val="78"/>
          <c:order val="78"/>
          <c:tx>
            <c:v>RH=95_1</c:v>
          </c:tx>
          <c:spPr>
            <a:ln w="3175">
              <a:solidFill>
                <a:srgbClr val="0000FF"/>
              </a:solidFill>
              <a:prstDash val="solid"/>
            </a:ln>
          </c:spPr>
          <c:marker>
            <c:symbol val="none"/>
          </c:marker>
          <c:xVal>
            <c:numLit>
              <c:formatCode>General</c:formatCode>
              <c:ptCount val="21"/>
              <c:pt idx="0">
                <c:v>4.5715093515445933</c:v>
              </c:pt>
              <c:pt idx="1">
                <c:v>5.5506268337490203</c:v>
              </c:pt>
              <c:pt idx="2">
                <c:v>6.5292149220548952</c:v>
              </c:pt>
              <c:pt idx="3">
                <c:v>7.5073017191507443</c:v>
              </c:pt>
              <c:pt idx="4">
                <c:v>8.4849202352887367</c:v>
              </c:pt>
              <c:pt idx="5">
                <c:v>9.4621087729948794</c:v>
              </c:pt>
              <c:pt idx="6">
                <c:v>10.438900016018483</c:v>
              </c:pt>
              <c:pt idx="7">
                <c:v>11.415354444379318</c:v>
              </c:pt>
              <c:pt idx="8">
                <c:v>12.391528753926261</c:v>
              </c:pt>
              <c:pt idx="9">
                <c:v>13.36748671310745</c:v>
              </c:pt>
              <c:pt idx="10">
                <c:v>14.343299674632375</c:v>
              </c:pt>
              <c:pt idx="11">
                <c:v>15.319047117663203</c:v>
              </c:pt>
              <c:pt idx="12">
                <c:v>16.294817222695624</c:v>
              </c:pt>
              <c:pt idx="13">
                <c:v>17.270707481510758</c:v>
              </c:pt>
              <c:pt idx="14">
                <c:v>18.246825344826785</c:v>
              </c:pt>
              <c:pt idx="15">
                <c:v>19.223288910555173</c:v>
              </c:pt>
              <c:pt idx="16">
                <c:v>20.20022765587548</c:v>
              </c:pt>
              <c:pt idx="17">
                <c:v>21.177783216688368</c:v>
              </c:pt>
              <c:pt idx="18">
                <c:v>22.156110218393444</c:v>
              </c:pt>
              <c:pt idx="19">
                <c:v>23.135377162372347</c:v>
              </c:pt>
              <c:pt idx="20">
                <c:v>23.65483180251206</c:v>
              </c:pt>
            </c:numLit>
          </c:xVal>
          <c:yVal>
            <c:numLit>
              <c:formatCode>General</c:formatCode>
              <c:ptCount val="21"/>
              <c:pt idx="0">
                <c:v>5.1500787616026219E-3</c:v>
              </c:pt>
              <c:pt idx="1">
                <c:v>5.5238197122248938E-3</c:v>
              </c:pt>
              <c:pt idx="2">
                <c:v>5.9216027558486456E-3</c:v>
              </c:pt>
              <c:pt idx="3">
                <c:v>6.3447832889701929E-3</c:v>
              </c:pt>
              <c:pt idx="4">
                <c:v>6.7947842027213596E-3</c:v>
              </c:pt>
              <c:pt idx="5">
                <c:v>7.2730991178380543E-3</c:v>
              </c:pt>
              <c:pt idx="6">
                <c:v>7.781452769305296E-3</c:v>
              </c:pt>
              <c:pt idx="7">
                <c:v>8.3213558142954808E-3</c:v>
              </c:pt>
              <c:pt idx="8">
                <c:v>8.8945375406884828E-3</c:v>
              </c:pt>
              <c:pt idx="9">
                <c:v>9.5028131214741039E-3</c:v>
              </c:pt>
              <c:pt idx="10">
                <c:v>1.0148087977263168E-2</c:v>
              </c:pt>
              <c:pt idx="11">
                <c:v>1.0832362423004708E-2</c:v>
              </c:pt>
              <c:pt idx="12">
                <c:v>1.1557736623789566E-2</c:v>
              </c:pt>
              <c:pt idx="13">
                <c:v>1.2326415887099727E-2</c:v>
              </c:pt>
              <c:pt idx="14">
                <c:v>1.3140716321613845E-2</c:v>
              </c:pt>
              <c:pt idx="15">
                <c:v>1.4003070895725766E-2</c:v>
              </c:pt>
              <c:pt idx="16">
                <c:v>1.4916035932318635E-2</c:v>
              </c:pt>
              <c:pt idx="17">
                <c:v>1.5882298080097952E-2</c:v>
              </c:pt>
              <c:pt idx="18">
                <c:v>1.6904681805977675E-2</c:v>
              </c:pt>
              <c:pt idx="19">
                <c:v>1.7986157457680306E-2</c:v>
              </c:pt>
              <c:pt idx="20">
                <c:v>1.8584360404457909E-2</c:v>
              </c:pt>
            </c:numLit>
          </c:yVal>
          <c:smooth val="1"/>
          <c:extLst>
            <c:ext xmlns:c16="http://schemas.microsoft.com/office/drawing/2014/chart" uri="{C3380CC4-5D6E-409C-BE32-E72D297353CC}">
              <c16:uniqueId val="{0000006C-774A-40C1-BD06-DA789AA122DC}"/>
            </c:ext>
          </c:extLst>
        </c:ser>
        <c:ser>
          <c:idx val="79"/>
          <c:order val="79"/>
          <c:tx>
            <c:v>RH=95_Label</c:v>
          </c:tx>
          <c:spPr>
            <a:ln w="3175">
              <a:solidFill>
                <a:srgbClr val="0000FF"/>
              </a:solidFill>
              <a:prstDash val="solid"/>
            </a:ln>
          </c:spPr>
          <c:marker>
            <c:symbol val="none"/>
          </c:marker>
          <c:dLbls>
            <c:dLbl>
              <c:idx val="0"/>
              <c:tx>
                <c:rich>
                  <a:bodyPr rot="-348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95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D-774A-40C1-BD06-DA789AA12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23.899975266563242</c:v>
              </c:pt>
            </c:numLit>
          </c:xVal>
          <c:yVal>
            <c:numLit>
              <c:formatCode>General</c:formatCode>
              <c:ptCount val="1"/>
              <c:pt idx="0">
                <c:v>1.887273459870089E-2</c:v>
              </c:pt>
            </c:numLit>
          </c:yVal>
          <c:smooth val="0"/>
          <c:extLst>
            <c:ext xmlns:c16="http://schemas.microsoft.com/office/drawing/2014/chart" uri="{C3380CC4-5D6E-409C-BE32-E72D297353CC}">
              <c16:uniqueId val="{0000006E-774A-40C1-BD06-DA789AA122DC}"/>
            </c:ext>
          </c:extLst>
        </c:ser>
        <c:ser>
          <c:idx val="80"/>
          <c:order val="80"/>
          <c:tx>
            <c:v>RH=95_2</c:v>
          </c:tx>
          <c:spPr>
            <a:ln w="3175">
              <a:solidFill>
                <a:srgbClr val="0000FF"/>
              </a:solidFill>
              <a:prstDash val="solid"/>
            </a:ln>
          </c:spPr>
          <c:marker>
            <c:symbol val="none"/>
          </c:marker>
          <c:xVal>
            <c:numLit>
              <c:formatCode>General</c:formatCode>
              <c:ptCount val="15"/>
              <c:pt idx="0">
                <c:v>24.243308436413216</c:v>
              </c:pt>
              <c:pt idx="1">
                <c:v>25.225189821207071</c:v>
              </c:pt>
              <c:pt idx="2">
                <c:v>26.208638356334774</c:v>
              </c:pt>
              <c:pt idx="3">
                <c:v>27.193890751050116</c:v>
              </c:pt>
              <c:pt idx="4">
                <c:v>28.181203240062626</c:v>
              </c:pt>
              <c:pt idx="5">
                <c:v>29.170852943546347</c:v>
              </c:pt>
              <c:pt idx="6">
                <c:v>30.163139332641901</c:v>
              </c:pt>
              <c:pt idx="7">
                <c:v>31.158385811108786</c:v>
              </c:pt>
              <c:pt idx="8">
                <c:v>32.156941425074045</c:v>
              </c:pt>
              <c:pt idx="9">
                <c:v>33.159182714285301</c:v>
              </c:pt>
              <c:pt idx="10">
                <c:v>34.165515719936757</c:v>
              </c:pt>
              <c:pt idx="11">
                <c:v>35.176378166027028</c:v>
              </c:pt>
              <c:pt idx="12">
                <c:v>36.192241833362694</c:v>
              </c:pt>
              <c:pt idx="13">
                <c:v>37.213615147782654</c:v>
              </c:pt>
              <c:pt idx="14">
                <c:v>33.621562011400414</c:v>
              </c:pt>
            </c:numLit>
          </c:xVal>
          <c:yVal>
            <c:numLit>
              <c:formatCode>General</c:formatCode>
              <c:ptCount val="15"/>
              <c:pt idx="0">
                <c:v>1.9283320859184057E-2</c:v>
              </c:pt>
              <c:pt idx="1">
                <c:v>2.0501710426676936E-2</c:v>
              </c:pt>
              <c:pt idx="2">
                <c:v>2.1789587089421334E-2</c:v>
              </c:pt>
              <c:pt idx="3">
                <c:v>2.3150628701456469E-2</c:v>
              </c:pt>
              <c:pt idx="4">
                <c:v>2.4588712008722775E-2</c:v>
              </c:pt>
              <c:pt idx="5">
                <c:v>2.6107925677992385E-2</c:v>
              </c:pt>
              <c:pt idx="6">
                <c:v>2.7712584444850481E-2</c:v>
              </c:pt>
              <c:pt idx="7">
                <c:v>2.9407244496529976E-2</c:v>
              </c:pt>
              <c:pt idx="8">
                <c:v>3.1196720218989966E-2</c:v>
              </c:pt>
              <c:pt idx="9">
                <c:v>3.3086102453028524E-2</c:v>
              </c:pt>
              <c:pt idx="10">
                <c:v>3.5080778421720527E-2</c:v>
              </c:pt>
              <c:pt idx="11">
                <c:v>3.7186453511361871E-2</c:v>
              </c:pt>
              <c:pt idx="12">
                <c:v>3.9409175110790888E-2</c:v>
              </c:pt>
              <c:pt idx="13">
                <c:v>4.1755358739872586E-2</c:v>
              </c:pt>
              <c:pt idx="14">
                <c:v>3.4000000000000002E-2</c:v>
              </c:pt>
            </c:numLit>
          </c:yVal>
          <c:smooth val="1"/>
          <c:extLst>
            <c:ext xmlns:c16="http://schemas.microsoft.com/office/drawing/2014/chart" uri="{C3380CC4-5D6E-409C-BE32-E72D297353CC}">
              <c16:uniqueId val="{0000006F-774A-40C1-BD06-DA789AA122DC}"/>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C07B-4F20-9308-384FC76246E3}"/>
            </c:ext>
          </c:extLst>
        </c:ser>
        <c:ser>
          <c:idx val="1"/>
          <c:order val="1"/>
          <c:tx>
            <c:v>t=-10</c:v>
          </c:tx>
          <c:spPr>
            <a:ln w="3175">
              <a:solidFill>
                <a:srgbClr val="3366FF"/>
              </a:solidFill>
              <a:prstDash val="solid"/>
            </a:ln>
          </c:spPr>
          <c:marker>
            <c:symbol val="none"/>
          </c:marker>
          <c:dLbls>
            <c:dLbl>
              <c:idx val="0"/>
              <c:layout>
                <c:manualLayout>
                  <c:x val="-1.8663194444444444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c:v>
              </c:pt>
              <c:pt idx="1">
                <c:v>-10.178169782224485</c:v>
              </c:pt>
            </c:numLit>
          </c:xVal>
          <c:yVal>
            <c:numLit>
              <c:formatCode>General</c:formatCode>
              <c:ptCount val="2"/>
              <c:pt idx="0">
                <c:v>0</c:v>
              </c:pt>
              <c:pt idx="1">
                <c:v>1.6060824455002901E-3</c:v>
              </c:pt>
            </c:numLit>
          </c:yVal>
          <c:smooth val="0"/>
          <c:extLst>
            <c:ext xmlns:c16="http://schemas.microsoft.com/office/drawing/2014/chart" uri="{C3380CC4-5D6E-409C-BE32-E72D297353CC}">
              <c16:uniqueId val="{00000002-C07B-4F20-9308-384FC76246E3}"/>
            </c:ext>
          </c:extLst>
        </c:ser>
        <c:ser>
          <c:idx val="2"/>
          <c:order val="2"/>
          <c:tx>
            <c:v>t=-9</c:v>
          </c:tx>
          <c:spPr>
            <a:ln w="3175">
              <a:solidFill>
                <a:srgbClr val="3366FF"/>
              </a:solidFill>
              <a:prstDash val="solid"/>
            </a:ln>
          </c:spPr>
          <c:marker>
            <c:symbol val="none"/>
          </c:marker>
          <c:xVal>
            <c:numLit>
              <c:formatCode>General</c:formatCode>
              <c:ptCount val="2"/>
              <c:pt idx="0">
                <c:v>-9</c:v>
              </c:pt>
              <c:pt idx="1">
                <c:v>-9.1914446576012097</c:v>
              </c:pt>
            </c:numLit>
          </c:xVal>
          <c:yVal>
            <c:numLit>
              <c:formatCode>General</c:formatCode>
              <c:ptCount val="2"/>
              <c:pt idx="0">
                <c:v>0</c:v>
              </c:pt>
              <c:pt idx="1">
                <c:v>1.754996587815E-3</c:v>
              </c:pt>
            </c:numLit>
          </c:yVal>
          <c:smooth val="0"/>
          <c:extLst>
            <c:ext xmlns:c16="http://schemas.microsoft.com/office/drawing/2014/chart" uri="{C3380CC4-5D6E-409C-BE32-E72D297353CC}">
              <c16:uniqueId val="{00000003-C07B-4F20-9308-384FC76246E3}"/>
            </c:ext>
          </c:extLst>
        </c:ser>
        <c:ser>
          <c:idx val="3"/>
          <c:order val="3"/>
          <c:tx>
            <c:v>t=-8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c:v>
              </c:pt>
              <c:pt idx="1">
                <c:v>-8.2055155451094635</c:v>
              </c:pt>
            </c:numLit>
          </c:xVal>
          <c:yVal>
            <c:numLit>
              <c:formatCode>General</c:formatCode>
              <c:ptCount val="2"/>
              <c:pt idx="0">
                <c:v>0</c:v>
              </c:pt>
              <c:pt idx="1">
                <c:v>1.9164686538757701E-3</c:v>
              </c:pt>
            </c:numLit>
          </c:yVal>
          <c:smooth val="0"/>
          <c:extLst>
            <c:ext xmlns:c16="http://schemas.microsoft.com/office/drawing/2014/chart" uri="{C3380CC4-5D6E-409C-BE32-E72D297353CC}">
              <c16:uniqueId val="{00000005-C07B-4F20-9308-384FC76246E3}"/>
            </c:ext>
          </c:extLst>
        </c:ser>
        <c:ser>
          <c:idx val="4"/>
          <c:order val="4"/>
          <c:tx>
            <c:v>t=-7</c:v>
          </c:tx>
          <c:spPr>
            <a:ln w="3175">
              <a:solidFill>
                <a:srgbClr val="3366FF"/>
              </a:solidFill>
              <a:prstDash val="solid"/>
            </a:ln>
          </c:spPr>
          <c:marker>
            <c:symbol val="none"/>
          </c:marker>
          <c:xVal>
            <c:numLit>
              <c:formatCode>General</c:formatCode>
              <c:ptCount val="2"/>
              <c:pt idx="0">
                <c:v>-7</c:v>
              </c:pt>
              <c:pt idx="1">
                <c:v>-7.22041332968442</c:v>
              </c:pt>
            </c:numLit>
          </c:xVal>
          <c:yVal>
            <c:numLit>
              <c:formatCode>General</c:formatCode>
              <c:ptCount val="2"/>
              <c:pt idx="0">
                <c:v>0</c:v>
              </c:pt>
              <c:pt idx="1">
                <c:v>2.0914526472602E-3</c:v>
              </c:pt>
            </c:numLit>
          </c:yVal>
          <c:smooth val="0"/>
          <c:extLst>
            <c:ext xmlns:c16="http://schemas.microsoft.com/office/drawing/2014/chart" uri="{C3380CC4-5D6E-409C-BE32-E72D297353CC}">
              <c16:uniqueId val="{00000006-C07B-4F20-9308-384FC76246E3}"/>
            </c:ext>
          </c:extLst>
        </c:ser>
        <c:ser>
          <c:idx val="5"/>
          <c:order val="5"/>
          <c:tx>
            <c:v>t=-6</c:v>
          </c:tx>
          <c:spPr>
            <a:ln w="3175">
              <a:solidFill>
                <a:srgbClr val="3366FF"/>
              </a:solidFill>
              <a:prstDash val="solid"/>
            </a:ln>
          </c:spPr>
          <c:marker>
            <c:symbol val="none"/>
          </c:marker>
          <c:dLbls>
            <c:dLbl>
              <c:idx val="0"/>
              <c:layout>
                <c:manualLayout>
                  <c:x val="-1.5625000000000017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c:v>
              </c:pt>
              <c:pt idx="1">
                <c:v>-6.2361685593886991</c:v>
              </c:pt>
            </c:numLit>
          </c:xVal>
          <c:yVal>
            <c:numLit>
              <c:formatCode>General</c:formatCode>
              <c:ptCount val="2"/>
              <c:pt idx="0">
                <c:v>0</c:v>
              </c:pt>
              <c:pt idx="1">
                <c:v>2.28096746106981E-3</c:v>
              </c:pt>
            </c:numLit>
          </c:yVal>
          <c:smooth val="0"/>
          <c:extLst>
            <c:ext xmlns:c16="http://schemas.microsoft.com/office/drawing/2014/chart" uri="{C3380CC4-5D6E-409C-BE32-E72D297353CC}">
              <c16:uniqueId val="{00000008-C07B-4F20-9308-384FC76246E3}"/>
            </c:ext>
          </c:extLst>
        </c:ser>
        <c:ser>
          <c:idx val="6"/>
          <c:order val="6"/>
          <c:tx>
            <c:v>t=-5</c:v>
          </c:tx>
          <c:spPr>
            <a:ln w="3175">
              <a:solidFill>
                <a:srgbClr val="3366FF"/>
              </a:solidFill>
              <a:prstDash val="solid"/>
            </a:ln>
          </c:spPr>
          <c:marker>
            <c:symbol val="none"/>
          </c:marker>
          <c:xVal>
            <c:numLit>
              <c:formatCode>General</c:formatCode>
              <c:ptCount val="2"/>
              <c:pt idx="0">
                <c:v>-5</c:v>
              </c:pt>
              <c:pt idx="1">
                <c:v>-5.2528112525852375</c:v>
              </c:pt>
            </c:numLit>
          </c:xVal>
          <c:yVal>
            <c:numLit>
              <c:formatCode>General</c:formatCode>
              <c:ptCount val="2"/>
              <c:pt idx="0">
                <c:v>0</c:v>
              </c:pt>
              <c:pt idx="1">
                <c:v>2.4861008807502299E-3</c:v>
              </c:pt>
            </c:numLit>
          </c:yVal>
          <c:smooth val="0"/>
          <c:extLst>
            <c:ext xmlns:c16="http://schemas.microsoft.com/office/drawing/2014/chart" uri="{C3380CC4-5D6E-409C-BE32-E72D297353CC}">
              <c16:uniqueId val="{00000009-C07B-4F20-9308-384FC76246E3}"/>
            </c:ext>
          </c:extLst>
        </c:ser>
        <c:ser>
          <c:idx val="7"/>
          <c:order val="7"/>
          <c:tx>
            <c:v>t=-4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c:v>
              </c:pt>
              <c:pt idx="1">
                <c:v>-4.2703706848883494</c:v>
              </c:pt>
            </c:numLit>
          </c:xVal>
          <c:yVal>
            <c:numLit>
              <c:formatCode>General</c:formatCode>
              <c:ptCount val="2"/>
              <c:pt idx="0">
                <c:v>0</c:v>
              </c:pt>
              <c:pt idx="1">
                <c:v>2.7080138291286299E-3</c:v>
              </c:pt>
            </c:numLit>
          </c:yVal>
          <c:smooth val="0"/>
          <c:extLst>
            <c:ext xmlns:c16="http://schemas.microsoft.com/office/drawing/2014/chart" uri="{C3380CC4-5D6E-409C-BE32-E72D297353CC}">
              <c16:uniqueId val="{0000000B-C07B-4F20-9308-384FC76246E3}"/>
            </c:ext>
          </c:extLst>
        </c:ser>
        <c:ser>
          <c:idx val="8"/>
          <c:order val="8"/>
          <c:tx>
            <c:v>t=-3</c:v>
          </c:tx>
          <c:spPr>
            <a:ln w="3175">
              <a:solidFill>
                <a:srgbClr val="3366FF"/>
              </a:solidFill>
              <a:prstDash val="solid"/>
            </a:ln>
          </c:spPr>
          <c:marker>
            <c:symbol val="none"/>
          </c:marker>
          <c:xVal>
            <c:numLit>
              <c:formatCode>General</c:formatCode>
              <c:ptCount val="2"/>
              <c:pt idx="0">
                <c:v>-3</c:v>
              </c:pt>
              <c:pt idx="1">
                <c:v>-3.2888751544738284</c:v>
              </c:pt>
            </c:numLit>
          </c:xVal>
          <c:yVal>
            <c:numLit>
              <c:formatCode>General</c:formatCode>
              <c:ptCount val="2"/>
              <c:pt idx="0">
                <c:v>0</c:v>
              </c:pt>
              <c:pt idx="1">
                <c:v>2.9479448711774302E-3</c:v>
              </c:pt>
            </c:numLit>
          </c:yVal>
          <c:smooth val="0"/>
          <c:extLst>
            <c:ext xmlns:c16="http://schemas.microsoft.com/office/drawing/2014/chart" uri="{C3380CC4-5D6E-409C-BE32-E72D297353CC}">
              <c16:uniqueId val="{0000000C-C07B-4F20-9308-384FC76246E3}"/>
            </c:ext>
          </c:extLst>
        </c:ser>
        <c:ser>
          <c:idx val="9"/>
          <c:order val="9"/>
          <c:tx>
            <c:v>t=-2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c:v>
              </c:pt>
              <c:pt idx="1">
                <c:v>-2.3083517242375033</c:v>
              </c:pt>
            </c:numLit>
          </c:xVal>
          <c:yVal>
            <c:numLit>
              <c:formatCode>General</c:formatCode>
              <c:ptCount val="2"/>
              <c:pt idx="0">
                <c:v>0</c:v>
              </c:pt>
              <c:pt idx="1">
                <c:v>3.2072149977556701E-3</c:v>
              </c:pt>
            </c:numLit>
          </c:yVal>
          <c:smooth val="0"/>
          <c:extLst>
            <c:ext xmlns:c16="http://schemas.microsoft.com/office/drawing/2014/chart" uri="{C3380CC4-5D6E-409C-BE32-E72D297353CC}">
              <c16:uniqueId val="{0000000E-C07B-4F20-9308-384FC76246E3}"/>
            </c:ext>
          </c:extLst>
        </c:ser>
        <c:ser>
          <c:idx val="10"/>
          <c:order val="10"/>
          <c:tx>
            <c:v>t=-1</c:v>
          </c:tx>
          <c:spPr>
            <a:ln w="3175">
              <a:solidFill>
                <a:srgbClr val="3366FF"/>
              </a:solidFill>
              <a:prstDash val="solid"/>
            </a:ln>
          </c:spPr>
          <c:marker>
            <c:symbol val="none"/>
          </c:marker>
          <c:xVal>
            <c:numLit>
              <c:formatCode>General</c:formatCode>
              <c:ptCount val="2"/>
              <c:pt idx="0">
                <c:v>-1</c:v>
              </c:pt>
              <c:pt idx="1">
                <c:v>-1.3288259391909205</c:v>
              </c:pt>
            </c:numLit>
          </c:xVal>
          <c:yVal>
            <c:numLit>
              <c:formatCode>General</c:formatCode>
              <c:ptCount val="2"/>
              <c:pt idx="0">
                <c:v>0</c:v>
              </c:pt>
              <c:pt idx="1">
                <c:v>3.4872327095305301E-3</c:v>
              </c:pt>
            </c:numLit>
          </c:yVal>
          <c:smooth val="0"/>
          <c:extLst>
            <c:ext xmlns:c16="http://schemas.microsoft.com/office/drawing/2014/chart" uri="{C3380CC4-5D6E-409C-BE32-E72D297353CC}">
              <c16:uniqueId val="{0000000F-C07B-4F20-9308-384FC76246E3}"/>
            </c:ext>
          </c:extLst>
        </c:ser>
        <c:ser>
          <c:idx val="11"/>
          <c:order val="11"/>
          <c:tx>
            <c:v>t=0</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c:v>
              </c:pt>
              <c:pt idx="1">
                <c:v>-0.35032151737137107</c:v>
              </c:pt>
            </c:numLit>
          </c:xVal>
          <c:yVal>
            <c:numLit>
              <c:formatCode>General</c:formatCode>
              <c:ptCount val="2"/>
              <c:pt idx="0">
                <c:v>0</c:v>
              </c:pt>
              <c:pt idx="1">
                <c:v>3.7894994244688099E-3</c:v>
              </c:pt>
            </c:numLit>
          </c:yVal>
          <c:smooth val="0"/>
          <c:extLst>
            <c:ext xmlns:c16="http://schemas.microsoft.com/office/drawing/2014/chart" uri="{C3380CC4-5D6E-409C-BE32-E72D297353CC}">
              <c16:uniqueId val="{00000011-C07B-4F20-9308-384FC76246E3}"/>
            </c:ext>
          </c:extLst>
        </c:ser>
        <c:ser>
          <c:idx val="12"/>
          <c:order val="12"/>
          <c:tx>
            <c:v>t=1</c:v>
          </c:tx>
          <c:spPr>
            <a:ln w="3175">
              <a:solidFill>
                <a:srgbClr val="3366FF"/>
              </a:solidFill>
              <a:prstDash val="solid"/>
            </a:ln>
          </c:spPr>
          <c:marker>
            <c:symbol val="none"/>
          </c:marker>
          <c:xVal>
            <c:numLit>
              <c:formatCode>General</c:formatCode>
              <c:ptCount val="2"/>
              <c:pt idx="0">
                <c:v>1</c:v>
              </c:pt>
              <c:pt idx="1">
                <c:v>0.63072878902048046</c:v>
              </c:pt>
            </c:numLit>
          </c:xVal>
          <c:yVal>
            <c:numLit>
              <c:formatCode>General</c:formatCode>
              <c:ptCount val="2"/>
              <c:pt idx="0">
                <c:v>0</c:v>
              </c:pt>
              <c:pt idx="1">
                <c:v>4.0760021751744197E-3</c:v>
              </c:pt>
            </c:numLit>
          </c:yVal>
          <c:smooth val="0"/>
          <c:extLst>
            <c:ext xmlns:c16="http://schemas.microsoft.com/office/drawing/2014/chart" uri="{C3380CC4-5D6E-409C-BE32-E72D297353CC}">
              <c16:uniqueId val="{00000012-C07B-4F20-9308-384FC76246E3}"/>
            </c:ext>
          </c:extLst>
        </c:ser>
        <c:ser>
          <c:idx val="13"/>
          <c:order val="13"/>
          <c:tx>
            <c:v>t=2</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c:v>
              </c:pt>
              <c:pt idx="1">
                <c:v>1.6111719572746133</c:v>
              </c:pt>
            </c:numLit>
          </c:xVal>
          <c:yVal>
            <c:numLit>
              <c:formatCode>General</c:formatCode>
              <c:ptCount val="2"/>
              <c:pt idx="0">
                <c:v>0</c:v>
              </c:pt>
              <c:pt idx="1">
                <c:v>4.3812837251538898E-3</c:v>
              </c:pt>
            </c:numLit>
          </c:yVal>
          <c:smooth val="0"/>
          <c:extLst>
            <c:ext xmlns:c16="http://schemas.microsoft.com/office/drawing/2014/chart" uri="{C3380CC4-5D6E-409C-BE32-E72D297353CC}">
              <c16:uniqueId val="{00000014-C07B-4F20-9308-384FC76246E3}"/>
            </c:ext>
          </c:extLst>
        </c:ser>
        <c:ser>
          <c:idx val="14"/>
          <c:order val="14"/>
          <c:tx>
            <c:v>t=3</c:v>
          </c:tx>
          <c:spPr>
            <a:ln w="3175">
              <a:solidFill>
                <a:srgbClr val="3366FF"/>
              </a:solidFill>
              <a:prstDash val="solid"/>
            </a:ln>
          </c:spPr>
          <c:marker>
            <c:symbol val="none"/>
          </c:marker>
          <c:xVal>
            <c:numLit>
              <c:formatCode>General</c:formatCode>
              <c:ptCount val="2"/>
              <c:pt idx="0">
                <c:v>3</c:v>
              </c:pt>
              <c:pt idx="1">
                <c:v>2.5909827527240186</c:v>
              </c:pt>
            </c:numLit>
          </c:xVal>
          <c:yVal>
            <c:numLit>
              <c:formatCode>General</c:formatCode>
              <c:ptCount val="2"/>
              <c:pt idx="0">
                <c:v>0</c:v>
              </c:pt>
              <c:pt idx="1">
                <c:v>4.7068331132422503E-3</c:v>
              </c:pt>
            </c:numLit>
          </c:yVal>
          <c:smooth val="0"/>
          <c:extLst>
            <c:ext xmlns:c16="http://schemas.microsoft.com/office/drawing/2014/chart" uri="{C3380CC4-5D6E-409C-BE32-E72D297353CC}">
              <c16:uniqueId val="{00000015-C07B-4F20-9308-384FC76246E3}"/>
            </c:ext>
          </c:extLst>
        </c:ser>
        <c:ser>
          <c:idx val="15"/>
          <c:order val="15"/>
          <c:tx>
            <c:v>t=4</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6-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c:v>
              </c:pt>
              <c:pt idx="1">
                <c:v>3.5701735744985212</c:v>
              </c:pt>
            </c:numLit>
          </c:xVal>
          <c:yVal>
            <c:numLit>
              <c:formatCode>General</c:formatCode>
              <c:ptCount val="2"/>
              <c:pt idx="0">
                <c:v>0</c:v>
              </c:pt>
              <c:pt idx="1">
                <c:v>5.0538263680982602E-3</c:v>
              </c:pt>
            </c:numLit>
          </c:yVal>
          <c:smooth val="0"/>
          <c:extLst>
            <c:ext xmlns:c16="http://schemas.microsoft.com/office/drawing/2014/chart" uri="{C3380CC4-5D6E-409C-BE32-E72D297353CC}">
              <c16:uniqueId val="{00000017-C07B-4F20-9308-384FC76246E3}"/>
            </c:ext>
          </c:extLst>
        </c:ser>
        <c:ser>
          <c:idx val="16"/>
          <c:order val="16"/>
          <c:tx>
            <c:v>t=5</c:v>
          </c:tx>
          <c:spPr>
            <a:ln w="3175">
              <a:solidFill>
                <a:srgbClr val="3366FF"/>
              </a:solidFill>
              <a:prstDash val="solid"/>
            </a:ln>
          </c:spPr>
          <c:marker>
            <c:symbol val="none"/>
          </c:marker>
          <c:xVal>
            <c:numLit>
              <c:formatCode>General</c:formatCode>
              <c:ptCount val="2"/>
              <c:pt idx="0">
                <c:v>5</c:v>
              </c:pt>
              <c:pt idx="1">
                <c:v>4.5487605635344499</c:v>
              </c:pt>
            </c:numLit>
          </c:xVal>
          <c:yVal>
            <c:numLit>
              <c:formatCode>General</c:formatCode>
              <c:ptCount val="2"/>
              <c:pt idx="0">
                <c:v>0</c:v>
              </c:pt>
              <c:pt idx="1">
                <c:v>5.4234990810554801E-3</c:v>
              </c:pt>
            </c:numLit>
          </c:yVal>
          <c:smooth val="0"/>
          <c:extLst>
            <c:ext xmlns:c16="http://schemas.microsoft.com/office/drawing/2014/chart" uri="{C3380CC4-5D6E-409C-BE32-E72D297353CC}">
              <c16:uniqueId val="{00000018-C07B-4F20-9308-384FC76246E3}"/>
            </c:ext>
          </c:extLst>
        </c:ser>
        <c:ser>
          <c:idx val="17"/>
          <c:order val="17"/>
          <c:tx>
            <c:v>t=6</c:v>
          </c:tx>
          <c:spPr>
            <a:ln w="3175">
              <a:solidFill>
                <a:srgbClr val="3366FF"/>
              </a:solidFill>
              <a:prstDash val="solid"/>
            </a:ln>
          </c:spPr>
          <c:marker>
            <c:symbol val="none"/>
          </c:marker>
          <c:dLbls>
            <c:dLbl>
              <c:idx val="0"/>
              <c:layout>
                <c:manualLayout>
                  <c:x val="-1.2586805555555587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9-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c:v>
              </c:pt>
              <c:pt idx="1">
                <c:v>5.5267544089063207</c:v>
              </c:pt>
            </c:numLit>
          </c:xVal>
          <c:yVal>
            <c:numLit>
              <c:formatCode>General</c:formatCode>
              <c:ptCount val="2"/>
              <c:pt idx="0">
                <c:v>0</c:v>
              </c:pt>
              <c:pt idx="1">
                <c:v>5.8172661857312001E-3</c:v>
              </c:pt>
            </c:numLit>
          </c:yVal>
          <c:smooth val="0"/>
          <c:extLst>
            <c:ext xmlns:c16="http://schemas.microsoft.com/office/drawing/2014/chart" uri="{C3380CC4-5D6E-409C-BE32-E72D297353CC}">
              <c16:uniqueId val="{0000001A-C07B-4F20-9308-384FC76246E3}"/>
            </c:ext>
          </c:extLst>
        </c:ser>
        <c:ser>
          <c:idx val="18"/>
          <c:order val="18"/>
          <c:tx>
            <c:v>t=7</c:v>
          </c:tx>
          <c:spPr>
            <a:ln w="3175">
              <a:solidFill>
                <a:srgbClr val="3366FF"/>
              </a:solidFill>
              <a:prstDash val="solid"/>
            </a:ln>
          </c:spPr>
          <c:marker>
            <c:symbol val="none"/>
          </c:marker>
          <c:xVal>
            <c:numLit>
              <c:formatCode>General</c:formatCode>
              <c:ptCount val="2"/>
              <c:pt idx="0">
                <c:v>7</c:v>
              </c:pt>
              <c:pt idx="1">
                <c:v>6.5041883174927406</c:v>
              </c:pt>
            </c:numLit>
          </c:xVal>
          <c:yVal>
            <c:numLit>
              <c:formatCode>General</c:formatCode>
              <c:ptCount val="2"/>
              <c:pt idx="0">
                <c:v>0</c:v>
              </c:pt>
              <c:pt idx="1">
                <c:v>6.2363910052801001E-3</c:v>
              </c:pt>
            </c:numLit>
          </c:yVal>
          <c:smooth val="0"/>
          <c:extLst>
            <c:ext xmlns:c16="http://schemas.microsoft.com/office/drawing/2014/chart" uri="{C3380CC4-5D6E-409C-BE32-E72D297353CC}">
              <c16:uniqueId val="{0000001B-C07B-4F20-9308-384FC76246E3}"/>
            </c:ext>
          </c:extLst>
        </c:ser>
        <c:ser>
          <c:idx val="19"/>
          <c:order val="19"/>
          <c:tx>
            <c:v>t=8</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C-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c:v>
              </c:pt>
              <c:pt idx="1">
                <c:v>7.481091633037142</c:v>
              </c:pt>
            </c:numLit>
          </c:xVal>
          <c:yVal>
            <c:numLit>
              <c:formatCode>General</c:formatCode>
              <c:ptCount val="2"/>
              <c:pt idx="0">
                <c:v>0</c:v>
              </c:pt>
              <c:pt idx="1">
                <c:v>6.68230692735069E-3</c:v>
              </c:pt>
            </c:numLit>
          </c:yVal>
          <c:smooth val="0"/>
          <c:extLst>
            <c:ext xmlns:c16="http://schemas.microsoft.com/office/drawing/2014/chart" uri="{C3380CC4-5D6E-409C-BE32-E72D297353CC}">
              <c16:uniqueId val="{0000001D-C07B-4F20-9308-384FC76246E3}"/>
            </c:ext>
          </c:extLst>
        </c:ser>
        <c:ser>
          <c:idx val="20"/>
          <c:order val="20"/>
          <c:tx>
            <c:v>t=9</c:v>
          </c:tx>
          <c:spPr>
            <a:ln w="3175">
              <a:solidFill>
                <a:srgbClr val="3366FF"/>
              </a:solidFill>
              <a:prstDash val="solid"/>
            </a:ln>
          </c:spPr>
          <c:marker>
            <c:symbol val="none"/>
          </c:marker>
          <c:xVal>
            <c:numLit>
              <c:formatCode>General</c:formatCode>
              <c:ptCount val="2"/>
              <c:pt idx="0">
                <c:v>9</c:v>
              </c:pt>
              <c:pt idx="1">
                <c:v>8.4574988517709855</c:v>
              </c:pt>
            </c:numLit>
          </c:xVal>
          <c:yVal>
            <c:numLit>
              <c:formatCode>General</c:formatCode>
              <c:ptCount val="2"/>
              <c:pt idx="0">
                <c:v>0</c:v>
              </c:pt>
              <c:pt idx="1">
                <c:v>7.1565192121477803E-3</c:v>
              </c:pt>
            </c:numLit>
          </c:yVal>
          <c:smooth val="0"/>
          <c:extLst>
            <c:ext xmlns:c16="http://schemas.microsoft.com/office/drawing/2014/chart" uri="{C3380CC4-5D6E-409C-BE32-E72D297353CC}">
              <c16:uniqueId val="{0000001E-C07B-4F20-9308-384FC76246E3}"/>
            </c:ext>
          </c:extLst>
        </c:ser>
        <c:ser>
          <c:idx val="21"/>
          <c:order val="21"/>
          <c:tx>
            <c:v>t=10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F-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c:v>
              </c:pt>
              <c:pt idx="1">
                <c:v>9.4334500278774112</c:v>
              </c:pt>
            </c:numLit>
          </c:xVal>
          <c:yVal>
            <c:numLit>
              <c:formatCode>General</c:formatCode>
              <c:ptCount val="2"/>
              <c:pt idx="0">
                <c:v>0</c:v>
              </c:pt>
              <c:pt idx="1">
                <c:v>7.6606084940231802E-3</c:v>
              </c:pt>
            </c:numLit>
          </c:yVal>
          <c:smooth val="0"/>
          <c:extLst>
            <c:ext xmlns:c16="http://schemas.microsoft.com/office/drawing/2014/chart" uri="{C3380CC4-5D6E-409C-BE32-E72D297353CC}">
              <c16:uniqueId val="{00000020-C07B-4F20-9308-384FC76246E3}"/>
            </c:ext>
          </c:extLst>
        </c:ser>
        <c:ser>
          <c:idx val="22"/>
          <c:order val="22"/>
          <c:tx>
            <c:v>t=11</c:v>
          </c:tx>
          <c:spPr>
            <a:ln w="3175">
              <a:solidFill>
                <a:srgbClr val="3366FF"/>
              </a:solidFill>
              <a:prstDash val="solid"/>
            </a:ln>
          </c:spPr>
          <c:marker>
            <c:symbol val="none"/>
          </c:marker>
          <c:xVal>
            <c:numLit>
              <c:formatCode>General</c:formatCode>
              <c:ptCount val="2"/>
              <c:pt idx="0">
                <c:v>11</c:v>
              </c:pt>
              <c:pt idx="1">
                <c:v>10.408979273270996</c:v>
              </c:pt>
            </c:numLit>
          </c:xVal>
          <c:yVal>
            <c:numLit>
              <c:formatCode>General</c:formatCode>
              <c:ptCount val="2"/>
              <c:pt idx="0">
                <c:v>0</c:v>
              </c:pt>
              <c:pt idx="1">
                <c:v>8.1963999323046207E-3</c:v>
              </c:pt>
            </c:numLit>
          </c:yVal>
          <c:smooth val="0"/>
          <c:extLst>
            <c:ext xmlns:c16="http://schemas.microsoft.com/office/drawing/2014/chart" uri="{C3380CC4-5D6E-409C-BE32-E72D297353CC}">
              <c16:uniqueId val="{00000021-C07B-4F20-9308-384FC76246E3}"/>
            </c:ext>
          </c:extLst>
        </c:ser>
        <c:ser>
          <c:idx val="23"/>
          <c:order val="23"/>
          <c:tx>
            <c:v>t=12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2-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c:v>
              </c:pt>
              <c:pt idx="1">
                <c:v>11.384149975978485</c:v>
              </c:pt>
            </c:numLit>
          </c:xVal>
          <c:yVal>
            <c:numLit>
              <c:formatCode>General</c:formatCode>
              <c:ptCount val="2"/>
              <c:pt idx="0">
                <c:v>0</c:v>
              </c:pt>
              <c:pt idx="1">
                <c:v>8.7654941166616408E-3</c:v>
              </c:pt>
            </c:numLit>
          </c:yVal>
          <c:smooth val="0"/>
          <c:extLst>
            <c:ext xmlns:c16="http://schemas.microsoft.com/office/drawing/2014/chart" uri="{C3380CC4-5D6E-409C-BE32-E72D297353CC}">
              <c16:uniqueId val="{00000023-C07B-4F20-9308-384FC76246E3}"/>
            </c:ext>
          </c:extLst>
        </c:ser>
        <c:ser>
          <c:idx val="24"/>
          <c:order val="24"/>
          <c:tx>
            <c:v>t=13</c:v>
          </c:tx>
          <c:spPr>
            <a:ln w="3175">
              <a:solidFill>
                <a:srgbClr val="3366FF"/>
              </a:solidFill>
              <a:prstDash val="solid"/>
            </a:ln>
          </c:spPr>
          <c:marker>
            <c:symbol val="none"/>
          </c:marker>
          <c:xVal>
            <c:numLit>
              <c:formatCode>General</c:formatCode>
              <c:ptCount val="2"/>
              <c:pt idx="0">
                <c:v>13</c:v>
              </c:pt>
              <c:pt idx="1">
                <c:v>12.359021518730225</c:v>
              </c:pt>
            </c:numLit>
          </c:xVal>
          <c:yVal>
            <c:numLit>
              <c:formatCode>General</c:formatCode>
              <c:ptCount val="2"/>
              <c:pt idx="0">
                <c:v>0</c:v>
              </c:pt>
              <c:pt idx="1">
                <c:v>9.3697232222812107E-3</c:v>
              </c:pt>
            </c:numLit>
          </c:yVal>
          <c:smooth val="0"/>
          <c:extLst>
            <c:ext xmlns:c16="http://schemas.microsoft.com/office/drawing/2014/chart" uri="{C3380CC4-5D6E-409C-BE32-E72D297353CC}">
              <c16:uniqueId val="{00000024-C07B-4F20-9308-384FC76246E3}"/>
            </c:ext>
          </c:extLst>
        </c:ser>
        <c:ser>
          <c:idx val="25"/>
          <c:order val="25"/>
          <c:tx>
            <c:v>t=14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5-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c:v>
              </c:pt>
              <c:pt idx="1">
                <c:v>13.333660721764184</c:v>
              </c:pt>
            </c:numLit>
          </c:xVal>
          <c:yVal>
            <c:numLit>
              <c:formatCode>General</c:formatCode>
              <c:ptCount val="2"/>
              <c:pt idx="0">
                <c:v>0</c:v>
              </c:pt>
              <c:pt idx="1">
                <c:v>1.00110112590387E-2</c:v>
              </c:pt>
            </c:numLit>
          </c:yVal>
          <c:smooth val="0"/>
          <c:extLst>
            <c:ext xmlns:c16="http://schemas.microsoft.com/office/drawing/2014/chart" uri="{C3380CC4-5D6E-409C-BE32-E72D297353CC}">
              <c16:uniqueId val="{00000026-C07B-4F20-9308-384FC76246E3}"/>
            </c:ext>
          </c:extLst>
        </c:ser>
        <c:ser>
          <c:idx val="26"/>
          <c:order val="26"/>
          <c:tx>
            <c:v>t=15</c:v>
          </c:tx>
          <c:spPr>
            <a:ln w="3175">
              <a:solidFill>
                <a:srgbClr val="3366FF"/>
              </a:solidFill>
              <a:prstDash val="solid"/>
            </a:ln>
          </c:spPr>
          <c:marker>
            <c:symbol val="none"/>
          </c:marker>
          <c:xVal>
            <c:numLit>
              <c:formatCode>General</c:formatCode>
              <c:ptCount val="2"/>
              <c:pt idx="0">
                <c:v>15</c:v>
              </c:pt>
              <c:pt idx="1">
                <c:v>14.308142384050464</c:v>
              </c:pt>
            </c:numLit>
          </c:xVal>
          <c:yVal>
            <c:numLit>
              <c:formatCode>General</c:formatCode>
              <c:ptCount val="2"/>
              <c:pt idx="0">
                <c:v>0</c:v>
              </c:pt>
              <c:pt idx="1">
                <c:v>1.06913788271157E-2</c:v>
              </c:pt>
            </c:numLit>
          </c:yVal>
          <c:smooth val="0"/>
          <c:extLst>
            <c:ext xmlns:c16="http://schemas.microsoft.com/office/drawing/2014/chart" uri="{C3380CC4-5D6E-409C-BE32-E72D297353CC}">
              <c16:uniqueId val="{00000027-C07B-4F20-9308-384FC76246E3}"/>
            </c:ext>
          </c:extLst>
        </c:ser>
        <c:ser>
          <c:idx val="27"/>
          <c:order val="27"/>
          <c:tx>
            <c:v>t=16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8-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c:v>
              </c:pt>
              <c:pt idx="1">
                <c:v>15.282549857324684</c:v>
              </c:pt>
            </c:numLit>
          </c:xVal>
          <c:yVal>
            <c:numLit>
              <c:formatCode>General</c:formatCode>
              <c:ptCount val="2"/>
              <c:pt idx="0">
                <c:v>0</c:v>
              </c:pt>
              <c:pt idx="1">
                <c:v>1.14129481899331E-2</c:v>
              </c:pt>
            </c:numLit>
          </c:yVal>
          <c:smooth val="0"/>
          <c:extLst>
            <c:ext xmlns:c16="http://schemas.microsoft.com/office/drawing/2014/chart" uri="{C3380CC4-5D6E-409C-BE32-E72D297353CC}">
              <c16:uniqueId val="{00000029-C07B-4F20-9308-384FC76246E3}"/>
            </c:ext>
          </c:extLst>
        </c:ser>
        <c:ser>
          <c:idx val="28"/>
          <c:order val="28"/>
          <c:tx>
            <c:v>t=17</c:v>
          </c:tx>
          <c:spPr>
            <a:ln w="3175">
              <a:solidFill>
                <a:srgbClr val="3366FF"/>
              </a:solidFill>
              <a:prstDash val="solid"/>
            </a:ln>
          </c:spPr>
          <c:marker>
            <c:symbol val="none"/>
          </c:marker>
          <c:xVal>
            <c:numLit>
              <c:formatCode>General</c:formatCode>
              <c:ptCount val="2"/>
              <c:pt idx="0">
                <c:v>17</c:v>
              </c:pt>
              <c:pt idx="1">
                <c:v>16.256975655314989</c:v>
              </c:pt>
            </c:numLit>
          </c:xVal>
          <c:yVal>
            <c:numLit>
              <c:formatCode>General</c:formatCode>
              <c:ptCount val="2"/>
              <c:pt idx="0">
                <c:v>0</c:v>
              </c:pt>
              <c:pt idx="1">
                <c:v>1.2177948692621701E-2</c:v>
              </c:pt>
            </c:numLit>
          </c:yVal>
          <c:smooth val="0"/>
          <c:extLst>
            <c:ext xmlns:c16="http://schemas.microsoft.com/office/drawing/2014/chart" uri="{C3380CC4-5D6E-409C-BE32-E72D297353CC}">
              <c16:uniqueId val="{0000002A-C07B-4F20-9308-384FC76246E3}"/>
            </c:ext>
          </c:extLst>
        </c:ser>
        <c:ser>
          <c:idx val="29"/>
          <c:order val="29"/>
          <c:tx>
            <c:v>t=18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B-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c:v>
              </c:pt>
              <c:pt idx="1">
                <c:v>17.231522100796575</c:v>
              </c:pt>
            </c:numLit>
          </c:xVal>
          <c:yVal>
            <c:numLit>
              <c:formatCode>General</c:formatCode>
              <c:ptCount val="2"/>
              <c:pt idx="0">
                <c:v>0</c:v>
              </c:pt>
              <c:pt idx="1">
                <c:v>1.29887225571009E-2</c:v>
              </c:pt>
            </c:numLit>
          </c:yVal>
          <c:smooth val="0"/>
          <c:extLst>
            <c:ext xmlns:c16="http://schemas.microsoft.com/office/drawing/2014/chart" uri="{C3380CC4-5D6E-409C-BE32-E72D297353CC}">
              <c16:uniqueId val="{0000002C-C07B-4F20-9308-384FC76246E3}"/>
            </c:ext>
          </c:extLst>
        </c:ser>
        <c:ser>
          <c:idx val="30"/>
          <c:order val="30"/>
          <c:tx>
            <c:v>t=19</c:v>
          </c:tx>
          <c:spPr>
            <a:ln w="3175">
              <a:solidFill>
                <a:srgbClr val="3366FF"/>
              </a:solidFill>
              <a:prstDash val="solid"/>
            </a:ln>
          </c:spPr>
          <c:marker>
            <c:symbol val="none"/>
          </c:marker>
          <c:xVal>
            <c:numLit>
              <c:formatCode>General</c:formatCode>
              <c:ptCount val="2"/>
              <c:pt idx="0">
                <c:v>19</c:v>
              </c:pt>
              <c:pt idx="1">
                <c:v>18.206302013385109</c:v>
              </c:pt>
            </c:numLit>
          </c:xVal>
          <c:yVal>
            <c:numLit>
              <c:formatCode>General</c:formatCode>
              <c:ptCount val="2"/>
              <c:pt idx="0">
                <c:v>0</c:v>
              </c:pt>
              <c:pt idx="1">
                <c:v>1.38477310880087E-2</c:v>
              </c:pt>
            </c:numLit>
          </c:yVal>
          <c:smooth val="0"/>
          <c:extLst>
            <c:ext xmlns:c16="http://schemas.microsoft.com/office/drawing/2014/chart" uri="{C3380CC4-5D6E-409C-BE32-E72D297353CC}">
              <c16:uniqueId val="{0000002D-C07B-4F20-9308-384FC76246E3}"/>
            </c:ext>
          </c:extLst>
        </c:ser>
        <c:ser>
          <c:idx val="31"/>
          <c:order val="31"/>
          <c:tx>
            <c:v>t=20</c:v>
          </c:tx>
          <c:spPr>
            <a:ln w="3175">
              <a:solidFill>
                <a:srgbClr val="3366FF"/>
              </a:solidFill>
              <a:prstDash val="solid"/>
            </a:ln>
          </c:spPr>
          <c:marker>
            <c:symbol val="none"/>
          </c:marker>
          <c:dLbls>
            <c:dLbl>
              <c:idx val="0"/>
              <c:layout>
                <c:manualLayout>
                  <c:x val="-1.5625000000000062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E-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c:v>
              </c:pt>
              <c:pt idx="1">
                <c:v>19.181439441292415</c:v>
              </c:pt>
            </c:numLit>
          </c:xVal>
          <c:yVal>
            <c:numLit>
              <c:formatCode>General</c:formatCode>
              <c:ptCount val="2"/>
              <c:pt idx="0">
                <c:v>0</c:v>
              </c:pt>
              <c:pt idx="1">
                <c:v>1.4757561327237099E-2</c:v>
              </c:pt>
            </c:numLit>
          </c:yVal>
          <c:smooth val="0"/>
          <c:extLst>
            <c:ext xmlns:c16="http://schemas.microsoft.com/office/drawing/2014/chart" uri="{C3380CC4-5D6E-409C-BE32-E72D297353CC}">
              <c16:uniqueId val="{0000002F-C07B-4F20-9308-384FC76246E3}"/>
            </c:ext>
          </c:extLst>
        </c:ser>
        <c:ser>
          <c:idx val="32"/>
          <c:order val="32"/>
          <c:tx>
            <c:v>t=21</c:v>
          </c:tx>
          <c:spPr>
            <a:ln w="3175">
              <a:solidFill>
                <a:srgbClr val="3366FF"/>
              </a:solidFill>
              <a:prstDash val="solid"/>
            </a:ln>
          </c:spPr>
          <c:marker>
            <c:symbol val="none"/>
          </c:marker>
          <c:xVal>
            <c:numLit>
              <c:formatCode>General</c:formatCode>
              <c:ptCount val="2"/>
              <c:pt idx="0">
                <c:v>21</c:v>
              </c:pt>
              <c:pt idx="1">
                <c:v>20.157070440615996</c:v>
              </c:pt>
            </c:numLit>
          </c:xVal>
          <c:yVal>
            <c:numLit>
              <c:formatCode>General</c:formatCode>
              <c:ptCount val="2"/>
              <c:pt idx="0">
                <c:v>0</c:v>
              </c:pt>
              <c:pt idx="1">
                <c:v>1.5720933198744999E-2</c:v>
              </c:pt>
            </c:numLit>
          </c:yVal>
          <c:smooth val="0"/>
          <c:extLst>
            <c:ext xmlns:c16="http://schemas.microsoft.com/office/drawing/2014/chart" uri="{C3380CC4-5D6E-409C-BE32-E72D297353CC}">
              <c16:uniqueId val="{00000030-C07B-4F20-9308-384FC76246E3}"/>
            </c:ext>
          </c:extLst>
        </c:ser>
        <c:ser>
          <c:idx val="33"/>
          <c:order val="33"/>
          <c:tx>
            <c:v>t=22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1-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c:v>
              </c:pt>
              <c:pt idx="1">
                <c:v>21.133343906124988</c:v>
              </c:pt>
            </c:numLit>
          </c:xVal>
          <c:yVal>
            <c:numLit>
              <c:formatCode>General</c:formatCode>
              <c:ptCount val="2"/>
              <c:pt idx="0">
                <c:v>0</c:v>
              </c:pt>
              <c:pt idx="1">
                <c:v>1.6740707189674801E-2</c:v>
              </c:pt>
            </c:numLit>
          </c:yVal>
          <c:smooth val="0"/>
          <c:extLst>
            <c:ext xmlns:c16="http://schemas.microsoft.com/office/drawing/2014/chart" uri="{C3380CC4-5D6E-409C-BE32-E72D297353CC}">
              <c16:uniqueId val="{00000032-C07B-4F20-9308-384FC76246E3}"/>
            </c:ext>
          </c:extLst>
        </c:ser>
        <c:ser>
          <c:idx val="34"/>
          <c:order val="34"/>
          <c:tx>
            <c:v>t=23</c:v>
          </c:tx>
          <c:spPr>
            <a:ln w="3175">
              <a:solidFill>
                <a:srgbClr val="3366FF"/>
              </a:solidFill>
              <a:prstDash val="solid"/>
            </a:ln>
          </c:spPr>
          <c:marker>
            <c:symbol val="none"/>
          </c:marker>
          <c:xVal>
            <c:numLit>
              <c:formatCode>General</c:formatCode>
              <c:ptCount val="2"/>
              <c:pt idx="0">
                <c:v>23</c:v>
              </c:pt>
              <c:pt idx="1">
                <c:v>22.110422457943038</c:v>
              </c:pt>
            </c:numLit>
          </c:xVal>
          <c:yVal>
            <c:numLit>
              <c:formatCode>General</c:formatCode>
              <c:ptCount val="2"/>
              <c:pt idx="0">
                <c:v>0</c:v>
              </c:pt>
              <c:pt idx="1">
                <c:v>1.7819892618663902E-2</c:v>
              </c:pt>
            </c:numLit>
          </c:yVal>
          <c:smooth val="0"/>
          <c:extLst>
            <c:ext xmlns:c16="http://schemas.microsoft.com/office/drawing/2014/chart" uri="{C3380CC4-5D6E-409C-BE32-E72D297353CC}">
              <c16:uniqueId val="{00000033-C07B-4F20-9308-384FC76246E3}"/>
            </c:ext>
          </c:extLst>
        </c:ser>
        <c:ser>
          <c:idx val="35"/>
          <c:order val="35"/>
          <c:tx>
            <c:v>t=24</c:v>
          </c:tx>
          <c:spPr>
            <a:ln w="3175">
              <a:solidFill>
                <a:srgbClr val="3366FF"/>
              </a:solidFill>
              <a:prstDash val="solid"/>
            </a:ln>
          </c:spPr>
          <c:marker>
            <c:symbol val="none"/>
          </c:marker>
          <c:dLbls>
            <c:dLbl>
              <c:idx val="0"/>
              <c:layout>
                <c:manualLayout>
                  <c:x val="-1.5625000000000062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4-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c:v>
              </c:pt>
              <c:pt idx="1">
                <c:v>23.088483389020521</c:v>
              </c:pt>
            </c:numLit>
          </c:xVal>
          <c:yVal>
            <c:numLit>
              <c:formatCode>General</c:formatCode>
              <c:ptCount val="2"/>
              <c:pt idx="0">
                <c:v>0</c:v>
              </c:pt>
              <c:pt idx="1">
                <c:v>1.8961656547670701E-2</c:v>
              </c:pt>
            </c:numLit>
          </c:yVal>
          <c:smooth val="0"/>
          <c:extLst>
            <c:ext xmlns:c16="http://schemas.microsoft.com/office/drawing/2014/chart" uri="{C3380CC4-5D6E-409C-BE32-E72D297353CC}">
              <c16:uniqueId val="{00000035-C07B-4F20-9308-384FC76246E3}"/>
            </c:ext>
          </c:extLst>
        </c:ser>
        <c:ser>
          <c:idx val="36"/>
          <c:order val="36"/>
          <c:tx>
            <c:v>t=25</c:v>
          </c:tx>
          <c:spPr>
            <a:ln w="3175">
              <a:solidFill>
                <a:srgbClr val="3366FF"/>
              </a:solidFill>
              <a:prstDash val="solid"/>
            </a:ln>
          </c:spPr>
          <c:marker>
            <c:symbol val="none"/>
          </c:marker>
          <c:xVal>
            <c:numLit>
              <c:formatCode>General</c:formatCode>
              <c:ptCount val="2"/>
              <c:pt idx="0">
                <c:v>25</c:v>
              </c:pt>
              <c:pt idx="1">
                <c:v>24.067719678840422</c:v>
              </c:pt>
            </c:numLit>
          </c:xVal>
          <c:yVal>
            <c:numLit>
              <c:formatCode>General</c:formatCode>
              <c:ptCount val="2"/>
              <c:pt idx="0">
                <c:v>0</c:v>
              </c:pt>
              <c:pt idx="1">
                <c:v>2.0169333399710401E-2</c:v>
              </c:pt>
            </c:numLit>
          </c:yVal>
          <c:smooth val="0"/>
          <c:extLst>
            <c:ext xmlns:c16="http://schemas.microsoft.com/office/drawing/2014/chart" uri="{C3380CC4-5D6E-409C-BE32-E72D297353CC}">
              <c16:uniqueId val="{00000036-C07B-4F20-9308-384FC76246E3}"/>
            </c:ext>
          </c:extLst>
        </c:ser>
        <c:ser>
          <c:idx val="37"/>
          <c:order val="37"/>
          <c:tx>
            <c:v>t=26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7-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c:v>
              </c:pt>
              <c:pt idx="1">
                <c:v>25.048321472690549</c:v>
              </c:pt>
            </c:numLit>
          </c:xVal>
          <c:yVal>
            <c:numLit>
              <c:formatCode>General</c:formatCode>
              <c:ptCount val="2"/>
              <c:pt idx="0">
                <c:v>0</c:v>
              </c:pt>
              <c:pt idx="1">
                <c:v>2.14468772059432E-2</c:v>
              </c:pt>
            </c:numLit>
          </c:yVal>
          <c:smooth val="0"/>
          <c:extLst>
            <c:ext xmlns:c16="http://schemas.microsoft.com/office/drawing/2014/chart" uri="{C3380CC4-5D6E-409C-BE32-E72D297353CC}">
              <c16:uniqueId val="{00000038-C07B-4F20-9308-384FC76246E3}"/>
            </c:ext>
          </c:extLst>
        </c:ser>
        <c:ser>
          <c:idx val="38"/>
          <c:order val="38"/>
          <c:tx>
            <c:v>t=27</c:v>
          </c:tx>
          <c:spPr>
            <a:ln w="3175">
              <a:solidFill>
                <a:srgbClr val="3366FF"/>
              </a:solidFill>
              <a:prstDash val="solid"/>
            </a:ln>
          </c:spPr>
          <c:marker>
            <c:symbol val="none"/>
          </c:marker>
          <c:xVal>
            <c:numLit>
              <c:formatCode>General</c:formatCode>
              <c:ptCount val="2"/>
              <c:pt idx="0">
                <c:v>27</c:v>
              </c:pt>
              <c:pt idx="1">
                <c:v>26.030535251824297</c:v>
              </c:pt>
            </c:numLit>
          </c:xVal>
          <c:yVal>
            <c:numLit>
              <c:formatCode>General</c:formatCode>
              <c:ptCount val="2"/>
              <c:pt idx="0">
                <c:v>0</c:v>
              </c:pt>
              <c:pt idx="1">
                <c:v>2.2797604877624101E-2</c:v>
              </c:pt>
            </c:numLit>
          </c:yVal>
          <c:smooth val="0"/>
          <c:extLst>
            <c:ext xmlns:c16="http://schemas.microsoft.com/office/drawing/2014/chart" uri="{C3380CC4-5D6E-409C-BE32-E72D297353CC}">
              <c16:uniqueId val="{00000039-C07B-4F20-9308-384FC76246E3}"/>
            </c:ext>
          </c:extLst>
        </c:ser>
        <c:ser>
          <c:idx val="39"/>
          <c:order val="39"/>
          <c:tx>
            <c:v>t=28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A-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c:v>
              </c:pt>
              <c:pt idx="1">
                <c:v>27.014607998719534</c:v>
              </c:pt>
            </c:numLit>
          </c:xVal>
          <c:yVal>
            <c:numLit>
              <c:formatCode>General</c:formatCode>
              <c:ptCount val="2"/>
              <c:pt idx="0">
                <c:v>0</c:v>
              </c:pt>
              <c:pt idx="1">
                <c:v>2.42254240784005E-2</c:v>
              </c:pt>
            </c:numLit>
          </c:yVal>
          <c:smooth val="0"/>
          <c:extLst>
            <c:ext xmlns:c16="http://schemas.microsoft.com/office/drawing/2014/chart" uri="{C3380CC4-5D6E-409C-BE32-E72D297353CC}">
              <c16:uniqueId val="{0000003B-C07B-4F20-9308-384FC76246E3}"/>
            </c:ext>
          </c:extLst>
        </c:ser>
        <c:ser>
          <c:idx val="40"/>
          <c:order val="40"/>
          <c:tx>
            <c:v>t=29</c:v>
          </c:tx>
          <c:spPr>
            <a:ln w="3175">
              <a:solidFill>
                <a:srgbClr val="3366FF"/>
              </a:solidFill>
              <a:prstDash val="solid"/>
            </a:ln>
          </c:spPr>
          <c:marker>
            <c:symbol val="none"/>
          </c:marker>
          <c:xVal>
            <c:numLit>
              <c:formatCode>General</c:formatCode>
              <c:ptCount val="2"/>
              <c:pt idx="0">
                <c:v>29</c:v>
              </c:pt>
              <c:pt idx="1">
                <c:v>28.000807254075738</c:v>
              </c:pt>
            </c:numLit>
          </c:xVal>
          <c:yVal>
            <c:numLit>
              <c:formatCode>General</c:formatCode>
              <c:ptCount val="2"/>
              <c:pt idx="0">
                <c:v>0</c:v>
              </c:pt>
              <c:pt idx="1">
                <c:v>2.5734457306702801E-2</c:v>
              </c:pt>
            </c:numLit>
          </c:yVal>
          <c:smooth val="0"/>
          <c:extLst>
            <c:ext xmlns:c16="http://schemas.microsoft.com/office/drawing/2014/chart" uri="{C3380CC4-5D6E-409C-BE32-E72D297353CC}">
              <c16:uniqueId val="{0000003C-C07B-4F20-9308-384FC76246E3}"/>
            </c:ext>
          </c:extLst>
        </c:ser>
        <c:ser>
          <c:idx val="41"/>
          <c:order val="41"/>
          <c:tx>
            <c:v>t=30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D-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c:v>
              </c:pt>
              <c:pt idx="1">
                <c:v>28.989422570672435</c:v>
              </c:pt>
            </c:numLit>
          </c:xVal>
          <c:yVal>
            <c:numLit>
              <c:formatCode>General</c:formatCode>
              <c:ptCount val="2"/>
              <c:pt idx="0">
                <c:v>0</c:v>
              </c:pt>
              <c:pt idx="1">
                <c:v>2.73290562877294E-2</c:v>
              </c:pt>
            </c:numLit>
          </c:yVal>
          <c:smooth val="0"/>
          <c:extLst>
            <c:ext xmlns:c16="http://schemas.microsoft.com/office/drawing/2014/chart" uri="{C3380CC4-5D6E-409C-BE32-E72D297353CC}">
              <c16:uniqueId val="{0000003E-C07B-4F20-9308-384FC76246E3}"/>
            </c:ext>
          </c:extLst>
        </c:ser>
        <c:ser>
          <c:idx val="42"/>
          <c:order val="42"/>
          <c:tx>
            <c:v>t=31</c:v>
          </c:tx>
          <c:spPr>
            <a:ln w="3175">
              <a:solidFill>
                <a:srgbClr val="3366FF"/>
              </a:solidFill>
              <a:prstDash val="solid"/>
            </a:ln>
          </c:spPr>
          <c:marker>
            <c:symbol val="none"/>
          </c:marker>
          <c:xVal>
            <c:numLit>
              <c:formatCode>General</c:formatCode>
              <c:ptCount val="2"/>
              <c:pt idx="0">
                <c:v>31</c:v>
              </c:pt>
              <c:pt idx="1">
                <c:v>29.98076708258969</c:v>
              </c:pt>
            </c:numLit>
          </c:xVal>
          <c:yVal>
            <c:numLit>
              <c:formatCode>General</c:formatCode>
              <c:ptCount val="2"/>
              <c:pt idx="0">
                <c:v>0</c:v>
              </c:pt>
              <c:pt idx="1">
                <c:v>2.9013817626337601E-2</c:v>
              </c:pt>
            </c:numLit>
          </c:yVal>
          <c:smooth val="0"/>
          <c:extLst>
            <c:ext xmlns:c16="http://schemas.microsoft.com/office/drawing/2014/chart" uri="{C3380CC4-5D6E-409C-BE32-E72D297353CC}">
              <c16:uniqueId val="{0000003F-C07B-4F20-9308-384FC76246E3}"/>
            </c:ext>
          </c:extLst>
        </c:ser>
        <c:ser>
          <c:idx val="43"/>
          <c:order val="43"/>
          <c:tx>
            <c:v>t=32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0-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c:v>
              </c:pt>
              <c:pt idx="1">
                <c:v>30.975179201690683</c:v>
              </c:pt>
            </c:numLit>
          </c:xVal>
          <c:yVal>
            <c:numLit>
              <c:formatCode>General</c:formatCode>
              <c:ptCount val="2"/>
              <c:pt idx="0">
                <c:v>0</c:v>
              </c:pt>
              <c:pt idx="1">
                <c:v>3.0793599853619201E-2</c:v>
              </c:pt>
            </c:numLit>
          </c:yVal>
          <c:smooth val="0"/>
          <c:extLst>
            <c:ext xmlns:c16="http://schemas.microsoft.com/office/drawing/2014/chart" uri="{C3380CC4-5D6E-409C-BE32-E72D297353CC}">
              <c16:uniqueId val="{00000041-C07B-4F20-9308-384FC76246E3}"/>
            </c:ext>
          </c:extLst>
        </c:ser>
        <c:ser>
          <c:idx val="44"/>
          <c:order val="44"/>
          <c:tx>
            <c:v>t=33</c:v>
          </c:tx>
          <c:spPr>
            <a:ln w="3175">
              <a:solidFill>
                <a:srgbClr val="3366FF"/>
              </a:solidFill>
              <a:prstDash val="solid"/>
            </a:ln>
          </c:spPr>
          <c:marker>
            <c:symbol val="none"/>
          </c:marker>
          <c:xVal>
            <c:numLit>
              <c:formatCode>General</c:formatCode>
              <c:ptCount val="2"/>
              <c:pt idx="0">
                <c:v>33</c:v>
              </c:pt>
              <c:pt idx="1">
                <c:v>31.973024454731338</c:v>
              </c:pt>
            </c:numLit>
          </c:xVal>
          <c:yVal>
            <c:numLit>
              <c:formatCode>General</c:formatCode>
              <c:ptCount val="2"/>
              <c:pt idx="0">
                <c:v>0</c:v>
              </c:pt>
              <c:pt idx="1">
                <c:v>3.2673542015821698E-2</c:v>
              </c:pt>
            </c:numLit>
          </c:yVal>
          <c:smooth val="0"/>
          <c:extLst>
            <c:ext xmlns:c16="http://schemas.microsoft.com/office/drawing/2014/chart" uri="{C3380CC4-5D6E-409C-BE32-E72D297353CC}">
              <c16:uniqueId val="{00000042-C07B-4F20-9308-384FC76246E3}"/>
            </c:ext>
          </c:extLst>
        </c:ser>
        <c:ser>
          <c:idx val="45"/>
          <c:order val="45"/>
          <c:tx>
            <c:v>t=34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3-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c:v>
              </c:pt>
              <c:pt idx="1">
                <c:v>32.994194831013921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4-C07B-4F20-9308-384FC76246E3}"/>
            </c:ext>
          </c:extLst>
        </c:ser>
        <c:ser>
          <c:idx val="46"/>
          <c:order val="46"/>
          <c:tx>
            <c:v>t=35</c:v>
          </c:tx>
          <c:spPr>
            <a:ln w="3175">
              <a:solidFill>
                <a:srgbClr val="3366FF"/>
              </a:solidFill>
              <a:prstDash val="solid"/>
            </a:ln>
          </c:spPr>
          <c:marker>
            <c:symbol val="none"/>
          </c:marker>
          <c:xVal>
            <c:numLit>
              <c:formatCode>General</c:formatCode>
              <c:ptCount val="2"/>
              <c:pt idx="0">
                <c:v>35</c:v>
              </c:pt>
              <c:pt idx="1">
                <c:v>34.05705765407555</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5-C07B-4F20-9308-384FC76246E3}"/>
            </c:ext>
          </c:extLst>
        </c:ser>
        <c:ser>
          <c:idx val="47"/>
          <c:order val="47"/>
          <c:tx>
            <c:v>t=36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6-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36</c:v>
              </c:pt>
              <c:pt idx="1">
                <c:v>35.119920477137178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7-C07B-4F20-9308-384FC76246E3}"/>
            </c:ext>
          </c:extLst>
        </c:ser>
        <c:ser>
          <c:idx val="48"/>
          <c:order val="48"/>
          <c:tx>
            <c:v>t=37</c:v>
          </c:tx>
          <c:spPr>
            <a:ln w="3175">
              <a:solidFill>
                <a:srgbClr val="3366FF"/>
              </a:solidFill>
              <a:prstDash val="solid"/>
            </a:ln>
          </c:spPr>
          <c:marker>
            <c:symbol val="none"/>
          </c:marker>
          <c:xVal>
            <c:numLit>
              <c:formatCode>General</c:formatCode>
              <c:ptCount val="2"/>
              <c:pt idx="0">
                <c:v>37</c:v>
              </c:pt>
              <c:pt idx="1">
                <c:v>36.182783300198807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8-C07B-4F20-9308-384FC76246E3}"/>
            </c:ext>
          </c:extLst>
        </c:ser>
        <c:ser>
          <c:idx val="49"/>
          <c:order val="49"/>
          <c:tx>
            <c:v>t=38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9-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c:v>
              </c:pt>
              <c:pt idx="1">
                <c:v>37.245646123260443</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A-C07B-4F20-9308-384FC76246E3}"/>
            </c:ext>
          </c:extLst>
        </c:ser>
        <c:ser>
          <c:idx val="50"/>
          <c:order val="50"/>
          <c:tx>
            <c:v>t=39</c:v>
          </c:tx>
          <c:spPr>
            <a:ln w="3175">
              <a:solidFill>
                <a:srgbClr val="3366FF"/>
              </a:solidFill>
              <a:prstDash val="solid"/>
            </a:ln>
          </c:spPr>
          <c:marker>
            <c:symbol val="none"/>
          </c:marker>
          <c:xVal>
            <c:numLit>
              <c:formatCode>General</c:formatCode>
              <c:ptCount val="2"/>
              <c:pt idx="0">
                <c:v>39</c:v>
              </c:pt>
              <c:pt idx="1">
                <c:v>38.308508946322071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B-C07B-4F20-9308-384FC76246E3}"/>
            </c:ext>
          </c:extLst>
        </c:ser>
        <c:ser>
          <c:idx val="51"/>
          <c:order val="51"/>
          <c:tx>
            <c:v>t=40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C-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40</c:v>
              </c:pt>
              <c:pt idx="1">
                <c:v>39.3713717693837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D-C07B-4F20-9308-384FC76246E3}"/>
            </c:ext>
          </c:extLst>
        </c:ser>
        <c:ser>
          <c:idx val="52"/>
          <c:order val="52"/>
          <c:tx>
            <c:v>t=41</c:v>
          </c:tx>
          <c:spPr>
            <a:ln w="3175">
              <a:solidFill>
                <a:srgbClr val="3366FF"/>
              </a:solidFill>
              <a:prstDash val="solid"/>
            </a:ln>
          </c:spPr>
          <c:marker>
            <c:symbol val="none"/>
          </c:marker>
          <c:xVal>
            <c:numLit>
              <c:formatCode>General</c:formatCode>
              <c:ptCount val="2"/>
              <c:pt idx="0">
                <c:v>41</c:v>
              </c:pt>
              <c:pt idx="1">
                <c:v>40.434234592445328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E-C07B-4F20-9308-384FC76246E3}"/>
            </c:ext>
          </c:extLst>
        </c:ser>
        <c:ser>
          <c:idx val="53"/>
          <c:order val="53"/>
          <c:tx>
            <c:v>t=42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F-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c:v>
              </c:pt>
              <c:pt idx="1">
                <c:v>41.497097415506957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0-C07B-4F20-9308-384FC76246E3}"/>
            </c:ext>
          </c:extLst>
        </c:ser>
        <c:ser>
          <c:idx val="54"/>
          <c:order val="54"/>
          <c:tx>
            <c:v>t=43</c:v>
          </c:tx>
          <c:spPr>
            <a:ln w="3175">
              <a:solidFill>
                <a:srgbClr val="3366FF"/>
              </a:solidFill>
              <a:prstDash val="solid"/>
            </a:ln>
          </c:spPr>
          <c:marker>
            <c:symbol val="none"/>
          </c:marker>
          <c:xVal>
            <c:numLit>
              <c:formatCode>General</c:formatCode>
              <c:ptCount val="2"/>
              <c:pt idx="0">
                <c:v>43</c:v>
              </c:pt>
              <c:pt idx="1">
                <c:v>42.559960238568586</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1-C07B-4F20-9308-384FC76246E3}"/>
            </c:ext>
          </c:extLst>
        </c:ser>
        <c:ser>
          <c:idx val="55"/>
          <c:order val="55"/>
          <c:tx>
            <c:v>t=44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2-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44</c:v>
              </c:pt>
              <c:pt idx="1">
                <c:v>43.622823061630221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3-C07B-4F20-9308-384FC76246E3}"/>
            </c:ext>
          </c:extLst>
        </c:ser>
        <c:ser>
          <c:idx val="56"/>
          <c:order val="56"/>
          <c:tx>
            <c:v>t=45</c:v>
          </c:tx>
          <c:spPr>
            <a:ln w="3175">
              <a:solidFill>
                <a:srgbClr val="3366FF"/>
              </a:solidFill>
              <a:prstDash val="solid"/>
            </a:ln>
          </c:spPr>
          <c:marker>
            <c:symbol val="none"/>
          </c:marker>
          <c:xVal>
            <c:numLit>
              <c:formatCode>General</c:formatCode>
              <c:ptCount val="2"/>
              <c:pt idx="0">
                <c:v>45</c:v>
              </c:pt>
              <c:pt idx="1">
                <c:v>44.68568588469185</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4-C07B-4F20-9308-384FC76246E3}"/>
            </c:ext>
          </c:extLst>
        </c:ser>
        <c:ser>
          <c:idx val="57"/>
          <c:order val="57"/>
          <c:tx>
            <c:v>t=46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5-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46</c:v>
              </c:pt>
              <c:pt idx="1">
                <c:v>45.748548707753478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6-C07B-4F20-9308-384FC76246E3}"/>
            </c:ext>
          </c:extLst>
        </c:ser>
        <c:ser>
          <c:idx val="58"/>
          <c:order val="58"/>
          <c:tx>
            <c:v>t=47</c:v>
          </c:tx>
          <c:spPr>
            <a:ln w="3175">
              <a:solidFill>
                <a:srgbClr val="3366FF"/>
              </a:solidFill>
              <a:prstDash val="solid"/>
            </a:ln>
          </c:spPr>
          <c:marker>
            <c:symbol val="none"/>
          </c:marker>
          <c:xVal>
            <c:numLit>
              <c:formatCode>General</c:formatCode>
              <c:ptCount val="2"/>
              <c:pt idx="0">
                <c:v>47</c:v>
              </c:pt>
              <c:pt idx="1">
                <c:v>46.811411530815114</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7-C07B-4F20-9308-384FC76246E3}"/>
            </c:ext>
          </c:extLst>
        </c:ser>
        <c:ser>
          <c:idx val="59"/>
          <c:order val="59"/>
          <c:tx>
            <c:v>t=48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8-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48</c:v>
              </c:pt>
              <c:pt idx="1">
                <c:v>47.874274353876743</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9-C07B-4F20-9308-384FC76246E3}"/>
            </c:ext>
          </c:extLst>
        </c:ser>
        <c:ser>
          <c:idx val="60"/>
          <c:order val="60"/>
          <c:tx>
            <c:v>t=49</c:v>
          </c:tx>
          <c:spPr>
            <a:ln w="3175">
              <a:solidFill>
                <a:srgbClr val="3366FF"/>
              </a:solidFill>
              <a:prstDash val="solid"/>
            </a:ln>
          </c:spPr>
          <c:marker>
            <c:symbol val="none"/>
          </c:marker>
          <c:xVal>
            <c:numLit>
              <c:formatCode>General</c:formatCode>
              <c:ptCount val="2"/>
              <c:pt idx="0">
                <c:v>49</c:v>
              </c:pt>
              <c:pt idx="1">
                <c:v>48.937137176938371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A-C07B-4F20-9308-384FC76246E3}"/>
            </c:ext>
          </c:extLst>
        </c:ser>
        <c:ser>
          <c:idx val="61"/>
          <c:order val="61"/>
          <c:tx>
            <c:v>t=50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B-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50</c:v>
              </c:pt>
              <c:pt idx="1">
                <c:v>50.000000000000007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C-C07B-4F20-9308-384FC76246E3}"/>
            </c:ext>
          </c:extLst>
        </c:ser>
        <c:ser>
          <c:idx val="62"/>
          <c:order val="62"/>
          <c:tx>
            <c:v/>
          </c:tx>
          <c:spPr>
            <a:ln w="3175">
              <a:solidFill>
                <a:srgbClr val="000000"/>
              </a:solidFill>
              <a:prstDash val="solid"/>
            </a:ln>
          </c:spPr>
          <c:marker>
            <c:symbol val="none"/>
          </c:marker>
          <c:xVal>
            <c:numLit>
              <c:formatCode>General</c:formatCode>
              <c:ptCount val="2"/>
              <c:pt idx="0">
                <c:v>-10.178000000000001</c:v>
              </c:pt>
              <c:pt idx="1">
                <c:v>-10.178000000000001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D-C07B-4F20-9308-384FC76246E3}"/>
            </c:ext>
          </c:extLst>
        </c:ser>
        <c:ser>
          <c:idx val="63"/>
          <c:order val="63"/>
          <c:tx>
            <c:v/>
          </c:tx>
          <c:spPr>
            <a:ln w="3175">
              <a:solidFill>
                <a:srgbClr val="000000"/>
              </a:solidFill>
              <a:prstDash val="solid"/>
            </a:ln>
          </c:spPr>
          <c:marker>
            <c:symbol val="none"/>
          </c:marker>
          <c:xVal>
            <c:numLit>
              <c:formatCode>General</c:formatCode>
              <c:ptCount val="2"/>
              <c:pt idx="0">
                <c:v>50.8</c:v>
              </c:pt>
              <c:pt idx="1">
                <c:v>50.8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E-C07B-4F20-9308-384FC76246E3}"/>
            </c:ext>
          </c:extLst>
        </c:ser>
        <c:ser>
          <c:idx val="64"/>
          <c:order val="64"/>
          <c:tx>
            <c:v>乾球温度座標軸ラベル</c:v>
          </c:tx>
          <c:spPr>
            <a:ln w="3175">
              <a:solidFill>
                <a:srgbClr val="000000"/>
              </a:solidFill>
              <a:prstDash val="solid"/>
            </a:ln>
          </c:spPr>
          <c:marker>
            <c:symbol val="none"/>
          </c:marker>
          <c:dLbls>
            <c:dLbl>
              <c:idx val="0"/>
              <c:layout>
                <c:manualLayout>
                  <c:x val="-5.8711040026246782E-2"/>
                  <c:y val="2.6068376068376069E-2"/>
                </c:manualLayout>
              </c:layout>
              <c:tx>
                <c:rich>
                  <a:bodyPr rot="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乾球温度 </a:t>
                    </a:r>
                    <a:r>
                      <a:rPr lang="en-US"/>
                      <a:t>t[℃]</a:t>
                    </a:r>
                  </a:p>
                </c:rich>
              </c:tx>
              <c:spPr>
                <a:solidFill>
                  <a:srgbClr val="FFFFFF"/>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F-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22</c:v>
              </c:pt>
            </c:numLit>
          </c:xVal>
          <c:yVal>
            <c:numLit>
              <c:formatCode>General</c:formatCode>
              <c:ptCount val="1"/>
              <c:pt idx="0">
                <c:v>-3.3333333333333332E-4</c:v>
              </c:pt>
            </c:numLit>
          </c:yVal>
          <c:smooth val="0"/>
          <c:extLst>
            <c:ext xmlns:c16="http://schemas.microsoft.com/office/drawing/2014/chart" uri="{C3380CC4-5D6E-409C-BE32-E72D297353CC}">
              <c16:uniqueId val="{00000060-C07B-4F20-9308-384FC76246E3}"/>
            </c:ext>
          </c:extLst>
        </c:ser>
        <c:ser>
          <c:idx val="65"/>
          <c:order val="65"/>
          <c:tx>
            <c:v>WB=-8</c:v>
          </c:tx>
          <c:spPr>
            <a:ln w="3175">
              <a:solidFill>
                <a:srgbClr val="3366FF"/>
              </a:solidFill>
              <a:prstDash val="sysDash"/>
            </a:ln>
          </c:spPr>
          <c:marker>
            <c:symbol val="none"/>
          </c:marker>
          <c:dLbls>
            <c:dLbl>
              <c:idx val="0"/>
              <c:layout>
                <c:manualLayout>
                  <c:x val="-2.73093011811023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1-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-8.2055155451094635</c:v>
              </c:pt>
              <c:pt idx="1">
                <c:v>-2.5964270935913616</c:v>
              </c:pt>
            </c:numLit>
          </c:xVal>
          <c:yVal>
            <c:numLit>
              <c:formatCode>General</c:formatCode>
              <c:ptCount val="2"/>
              <c:pt idx="0">
                <c:v>1.9164686538757729E-3</c:v>
              </c:pt>
              <c:pt idx="1">
                <c:v>0</c:v>
              </c:pt>
            </c:numLit>
          </c:yVal>
          <c:smooth val="0"/>
          <c:extLst>
            <c:ext xmlns:c16="http://schemas.microsoft.com/office/drawing/2014/chart" uri="{C3380CC4-5D6E-409C-BE32-E72D297353CC}">
              <c16:uniqueId val="{00000062-C07B-4F20-9308-384FC76246E3}"/>
            </c:ext>
          </c:extLst>
        </c:ser>
        <c:ser>
          <c:idx val="66"/>
          <c:order val="66"/>
          <c:tx>
            <c:v>WB=-7</c:v>
          </c:tx>
          <c:spPr>
            <a:ln w="3175">
              <a:solidFill>
                <a:srgbClr val="3366FF"/>
              </a:solidFill>
              <a:prstDash val="sysDash"/>
            </a:ln>
          </c:spPr>
          <c:marker>
            <c:symbol val="none"/>
          </c:marker>
          <c:dLbls>
            <c:dLbl>
              <c:idx val="0"/>
              <c:layout>
                <c:manualLayout>
                  <c:x val="-2.73093011811023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3-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-7.22041332968442</c:v>
              </c:pt>
              <c:pt idx="1">
                <c:v>-1.1035359511019402</c:v>
              </c:pt>
            </c:numLit>
          </c:xVal>
          <c:yVal>
            <c:numLit>
              <c:formatCode>General</c:formatCode>
              <c:ptCount val="2"/>
              <c:pt idx="0">
                <c:v>2.0914526472602013E-3</c:v>
              </c:pt>
              <c:pt idx="1">
                <c:v>0</c:v>
              </c:pt>
            </c:numLit>
          </c:yVal>
          <c:smooth val="0"/>
          <c:extLst>
            <c:ext xmlns:c16="http://schemas.microsoft.com/office/drawing/2014/chart" uri="{C3380CC4-5D6E-409C-BE32-E72D297353CC}">
              <c16:uniqueId val="{00000064-C07B-4F20-9308-384FC76246E3}"/>
            </c:ext>
          </c:extLst>
        </c:ser>
        <c:ser>
          <c:idx val="67"/>
          <c:order val="67"/>
          <c:tx>
            <c:v>WB=-6</c:v>
          </c:tx>
          <c:spPr>
            <a:ln w="3175">
              <a:solidFill>
                <a:srgbClr val="3366FF"/>
              </a:solidFill>
              <a:prstDash val="sysDash"/>
            </a:ln>
          </c:spPr>
          <c:marker>
            <c:symbol val="none"/>
          </c:marker>
          <c:dLbls>
            <c:dLbl>
              <c:idx val="0"/>
              <c:layout>
                <c:manualLayout>
                  <c:x val="-2.730930118110237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5-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-6.2361685593886982</c:v>
              </c:pt>
              <c:pt idx="1">
                <c:v>0.43023773127142068</c:v>
              </c:pt>
            </c:numLit>
          </c:xVal>
          <c:yVal>
            <c:numLit>
              <c:formatCode>General</c:formatCode>
              <c:ptCount val="2"/>
              <c:pt idx="0">
                <c:v>2.2809674610698065E-3</c:v>
              </c:pt>
              <c:pt idx="1">
                <c:v>0</c:v>
              </c:pt>
            </c:numLit>
          </c:yVal>
          <c:smooth val="0"/>
          <c:extLst>
            <c:ext xmlns:c16="http://schemas.microsoft.com/office/drawing/2014/chart" uri="{C3380CC4-5D6E-409C-BE32-E72D297353CC}">
              <c16:uniqueId val="{00000066-C07B-4F20-9308-384FC76246E3}"/>
            </c:ext>
          </c:extLst>
        </c:ser>
        <c:ser>
          <c:idx val="68"/>
          <c:order val="68"/>
          <c:tx>
            <c:v>WB=-5</c:v>
          </c:tx>
          <c:spPr>
            <a:ln w="3175">
              <a:solidFill>
                <a:srgbClr val="3366FF"/>
              </a:solidFill>
              <a:prstDash val="sysDash"/>
            </a:ln>
          </c:spPr>
          <c:marker>
            <c:symbol val="none"/>
          </c:marker>
          <c:dLbls>
            <c:dLbl>
              <c:idx val="0"/>
              <c:layout>
                <c:manualLayout>
                  <c:x val="-2.7309301181102363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7-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-5.2528112525852375</c:v>
              </c:pt>
              <c:pt idx="1">
                <c:v>2.007950163121949</c:v>
              </c:pt>
            </c:numLit>
          </c:xVal>
          <c:yVal>
            <c:numLit>
              <c:formatCode>General</c:formatCode>
              <c:ptCount val="2"/>
              <c:pt idx="0">
                <c:v>2.4861008807502316E-3</c:v>
              </c:pt>
              <c:pt idx="1">
                <c:v>0</c:v>
              </c:pt>
            </c:numLit>
          </c:yVal>
          <c:smooth val="0"/>
          <c:extLst>
            <c:ext xmlns:c16="http://schemas.microsoft.com/office/drawing/2014/chart" uri="{C3380CC4-5D6E-409C-BE32-E72D297353CC}">
              <c16:uniqueId val="{00000068-C07B-4F20-9308-384FC76246E3}"/>
            </c:ext>
          </c:extLst>
        </c:ser>
        <c:ser>
          <c:idx val="69"/>
          <c:order val="69"/>
          <c:tx>
            <c:v>WB=-4</c:v>
          </c:tx>
          <c:spPr>
            <a:ln w="3175">
              <a:solidFill>
                <a:srgbClr val="3366FF"/>
              </a:solidFill>
              <a:prstDash val="sysDash"/>
            </a:ln>
          </c:spPr>
          <c:marker>
            <c:symbol val="none"/>
          </c:marker>
          <c:dLbls>
            <c:dLbl>
              <c:idx val="0"/>
              <c:layout>
                <c:manualLayout>
                  <c:x val="-2.730930118110237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9-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-4.2703706848883494</c:v>
              </c:pt>
              <c:pt idx="1">
                <c:v>3.6328626927800842</c:v>
              </c:pt>
            </c:numLit>
          </c:xVal>
          <c:yVal>
            <c:numLit>
              <c:formatCode>General</c:formatCode>
              <c:ptCount val="2"/>
              <c:pt idx="0">
                <c:v>2.7080138291286308E-3</c:v>
              </c:pt>
              <c:pt idx="1">
                <c:v>0</c:v>
              </c:pt>
            </c:numLit>
          </c:yVal>
          <c:smooth val="0"/>
          <c:extLst>
            <c:ext xmlns:c16="http://schemas.microsoft.com/office/drawing/2014/chart" uri="{C3380CC4-5D6E-409C-BE32-E72D297353CC}">
              <c16:uniqueId val="{0000006A-C07B-4F20-9308-384FC76246E3}"/>
            </c:ext>
          </c:extLst>
        </c:ser>
        <c:ser>
          <c:idx val="70"/>
          <c:order val="70"/>
          <c:tx>
            <c:v>WB=-3</c:v>
          </c:tx>
          <c:spPr>
            <a:ln w="3175">
              <a:solidFill>
                <a:srgbClr val="3366FF"/>
              </a:solidFill>
              <a:prstDash val="sysDash"/>
            </a:ln>
          </c:spPr>
          <c:marker>
            <c:symbol val="none"/>
          </c:marker>
          <c:dLbls>
            <c:dLbl>
              <c:idx val="0"/>
              <c:layout>
                <c:manualLayout>
                  <c:x val="-2.7309301181102377E-2"/>
                  <c:y val="-4.2735042735044301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B-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-3.2888751544738279</c:v>
              </c:pt>
              <c:pt idx="1">
                <c:v>5.3084544187917393</c:v>
              </c:pt>
            </c:numLit>
          </c:xVal>
          <c:yVal>
            <c:numLit>
              <c:formatCode>General</c:formatCode>
              <c:ptCount val="2"/>
              <c:pt idx="0">
                <c:v>2.9479448711774276E-3</c:v>
              </c:pt>
              <c:pt idx="1">
                <c:v>0</c:v>
              </c:pt>
            </c:numLit>
          </c:yVal>
          <c:smooth val="0"/>
          <c:extLst>
            <c:ext xmlns:c16="http://schemas.microsoft.com/office/drawing/2014/chart" uri="{C3380CC4-5D6E-409C-BE32-E72D297353CC}">
              <c16:uniqueId val="{0000006C-C07B-4F20-9308-384FC76246E3}"/>
            </c:ext>
          </c:extLst>
        </c:ser>
        <c:ser>
          <c:idx val="71"/>
          <c:order val="71"/>
          <c:tx>
            <c:v>WB=-2</c:v>
          </c:tx>
          <c:spPr>
            <a:ln w="3175">
              <a:solidFill>
                <a:srgbClr val="3366FF"/>
              </a:solidFill>
              <a:prstDash val="sysDash"/>
            </a:ln>
          </c:spPr>
          <c:marker>
            <c:symbol val="none"/>
          </c:marker>
          <c:dLbls>
            <c:dLbl>
              <c:idx val="0"/>
              <c:layout>
                <c:manualLayout>
                  <c:x val="-2.7309301181102363E-2"/>
                  <c:y val="-4.2735042735044301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D-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-2.3083517242375029</c:v>
              </c:pt>
              <c:pt idx="1">
                <c:v>7.0384355813391366</c:v>
              </c:pt>
            </c:numLit>
          </c:xVal>
          <c:yVal>
            <c:numLit>
              <c:formatCode>General</c:formatCode>
              <c:ptCount val="2"/>
              <c:pt idx="0">
                <c:v>3.2072149977556683E-3</c:v>
              </c:pt>
              <c:pt idx="1">
                <c:v>0</c:v>
              </c:pt>
            </c:numLit>
          </c:yVal>
          <c:smooth val="0"/>
          <c:extLst>
            <c:ext xmlns:c16="http://schemas.microsoft.com/office/drawing/2014/chart" uri="{C3380CC4-5D6E-409C-BE32-E72D297353CC}">
              <c16:uniqueId val="{0000006E-C07B-4F20-9308-384FC76246E3}"/>
            </c:ext>
          </c:extLst>
        </c:ser>
        <c:ser>
          <c:idx val="72"/>
          <c:order val="72"/>
          <c:tx>
            <c:v>WB=-1</c:v>
          </c:tx>
          <c:spPr>
            <a:ln w="3175">
              <a:solidFill>
                <a:srgbClr val="3366FF"/>
              </a:solidFill>
              <a:prstDash val="sysDash"/>
            </a:ln>
          </c:spPr>
          <c:marker>
            <c:symbol val="none"/>
          </c:marker>
          <c:dLbls>
            <c:dLbl>
              <c:idx val="0"/>
              <c:layout>
                <c:manualLayout>
                  <c:x val="-2.7309301181102363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F-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-1.3288259391909207</c:v>
              </c:pt>
              <c:pt idx="1">
                <c:v>8.8267617928991733</c:v>
              </c:pt>
            </c:numLit>
          </c:xVal>
          <c:yVal>
            <c:numLit>
              <c:formatCode>General</c:formatCode>
              <c:ptCount val="2"/>
              <c:pt idx="0">
                <c:v>3.4872327095305327E-3</c:v>
              </c:pt>
              <c:pt idx="1">
                <c:v>0</c:v>
              </c:pt>
            </c:numLit>
          </c:yVal>
          <c:smooth val="0"/>
          <c:extLst>
            <c:ext xmlns:c16="http://schemas.microsoft.com/office/drawing/2014/chart" uri="{C3380CC4-5D6E-409C-BE32-E72D297353CC}">
              <c16:uniqueId val="{00000070-C07B-4F20-9308-384FC76246E3}"/>
            </c:ext>
          </c:extLst>
        </c:ser>
        <c:ser>
          <c:idx val="73"/>
          <c:order val="73"/>
          <c:tx>
            <c:v>WB=0</c:v>
          </c:tx>
          <c:spPr>
            <a:ln w="3175">
              <a:solidFill>
                <a:srgbClr val="3366FF"/>
              </a:solidFill>
              <a:prstDash val="sysDash"/>
            </a:ln>
          </c:spPr>
          <c:marker>
            <c:symbol val="none"/>
          </c:marker>
          <c:dLbls>
            <c:dLbl>
              <c:idx val="0"/>
              <c:layout>
                <c:manualLayout>
                  <c:x val="-2.6025399168853925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1-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-0.35032151737137113</c:v>
              </c:pt>
              <c:pt idx="1">
                <c:v>10.677649173557942</c:v>
              </c:pt>
            </c:numLit>
          </c:xVal>
          <c:yVal>
            <c:numLit>
              <c:formatCode>General</c:formatCode>
              <c:ptCount val="2"/>
              <c:pt idx="0">
                <c:v>3.7894994244688104E-3</c:v>
              </c:pt>
              <c:pt idx="1">
                <c:v>0</c:v>
              </c:pt>
            </c:numLit>
          </c:yVal>
          <c:smooth val="0"/>
          <c:extLst>
            <c:ext xmlns:c16="http://schemas.microsoft.com/office/drawing/2014/chart" uri="{C3380CC4-5D6E-409C-BE32-E72D297353CC}">
              <c16:uniqueId val="{00000072-C07B-4F20-9308-384FC76246E3}"/>
            </c:ext>
          </c:extLst>
        </c:ser>
        <c:ser>
          <c:idx val="74"/>
          <c:order val="74"/>
          <c:tx>
            <c:v>WB=1</c:v>
          </c:tx>
          <c:spPr>
            <a:ln w="3175">
              <a:solidFill>
                <a:srgbClr val="3366FF"/>
              </a:solidFill>
              <a:prstDash val="sysDash"/>
            </a:ln>
          </c:spPr>
          <c:marker>
            <c:symbol val="none"/>
          </c:marker>
          <c:dLbls>
            <c:dLbl>
              <c:idx val="0"/>
              <c:layout>
                <c:manualLayout>
                  <c:x val="-2.6166338582677195E-2"/>
                  <c:y val="-4.2735042735044301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3-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0.63072878902048002</c:v>
              </c:pt>
              <c:pt idx="1">
                <c:v>11.123857513967971</c:v>
              </c:pt>
            </c:numLit>
          </c:xVal>
          <c:yVal>
            <c:numLit>
              <c:formatCode>General</c:formatCode>
              <c:ptCount val="2"/>
              <c:pt idx="0">
                <c:v>4.076002175174424E-3</c:v>
              </c:pt>
              <c:pt idx="1">
                <c:v>0</c:v>
              </c:pt>
            </c:numLit>
          </c:yVal>
          <c:smooth val="0"/>
          <c:extLst>
            <c:ext xmlns:c16="http://schemas.microsoft.com/office/drawing/2014/chart" uri="{C3380CC4-5D6E-409C-BE32-E72D297353CC}">
              <c16:uniqueId val="{00000074-C07B-4F20-9308-384FC76246E3}"/>
            </c:ext>
          </c:extLst>
        </c:ser>
        <c:ser>
          <c:idx val="75"/>
          <c:order val="75"/>
          <c:tx>
            <c:v>WB=2</c:v>
          </c:tx>
          <c:spPr>
            <a:ln w="3175">
              <a:solidFill>
                <a:srgbClr val="3366FF"/>
              </a:solidFill>
              <a:prstDash val="sysDash"/>
            </a:ln>
          </c:spPr>
          <c:marker>
            <c:symbol val="none"/>
          </c:marker>
          <c:dLbls>
            <c:dLbl>
              <c:idx val="0"/>
              <c:layout>
                <c:manualLayout>
                  <c:x val="-2.6166338582677164E-2"/>
                  <c:y val="-4.2735042735044301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5-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1.6111719572746135</c:v>
              </c:pt>
              <c:pt idx="1">
                <c:v>12.871977002704231</c:v>
              </c:pt>
            </c:numLit>
          </c:xVal>
          <c:yVal>
            <c:numLit>
              <c:formatCode>General</c:formatCode>
              <c:ptCount val="2"/>
              <c:pt idx="0">
                <c:v>4.3812837251538872E-3</c:v>
              </c:pt>
              <c:pt idx="1">
                <c:v>0</c:v>
              </c:pt>
            </c:numLit>
          </c:yVal>
          <c:smooth val="0"/>
          <c:extLst>
            <c:ext xmlns:c16="http://schemas.microsoft.com/office/drawing/2014/chart" uri="{C3380CC4-5D6E-409C-BE32-E72D297353CC}">
              <c16:uniqueId val="{00000076-C07B-4F20-9308-384FC76246E3}"/>
            </c:ext>
          </c:extLst>
        </c:ser>
        <c:ser>
          <c:idx val="76"/>
          <c:order val="76"/>
          <c:tx>
            <c:v>WB=3</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7-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2.5909827527240186</c:v>
              </c:pt>
              <c:pt idx="1">
                <c:v>14.668931744288928</c:v>
              </c:pt>
            </c:numLit>
          </c:xVal>
          <c:yVal>
            <c:numLit>
              <c:formatCode>General</c:formatCode>
              <c:ptCount val="2"/>
              <c:pt idx="0">
                <c:v>4.7068331132422495E-3</c:v>
              </c:pt>
              <c:pt idx="1">
                <c:v>0</c:v>
              </c:pt>
            </c:numLit>
          </c:yVal>
          <c:smooth val="0"/>
          <c:extLst>
            <c:ext xmlns:c16="http://schemas.microsoft.com/office/drawing/2014/chart" uri="{C3380CC4-5D6E-409C-BE32-E72D297353CC}">
              <c16:uniqueId val="{00000078-C07B-4F20-9308-384FC76246E3}"/>
            </c:ext>
          </c:extLst>
        </c:ser>
        <c:ser>
          <c:idx val="77"/>
          <c:order val="77"/>
          <c:tx>
            <c:v>WB=4</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9-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3.5701735744985212</c:v>
              </c:pt>
              <c:pt idx="1">
                <c:v>16.517493982191819</c:v>
              </c:pt>
            </c:numLit>
          </c:xVal>
          <c:yVal>
            <c:numLit>
              <c:formatCode>General</c:formatCode>
              <c:ptCount val="2"/>
              <c:pt idx="0">
                <c:v>5.0538263680982628E-3</c:v>
              </c:pt>
              <c:pt idx="1">
                <c:v>0</c:v>
              </c:pt>
            </c:numLit>
          </c:yVal>
          <c:smooth val="0"/>
          <c:extLst>
            <c:ext xmlns:c16="http://schemas.microsoft.com/office/drawing/2014/chart" uri="{C3380CC4-5D6E-409C-BE32-E72D297353CC}">
              <c16:uniqueId val="{0000007A-C07B-4F20-9308-384FC76246E3}"/>
            </c:ext>
          </c:extLst>
        </c:ser>
        <c:ser>
          <c:idx val="78"/>
          <c:order val="78"/>
          <c:tx>
            <c:v>WB=5</c:v>
          </c:tx>
          <c:spPr>
            <a:ln w="3175">
              <a:solidFill>
                <a:srgbClr val="3366FF"/>
              </a:solidFill>
              <a:prstDash val="sysDash"/>
            </a:ln>
          </c:spPr>
          <c:marker>
            <c:symbol val="none"/>
          </c:marker>
          <c:dLbls>
            <c:dLbl>
              <c:idx val="0"/>
              <c:layout>
                <c:manualLayout>
                  <c:x val="-2.6166338582677195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B-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4.5487605635344499</c:v>
              </c:pt>
              <c:pt idx="1">
                <c:v>18.420572472571656</c:v>
              </c:pt>
            </c:numLit>
          </c:xVal>
          <c:yVal>
            <c:numLit>
              <c:formatCode>General</c:formatCode>
              <c:ptCount val="2"/>
              <c:pt idx="0">
                <c:v>5.4234990810554818E-3</c:v>
              </c:pt>
              <c:pt idx="1">
                <c:v>0</c:v>
              </c:pt>
            </c:numLit>
          </c:yVal>
          <c:smooth val="0"/>
          <c:extLst>
            <c:ext xmlns:c16="http://schemas.microsoft.com/office/drawing/2014/chart" uri="{C3380CC4-5D6E-409C-BE32-E72D297353CC}">
              <c16:uniqueId val="{0000007C-C07B-4F20-9308-384FC76246E3}"/>
            </c:ext>
          </c:extLst>
        </c:ser>
        <c:ser>
          <c:idx val="79"/>
          <c:order val="79"/>
          <c:tx>
            <c:v>WB=6</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D-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5.5267544089063207</c:v>
              </c:pt>
              <c:pt idx="1">
                <c:v>20.381507916128903</c:v>
              </c:pt>
            </c:numLit>
          </c:xVal>
          <c:yVal>
            <c:numLit>
              <c:formatCode>General</c:formatCode>
              <c:ptCount val="2"/>
              <c:pt idx="0">
                <c:v>5.8172661857312045E-3</c:v>
              </c:pt>
              <c:pt idx="1">
                <c:v>0</c:v>
              </c:pt>
            </c:numLit>
          </c:yVal>
          <c:smooth val="0"/>
          <c:extLst>
            <c:ext xmlns:c16="http://schemas.microsoft.com/office/drawing/2014/chart" uri="{C3380CC4-5D6E-409C-BE32-E72D297353CC}">
              <c16:uniqueId val="{0000007E-C07B-4F20-9308-384FC76246E3}"/>
            </c:ext>
          </c:extLst>
        </c:ser>
        <c:ser>
          <c:idx val="80"/>
          <c:order val="80"/>
          <c:tx>
            <c:v>WB=7</c:v>
          </c:tx>
          <c:spPr>
            <a:ln w="3175">
              <a:solidFill>
                <a:srgbClr val="3366FF"/>
              </a:solidFill>
              <a:prstDash val="sysDash"/>
            </a:ln>
          </c:spPr>
          <c:marker>
            <c:symbol val="none"/>
          </c:marker>
          <c:dLbls>
            <c:dLbl>
              <c:idx val="0"/>
              <c:layout>
                <c:manualLayout>
                  <c:x val="-2.6166338582677195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F-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6.5041883174927406</c:v>
              </c:pt>
              <c:pt idx="1">
                <c:v>22.403253465067159</c:v>
              </c:pt>
            </c:numLit>
          </c:xVal>
          <c:yVal>
            <c:numLit>
              <c:formatCode>General</c:formatCode>
              <c:ptCount val="2"/>
              <c:pt idx="0">
                <c:v>6.236391005280101E-3</c:v>
              </c:pt>
              <c:pt idx="1">
                <c:v>0</c:v>
              </c:pt>
            </c:numLit>
          </c:yVal>
          <c:smooth val="0"/>
          <c:extLst>
            <c:ext xmlns:c16="http://schemas.microsoft.com/office/drawing/2014/chart" uri="{C3380CC4-5D6E-409C-BE32-E72D297353CC}">
              <c16:uniqueId val="{00000080-C07B-4F20-9308-384FC76246E3}"/>
            </c:ext>
          </c:extLst>
        </c:ser>
        <c:ser>
          <c:idx val="81"/>
          <c:order val="81"/>
          <c:tx>
            <c:v>WB=8</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1-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7.481091633037142</c:v>
              </c:pt>
              <c:pt idx="1">
                <c:v>24.489170236580446</c:v>
              </c:pt>
            </c:numLit>
          </c:xVal>
          <c:yVal>
            <c:numLit>
              <c:formatCode>General</c:formatCode>
              <c:ptCount val="2"/>
              <c:pt idx="0">
                <c:v>6.6823069273506883E-3</c:v>
              </c:pt>
              <c:pt idx="1">
                <c:v>0</c:v>
              </c:pt>
            </c:numLit>
          </c:yVal>
          <c:smooth val="0"/>
          <c:extLst>
            <c:ext xmlns:c16="http://schemas.microsoft.com/office/drawing/2014/chart" uri="{C3380CC4-5D6E-409C-BE32-E72D297353CC}">
              <c16:uniqueId val="{00000082-C07B-4F20-9308-384FC76246E3}"/>
            </c:ext>
          </c:extLst>
        </c:ser>
        <c:ser>
          <c:idx val="82"/>
          <c:order val="82"/>
          <c:tx>
            <c:v>WB=9</c:v>
          </c:tx>
          <c:spPr>
            <a:ln w="3175">
              <a:solidFill>
                <a:srgbClr val="3366FF"/>
              </a:solidFill>
              <a:prstDash val="sysDash"/>
            </a:ln>
          </c:spPr>
          <c:marker>
            <c:symbol val="none"/>
          </c:marker>
          <c:dLbls>
            <c:dLbl>
              <c:idx val="0"/>
              <c:layout>
                <c:manualLayout>
                  <c:x val="-2.616633858267723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3-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8.4574988517709855</c:v>
              </c:pt>
              <c:pt idx="1">
                <c:v>26.642783276734082</c:v>
              </c:pt>
            </c:numLit>
          </c:xVal>
          <c:yVal>
            <c:numLit>
              <c:formatCode>General</c:formatCode>
              <c:ptCount val="2"/>
              <c:pt idx="0">
                <c:v>7.156519212147776E-3</c:v>
              </c:pt>
              <c:pt idx="1">
                <c:v>0</c:v>
              </c:pt>
            </c:numLit>
          </c:yVal>
          <c:smooth val="0"/>
          <c:extLst>
            <c:ext xmlns:c16="http://schemas.microsoft.com/office/drawing/2014/chart" uri="{C3380CC4-5D6E-409C-BE32-E72D297353CC}">
              <c16:uniqueId val="{00000084-C07B-4F20-9308-384FC76246E3}"/>
            </c:ext>
          </c:extLst>
        </c:ser>
        <c:ser>
          <c:idx val="83"/>
          <c:order val="83"/>
          <c:tx>
            <c:v>WB=10</c:v>
          </c:tx>
          <c:spPr>
            <a:ln w="3175">
              <a:solidFill>
                <a:srgbClr val="3366FF"/>
              </a:solidFill>
              <a:prstDash val="sysDash"/>
            </a:ln>
          </c:spPr>
          <c:marker>
            <c:symbol val="none"/>
          </c:marker>
          <c:dLbls>
            <c:dLbl>
              <c:idx val="0"/>
              <c:layout>
                <c:manualLayout>
                  <c:x val="-2.7592683727034186E-2"/>
                  <c:y val="-4.273504273504195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5-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9.4334500278774112</c:v>
              </c:pt>
              <c:pt idx="1">
                <c:v>28.867789353857855</c:v>
              </c:pt>
            </c:numLit>
          </c:xVal>
          <c:yVal>
            <c:numLit>
              <c:formatCode>General</c:formatCode>
              <c:ptCount val="2"/>
              <c:pt idx="0">
                <c:v>7.6606084940231836E-3</c:v>
              </c:pt>
              <c:pt idx="1">
                <c:v>0</c:v>
              </c:pt>
            </c:numLit>
          </c:yVal>
          <c:smooth val="0"/>
          <c:extLst>
            <c:ext xmlns:c16="http://schemas.microsoft.com/office/drawing/2014/chart" uri="{C3380CC4-5D6E-409C-BE32-E72D297353CC}">
              <c16:uniqueId val="{00000086-C07B-4F20-9308-384FC76246E3}"/>
            </c:ext>
          </c:extLst>
        </c:ser>
        <c:ser>
          <c:idx val="84"/>
          <c:order val="84"/>
          <c:tx>
            <c:v>WB=11</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7-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10.408979273270996</c:v>
              </c:pt>
              <c:pt idx="1">
                <c:v>31.168472308176845</c:v>
              </c:pt>
            </c:numLit>
          </c:xVal>
          <c:yVal>
            <c:numLit>
              <c:formatCode>General</c:formatCode>
              <c:ptCount val="2"/>
              <c:pt idx="0">
                <c:v>8.196399932304619E-3</c:v>
              </c:pt>
              <c:pt idx="1">
                <c:v>0</c:v>
              </c:pt>
            </c:numLit>
          </c:yVal>
          <c:smooth val="0"/>
          <c:extLst>
            <c:ext xmlns:c16="http://schemas.microsoft.com/office/drawing/2014/chart" uri="{C3380CC4-5D6E-409C-BE32-E72D297353CC}">
              <c16:uniqueId val="{00000088-C07B-4F20-9308-384FC76246E3}"/>
            </c:ext>
          </c:extLst>
        </c:ser>
        <c:ser>
          <c:idx val="85"/>
          <c:order val="85"/>
          <c:tx>
            <c:v>WB=12</c:v>
          </c:tx>
          <c:spPr>
            <a:ln w="3175">
              <a:solidFill>
                <a:srgbClr val="3366FF"/>
              </a:solidFill>
              <a:prstDash val="sysDash"/>
            </a:ln>
          </c:spPr>
          <c:marker>
            <c:symbol val="none"/>
          </c:marker>
          <c:dLbls>
            <c:dLbl>
              <c:idx val="0"/>
              <c:layout>
                <c:manualLayout>
                  <c:x val="-2.7592683727034186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9-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11.384149975978485</c:v>
              </c:pt>
              <c:pt idx="1">
                <c:v>33.548547031795728</c:v>
              </c:pt>
            </c:numLit>
          </c:xVal>
          <c:yVal>
            <c:numLit>
              <c:formatCode>General</c:formatCode>
              <c:ptCount val="2"/>
              <c:pt idx="0">
                <c:v>8.7654941166616391E-3</c:v>
              </c:pt>
              <c:pt idx="1">
                <c:v>0</c:v>
              </c:pt>
            </c:numLit>
          </c:yVal>
          <c:smooth val="0"/>
          <c:extLst>
            <c:ext xmlns:c16="http://schemas.microsoft.com/office/drawing/2014/chart" uri="{C3380CC4-5D6E-409C-BE32-E72D297353CC}">
              <c16:uniqueId val="{0000008A-C07B-4F20-9308-384FC76246E3}"/>
            </c:ext>
          </c:extLst>
        </c:ser>
        <c:ser>
          <c:idx val="86"/>
          <c:order val="86"/>
          <c:tx>
            <c:v>WB=13</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B-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12.359021518730225</c:v>
              </c:pt>
              <c:pt idx="1">
                <c:v>36.012282393767372</c:v>
              </c:pt>
            </c:numLit>
          </c:xVal>
          <c:yVal>
            <c:numLit>
              <c:formatCode>General</c:formatCode>
              <c:ptCount val="2"/>
              <c:pt idx="0">
                <c:v>9.3697232222812125E-3</c:v>
              </c:pt>
              <c:pt idx="1">
                <c:v>0</c:v>
              </c:pt>
            </c:numLit>
          </c:yVal>
          <c:smooth val="0"/>
          <c:extLst>
            <c:ext xmlns:c16="http://schemas.microsoft.com/office/drawing/2014/chart" uri="{C3380CC4-5D6E-409C-BE32-E72D297353CC}">
              <c16:uniqueId val="{0000008C-C07B-4F20-9308-384FC76246E3}"/>
            </c:ext>
          </c:extLst>
        </c:ser>
        <c:ser>
          <c:idx val="87"/>
          <c:order val="87"/>
          <c:tx>
            <c:v>WB=14</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D-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13.333660721764184</c:v>
              </c:pt>
              <c:pt idx="1">
                <c:v>38.564155654290701</c:v>
              </c:pt>
            </c:numLit>
          </c:xVal>
          <c:yVal>
            <c:numLit>
              <c:formatCode>General</c:formatCode>
              <c:ptCount val="2"/>
              <c:pt idx="0">
                <c:v>1.0011011259038697E-2</c:v>
              </c:pt>
              <c:pt idx="1">
                <c:v>0</c:v>
              </c:pt>
            </c:numLit>
          </c:yVal>
          <c:smooth val="0"/>
          <c:extLst>
            <c:ext xmlns:c16="http://schemas.microsoft.com/office/drawing/2014/chart" uri="{C3380CC4-5D6E-409C-BE32-E72D297353CC}">
              <c16:uniqueId val="{0000008E-C07B-4F20-9308-384FC76246E3}"/>
            </c:ext>
          </c:extLst>
        </c:ser>
        <c:ser>
          <c:idx val="88"/>
          <c:order val="88"/>
          <c:tx>
            <c:v>WB=15</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F-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14.308142384050468</c:v>
              </c:pt>
              <c:pt idx="1">
                <c:v>41.208863060972398</c:v>
              </c:pt>
            </c:numLit>
          </c:xVal>
          <c:yVal>
            <c:numLit>
              <c:formatCode>General</c:formatCode>
              <c:ptCount val="2"/>
              <c:pt idx="0">
                <c:v>1.0691378827115674E-2</c:v>
              </c:pt>
              <c:pt idx="1">
                <c:v>0</c:v>
              </c:pt>
            </c:numLit>
          </c:yVal>
          <c:smooth val="0"/>
          <c:extLst>
            <c:ext xmlns:c16="http://schemas.microsoft.com/office/drawing/2014/chart" uri="{C3380CC4-5D6E-409C-BE32-E72D297353CC}">
              <c16:uniqueId val="{00000090-C07B-4F20-9308-384FC76246E3}"/>
            </c:ext>
          </c:extLst>
        </c:ser>
        <c:ser>
          <c:idx val="89"/>
          <c:order val="89"/>
          <c:tx>
            <c:v>WB=16</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1-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15.28254985732468</c:v>
              </c:pt>
              <c:pt idx="1">
                <c:v>43.951331156248742</c:v>
              </c:pt>
            </c:numLit>
          </c:xVal>
          <c:yVal>
            <c:numLit>
              <c:formatCode>General</c:formatCode>
              <c:ptCount val="2"/>
              <c:pt idx="0">
                <c:v>1.1412948189933141E-2</c:v>
              </c:pt>
              <c:pt idx="1">
                <c:v>0</c:v>
              </c:pt>
            </c:numLit>
          </c:yVal>
          <c:smooth val="0"/>
          <c:extLst>
            <c:ext xmlns:c16="http://schemas.microsoft.com/office/drawing/2014/chart" uri="{C3380CC4-5D6E-409C-BE32-E72D297353CC}">
              <c16:uniqueId val="{00000092-C07B-4F20-9308-384FC76246E3}"/>
            </c:ext>
          </c:extLst>
        </c:ser>
        <c:ser>
          <c:idx val="90"/>
          <c:order val="90"/>
          <c:tx>
            <c:v>WB=17</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3-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16.256975655314989</c:v>
              </c:pt>
              <c:pt idx="1">
                <c:v>46.796728859883913</c:v>
              </c:pt>
            </c:numLit>
          </c:xVal>
          <c:yVal>
            <c:numLit>
              <c:formatCode>General</c:formatCode>
              <c:ptCount val="2"/>
              <c:pt idx="0">
                <c:v>1.2177948692621697E-2</c:v>
              </c:pt>
              <c:pt idx="1">
                <c:v>0</c:v>
              </c:pt>
            </c:numLit>
          </c:yVal>
          <c:smooth val="0"/>
          <c:extLst>
            <c:ext xmlns:c16="http://schemas.microsoft.com/office/drawing/2014/chart" uri="{C3380CC4-5D6E-409C-BE32-E72D297353CC}">
              <c16:uniqueId val="{00000094-C07B-4F20-9308-384FC76246E3}"/>
            </c:ext>
          </c:extLst>
        </c:ser>
        <c:ser>
          <c:idx val="91"/>
          <c:order val="91"/>
          <c:tx>
            <c:v>WB=18</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5-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17.231522100796575</c:v>
              </c:pt>
              <c:pt idx="1">
                <c:v>49.750480396907207</c:v>
              </c:pt>
            </c:numLit>
          </c:xVal>
          <c:yVal>
            <c:numLit>
              <c:formatCode>General</c:formatCode>
              <c:ptCount val="2"/>
              <c:pt idx="0">
                <c:v>1.29887225571009E-2</c:v>
              </c:pt>
              <c:pt idx="1">
                <c:v>0</c:v>
              </c:pt>
            </c:numLit>
          </c:yVal>
          <c:smooth val="0"/>
          <c:extLst>
            <c:ext xmlns:c16="http://schemas.microsoft.com/office/drawing/2014/chart" uri="{C3380CC4-5D6E-409C-BE32-E72D297353CC}">
              <c16:uniqueId val="{00000096-C07B-4F20-9308-384FC76246E3}"/>
            </c:ext>
          </c:extLst>
        </c:ser>
        <c:ser>
          <c:idx val="92"/>
          <c:order val="92"/>
          <c:tx>
            <c:v>WB=19</c:v>
          </c:tx>
          <c:spPr>
            <a:ln w="3175">
              <a:solidFill>
                <a:srgbClr val="3366FF"/>
              </a:solidFill>
              <a:prstDash val="sysDash"/>
            </a:ln>
          </c:spPr>
          <c:marker>
            <c:symbol val="none"/>
          </c:marker>
          <c:dLbls>
            <c:dLbl>
              <c:idx val="0"/>
              <c:layout>
                <c:manualLayout>
                  <c:x val="-2.7592683727034186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7-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18.206302013385113</c:v>
              </c:pt>
              <c:pt idx="1">
                <c:v>50.000000000000007</c:v>
              </c:pt>
            </c:numLit>
          </c:xVal>
          <c:yVal>
            <c:numLit>
              <c:formatCode>General</c:formatCode>
              <c:ptCount val="2"/>
              <c:pt idx="0">
                <c:v>1.3847731088008679E-2</c:v>
              </c:pt>
              <c:pt idx="1">
                <c:v>1.127551067863415E-3</c:v>
              </c:pt>
            </c:numLit>
          </c:yVal>
          <c:smooth val="0"/>
          <c:extLst>
            <c:ext xmlns:c16="http://schemas.microsoft.com/office/drawing/2014/chart" uri="{C3380CC4-5D6E-409C-BE32-E72D297353CC}">
              <c16:uniqueId val="{00000098-C07B-4F20-9308-384FC76246E3}"/>
            </c:ext>
          </c:extLst>
        </c:ser>
        <c:ser>
          <c:idx val="93"/>
          <c:order val="93"/>
          <c:tx>
            <c:v>WB=20</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9-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19.181439441292415</c:v>
              </c:pt>
              <c:pt idx="1">
                <c:v>50</c:v>
              </c:pt>
            </c:numLit>
          </c:xVal>
          <c:yVal>
            <c:numLit>
              <c:formatCode>General</c:formatCode>
              <c:ptCount val="2"/>
              <c:pt idx="0">
                <c:v>1.4757561327237089E-2</c:v>
              </c:pt>
              <c:pt idx="1">
                <c:v>2.4069582383148052E-3</c:v>
              </c:pt>
            </c:numLit>
          </c:yVal>
          <c:smooth val="0"/>
          <c:extLst>
            <c:ext xmlns:c16="http://schemas.microsoft.com/office/drawing/2014/chart" uri="{C3380CC4-5D6E-409C-BE32-E72D297353CC}">
              <c16:uniqueId val="{0000009A-C07B-4F20-9308-384FC76246E3}"/>
            </c:ext>
          </c:extLst>
        </c:ser>
        <c:ser>
          <c:idx val="94"/>
          <c:order val="94"/>
          <c:tx>
            <c:v>WB=21</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B-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20.157070440616</c:v>
              </c:pt>
              <c:pt idx="1">
                <c:v>50.000000000000007</c:v>
              </c:pt>
            </c:numLit>
          </c:xVal>
          <c:yVal>
            <c:numLit>
              <c:formatCode>General</c:formatCode>
              <c:ptCount val="2"/>
              <c:pt idx="0">
                <c:v>1.5720933198745006E-2</c:v>
              </c:pt>
              <c:pt idx="1">
                <c:v>3.7413398009154331E-3</c:v>
              </c:pt>
            </c:numLit>
          </c:yVal>
          <c:smooth val="0"/>
          <c:extLst>
            <c:ext xmlns:c16="http://schemas.microsoft.com/office/drawing/2014/chart" uri="{C3380CC4-5D6E-409C-BE32-E72D297353CC}">
              <c16:uniqueId val="{0000009C-C07B-4F20-9308-384FC76246E3}"/>
            </c:ext>
          </c:extLst>
        </c:ser>
        <c:ser>
          <c:idx val="95"/>
          <c:order val="95"/>
          <c:tx>
            <c:v>WB=22</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D-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21.133343906124985</c:v>
              </c:pt>
              <c:pt idx="1">
                <c:v>50</c:v>
              </c:pt>
            </c:numLit>
          </c:xVal>
          <c:yVal>
            <c:numLit>
              <c:formatCode>General</c:formatCode>
              <c:ptCount val="2"/>
              <c:pt idx="0">
                <c:v>1.6740707189674783E-2</c:v>
              </c:pt>
              <c:pt idx="1">
                <c:v>5.1336233039210857E-3</c:v>
              </c:pt>
            </c:numLit>
          </c:yVal>
          <c:smooth val="0"/>
          <c:extLst>
            <c:ext xmlns:c16="http://schemas.microsoft.com/office/drawing/2014/chart" uri="{C3380CC4-5D6E-409C-BE32-E72D297353CC}">
              <c16:uniqueId val="{0000009E-C07B-4F20-9308-384FC76246E3}"/>
            </c:ext>
          </c:extLst>
        </c:ser>
        <c:ser>
          <c:idx val="96"/>
          <c:order val="96"/>
          <c:tx>
            <c:v>湿球温度座標軸ラベル</c:v>
          </c:tx>
          <c:spPr>
            <a:ln w="3175">
              <a:solidFill>
                <a:srgbClr val="000000"/>
              </a:solidFill>
              <a:prstDash val="solid"/>
            </a:ln>
          </c:spPr>
          <c:marker>
            <c:symbol val="none"/>
          </c:marker>
          <c:dLbls>
            <c:dLbl>
              <c:idx val="0"/>
              <c:layout>
                <c:manualLayout>
                  <c:x val="-7.0025973315835516E-2"/>
                  <c:y val="-7.8346673280123027E-17"/>
                </c:manualLayout>
              </c:layout>
              <c:tx>
                <c:rich>
                  <a:bodyPr rot="17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湿球温度 </a:t>
                    </a:r>
                    <a:r>
                      <a:rPr lang="en-US"/>
                      <a:t>t' [℃]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F-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41.627868005036369</c:v>
              </c:pt>
            </c:numLit>
          </c:xVal>
          <c:yVal>
            <c:numLit>
              <c:formatCode>General</c:formatCode>
              <c:ptCount val="1"/>
              <c:pt idx="0">
                <c:v>8.5000000000000006E-3</c:v>
              </c:pt>
            </c:numLit>
          </c:yVal>
          <c:smooth val="0"/>
          <c:extLst>
            <c:ext xmlns:c16="http://schemas.microsoft.com/office/drawing/2014/chart" uri="{C3380CC4-5D6E-409C-BE32-E72D297353CC}">
              <c16:uniqueId val="{000000A0-C07B-4F20-9308-384FC76246E3}"/>
            </c:ext>
          </c:extLst>
        </c:ser>
        <c:ser>
          <c:idx val="97"/>
          <c:order val="97"/>
          <c:tx>
            <c:v>WB=23</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1-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22.110422457943038</c:v>
              </c:pt>
              <c:pt idx="1">
                <c:v>50.000000000000007</c:v>
              </c:pt>
            </c:numLit>
          </c:xVal>
          <c:yVal>
            <c:numLit>
              <c:formatCode>General</c:formatCode>
              <c:ptCount val="2"/>
              <c:pt idx="0">
                <c:v>1.7819892618663919E-2</c:v>
              </c:pt>
              <c:pt idx="1">
                <c:v>6.5868911047607297E-3</c:v>
              </c:pt>
            </c:numLit>
          </c:yVal>
          <c:smooth val="0"/>
          <c:extLst>
            <c:ext xmlns:c16="http://schemas.microsoft.com/office/drawing/2014/chart" uri="{C3380CC4-5D6E-409C-BE32-E72D297353CC}">
              <c16:uniqueId val="{000000A2-C07B-4F20-9308-384FC76246E3}"/>
            </c:ext>
          </c:extLst>
        </c:ser>
        <c:ser>
          <c:idx val="98"/>
          <c:order val="98"/>
          <c:tx>
            <c:v>WB=24</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3-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23.088483389020517</c:v>
              </c:pt>
              <c:pt idx="1">
                <c:v>50</c:v>
              </c:pt>
            </c:numLit>
          </c:xVal>
          <c:yVal>
            <c:numLit>
              <c:formatCode>General</c:formatCode>
              <c:ptCount val="2"/>
              <c:pt idx="0">
                <c:v>1.8961656547670749E-2</c:v>
              </c:pt>
              <c:pt idx="1">
                <c:v>8.1043897142882119E-3</c:v>
              </c:pt>
            </c:numLit>
          </c:yVal>
          <c:smooth val="0"/>
          <c:extLst>
            <c:ext xmlns:c16="http://schemas.microsoft.com/office/drawing/2014/chart" uri="{C3380CC4-5D6E-409C-BE32-E72D297353CC}">
              <c16:uniqueId val="{000000A4-C07B-4F20-9308-384FC76246E3}"/>
            </c:ext>
          </c:extLst>
        </c:ser>
        <c:ser>
          <c:idx val="99"/>
          <c:order val="99"/>
          <c:tx>
            <c:v>WB=25</c:v>
          </c:tx>
          <c:spPr>
            <a:ln w="3175">
              <a:solidFill>
                <a:srgbClr val="3366FF"/>
              </a:solidFill>
              <a:prstDash val="sysDash"/>
            </a:ln>
          </c:spPr>
          <c:marker>
            <c:symbol val="none"/>
          </c:marker>
          <c:dLbls>
            <c:dLbl>
              <c:idx val="0"/>
              <c:layout>
                <c:manualLayout>
                  <c:x val="-2.7678258967629047E-2"/>
                  <c:y val="-4.273504273504352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5-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24.067719678840426</c:v>
              </c:pt>
              <c:pt idx="1">
                <c:v>50</c:v>
              </c:pt>
            </c:numLit>
          </c:xVal>
          <c:yVal>
            <c:numLit>
              <c:formatCode>General</c:formatCode>
              <c:ptCount val="2"/>
              <c:pt idx="0">
                <c:v>2.0169333399710391E-2</c:v>
              </c:pt>
              <c:pt idx="1">
                <c:v>9.6895398780736056E-3</c:v>
              </c:pt>
            </c:numLit>
          </c:yVal>
          <c:smooth val="0"/>
          <c:extLst>
            <c:ext xmlns:c16="http://schemas.microsoft.com/office/drawing/2014/chart" uri="{C3380CC4-5D6E-409C-BE32-E72D297353CC}">
              <c16:uniqueId val="{000000A6-C07B-4F20-9308-384FC76246E3}"/>
            </c:ext>
          </c:extLst>
        </c:ser>
        <c:ser>
          <c:idx val="100"/>
          <c:order val="100"/>
          <c:tx>
            <c:v>WB=26</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7-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25.048321472690553</c:v>
              </c:pt>
              <c:pt idx="1">
                <c:v>50.000000000000007</c:v>
              </c:pt>
            </c:numLit>
          </c:xVal>
          <c:yVal>
            <c:numLit>
              <c:formatCode>General</c:formatCode>
              <c:ptCount val="2"/>
              <c:pt idx="0">
                <c:v>2.1446877205943158E-2</c:v>
              </c:pt>
              <c:pt idx="1">
                <c:v>1.1346381384148981E-2</c:v>
              </c:pt>
            </c:numLit>
          </c:yVal>
          <c:smooth val="0"/>
          <c:extLst>
            <c:ext xmlns:c16="http://schemas.microsoft.com/office/drawing/2014/chart" uri="{C3380CC4-5D6E-409C-BE32-E72D297353CC}">
              <c16:uniqueId val="{000000A8-C07B-4F20-9308-384FC76246E3}"/>
            </c:ext>
          </c:extLst>
        </c:ser>
        <c:ser>
          <c:idx val="101"/>
          <c:order val="101"/>
          <c:tx>
            <c:v>WB=27</c:v>
          </c:tx>
          <c:spPr>
            <a:ln w="3175">
              <a:solidFill>
                <a:srgbClr val="3366FF"/>
              </a:solidFill>
              <a:prstDash val="sysDash"/>
            </a:ln>
          </c:spPr>
          <c:marker>
            <c:symbol val="none"/>
          </c:marker>
          <c:dLbls>
            <c:dLbl>
              <c:idx val="0"/>
              <c:layout>
                <c:manualLayout>
                  <c:x val="-2.767825896762911E-2"/>
                  <c:y val="-4.27350427350431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9-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26.030535251824297</c:v>
              </c:pt>
              <c:pt idx="1">
                <c:v>50</c:v>
              </c:pt>
            </c:numLit>
          </c:xVal>
          <c:yVal>
            <c:numLit>
              <c:formatCode>General</c:formatCode>
              <c:ptCount val="2"/>
              <c:pt idx="0">
                <c:v>2.2797604877624097E-2</c:v>
              </c:pt>
              <c:pt idx="1">
                <c:v>1.3078340322813551E-2</c:v>
              </c:pt>
            </c:numLit>
          </c:yVal>
          <c:smooth val="0"/>
          <c:extLst>
            <c:ext xmlns:c16="http://schemas.microsoft.com/office/drawing/2014/chart" uri="{C3380CC4-5D6E-409C-BE32-E72D297353CC}">
              <c16:uniqueId val="{000000AA-C07B-4F20-9308-384FC76246E3}"/>
            </c:ext>
          </c:extLst>
        </c:ser>
        <c:ser>
          <c:idx val="102"/>
          <c:order val="102"/>
          <c:tx>
            <c:v>WB=28</c:v>
          </c:tx>
          <c:spPr>
            <a:ln w="3175">
              <a:solidFill>
                <a:srgbClr val="3366FF"/>
              </a:solidFill>
              <a:prstDash val="sysDash"/>
            </a:ln>
          </c:spPr>
          <c:marker>
            <c:symbol val="none"/>
          </c:marker>
          <c:dLbls>
            <c:dLbl>
              <c:idx val="0"/>
              <c:layout>
                <c:manualLayout>
                  <c:x val="-2.767825896762911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B-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27.01460799871953</c:v>
              </c:pt>
              <c:pt idx="1">
                <c:v>50.000000000000007</c:v>
              </c:pt>
            </c:numLit>
          </c:xVal>
          <c:yVal>
            <c:numLit>
              <c:formatCode>General</c:formatCode>
              <c:ptCount val="2"/>
              <c:pt idx="0">
                <c:v>2.4225424078400493E-2</c:v>
              </c:pt>
              <c:pt idx="1">
                <c:v>1.4889434478430795E-2</c:v>
              </c:pt>
            </c:numLit>
          </c:yVal>
          <c:smooth val="0"/>
          <c:extLst>
            <c:ext xmlns:c16="http://schemas.microsoft.com/office/drawing/2014/chart" uri="{C3380CC4-5D6E-409C-BE32-E72D297353CC}">
              <c16:uniqueId val="{000000AC-C07B-4F20-9308-384FC76246E3}"/>
            </c:ext>
          </c:extLst>
        </c:ser>
        <c:ser>
          <c:idx val="103"/>
          <c:order val="103"/>
          <c:tx>
            <c:v>WB=29</c:v>
          </c:tx>
          <c:spPr>
            <a:ln w="3175">
              <a:solidFill>
                <a:srgbClr val="3366FF"/>
              </a:solidFill>
              <a:prstDash val="sysDash"/>
            </a:ln>
          </c:spPr>
          <c:marker>
            <c:symbol val="none"/>
          </c:marker>
          <c:dLbls>
            <c:dLbl>
              <c:idx val="0"/>
              <c:layout>
                <c:manualLayout>
                  <c:x val="-2.7678258967629047E-2"/>
                  <c:y val="-4.27350427350431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D-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28.000807254075735</c:v>
              </c:pt>
              <c:pt idx="1">
                <c:v>50.000000000000007</c:v>
              </c:pt>
            </c:numLit>
          </c:xVal>
          <c:yVal>
            <c:numLit>
              <c:formatCode>General</c:formatCode>
              <c:ptCount val="2"/>
              <c:pt idx="0">
                <c:v>2.5734457306702815E-2</c:v>
              </c:pt>
              <c:pt idx="1">
                <c:v>1.6783905580143949E-2</c:v>
              </c:pt>
            </c:numLit>
          </c:yVal>
          <c:smooth val="0"/>
          <c:extLst>
            <c:ext xmlns:c16="http://schemas.microsoft.com/office/drawing/2014/chart" uri="{C3380CC4-5D6E-409C-BE32-E72D297353CC}">
              <c16:uniqueId val="{000000AE-C07B-4F20-9308-384FC76246E3}"/>
            </c:ext>
          </c:extLst>
        </c:ser>
        <c:ser>
          <c:idx val="104"/>
          <c:order val="104"/>
          <c:tx>
            <c:v>WB=30</c:v>
          </c:tx>
          <c:spPr>
            <a:ln w="3175">
              <a:solidFill>
                <a:srgbClr val="3366FF"/>
              </a:solidFill>
              <a:prstDash val="sysDash"/>
            </a:ln>
          </c:spPr>
          <c:marker>
            <c:symbol val="none"/>
          </c:marker>
          <c:dLbls>
            <c:dLbl>
              <c:idx val="0"/>
              <c:layout>
                <c:manualLayout>
                  <c:x val="-2.7678258967629172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F-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28.989422570672435</c:v>
              </c:pt>
              <c:pt idx="1">
                <c:v>50.000000000000007</c:v>
              </c:pt>
            </c:numLit>
          </c:xVal>
          <c:yVal>
            <c:numLit>
              <c:formatCode>General</c:formatCode>
              <c:ptCount val="2"/>
              <c:pt idx="0">
                <c:v>2.73290562877294E-2</c:v>
              </c:pt>
              <c:pt idx="1">
                <c:v>1.876623436362267E-2</c:v>
              </c:pt>
            </c:numLit>
          </c:yVal>
          <c:smooth val="0"/>
          <c:extLst>
            <c:ext xmlns:c16="http://schemas.microsoft.com/office/drawing/2014/chart" uri="{C3380CC4-5D6E-409C-BE32-E72D297353CC}">
              <c16:uniqueId val="{000000B0-C07B-4F20-9308-384FC76246E3}"/>
            </c:ext>
          </c:extLst>
        </c:ser>
        <c:ser>
          <c:idx val="105"/>
          <c:order val="105"/>
          <c:tx>
            <c:v>WB=31</c:v>
          </c:tx>
          <c:spPr>
            <a:ln w="3175">
              <a:solidFill>
                <a:srgbClr val="3366FF"/>
              </a:solidFill>
              <a:prstDash val="sysDash"/>
            </a:ln>
          </c:spPr>
          <c:marker>
            <c:symbol val="none"/>
          </c:marker>
          <c:dLbls>
            <c:dLbl>
              <c:idx val="0"/>
              <c:layout>
                <c:manualLayout>
                  <c:x val="-2.7678258967629047E-2"/>
                  <c:y val="-4.27350427350429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1-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29.980767082589693</c:v>
              </c:pt>
              <c:pt idx="1">
                <c:v>50.000000000000007</c:v>
              </c:pt>
            </c:numLit>
          </c:xVal>
          <c:yVal>
            <c:numLit>
              <c:formatCode>General</c:formatCode>
              <c:ptCount val="2"/>
              <c:pt idx="0">
                <c:v>2.9013817626337573E-2</c:v>
              </c:pt>
              <c:pt idx="1">
                <c:v>2.0841156947637916E-2</c:v>
              </c:pt>
            </c:numLit>
          </c:yVal>
          <c:smooth val="0"/>
          <c:extLst>
            <c:ext xmlns:c16="http://schemas.microsoft.com/office/drawing/2014/chart" uri="{C3380CC4-5D6E-409C-BE32-E72D297353CC}">
              <c16:uniqueId val="{000000B2-C07B-4F20-9308-384FC76246E3}"/>
            </c:ext>
          </c:extLst>
        </c:ser>
        <c:ser>
          <c:idx val="106"/>
          <c:order val="106"/>
          <c:tx>
            <c:v>WB=32</c:v>
          </c:tx>
          <c:spPr>
            <a:ln w="3175">
              <a:solidFill>
                <a:srgbClr val="3366FF"/>
              </a:solidFill>
              <a:prstDash val="sysDash"/>
            </a:ln>
          </c:spPr>
          <c:marker>
            <c:symbol val="none"/>
          </c:marker>
          <c:dLbls>
            <c:dLbl>
              <c:idx val="0"/>
              <c:layout>
                <c:manualLayout>
                  <c:x val="-2.7678258967629172E-2"/>
                  <c:y val="-4.27350427350429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3-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30.975179201690683</c:v>
              </c:pt>
              <c:pt idx="1">
                <c:v>50</c:v>
              </c:pt>
            </c:numLit>
          </c:xVal>
          <c:yVal>
            <c:numLit>
              <c:formatCode>General</c:formatCode>
              <c:ptCount val="2"/>
              <c:pt idx="0">
                <c:v>3.0793599853619184E-2</c:v>
              </c:pt>
              <c:pt idx="1">
                <c:v>2.3013682663751679E-2</c:v>
              </c:pt>
            </c:numLit>
          </c:yVal>
          <c:smooth val="0"/>
          <c:extLst>
            <c:ext xmlns:c16="http://schemas.microsoft.com/office/drawing/2014/chart" uri="{C3380CC4-5D6E-409C-BE32-E72D297353CC}">
              <c16:uniqueId val="{000000B4-C07B-4F20-9308-384FC76246E3}"/>
            </c:ext>
          </c:extLst>
        </c:ser>
        <c:ser>
          <c:idx val="107"/>
          <c:order val="107"/>
          <c:tx>
            <c:v>WB=33</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5-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31.97302445473133</c:v>
              </c:pt>
              <c:pt idx="1">
                <c:v>50.000000000000007</c:v>
              </c:pt>
            </c:numLit>
          </c:xVal>
          <c:yVal>
            <c:numLit>
              <c:formatCode>General</c:formatCode>
              <c:ptCount val="2"/>
              <c:pt idx="0">
                <c:v>3.2673542015821677E-2</c:v>
              </c:pt>
              <c:pt idx="1">
                <c:v>2.5289113493966509E-2</c:v>
              </c:pt>
            </c:numLit>
          </c:yVal>
          <c:smooth val="0"/>
          <c:extLst>
            <c:ext xmlns:c16="http://schemas.microsoft.com/office/drawing/2014/chart" uri="{C3380CC4-5D6E-409C-BE32-E72D297353CC}">
              <c16:uniqueId val="{000000B6-C07B-4F20-9308-384FC76246E3}"/>
            </c:ext>
          </c:extLst>
        </c:ser>
        <c:ser>
          <c:idx val="108"/>
          <c:order val="108"/>
          <c:tx>
            <c:v>WB=34</c:v>
          </c:tx>
          <c:spPr>
            <a:ln w="3175">
              <a:solidFill>
                <a:srgbClr val="3366FF"/>
              </a:solidFill>
              <a:prstDash val="sysDash"/>
            </a:ln>
          </c:spPr>
          <c:marker>
            <c:symbol val="none"/>
          </c:marker>
          <c:xVal>
            <c:numLit>
              <c:formatCode>General</c:formatCode>
              <c:ptCount val="2"/>
              <c:pt idx="0">
                <c:v>32.974697476126913</c:v>
              </c:pt>
              <c:pt idx="1">
                <c:v>50</c:v>
              </c:pt>
            </c:numLit>
          </c:xVal>
          <c:yVal>
            <c:numLit>
              <c:formatCode>General</c:formatCode>
              <c:ptCount val="2"/>
              <c:pt idx="0">
                <c:v>3.4659083972322924E-2</c:v>
              </c:pt>
              <c:pt idx="1">
                <c:v>2.7673065289994456E-2</c:v>
              </c:pt>
            </c:numLit>
          </c:yVal>
          <c:smooth val="0"/>
          <c:extLst>
            <c:ext xmlns:c16="http://schemas.microsoft.com/office/drawing/2014/chart" uri="{C3380CC4-5D6E-409C-BE32-E72D297353CC}">
              <c16:uniqueId val="{000000B7-C07B-4F20-9308-384FC76246E3}"/>
            </c:ext>
          </c:extLst>
        </c:ser>
        <c:ser>
          <c:idx val="109"/>
          <c:order val="109"/>
          <c:tx>
            <c:v>WB=</c:v>
          </c:tx>
          <c:spPr>
            <a:ln w="3175">
              <a:solidFill>
                <a:srgbClr val="3366FF"/>
              </a:solidFill>
              <a:prstDash val="sysDash"/>
            </a:ln>
          </c:spPr>
          <c:marker>
            <c:symbol val="none"/>
          </c:marker>
          <c:xVal>
            <c:numLit>
              <c:formatCode>General</c:formatCode>
              <c:ptCount val="2"/>
              <c:pt idx="0">
                <c:v>-0.34054167287274817</c:v>
              </c:pt>
              <c:pt idx="1">
                <c:v>9.4387305875737741</c:v>
              </c:pt>
            </c:numLit>
          </c:xVal>
          <c:yVal>
            <c:numLit>
              <c:formatCode>General</c:formatCode>
              <c:ptCount val="2"/>
              <c:pt idx="0">
                <c:v>3.7926394193890894E-3</c:v>
              </c:pt>
              <c:pt idx="1">
                <c:v>0</c:v>
              </c:pt>
            </c:numLit>
          </c:yVal>
          <c:smooth val="0"/>
          <c:extLst>
            <c:ext xmlns:c16="http://schemas.microsoft.com/office/drawing/2014/chart" uri="{C3380CC4-5D6E-409C-BE32-E72D297353CC}">
              <c16:uniqueId val="{000000B8-C07B-4F20-9308-384FC76246E3}"/>
            </c:ext>
          </c:extLst>
        </c:ser>
        <c:ser>
          <c:idx val="110"/>
          <c:order val="110"/>
          <c:tx>
            <c:v>３重点（水）</c:v>
          </c:tx>
          <c:spPr>
            <a:ln w="3175">
              <a:solidFill>
                <a:srgbClr val="000000"/>
              </a:solidFill>
              <a:prstDash val="solid"/>
            </a:ln>
          </c:spPr>
          <c:marker>
            <c:symbol val="none"/>
          </c:marker>
          <c:dLbls>
            <c:dLbl>
              <c:idx val="0"/>
              <c:layout>
                <c:manualLayout>
                  <c:x val="-5.8654445538057771E-2"/>
                  <c:y val="0"/>
                </c:manualLayout>
              </c:layout>
              <c:tx>
                <c:rich>
                  <a:bodyPr rot="1680000" vertOverflow="overflow" horzOverflow="overflow" vert="horz" wrap="none" lIns="0" tIns="0" rIns="0" bIns="0" anchor="ctr">
                    <a:spAutoFit/>
                  </a:bodyPr>
                  <a:lstStyle/>
                  <a:p>
                    <a:pPr algn="ctr">
                      <a:defRPr altLang="ja-JP" sz="500" b="0" i="1">
                        <a:solidFill>
                          <a:srgbClr val="000000"/>
                        </a:solidFill>
                        <a:latin typeface="ＭＳ Ｐ明朝"/>
                        <a:ea typeface="ＭＳ Ｐ明朝"/>
                        <a:cs typeface="ＭＳ Ｐ明朝"/>
                      </a:defRPr>
                    </a:pPr>
                    <a:r>
                      <a:rPr lang="en-US" altLang="ja-JP"/>
                      <a:t>0.01[℃](</a:t>
                    </a:r>
                    <a:r>
                      <a:rPr lang="ja-JP" altLang="en-US"/>
                      <a:t>水</a:t>
                    </a:r>
                    <a:r>
                      <a:rPr lang="en-US" altLang="ja-JP"/>
                      <a:t>)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9-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8.4073357008938547</c:v>
              </c:pt>
            </c:numLit>
          </c:xVal>
          <c:yVal>
            <c:numLit>
              <c:formatCode>General</c:formatCode>
              <c:ptCount val="1"/>
              <c:pt idx="0">
                <c:v>4.0000000000000002E-4</c:v>
              </c:pt>
            </c:numLit>
          </c:yVal>
          <c:smooth val="0"/>
          <c:extLst>
            <c:ext xmlns:c16="http://schemas.microsoft.com/office/drawing/2014/chart" uri="{C3380CC4-5D6E-409C-BE32-E72D297353CC}">
              <c16:uniqueId val="{000000BA-C07B-4F20-9308-384FC76246E3}"/>
            </c:ext>
          </c:extLst>
        </c:ser>
        <c:ser>
          <c:idx val="111"/>
          <c:order val="111"/>
          <c:tx>
            <c:v>v=0.74</c:v>
          </c:tx>
          <c:spPr>
            <a:ln w="3175">
              <a:solidFill>
                <a:srgbClr val="008000"/>
              </a:solidFill>
              <a:prstDash val="sysDash"/>
            </a:ln>
          </c:spPr>
          <c:marker>
            <c:symbol val="none"/>
          </c:marker>
          <c:dLbls>
            <c:dLbl>
              <c:idx val="0"/>
              <c:layout>
                <c:manualLayout>
                  <c:x val="5.208333333333333E-3"/>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B-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-10.874709529952851</c:v>
              </c:pt>
              <c:pt idx="1">
                <c:v>-12.627751070674329</c:v>
              </c:pt>
            </c:numLit>
          </c:xVal>
          <c:yVal>
            <c:numLit>
              <c:formatCode>General</c:formatCode>
              <c:ptCount val="2"/>
              <c:pt idx="0">
                <c:v>-2E-3</c:v>
              </c:pt>
              <c:pt idx="1">
                <c:v>1.2790120976206793E-3</c:v>
              </c:pt>
            </c:numLit>
          </c:yVal>
          <c:smooth val="0"/>
          <c:extLst>
            <c:ext xmlns:c16="http://schemas.microsoft.com/office/drawing/2014/chart" uri="{C3380CC4-5D6E-409C-BE32-E72D297353CC}">
              <c16:uniqueId val="{000000BC-C07B-4F20-9308-384FC76246E3}"/>
            </c:ext>
          </c:extLst>
        </c:ser>
        <c:ser>
          <c:idx val="112"/>
          <c:order val="112"/>
          <c:tx>
            <c:v>v=0.75</c:v>
          </c:tx>
          <c:spPr>
            <a:ln w="3175">
              <a:solidFill>
                <a:srgbClr val="008000"/>
              </a:solidFill>
              <a:prstDash val="sysDash"/>
            </a:ln>
          </c:spPr>
          <c:marker>
            <c:symbol val="none"/>
          </c:marker>
          <c:dLbls>
            <c:dLbl>
              <c:idx val="0"/>
              <c:layout>
                <c:manualLayout>
                  <c:x val="-2.0516595581802282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0.75</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D-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-7.346503939454391</c:v>
              </c:pt>
              <c:pt idx="1">
                <c:v>-9.3395938494272617</c:v>
              </c:pt>
            </c:numLit>
          </c:xVal>
          <c:yVal>
            <c:numLit>
              <c:formatCode>General</c:formatCode>
              <c:ptCount val="2"/>
              <c:pt idx="0">
                <c:v>-2E-3</c:v>
              </c:pt>
              <c:pt idx="1">
                <c:v>1.7336224881504504E-3</c:v>
              </c:pt>
            </c:numLit>
          </c:yVal>
          <c:smooth val="0"/>
          <c:extLst>
            <c:ext xmlns:c16="http://schemas.microsoft.com/office/drawing/2014/chart" uri="{C3380CC4-5D6E-409C-BE32-E72D297353CC}">
              <c16:uniqueId val="{000000BE-C07B-4F20-9308-384FC76246E3}"/>
            </c:ext>
          </c:extLst>
        </c:ser>
        <c:ser>
          <c:idx val="113"/>
          <c:order val="113"/>
          <c:tx>
            <c:v>v=0.76</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F-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-3.818269416168651</c:v>
              </c:pt>
              <c:pt idx="1">
                <c:v>-6.119387602312834</c:v>
              </c:pt>
            </c:numLit>
          </c:xVal>
          <c:yVal>
            <c:numLit>
              <c:formatCode>General</c:formatCode>
              <c:ptCount val="2"/>
              <c:pt idx="0">
                <c:v>-2E-3</c:v>
              </c:pt>
              <c:pt idx="1">
                <c:v>2.3170227284918499E-3</c:v>
              </c:pt>
            </c:numLit>
          </c:yVal>
          <c:smooth val="0"/>
          <c:extLst>
            <c:ext xmlns:c16="http://schemas.microsoft.com/office/drawing/2014/chart" uri="{C3380CC4-5D6E-409C-BE32-E72D297353CC}">
              <c16:uniqueId val="{000000C0-C07B-4F20-9308-384FC76246E3}"/>
            </c:ext>
          </c:extLst>
        </c:ser>
        <c:ser>
          <c:idx val="114"/>
          <c:order val="114"/>
          <c:tx>
            <c:v>v=0.77</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0.77</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1-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-0.29000596009563406</c:v>
              </c:pt>
              <c:pt idx="1">
                <c:v>-2.9645734567715794</c:v>
              </c:pt>
            </c:numLit>
          </c:xVal>
          <c:yVal>
            <c:numLit>
              <c:formatCode>General</c:formatCode>
              <c:ptCount val="2"/>
              <c:pt idx="0">
                <c:v>-2E-3</c:v>
              </c:pt>
              <c:pt idx="1">
                <c:v>3.0249300014924445E-3</c:v>
              </c:pt>
            </c:numLit>
          </c:yVal>
          <c:smooth val="0"/>
          <c:extLst>
            <c:ext xmlns:c16="http://schemas.microsoft.com/office/drawing/2014/chart" uri="{C3380CC4-5D6E-409C-BE32-E72D297353CC}">
              <c16:uniqueId val="{000000C2-C07B-4F20-9308-384FC76246E3}"/>
            </c:ext>
          </c:extLst>
        </c:ser>
        <c:ser>
          <c:idx val="115"/>
          <c:order val="115"/>
          <c:tx>
            <c:v>v=0.78</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3-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3.2382960730270849</c:v>
              </c:pt>
              <c:pt idx="1">
                <c:v>0.10285584873451092</c:v>
              </c:pt>
            </c:numLit>
          </c:xVal>
          <c:yVal>
            <c:numLit>
              <c:formatCode>General</c:formatCode>
              <c:ptCount val="2"/>
              <c:pt idx="0">
                <c:v>-2E-3</c:v>
              </c:pt>
              <c:pt idx="1">
                <c:v>3.8991736467227744E-3</c:v>
              </c:pt>
            </c:numLit>
          </c:yVal>
          <c:smooth val="0"/>
          <c:extLst>
            <c:ext xmlns:c16="http://schemas.microsoft.com/office/drawing/2014/chart" uri="{C3380CC4-5D6E-409C-BE32-E72D297353CC}">
              <c16:uniqueId val="{000000C4-C07B-4F20-9308-384FC76246E3}"/>
            </c:ext>
          </c:extLst>
        </c:ser>
        <c:ser>
          <c:idx val="116"/>
          <c:order val="116"/>
          <c:tx>
            <c:v>v=0.79</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0.79</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5-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6.7666270389370791</c:v>
              </c:pt>
              <c:pt idx="1">
                <c:v>3.1098962435210065</c:v>
              </c:pt>
            </c:numLit>
          </c:xVal>
          <c:yVal>
            <c:numLit>
              <c:formatCode>General</c:formatCode>
              <c:ptCount val="2"/>
              <c:pt idx="0">
                <c:v>-2E-3</c:v>
              </c:pt>
              <c:pt idx="1">
                <c:v>4.8895504212206229E-3</c:v>
              </c:pt>
            </c:numLit>
          </c:yVal>
          <c:smooth val="0"/>
          <c:extLst>
            <c:ext xmlns:c16="http://schemas.microsoft.com/office/drawing/2014/chart" uri="{C3380CC4-5D6E-409C-BE32-E72D297353CC}">
              <c16:uniqueId val="{000000C6-C07B-4F20-9308-384FC76246E3}"/>
            </c:ext>
          </c:extLst>
        </c:ser>
        <c:ser>
          <c:idx val="117"/>
          <c:order val="117"/>
          <c:tx>
            <c:v>v=0.80</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7-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10.294991759765564</c:v>
              </c:pt>
              <c:pt idx="1">
                <c:v>6.0465363820865337</c:v>
              </c:pt>
            </c:numLit>
          </c:xVal>
          <c:yVal>
            <c:numLit>
              <c:formatCode>General</c:formatCode>
              <c:ptCount val="2"/>
              <c:pt idx="0">
                <c:v>-2E-3</c:v>
              </c:pt>
              <c:pt idx="1">
                <c:v>6.0153263481791579E-3</c:v>
              </c:pt>
            </c:numLit>
          </c:yVal>
          <c:smooth val="0"/>
          <c:extLst>
            <c:ext xmlns:c16="http://schemas.microsoft.com/office/drawing/2014/chart" uri="{C3380CC4-5D6E-409C-BE32-E72D297353CC}">
              <c16:uniqueId val="{000000C8-C07B-4F20-9308-384FC76246E3}"/>
            </c:ext>
          </c:extLst>
        </c:ser>
        <c:ser>
          <c:idx val="118"/>
          <c:order val="118"/>
          <c:tx>
            <c:v>v=0.81</c:v>
          </c:tx>
          <c:spPr>
            <a:ln w="3175">
              <a:solidFill>
                <a:srgbClr val="008000"/>
              </a:solidFill>
              <a:prstDash val="sysDash"/>
            </a:ln>
          </c:spPr>
          <c:marker>
            <c:symbol val="none"/>
          </c:marker>
          <c:dLbls>
            <c:dLbl>
              <c:idx val="0"/>
              <c:layout>
                <c:manualLayout>
                  <c:x val="-2.0516595581802338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0.81</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9-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13.823409524037386</c:v>
              </c:pt>
              <c:pt idx="1">
                <c:v>8.8676317339037034</c:v>
              </c:pt>
            </c:numLit>
          </c:xVal>
          <c:yVal>
            <c:numLit>
              <c:formatCode>General</c:formatCode>
              <c:ptCount val="2"/>
              <c:pt idx="0">
                <c:v>-2E-3</c:v>
              </c:pt>
              <c:pt idx="1">
                <c:v>7.3621000293178172E-3</c:v>
              </c:pt>
            </c:numLit>
          </c:yVal>
          <c:smooth val="0"/>
          <c:extLst>
            <c:ext xmlns:c16="http://schemas.microsoft.com/office/drawing/2014/chart" uri="{C3380CC4-5D6E-409C-BE32-E72D297353CC}">
              <c16:uniqueId val="{000000CA-C07B-4F20-9308-384FC76246E3}"/>
            </c:ext>
          </c:extLst>
        </c:ser>
        <c:ser>
          <c:idx val="119"/>
          <c:order val="119"/>
          <c:tx>
            <c:v>v=0.82</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B-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17.351875509621301</c:v>
              </c:pt>
              <c:pt idx="1">
                <c:v>11.5879733552514</c:v>
              </c:pt>
            </c:numLit>
          </c:xVal>
          <c:yVal>
            <c:numLit>
              <c:formatCode>General</c:formatCode>
              <c:ptCount val="2"/>
              <c:pt idx="0">
                <c:v>-2E-3</c:v>
              </c:pt>
              <c:pt idx="1">
                <c:v>8.9026055794627895E-3</c:v>
              </c:pt>
            </c:numLit>
          </c:yVal>
          <c:smooth val="0"/>
          <c:extLst>
            <c:ext xmlns:c16="http://schemas.microsoft.com/office/drawing/2014/chart" uri="{C3380CC4-5D6E-409C-BE32-E72D297353CC}">
              <c16:uniqueId val="{000000CC-C07B-4F20-9308-384FC76246E3}"/>
            </c:ext>
          </c:extLst>
        </c:ser>
        <c:ser>
          <c:idx val="120"/>
          <c:order val="120"/>
          <c:tx>
            <c:v>v=0.83</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0.83</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D-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20.880389716517374</c:v>
              </c:pt>
              <c:pt idx="1">
                <c:v>14.20996604398667</c:v>
              </c:pt>
            </c:numLit>
          </c:xVal>
          <c:yVal>
            <c:numLit>
              <c:formatCode>General</c:formatCode>
              <c:ptCount val="2"/>
              <c:pt idx="0">
                <c:v>-2E-3</c:v>
              </c:pt>
              <c:pt idx="1">
                <c:v>1.063281805822703E-2</c:v>
              </c:pt>
            </c:numLit>
          </c:yVal>
          <c:smooth val="0"/>
          <c:extLst>
            <c:ext xmlns:c16="http://schemas.microsoft.com/office/drawing/2014/chart" uri="{C3380CC4-5D6E-409C-BE32-E72D297353CC}">
              <c16:uniqueId val="{000000CE-C07B-4F20-9308-384FC76246E3}"/>
            </c:ext>
          </c:extLst>
        </c:ser>
        <c:ser>
          <c:idx val="121"/>
          <c:order val="121"/>
          <c:tx>
            <c:v>v=0.84</c:v>
          </c:tx>
          <c:spPr>
            <a:ln w="3175">
              <a:solidFill>
                <a:srgbClr val="008000"/>
              </a:solidFill>
              <a:prstDash val="sysDash"/>
            </a:ln>
          </c:spPr>
          <c:marker>
            <c:symbol val="none"/>
          </c:marker>
          <c:dLbls>
            <c:dLbl>
              <c:idx val="0"/>
              <c:layout>
                <c:manualLayout>
                  <c:x val="-2.0516595581802338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F-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24.408952144725578</c:v>
              </c:pt>
              <c:pt idx="1">
                <c:v>16.735689922847381</c:v>
              </c:pt>
            </c:numLit>
          </c:xVal>
          <c:yVal>
            <c:numLit>
              <c:formatCode>General</c:formatCode>
              <c:ptCount val="2"/>
              <c:pt idx="0">
                <c:v>-2E-3</c:v>
              </c:pt>
              <c:pt idx="1">
                <c:v>1.2549255938049455E-2</c:v>
              </c:pt>
            </c:numLit>
          </c:yVal>
          <c:smooth val="0"/>
          <c:extLst>
            <c:ext xmlns:c16="http://schemas.microsoft.com/office/drawing/2014/chart" uri="{C3380CC4-5D6E-409C-BE32-E72D297353CC}">
              <c16:uniqueId val="{000000D0-C07B-4F20-9308-384FC76246E3}"/>
            </c:ext>
          </c:extLst>
        </c:ser>
        <c:ser>
          <c:idx val="122"/>
          <c:order val="122"/>
          <c:tx>
            <c:v>v=0.85</c:v>
          </c:tx>
          <c:spPr>
            <a:ln w="3175">
              <a:solidFill>
                <a:srgbClr val="008000"/>
              </a:solidFill>
              <a:prstDash val="sysDash"/>
            </a:ln>
          </c:spPr>
          <c:marker>
            <c:symbol val="none"/>
          </c:marker>
          <c:dLbls>
            <c:dLbl>
              <c:idx val="0"/>
              <c:layout>
                <c:manualLayout>
                  <c:x val="-2.0516595581802403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0.85</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1-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27.937577260639554</c:v>
              </c:pt>
              <c:pt idx="1">
                <c:v>19.132489610197876</c:v>
              </c:pt>
            </c:numLit>
          </c:xVal>
          <c:yVal>
            <c:numLit>
              <c:formatCode>General</c:formatCode>
              <c:ptCount val="2"/>
              <c:pt idx="0">
                <c:v>-2E-3</c:v>
              </c:pt>
              <c:pt idx="1">
                <c:v>1.4714104666790764E-2</c:v>
              </c:pt>
            </c:numLit>
          </c:yVal>
          <c:smooth val="0"/>
          <c:extLst>
            <c:ext xmlns:c16="http://schemas.microsoft.com/office/drawing/2014/chart" uri="{C3380CC4-5D6E-409C-BE32-E72D297353CC}">
              <c16:uniqueId val="{000000D2-C07B-4F20-9308-384FC76246E3}"/>
            </c:ext>
          </c:extLst>
        </c:ser>
        <c:ser>
          <c:idx val="123"/>
          <c:order val="123"/>
          <c:tx>
            <c:v>v=0.86</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3-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31.466250597865653</c:v>
              </c:pt>
              <c:pt idx="1">
                <c:v>21.436637215870181</c:v>
              </c:pt>
            </c:numLit>
          </c:xVal>
          <c:yVal>
            <c:numLit>
              <c:formatCode>General</c:formatCode>
              <c:ptCount val="2"/>
              <c:pt idx="0">
                <c:v>-2E-3</c:v>
              </c:pt>
              <c:pt idx="1">
                <c:v>1.7059125433167451E-2</c:v>
              </c:pt>
            </c:numLit>
          </c:yVal>
          <c:smooth val="0"/>
          <c:extLst>
            <c:ext xmlns:c16="http://schemas.microsoft.com/office/drawing/2014/chart" uri="{C3380CC4-5D6E-409C-BE32-E72D297353CC}">
              <c16:uniqueId val="{000000D4-C07B-4F20-9308-384FC76246E3}"/>
            </c:ext>
          </c:extLst>
        </c:ser>
        <c:ser>
          <c:idx val="124"/>
          <c:order val="124"/>
          <c:tx>
            <c:v>v=0.87</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0.87</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5-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34.994981800666295</c:v>
              </c:pt>
              <c:pt idx="1">
                <c:v>23.626528674080483</c:v>
              </c:pt>
            </c:numLit>
          </c:xVal>
          <c:yVal>
            <c:numLit>
              <c:formatCode>General</c:formatCode>
              <c:ptCount val="2"/>
              <c:pt idx="0">
                <c:v>-2E-3</c:v>
              </c:pt>
              <c:pt idx="1">
                <c:v>1.9625497050405307E-2</c:v>
              </c:pt>
            </c:numLit>
          </c:yVal>
          <c:smooth val="0"/>
          <c:extLst>
            <c:ext xmlns:c16="http://schemas.microsoft.com/office/drawing/2014/chart" uri="{C3380CC4-5D6E-409C-BE32-E72D297353CC}">
              <c16:uniqueId val="{000000D6-C07B-4F20-9308-384FC76246E3}"/>
            </c:ext>
          </c:extLst>
        </c:ser>
        <c:ser>
          <c:idx val="125"/>
          <c:order val="125"/>
          <c:tx>
            <c:v>v=0.88</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7-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38.523761224779079</c:v>
              </c:pt>
              <c:pt idx="1">
                <c:v>25.72596822985491</c:v>
              </c:pt>
            </c:numLit>
          </c:xVal>
          <c:yVal>
            <c:numLit>
              <c:formatCode>General</c:formatCode>
              <c:ptCount val="2"/>
              <c:pt idx="0">
                <c:v>-2E-3</c:v>
              </c:pt>
              <c:pt idx="1">
                <c:v>2.2368358237637633E-2</c:v>
              </c:pt>
            </c:numLit>
          </c:yVal>
          <c:smooth val="0"/>
          <c:extLst>
            <c:ext xmlns:c16="http://schemas.microsoft.com/office/drawing/2014/chart" uri="{C3380CC4-5D6E-409C-BE32-E72D297353CC}">
              <c16:uniqueId val="{000000D8-C07B-4F20-9308-384FC76246E3}"/>
            </c:ext>
          </c:extLst>
        </c:ser>
        <c:ser>
          <c:idx val="126"/>
          <c:order val="126"/>
          <c:tx>
            <c:v>v=0.89</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0.89</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9-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42.052593692335194</c:v>
              </c:pt>
              <c:pt idx="1">
                <c:v>27.72425869616541</c:v>
              </c:pt>
            </c:numLit>
          </c:xVal>
          <c:yVal>
            <c:numLit>
              <c:formatCode>General</c:formatCode>
              <c:ptCount val="2"/>
              <c:pt idx="0">
                <c:v>-2E-3</c:v>
              </c:pt>
              <c:pt idx="1">
                <c:v>2.5308122919637729E-2</c:v>
              </c:pt>
            </c:numLit>
          </c:yVal>
          <c:smooth val="0"/>
          <c:extLst>
            <c:ext xmlns:c16="http://schemas.microsoft.com/office/drawing/2014/chart" uri="{C3380CC4-5D6E-409C-BE32-E72D297353CC}">
              <c16:uniqueId val="{000000DA-C07B-4F20-9308-384FC76246E3}"/>
            </c:ext>
          </c:extLst>
        </c:ser>
        <c:ser>
          <c:idx val="127"/>
          <c:order val="127"/>
          <c:tx>
            <c:v>v=0.90</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0.90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B-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45.581474381203442</c:v>
              </c:pt>
              <c:pt idx="1">
                <c:v>29.633142341393423</c:v>
              </c:pt>
            </c:numLit>
          </c:xVal>
          <c:yVal>
            <c:numLit>
              <c:formatCode>General</c:formatCode>
              <c:ptCount val="2"/>
              <c:pt idx="0">
                <c:v>-2E-3</c:v>
              </c:pt>
              <c:pt idx="1">
                <c:v>2.8422628005840736E-2</c:v>
              </c:pt>
            </c:numLit>
          </c:yVal>
          <c:smooth val="0"/>
          <c:extLst>
            <c:ext xmlns:c16="http://schemas.microsoft.com/office/drawing/2014/chart" uri="{C3380CC4-5D6E-409C-BE32-E72D297353CC}">
              <c16:uniqueId val="{000000DC-C07B-4F20-9308-384FC76246E3}"/>
            </c:ext>
          </c:extLst>
        </c:ser>
        <c:ser>
          <c:idx val="128"/>
          <c:order val="128"/>
          <c:tx>
            <c:v>比容積座標軸ラベル</c:v>
          </c:tx>
          <c:spPr>
            <a:ln w="3175">
              <a:solidFill>
                <a:srgbClr val="000000"/>
              </a:solidFill>
              <a:prstDash val="solid"/>
            </a:ln>
          </c:spPr>
          <c:marker>
            <c:symbol val="none"/>
          </c:marker>
          <c:dLbls>
            <c:dLbl>
              <c:idx val="0"/>
              <c:layout>
                <c:manualLayout>
                  <c:x val="-6.1712325021872266E-2"/>
                  <c:y val="-1.5669334656024605E-16"/>
                </c:manualLayout>
              </c:layout>
              <c:tx>
                <c:rich>
                  <a:bodyPr rot="41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比容積 </a:t>
                    </a:r>
                    <a:r>
                      <a:rPr lang="en-US"/>
                      <a:t>v [㎥/kg(DA)]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D-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42.563511521595515</c:v>
              </c:pt>
            </c:numLit>
          </c:xVal>
          <c:yVal>
            <c:numLit>
              <c:formatCode>General</c:formatCode>
              <c:ptCount val="1"/>
              <c:pt idx="0">
                <c:v>3.7777777777777779E-3</c:v>
              </c:pt>
            </c:numLit>
          </c:yVal>
          <c:smooth val="0"/>
          <c:extLst>
            <c:ext xmlns:c16="http://schemas.microsoft.com/office/drawing/2014/chart" uri="{C3380CC4-5D6E-409C-BE32-E72D297353CC}">
              <c16:uniqueId val="{000000DE-C07B-4F20-9308-384FC76246E3}"/>
            </c:ext>
          </c:extLst>
        </c:ser>
        <c:ser>
          <c:idx val="129"/>
          <c:order val="129"/>
          <c:tx>
            <c:v>v=0.91</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0.91</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F-C07B-4F20-9308-384FC76246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49.110398469252601</c:v>
              </c:pt>
              <c:pt idx="1">
                <c:v>31.464049181568054</c:v>
              </c:pt>
            </c:numLit>
          </c:xVal>
          <c:yVal>
            <c:numLit>
              <c:formatCode>General</c:formatCode>
              <c:ptCount val="2"/>
              <c:pt idx="0">
                <c:v>-2E-3</c:v>
              </c:pt>
              <c:pt idx="1">
                <c:v>3.1690233026367066E-2</c:v>
              </c:pt>
            </c:numLit>
          </c:yVal>
          <c:smooth val="0"/>
          <c:extLst>
            <c:ext xmlns:c16="http://schemas.microsoft.com/office/drawing/2014/chart" uri="{C3380CC4-5D6E-409C-BE32-E72D297353CC}">
              <c16:uniqueId val="{000000E0-C07B-4F20-9308-384FC76246E3}"/>
            </c:ext>
          </c:extLst>
        </c:ser>
        <c:ser>
          <c:idx val="130"/>
          <c:order val="130"/>
          <c:tx>
            <c:v>v=0.92</c:v>
          </c:tx>
          <c:spPr>
            <a:ln w="3175">
              <a:solidFill>
                <a:srgbClr val="008000"/>
              </a:solidFill>
              <a:prstDash val="sysDash"/>
            </a:ln>
          </c:spPr>
          <c:marker>
            <c:symbol val="none"/>
          </c:marker>
          <c:xVal>
            <c:numLit>
              <c:formatCode>General</c:formatCode>
              <c:ptCount val="2"/>
              <c:pt idx="0">
                <c:v>50.000000000000007</c:v>
              </c:pt>
              <c:pt idx="1">
                <c:v>33.20563456585235</c:v>
              </c:pt>
            </c:numLit>
          </c:xVal>
          <c:yVal>
            <c:numLit>
              <c:formatCode>General</c:formatCode>
              <c:ptCount val="2"/>
              <c:pt idx="0">
                <c:v>3.0653695250419501E-3</c:v>
              </c:pt>
              <c:pt idx="1">
                <c:v>3.5132435574301686E-2</c:v>
              </c:pt>
            </c:numLit>
          </c:yVal>
          <c:smooth val="0"/>
          <c:extLst>
            <c:ext xmlns:c16="http://schemas.microsoft.com/office/drawing/2014/chart" uri="{C3380CC4-5D6E-409C-BE32-E72D297353CC}">
              <c16:uniqueId val="{000000E1-C07B-4F20-9308-384FC76246E3}"/>
            </c:ext>
          </c:extLst>
        </c:ser>
        <c:ser>
          <c:idx val="131"/>
          <c:order val="131"/>
          <c:tx>
            <c:v>v=0.93</c:v>
          </c:tx>
          <c:spPr>
            <a:ln w="3175">
              <a:solidFill>
                <a:srgbClr val="008000"/>
              </a:solidFill>
              <a:prstDash val="sysDash"/>
            </a:ln>
          </c:spPr>
          <c:marker>
            <c:symbol val="none"/>
          </c:marker>
          <c:xVal>
            <c:numLit>
              <c:formatCode>General</c:formatCode>
              <c:ptCount val="2"/>
              <c:pt idx="0">
                <c:v>50</c:v>
              </c:pt>
              <c:pt idx="1">
                <c:v>34.880212439001525</c:v>
              </c:pt>
            </c:numLit>
          </c:xVal>
          <c:yVal>
            <c:numLit>
              <c:formatCode>General</c:formatCode>
              <c:ptCount val="2"/>
              <c:pt idx="0">
                <c:v>9.8592094813579195E-3</c:v>
              </c:pt>
              <c:pt idx="1">
                <c:v>3.8706868703065465E-2</c:v>
              </c:pt>
            </c:numLit>
          </c:yVal>
          <c:smooth val="0"/>
          <c:extLst>
            <c:ext xmlns:c16="http://schemas.microsoft.com/office/drawing/2014/chart" uri="{C3380CC4-5D6E-409C-BE32-E72D297353CC}">
              <c16:uniqueId val="{000000E2-C07B-4F20-9308-384FC76246E3}"/>
            </c:ext>
          </c:extLst>
        </c:ser>
        <c:ser>
          <c:idx val="132"/>
          <c:order val="132"/>
          <c:tx>
            <c:v>v=0.94</c:v>
          </c:tx>
          <c:spPr>
            <a:ln w="3175">
              <a:solidFill>
                <a:srgbClr val="008000"/>
              </a:solidFill>
              <a:prstDash val="sysDash"/>
            </a:ln>
          </c:spPr>
          <c:marker>
            <c:symbol val="none"/>
          </c:marker>
          <c:xVal>
            <c:numLit>
              <c:formatCode>General</c:formatCode>
              <c:ptCount val="2"/>
              <c:pt idx="0">
                <c:v>50</c:v>
              </c:pt>
              <c:pt idx="1">
                <c:v>36.476119220319418</c:v>
              </c:pt>
            </c:numLit>
          </c:xVal>
          <c:yVal>
            <c:numLit>
              <c:formatCode>General</c:formatCode>
              <c:ptCount val="2"/>
              <c:pt idx="0">
                <c:v>1.66530494376738E-2</c:v>
              </c:pt>
              <c:pt idx="1">
                <c:v>4.2435563802655646E-2</c:v>
              </c:pt>
            </c:numLit>
          </c:yVal>
          <c:smooth val="0"/>
          <c:extLst>
            <c:ext xmlns:c16="http://schemas.microsoft.com/office/drawing/2014/chart" uri="{C3380CC4-5D6E-409C-BE32-E72D297353CC}">
              <c16:uniqueId val="{000000E3-C07B-4F20-9308-384FC76246E3}"/>
            </c:ext>
          </c:extLst>
        </c:ser>
        <c:ser>
          <c:idx val="133"/>
          <c:order val="133"/>
          <c:tx>
            <c:v>v=0.95</c:v>
          </c:tx>
          <c:spPr>
            <a:ln w="3175">
              <a:solidFill>
                <a:srgbClr val="008000"/>
              </a:solidFill>
              <a:prstDash val="sysDash"/>
            </a:ln>
          </c:spPr>
          <c:marker>
            <c:symbol val="none"/>
          </c:marker>
          <c:xVal>
            <c:numLit>
              <c:formatCode>General</c:formatCode>
              <c:ptCount val="2"/>
              <c:pt idx="0">
                <c:v>50.000000000000007</c:v>
              </c:pt>
              <c:pt idx="1">
                <c:v>38.015405459513772</c:v>
              </c:pt>
            </c:numLit>
          </c:xVal>
          <c:yVal>
            <c:numLit>
              <c:formatCode>General</c:formatCode>
              <c:ptCount val="2"/>
              <c:pt idx="0">
                <c:v>2.3446889393989801E-2</c:v>
              </c:pt>
              <c:pt idx="1">
                <c:v>4.627659477409355E-2</c:v>
              </c:pt>
            </c:numLit>
          </c:yVal>
          <c:smooth val="0"/>
          <c:extLst>
            <c:ext xmlns:c16="http://schemas.microsoft.com/office/drawing/2014/chart" uri="{C3380CC4-5D6E-409C-BE32-E72D297353CC}">
              <c16:uniqueId val="{000000E4-C07B-4F20-9308-384FC76246E3}"/>
            </c:ext>
          </c:extLst>
        </c:ser>
        <c:ser>
          <c:idx val="134"/>
          <c:order val="134"/>
          <c:tx>
            <c:v>v=0.96</c:v>
          </c:tx>
          <c:spPr>
            <a:ln w="3175">
              <a:solidFill>
                <a:srgbClr val="008000"/>
              </a:solidFill>
              <a:prstDash val="sysDash"/>
            </a:ln>
          </c:spPr>
          <c:marker>
            <c:symbol val="none"/>
          </c:marker>
          <c:xVal>
            <c:numLit>
              <c:formatCode>General</c:formatCode>
              <c:ptCount val="2"/>
              <c:pt idx="0">
                <c:v>50</c:v>
              </c:pt>
              <c:pt idx="1">
                <c:v>39.486187318525538</c:v>
              </c:pt>
            </c:numLit>
          </c:xVal>
          <c:yVal>
            <c:numLit>
              <c:formatCode>General</c:formatCode>
              <c:ptCount val="2"/>
              <c:pt idx="0">
                <c:v>3.0240729350305799E-2</c:v>
              </c:pt>
              <c:pt idx="1">
                <c:v>5.0252361654891983E-2</c:v>
              </c:pt>
            </c:numLit>
          </c:yVal>
          <c:smooth val="0"/>
          <c:extLst>
            <c:ext xmlns:c16="http://schemas.microsoft.com/office/drawing/2014/chart" uri="{C3380CC4-5D6E-409C-BE32-E72D297353CC}">
              <c16:uniqueId val="{000000E5-C07B-4F20-9308-384FC76246E3}"/>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4946-44AD-996A-7553557D9E1C}"/>
            </c:ext>
          </c:extLst>
        </c:ser>
        <c:ser>
          <c:idx val="1"/>
          <c:order val="1"/>
          <c:tx>
            <c:v>熱水分比参照ライン</c:v>
          </c:tx>
          <c:spPr>
            <a:ln w="3175">
              <a:solidFill>
                <a:srgbClr val="FF6600"/>
              </a:solidFill>
              <a:prstDash val="solid"/>
            </a:ln>
          </c:spPr>
          <c:marker>
            <c:symbol val="none"/>
          </c:marker>
          <c:dPt>
            <c:idx val="0"/>
            <c:marker/>
            <c:bubble3D val="0"/>
            <c:spPr>
              <a:ln w="3175">
                <a:solidFill>
                  <a:srgbClr val="FF6600"/>
                </a:solidFill>
                <a:prstDash val="solid"/>
              </a:ln>
              <a:effectLst/>
            </c:spPr>
            <c:extLst>
              <c:ext xmlns:c16="http://schemas.microsoft.com/office/drawing/2014/chart" uri="{C3380CC4-5D6E-409C-BE32-E72D297353CC}">
                <c16:uniqueId val="{00000002-4946-44AD-996A-7553557D9E1C}"/>
              </c:ext>
            </c:extLst>
          </c:dPt>
          <c:xVal>
            <c:numLit>
              <c:formatCode>General</c:formatCode>
              <c:ptCount val="2"/>
              <c:pt idx="0">
                <c:v>7.5219999999999994</c:v>
              </c:pt>
              <c:pt idx="1">
                <c:v>7.5219999999999994</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01-4946-44AD-996A-7553557D9E1C}"/>
            </c:ext>
          </c:extLst>
        </c:ser>
        <c:ser>
          <c:idx val="2"/>
          <c:order val="2"/>
          <c:tx>
            <c:v>外気-冷却コイル入口</c:v>
          </c:tx>
          <c:spPr>
            <a:ln w="12700">
              <a:solidFill>
                <a:srgbClr val="000000"/>
              </a:solidFill>
              <a:prstDash val="solid"/>
            </a:ln>
          </c:spPr>
          <c:marker>
            <c:symbol val="circle"/>
            <c:size val="6"/>
            <c:spPr>
              <a:solidFill>
                <a:srgbClr val="FFFFFF"/>
              </a:solidFill>
              <a:ln>
                <a:solidFill>
                  <a:srgbClr val="000000"/>
                </a:solidFill>
                <a:prstDash val="solid"/>
              </a:ln>
            </c:spPr>
          </c:marker>
          <c:dLbls>
            <c:dLbl>
              <c:idx val="1"/>
              <c:layout>
                <c:manualLayout>
                  <c:x val="-2.2569444444444444E-2"/>
                  <c:y val="-1.645299145299153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①</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46-44AD-996A-7553557D9E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33.13944850894633</c:v>
              </c:pt>
              <c:pt idx="1">
                <c:v>33.13944850894633</c:v>
              </c:pt>
            </c:numLit>
          </c:xVal>
          <c:yVal>
            <c:numLit>
              <c:formatCode>General</c:formatCode>
              <c:ptCount val="2"/>
              <c:pt idx="0">
                <c:v>1.8600000000000002E-2</c:v>
              </c:pt>
              <c:pt idx="1">
                <c:v>1.8600000000000002E-2</c:v>
              </c:pt>
            </c:numLit>
          </c:yVal>
          <c:smooth val="0"/>
          <c:extLst>
            <c:ext xmlns:c16="http://schemas.microsoft.com/office/drawing/2014/chart" uri="{C3380CC4-5D6E-409C-BE32-E72D297353CC}">
              <c16:uniqueId val="{00000004-4946-44AD-996A-7553557D9E1C}"/>
            </c:ext>
          </c:extLst>
        </c:ser>
        <c:ser>
          <c:idx val="3"/>
          <c:order val="3"/>
          <c:tx>
            <c:v>冷却プロセス</c:v>
          </c:tx>
          <c:spPr>
            <a:ln w="25400">
              <a:solidFill>
                <a:srgbClr val="008000"/>
              </a:solidFill>
              <a:prstDash val="solid"/>
            </a:ln>
          </c:spPr>
          <c:marker>
            <c:symbol val="circle"/>
            <c:size val="6"/>
            <c:spPr>
              <a:solidFill>
                <a:srgbClr val="FFFFFF"/>
              </a:solidFill>
              <a:ln>
                <a:solidFill>
                  <a:srgbClr val="000000"/>
                </a:solidFill>
                <a:prstDash val="solid"/>
              </a:ln>
            </c:spPr>
          </c:marker>
          <c:dLbls>
            <c:dLbl>
              <c:idx val="1"/>
              <c:layout>
                <c:manualLayout>
                  <c:x val="-3.6458333333333336E-2"/>
                  <c:y val="0"/>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②</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46-44AD-996A-7553557D9E1C}"/>
                </c:ext>
              </c:extLst>
            </c:dLbl>
            <c:dLbl>
              <c:idx val="2"/>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③</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46-44AD-996A-7553557D9E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3"/>
              <c:pt idx="0">
                <c:v>33.13944850894633</c:v>
              </c:pt>
              <c:pt idx="1">
                <c:v>16.402165351888669</c:v>
              </c:pt>
              <c:pt idx="2">
                <c:v>17.607560453280321</c:v>
              </c:pt>
            </c:numLit>
          </c:xVal>
          <c:yVal>
            <c:numLit>
              <c:formatCode>General</c:formatCode>
              <c:ptCount val="3"/>
              <c:pt idx="0">
                <c:v>1.8600000000000002E-2</c:v>
              </c:pt>
              <c:pt idx="1">
                <c:v>1.1639999999999999E-2</c:v>
              </c:pt>
              <c:pt idx="2">
                <c:v>1.1639999999999999E-2</c:v>
              </c:pt>
            </c:numLit>
          </c:yVal>
          <c:smooth val="0"/>
          <c:extLst>
            <c:ext xmlns:c16="http://schemas.microsoft.com/office/drawing/2014/chart" uri="{C3380CC4-5D6E-409C-BE32-E72D297353CC}">
              <c16:uniqueId val="{00000006-4946-44AD-996A-7553557D9E1C}"/>
            </c:ext>
          </c:extLst>
        </c:ser>
        <c:ser>
          <c:idx val="4"/>
          <c:order val="4"/>
          <c:tx>
            <c:v>冷房時室内等エンタルピ線</c:v>
          </c:tx>
          <c:spPr>
            <a:ln w="12700">
              <a:solidFill>
                <a:srgbClr val="000000"/>
              </a:solidFill>
              <a:prstDash val="sysDash"/>
            </a:ln>
          </c:spPr>
          <c:marker>
            <c:symbol val="circle"/>
            <c:size val="6"/>
            <c:spPr>
              <a:solidFill>
                <a:srgbClr val="FFFFFF"/>
              </a:solidFill>
              <a:ln>
                <a:solidFill>
                  <a:srgbClr val="000000"/>
                </a:solidFill>
                <a:prstDash val="solid"/>
              </a:ln>
            </c:spPr>
          </c:marker>
          <c:dLbls>
            <c:dLbl>
              <c:idx val="0"/>
              <c:layout>
                <c:manualLayout>
                  <c:x val="-8.6805555555556184E-3"/>
                  <c:y val="-7.8346673280123027E-17"/>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④</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46-44AD-996A-7553557D9E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23.55101153081511</c:v>
              </c:pt>
              <c:pt idx="1">
                <c:v>17.607560453280321</c:v>
              </c:pt>
            </c:numLit>
          </c:xVal>
          <c:yVal>
            <c:numLit>
              <c:formatCode>General</c:formatCode>
              <c:ptCount val="2"/>
              <c:pt idx="0">
                <c:v>9.3399999999999993E-3</c:v>
              </c:pt>
              <c:pt idx="1">
                <c:v>1.1639999999999999E-2</c:v>
              </c:pt>
            </c:numLit>
          </c:yVal>
          <c:smooth val="0"/>
          <c:extLst>
            <c:ext xmlns:c16="http://schemas.microsoft.com/office/drawing/2014/chart" uri="{C3380CC4-5D6E-409C-BE32-E72D297353CC}">
              <c16:uniqueId val="{00000009-4946-44AD-996A-7553557D9E1C}"/>
            </c:ext>
          </c:extLst>
        </c:ser>
        <c:ser>
          <c:idx val="5"/>
          <c:order val="5"/>
          <c:tx>
            <c:v>暖房時外気ポイント-ミキシングポイントプロセス</c:v>
          </c:tx>
          <c:spPr>
            <a:ln w="12700">
              <a:solidFill>
                <a:srgbClr val="000000"/>
              </a:solidFill>
              <a:prstDash val="solid"/>
            </a:ln>
          </c:spPr>
          <c:marker>
            <c:symbol val="circle"/>
            <c:size val="6"/>
            <c:spPr>
              <a:solidFill>
                <a:srgbClr val="FFFFFF"/>
              </a:solidFill>
              <a:ln>
                <a:solidFill>
                  <a:srgbClr val="000000"/>
                </a:solidFill>
                <a:prstDash val="solid"/>
              </a:ln>
            </c:spPr>
          </c:marker>
          <c:dLbls>
            <c:dLbl>
              <c:idx val="1"/>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⑤</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946-44AD-996A-7553557D9E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-0.43019999999999997</c:v>
              </c:pt>
              <c:pt idx="1">
                <c:v>-0.43019999999999997</c:v>
              </c:pt>
            </c:numLit>
          </c:xVal>
          <c:yVal>
            <c:numLit>
              <c:formatCode>General</c:formatCode>
              <c:ptCount val="2"/>
              <c:pt idx="0">
                <c:v>1.4E-3</c:v>
              </c:pt>
              <c:pt idx="1">
                <c:v>1.4E-3</c:v>
              </c:pt>
            </c:numLit>
          </c:yVal>
          <c:smooth val="0"/>
          <c:extLst>
            <c:ext xmlns:c16="http://schemas.microsoft.com/office/drawing/2014/chart" uri="{C3380CC4-5D6E-409C-BE32-E72D297353CC}">
              <c16:uniqueId val="{0000000B-4946-44AD-996A-7553557D9E1C}"/>
            </c:ext>
          </c:extLst>
        </c:ser>
        <c:ser>
          <c:idx val="6"/>
          <c:order val="6"/>
          <c:tx>
            <c:v>暖房加熱プロセス</c:v>
          </c:tx>
          <c:spPr>
            <a:ln w="25400">
              <a:solidFill>
                <a:srgbClr val="FF0000"/>
              </a:solidFill>
              <a:prstDash val="solid"/>
            </a:ln>
          </c:spPr>
          <c:marker>
            <c:symbol val="circle"/>
            <c:size val="6"/>
            <c:spPr>
              <a:solidFill>
                <a:srgbClr val="FFFFFF"/>
              </a:solidFill>
              <a:ln>
                <a:solidFill>
                  <a:srgbClr val="000000"/>
                </a:solidFill>
                <a:prstDash val="solid"/>
              </a:ln>
            </c:spPr>
          </c:marker>
          <c:dLbls>
            <c:dLbl>
              <c:idx val="1"/>
              <c:layout>
                <c:manualLayout>
                  <c:x val="-2.2569444444444382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⑥</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946-44AD-996A-7553557D9E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-0.43019999999999997</c:v>
              </c:pt>
              <c:pt idx="1">
                <c:v>23.932699801192847</c:v>
              </c:pt>
            </c:numLit>
          </c:xVal>
          <c:yVal>
            <c:numLit>
              <c:formatCode>General</c:formatCode>
              <c:ptCount val="2"/>
              <c:pt idx="0">
                <c:v>1.4E-3</c:v>
              </c:pt>
              <c:pt idx="1">
                <c:v>1.4E-3</c:v>
              </c:pt>
            </c:numLit>
          </c:yVal>
          <c:smooth val="0"/>
          <c:extLst>
            <c:ext xmlns:c16="http://schemas.microsoft.com/office/drawing/2014/chart" uri="{C3380CC4-5D6E-409C-BE32-E72D297353CC}">
              <c16:uniqueId val="{0000000D-4946-44AD-996A-7553557D9E1C}"/>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0C0A-40D2-B891-EA76E48108B0}"/>
            </c:ext>
          </c:extLst>
        </c:ser>
        <c:ser>
          <c:idx val="1"/>
          <c:order val="1"/>
          <c:spPr>
            <a:ln w="3175">
              <a:solidFill>
                <a:srgbClr val="000000"/>
              </a:solidFill>
              <a:prstDash val="solid"/>
            </a:ln>
          </c:spPr>
          <c:marker>
            <c:symbol val="none"/>
          </c:marker>
          <c:xVal>
            <c:numLit>
              <c:formatCode>General</c:formatCode>
              <c:ptCount val="2"/>
              <c:pt idx="0">
                <c:v>-3.758</c:v>
              </c:pt>
              <c:pt idx="1">
                <c:v>-4.3579999999999997</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01-0C0A-40D2-B891-EA76E48108B0}"/>
            </c:ext>
          </c:extLst>
        </c:ser>
        <c:ser>
          <c:idx val="2"/>
          <c:order val="2"/>
          <c:spPr>
            <a:ln w="3175">
              <a:solidFill>
                <a:srgbClr val="000000"/>
              </a:solidFill>
              <a:prstDash val="solid"/>
            </a:ln>
          </c:spPr>
          <c:marker>
            <c:symbol val="none"/>
          </c:marker>
          <c:dLbls>
            <c:dLbl>
              <c:idx val="0"/>
              <c:tx>
                <c:rich>
                  <a:bodyPr rot="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0A-40D2-B891-EA76E48108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-5.1180000000000012</c:v>
              </c:pt>
            </c:numLit>
          </c:xVal>
          <c:yVal>
            <c:numLit>
              <c:formatCode>General</c:formatCode>
              <c:ptCount val="1"/>
              <c:pt idx="0">
                <c:v>2.0930000000000001E-2</c:v>
              </c:pt>
            </c:numLit>
          </c:yVal>
          <c:smooth val="0"/>
          <c:extLst>
            <c:ext xmlns:c16="http://schemas.microsoft.com/office/drawing/2014/chart" uri="{C3380CC4-5D6E-409C-BE32-E72D297353CC}">
              <c16:uniqueId val="{00000003-0C0A-40D2-B891-EA76E48108B0}"/>
            </c:ext>
          </c:extLst>
        </c:ser>
        <c:ser>
          <c:idx val="3"/>
          <c:order val="3"/>
          <c:spPr>
            <a:ln w="3175">
              <a:solidFill>
                <a:srgbClr val="000000"/>
              </a:solidFill>
              <a:prstDash val="solid"/>
            </a:ln>
          </c:spPr>
          <c:marker>
            <c:symbol val="none"/>
          </c:marker>
          <c:xVal>
            <c:numLit>
              <c:formatCode>General</c:formatCode>
              <c:ptCount val="2"/>
              <c:pt idx="0">
                <c:v>-3.7573164307647193</c:v>
              </c:pt>
              <c:pt idx="1">
                <c:v>-4.0572985496633294</c:v>
              </c:pt>
            </c:numLit>
          </c:xVal>
          <c:yVal>
            <c:numLit>
              <c:formatCode>General</c:formatCode>
              <c:ptCount val="2"/>
              <c:pt idx="0">
                <c:v>2.0838150344721491E-2</c:v>
              </c:pt>
              <c:pt idx="1">
                <c:v>2.0835727619644421E-2</c:v>
              </c:pt>
            </c:numLit>
          </c:yVal>
          <c:smooth val="0"/>
          <c:extLst>
            <c:ext xmlns:c16="http://schemas.microsoft.com/office/drawing/2014/chart" uri="{C3380CC4-5D6E-409C-BE32-E72D297353CC}">
              <c16:uniqueId val="{00000004-0C0A-40D2-B891-EA76E48108B0}"/>
            </c:ext>
          </c:extLst>
        </c:ser>
        <c:ser>
          <c:idx val="4"/>
          <c:order val="4"/>
          <c:spPr>
            <a:ln w="3175">
              <a:solidFill>
                <a:srgbClr val="000000"/>
              </a:solidFill>
              <a:prstDash val="solid"/>
            </a:ln>
          </c:spPr>
          <c:marker>
            <c:symbol val="none"/>
          </c:marker>
          <c:xVal>
            <c:numLit>
              <c:formatCode>General</c:formatCode>
              <c:ptCount val="2"/>
              <c:pt idx="0">
                <c:v>-3.7551514284703731</c:v>
              </c:pt>
              <c:pt idx="1">
                <c:v>-4.0550769139387679</c:v>
              </c:pt>
            </c:numLit>
          </c:xVal>
          <c:yVal>
            <c:numLit>
              <c:formatCode>General</c:formatCode>
              <c:ptCount val="2"/>
              <c:pt idx="0">
                <c:v>2.0742509615122581E-2</c:v>
              </c:pt>
              <c:pt idx="1">
                <c:v>2.0737564151791284E-2</c:v>
              </c:pt>
            </c:numLit>
          </c:yVal>
          <c:smooth val="0"/>
          <c:extLst>
            <c:ext xmlns:c16="http://schemas.microsoft.com/office/drawing/2014/chart" uri="{C3380CC4-5D6E-409C-BE32-E72D297353CC}">
              <c16:uniqueId val="{00000005-0C0A-40D2-B891-EA76E48108B0}"/>
            </c:ext>
          </c:extLst>
        </c:ser>
        <c:ser>
          <c:idx val="5"/>
          <c:order val="5"/>
          <c:spPr>
            <a:ln w="3175">
              <a:solidFill>
                <a:srgbClr val="000000"/>
              </a:solidFill>
              <a:prstDash val="solid"/>
            </a:ln>
          </c:spPr>
          <c:marker>
            <c:symbol val="none"/>
          </c:marker>
          <c:xVal>
            <c:numLit>
              <c:formatCode>General</c:formatCode>
              <c:ptCount val="2"/>
              <c:pt idx="0">
                <c:v>-3.7513184851597101</c:v>
              </c:pt>
              <c:pt idx="1">
                <c:v>-4.0511437048590233</c:v>
              </c:pt>
            </c:numLit>
          </c:xVal>
          <c:yVal>
            <c:numLit>
              <c:formatCode>General</c:formatCode>
              <c:ptCount val="2"/>
              <c:pt idx="0">
                <c:v>2.0642878308754005E-2</c:v>
              </c:pt>
              <c:pt idx="1">
                <c:v>2.0635304812162952E-2</c:v>
              </c:pt>
            </c:numLit>
          </c:yVal>
          <c:smooth val="0"/>
          <c:extLst>
            <c:ext xmlns:c16="http://schemas.microsoft.com/office/drawing/2014/chart" uri="{C3380CC4-5D6E-409C-BE32-E72D297353CC}">
              <c16:uniqueId val="{00000006-0C0A-40D2-B891-EA76E48108B0}"/>
            </c:ext>
          </c:extLst>
        </c:ser>
        <c:ser>
          <c:idx val="6"/>
          <c:order val="6"/>
          <c:spPr>
            <a:ln w="3175">
              <a:solidFill>
                <a:srgbClr val="000000"/>
              </a:solidFill>
              <a:prstDash val="solid"/>
            </a:ln>
          </c:spPr>
          <c:marker>
            <c:symbol val="none"/>
          </c:marker>
          <c:xVal>
            <c:numLit>
              <c:formatCode>General</c:formatCode>
              <c:ptCount val="2"/>
              <c:pt idx="0">
                <c:v>-3.7456091126033786</c:v>
              </c:pt>
              <c:pt idx="1">
                <c:v>-4.0452849779513329</c:v>
              </c:pt>
            </c:numLit>
          </c:xVal>
          <c:yVal>
            <c:numLit>
              <c:formatCode>General</c:formatCode>
              <c:ptCount val="2"/>
              <c:pt idx="0">
                <c:v>2.0539046809061261E-2</c:v>
              </c:pt>
              <c:pt idx="1">
                <c:v>2.0528734430821465E-2</c:v>
              </c:pt>
            </c:numLit>
          </c:yVal>
          <c:smooth val="0"/>
          <c:extLst>
            <c:ext xmlns:c16="http://schemas.microsoft.com/office/drawing/2014/chart" uri="{C3380CC4-5D6E-409C-BE32-E72D297353CC}">
              <c16:uniqueId val="{00000007-0C0A-40D2-B891-EA76E48108B0}"/>
            </c:ext>
          </c:extLst>
        </c:ser>
        <c:ser>
          <c:idx val="7"/>
          <c:order val="7"/>
          <c:spPr>
            <a:ln w="3175">
              <a:solidFill>
                <a:srgbClr val="000000"/>
              </a:solidFill>
              <a:prstDash val="solid"/>
            </a:ln>
          </c:spPr>
          <c:marker>
            <c:symbol val="none"/>
          </c:marker>
          <c:xVal>
            <c:numLit>
              <c:formatCode>General</c:formatCode>
              <c:ptCount val="2"/>
              <c:pt idx="0">
                <c:v>-3.7377902586290985</c:v>
              </c:pt>
              <c:pt idx="1">
                <c:v>-4.3367333533434707</c:v>
              </c:pt>
            </c:numLit>
          </c:xVal>
          <c:yVal>
            <c:numLit>
              <c:formatCode>General</c:formatCode>
              <c:ptCount val="2"/>
              <c:pt idx="0">
                <c:v>2.0430795350641542E-2</c:v>
              </c:pt>
              <c:pt idx="1">
                <c:v>2.0404465069727713E-2</c:v>
              </c:pt>
            </c:numLit>
          </c:yVal>
          <c:smooth val="0"/>
          <c:extLst>
            <c:ext xmlns:c16="http://schemas.microsoft.com/office/drawing/2014/chart" uri="{C3380CC4-5D6E-409C-BE32-E72D297353CC}">
              <c16:uniqueId val="{00000008-0C0A-40D2-B891-EA76E48108B0}"/>
            </c:ext>
          </c:extLst>
        </c:ser>
        <c:ser>
          <c:idx val="8"/>
          <c:order val="8"/>
          <c:spPr>
            <a:ln w="3175">
              <a:solidFill>
                <a:srgbClr val="000000"/>
              </a:solidFill>
              <a:prstDash val="solid"/>
            </a:ln>
          </c:spPr>
          <c:marker>
            <c:symbol val="none"/>
          </c:marker>
          <c:dLbls>
            <c:dLbl>
              <c:idx val="0"/>
              <c:tx>
                <c:rich>
                  <a:bodyPr rot="-1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0A-40D2-B891-EA76E48108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-5.0953971933505686</c:v>
              </c:pt>
            </c:numLit>
          </c:xVal>
          <c:yVal>
            <c:numLit>
              <c:formatCode>General</c:formatCode>
              <c:ptCount val="1"/>
              <c:pt idx="0">
                <c:v>2.037114545104227E-2</c:v>
              </c:pt>
            </c:numLit>
          </c:yVal>
          <c:smooth val="0"/>
          <c:extLst>
            <c:ext xmlns:c16="http://schemas.microsoft.com/office/drawing/2014/chart" uri="{C3380CC4-5D6E-409C-BE32-E72D297353CC}">
              <c16:uniqueId val="{0000000A-0C0A-40D2-B891-EA76E48108B0}"/>
            </c:ext>
          </c:extLst>
        </c:ser>
        <c:ser>
          <c:idx val="9"/>
          <c:order val="9"/>
          <c:spPr>
            <a:ln w="3175">
              <a:solidFill>
                <a:srgbClr val="000000"/>
              </a:solidFill>
              <a:prstDash val="solid"/>
            </a:ln>
          </c:spPr>
          <c:marker>
            <c:symbol val="none"/>
          </c:marker>
          <c:xVal>
            <c:numLit>
              <c:formatCode>General</c:formatCode>
              <c:ptCount val="2"/>
              <c:pt idx="0">
                <c:v>-3.7276014439375182</c:v>
              </c:pt>
              <c:pt idx="1">
                <c:v>-4.0268062128221214</c:v>
              </c:pt>
            </c:numLit>
          </c:xVal>
          <c:yVal>
            <c:numLit>
              <c:formatCode>General</c:formatCode>
              <c:ptCount val="2"/>
              <c:pt idx="0">
                <c:v>2.0317894135552732E-2</c:v>
              </c:pt>
              <c:pt idx="1">
                <c:v>2.0301747870289474E-2</c:v>
              </c:pt>
            </c:numLit>
          </c:yVal>
          <c:smooth val="0"/>
          <c:extLst>
            <c:ext xmlns:c16="http://schemas.microsoft.com/office/drawing/2014/chart" uri="{C3380CC4-5D6E-409C-BE32-E72D297353CC}">
              <c16:uniqueId val="{0000000B-0C0A-40D2-B891-EA76E48108B0}"/>
            </c:ext>
          </c:extLst>
        </c:ser>
        <c:ser>
          <c:idx val="10"/>
          <c:order val="10"/>
          <c:spPr>
            <a:ln w="3175">
              <a:solidFill>
                <a:srgbClr val="000000"/>
              </a:solidFill>
              <a:prstDash val="solid"/>
            </a:ln>
          </c:spPr>
          <c:marker>
            <c:symbol val="none"/>
          </c:marker>
          <c:xVal>
            <c:numLit>
              <c:formatCode>General</c:formatCode>
              <c:ptCount val="2"/>
              <c:pt idx="0">
                <c:v>-3.7147516008544463</c:v>
              </c:pt>
              <c:pt idx="1">
                <c:v>-4.0136201835408292</c:v>
              </c:pt>
            </c:numLit>
          </c:xVal>
          <c:yVal>
            <c:numLit>
              <c:formatCode>General</c:formatCode>
              <c:ptCount val="2"/>
              <c:pt idx="0">
                <c:v>2.0200103644625281E-2</c:v>
              </c:pt>
              <c:pt idx="1">
                <c:v>2.0180849913089945E-2</c:v>
              </c:pt>
            </c:numLit>
          </c:yVal>
          <c:smooth val="0"/>
          <c:extLst>
            <c:ext xmlns:c16="http://schemas.microsoft.com/office/drawing/2014/chart" uri="{C3380CC4-5D6E-409C-BE32-E72D297353CC}">
              <c16:uniqueId val="{0000000C-0C0A-40D2-B891-EA76E48108B0}"/>
            </c:ext>
          </c:extLst>
        </c:ser>
        <c:ser>
          <c:idx val="11"/>
          <c:order val="11"/>
          <c:spPr>
            <a:ln w="3175">
              <a:solidFill>
                <a:srgbClr val="000000"/>
              </a:solidFill>
              <a:prstDash val="solid"/>
            </a:ln>
          </c:spPr>
          <c:marker>
            <c:symbol val="none"/>
          </c:marker>
          <c:xVal>
            <c:numLit>
              <c:formatCode>General</c:formatCode>
              <c:ptCount val="2"/>
              <c:pt idx="0">
                <c:v>-3.6989155989247418</c:v>
              </c:pt>
              <c:pt idx="1">
                <c:v>-3.9973698432209668</c:v>
              </c:pt>
            </c:numLit>
          </c:xVal>
          <c:yVal>
            <c:numLit>
              <c:formatCode>General</c:formatCode>
              <c:ptCount val="2"/>
              <c:pt idx="0">
                <c:v>2.0077175197246788E-2</c:v>
              </c:pt>
              <c:pt idx="1">
                <c:v>2.0054678249479638E-2</c:v>
              </c:pt>
            </c:numLit>
          </c:yVal>
          <c:smooth val="0"/>
          <c:extLst>
            <c:ext xmlns:c16="http://schemas.microsoft.com/office/drawing/2014/chart" uri="{C3380CC4-5D6E-409C-BE32-E72D297353CC}">
              <c16:uniqueId val="{0000000D-0C0A-40D2-B891-EA76E48108B0}"/>
            </c:ext>
          </c:extLst>
        </c:ser>
        <c:ser>
          <c:idx val="12"/>
          <c:order val="12"/>
          <c:spPr>
            <a:ln w="3175">
              <a:solidFill>
                <a:srgbClr val="000000"/>
              </a:solidFill>
              <a:prstDash val="solid"/>
            </a:ln>
          </c:spPr>
          <c:marker>
            <c:symbol val="none"/>
          </c:marker>
          <c:xVal>
            <c:numLit>
              <c:formatCode>General</c:formatCode>
              <c:ptCount val="2"/>
              <c:pt idx="0">
                <c:v>-3.6797304479524238</c:v>
              </c:pt>
              <c:pt idx="1">
                <c:v>-3.9776826867646431</c:v>
              </c:pt>
            </c:numLit>
          </c:xVal>
          <c:yVal>
            <c:numLit>
              <c:formatCode>General</c:formatCode>
              <c:ptCount val="2"/>
              <c:pt idx="0">
                <c:v>1.9948851824198272E-2</c:v>
              </c:pt>
              <c:pt idx="1">
                <c:v>1.9922969066463295E-2</c:v>
              </c:pt>
            </c:numLit>
          </c:yVal>
          <c:smooth val="0"/>
          <c:extLst>
            <c:ext xmlns:c16="http://schemas.microsoft.com/office/drawing/2014/chart" uri="{C3380CC4-5D6E-409C-BE32-E72D297353CC}">
              <c16:uniqueId val="{0000000E-0C0A-40D2-B891-EA76E48108B0}"/>
            </c:ext>
          </c:extLst>
        </c:ser>
        <c:ser>
          <c:idx val="13"/>
          <c:order val="13"/>
          <c:spPr>
            <a:ln w="3175">
              <a:solidFill>
                <a:srgbClr val="000000"/>
              </a:solidFill>
              <a:prstDash val="solid"/>
            </a:ln>
          </c:spPr>
          <c:marker>
            <c:symbol val="none"/>
          </c:marker>
          <c:xVal>
            <c:numLit>
              <c:formatCode>General</c:formatCode>
              <c:ptCount val="2"/>
              <c:pt idx="0">
                <c:v>-3.6567911778075404</c:v>
              </c:pt>
              <c:pt idx="1">
                <c:v>-4.2514973042485202</c:v>
              </c:pt>
            </c:numLit>
          </c:xVal>
          <c:yVal>
            <c:numLit>
              <c:formatCode>General</c:formatCode>
              <c:ptCount val="2"/>
              <c:pt idx="0">
                <c:v>1.9814869530917118E-2</c:v>
              </c:pt>
              <c:pt idx="1">
                <c:v>1.9756045431995016E-2</c:v>
              </c:pt>
            </c:numLit>
          </c:yVal>
          <c:smooth val="0"/>
          <c:extLst>
            <c:ext xmlns:c16="http://schemas.microsoft.com/office/drawing/2014/chart" uri="{C3380CC4-5D6E-409C-BE32-E72D297353CC}">
              <c16:uniqueId val="{0000000F-0C0A-40D2-B891-EA76E48108B0}"/>
            </c:ext>
          </c:extLst>
        </c:ser>
        <c:ser>
          <c:idx val="14"/>
          <c:order val="14"/>
          <c:spPr>
            <a:ln w="3175">
              <a:solidFill>
                <a:srgbClr val="000000"/>
              </a:solidFill>
              <a:prstDash val="solid"/>
            </a:ln>
          </c:spPr>
          <c:marker>
            <c:symbol val="none"/>
          </c:marker>
          <c:dLbls>
            <c:dLbl>
              <c:idx val="0"/>
              <c:tx>
                <c:rich>
                  <a:bodyPr rot="-4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C0A-40D2-B891-EA76E48108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-5.0048045482834356</c:v>
              </c:pt>
            </c:numLit>
          </c:xVal>
          <c:yVal>
            <c:numLit>
              <c:formatCode>General</c:formatCode>
              <c:ptCount val="1"/>
              <c:pt idx="0">
                <c:v>1.9681605533496679E-2</c:v>
              </c:pt>
            </c:numLit>
          </c:yVal>
          <c:smooth val="0"/>
          <c:extLst>
            <c:ext xmlns:c16="http://schemas.microsoft.com/office/drawing/2014/chart" uri="{C3380CC4-5D6E-409C-BE32-E72D297353CC}">
              <c16:uniqueId val="{00000011-0C0A-40D2-B891-EA76E48108B0}"/>
            </c:ext>
          </c:extLst>
        </c:ser>
        <c:ser>
          <c:idx val="15"/>
          <c:order val="15"/>
          <c:spPr>
            <a:ln w="3175">
              <a:solidFill>
                <a:srgbClr val="000000"/>
              </a:solidFill>
              <a:prstDash val="solid"/>
            </a:ln>
          </c:spPr>
          <c:marker>
            <c:symbol val="none"/>
          </c:marker>
          <c:xVal>
            <c:numLit>
              <c:formatCode>General</c:formatCode>
              <c:ptCount val="2"/>
              <c:pt idx="0">
                <c:v>-3.6296464070240311</c:v>
              </c:pt>
              <c:pt idx="1">
                <c:v>-3.9262879289068784</c:v>
              </c:pt>
            </c:numLit>
          </c:xVal>
          <c:yVal>
            <c:numLit>
              <c:formatCode>General</c:formatCode>
              <c:ptCount val="2"/>
              <c:pt idx="0">
                <c:v>1.9674959043059544E-2</c:v>
              </c:pt>
              <c:pt idx="1">
                <c:v>1.9641848560224669E-2</c:v>
              </c:pt>
            </c:numLit>
          </c:yVal>
          <c:smooth val="0"/>
          <c:extLst>
            <c:ext xmlns:c16="http://schemas.microsoft.com/office/drawing/2014/chart" uri="{C3380CC4-5D6E-409C-BE32-E72D297353CC}">
              <c16:uniqueId val="{00000012-0C0A-40D2-B891-EA76E48108B0}"/>
            </c:ext>
          </c:extLst>
        </c:ser>
        <c:ser>
          <c:idx val="16"/>
          <c:order val="16"/>
          <c:spPr>
            <a:ln w="3175">
              <a:solidFill>
                <a:srgbClr val="000000"/>
              </a:solidFill>
              <a:prstDash val="solid"/>
            </a:ln>
          </c:spPr>
          <c:marker>
            <c:symbol val="none"/>
          </c:marker>
          <c:xVal>
            <c:numLit>
              <c:formatCode>General</c:formatCode>
              <c:ptCount val="2"/>
              <c:pt idx="0">
                <c:v>-3.5977936301001021</c:v>
              </c:pt>
              <c:pt idx="1">
                <c:v>-3.8936014035493267</c:v>
              </c:pt>
            </c:numLit>
          </c:xVal>
          <c:yVal>
            <c:numLit>
              <c:formatCode>General</c:formatCode>
              <c:ptCount val="2"/>
              <c:pt idx="0">
                <c:v>1.9528848142313003E-2</c:v>
              </c:pt>
              <c:pt idx="1">
                <c:v>1.9491881254637813E-2</c:v>
              </c:pt>
            </c:numLit>
          </c:yVal>
          <c:smooth val="0"/>
          <c:extLst>
            <c:ext xmlns:c16="http://schemas.microsoft.com/office/drawing/2014/chart" uri="{C3380CC4-5D6E-409C-BE32-E72D297353CC}">
              <c16:uniqueId val="{00000013-0C0A-40D2-B891-EA76E48108B0}"/>
            </c:ext>
          </c:extLst>
        </c:ser>
        <c:ser>
          <c:idx val="17"/>
          <c:order val="17"/>
          <c:spPr>
            <a:ln w="3175">
              <a:solidFill>
                <a:srgbClr val="000000"/>
              </a:solidFill>
              <a:prstDash val="solid"/>
            </a:ln>
          </c:spPr>
          <c:marker>
            <c:symbol val="none"/>
          </c:marker>
          <c:xVal>
            <c:numLit>
              <c:formatCode>General</c:formatCode>
              <c:ptCount val="2"/>
              <c:pt idx="0">
                <c:v>-3.5606742779232401</c:v>
              </c:pt>
              <c:pt idx="1">
                <c:v>-3.8555103033006843</c:v>
              </c:pt>
            </c:numLit>
          </c:xVal>
          <c:yVal>
            <c:numLit>
              <c:formatCode>General</c:formatCode>
              <c:ptCount val="2"/>
              <c:pt idx="0">
                <c:v>1.9376264717732728E-2</c:v>
              </c:pt>
              <c:pt idx="1">
                <c:v>1.9335269988825475E-2</c:v>
              </c:pt>
            </c:numLit>
          </c:yVal>
          <c:smooth val="0"/>
          <c:extLst>
            <c:ext xmlns:c16="http://schemas.microsoft.com/office/drawing/2014/chart" uri="{C3380CC4-5D6E-409C-BE32-E72D297353CC}">
              <c16:uniqueId val="{00000014-0C0A-40D2-B891-EA76E48108B0}"/>
            </c:ext>
          </c:extLst>
        </c:ser>
        <c:ser>
          <c:idx val="18"/>
          <c:order val="18"/>
          <c:spPr>
            <a:ln w="3175">
              <a:solidFill>
                <a:srgbClr val="000000"/>
              </a:solidFill>
              <a:prstDash val="solid"/>
            </a:ln>
          </c:spPr>
          <c:marker>
            <c:symbol val="none"/>
          </c:marker>
          <c:xVal>
            <c:numLit>
              <c:formatCode>General</c:formatCode>
              <c:ptCount val="2"/>
              <c:pt idx="0">
                <c:v>-3.517668638557927</c:v>
              </c:pt>
              <c:pt idx="1">
                <c:v>-3.8113786218780392</c:v>
              </c:pt>
            </c:numLit>
          </c:xVal>
          <c:yVal>
            <c:numLit>
              <c:formatCode>General</c:formatCode>
              <c:ptCount val="2"/>
              <c:pt idx="0">
                <c:v>1.921694067579767E-2</c:v>
              </c:pt>
              <c:pt idx="1">
                <c:v>1.917173944071374E-2</c:v>
              </c:pt>
            </c:numLit>
          </c:yVal>
          <c:smooth val="0"/>
          <c:extLst>
            <c:ext xmlns:c16="http://schemas.microsoft.com/office/drawing/2014/chart" uri="{C3380CC4-5D6E-409C-BE32-E72D297353CC}">
              <c16:uniqueId val="{00000015-0C0A-40D2-B891-EA76E48108B0}"/>
            </c:ext>
          </c:extLst>
        </c:ser>
        <c:ser>
          <c:idx val="19"/>
          <c:order val="19"/>
          <c:spPr>
            <a:ln w="3175">
              <a:solidFill>
                <a:srgbClr val="000000"/>
              </a:solidFill>
              <a:prstDash val="solid"/>
            </a:ln>
          </c:spPr>
          <c:marker>
            <c:symbol val="none"/>
          </c:marker>
          <c:xVal>
            <c:numLit>
              <c:formatCode>General</c:formatCode>
              <c:ptCount val="2"/>
              <c:pt idx="0">
                <c:v>-3.4680907686435161</c:v>
              </c:pt>
              <c:pt idx="1">
                <c:v>-4.0529202023993429</c:v>
              </c:pt>
            </c:numLit>
          </c:xVal>
          <c:yVal>
            <c:numLit>
              <c:formatCode>General</c:formatCode>
              <c:ptCount val="2"/>
              <c:pt idx="0">
                <c:v>1.905061686979987E-2</c:v>
              </c:pt>
              <c:pt idx="1">
                <c:v>1.8951450076302702E-2</c:v>
              </c:pt>
            </c:numLit>
          </c:yVal>
          <c:smooth val="0"/>
          <c:extLst>
            <c:ext xmlns:c16="http://schemas.microsoft.com/office/drawing/2014/chart" uri="{C3380CC4-5D6E-409C-BE32-E72D297353CC}">
              <c16:uniqueId val="{00000016-0C0A-40D2-B891-EA76E48108B0}"/>
            </c:ext>
          </c:extLst>
        </c:ser>
        <c:ser>
          <c:idx val="20"/>
          <c:order val="20"/>
          <c:spPr>
            <a:ln w="3175">
              <a:solidFill>
                <a:srgbClr val="000000"/>
              </a:solidFill>
              <a:prstDash val="solid"/>
            </a:ln>
          </c:spPr>
          <c:marker>
            <c:symbol val="none"/>
          </c:marker>
          <c:dLbls>
            <c:dLbl>
              <c:idx val="0"/>
              <c:tx>
                <c:rich>
                  <a:bodyPr rot="-7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C0A-40D2-B891-EA76E48108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-4.7937399600325126</c:v>
              </c:pt>
            </c:numLit>
          </c:xVal>
          <c:yVal>
            <c:numLit>
              <c:formatCode>General</c:formatCode>
              <c:ptCount val="1"/>
              <c:pt idx="0">
                <c:v>1.8825953904367372E-2</c:v>
              </c:pt>
            </c:numLit>
          </c:yVal>
          <c:smooth val="0"/>
          <c:extLst>
            <c:ext xmlns:c16="http://schemas.microsoft.com/office/drawing/2014/chart" uri="{C3380CC4-5D6E-409C-BE32-E72D297353CC}">
              <c16:uniqueId val="{00000018-0C0A-40D2-B891-EA76E48108B0}"/>
            </c:ext>
          </c:extLst>
        </c:ser>
        <c:ser>
          <c:idx val="21"/>
          <c:order val="21"/>
          <c:spPr>
            <a:ln w="3175">
              <a:solidFill>
                <a:srgbClr val="000000"/>
              </a:solidFill>
              <a:prstDash val="solid"/>
            </a:ln>
          </c:spPr>
          <c:marker>
            <c:symbol val="none"/>
          </c:marker>
          <c:xVal>
            <c:numLit>
              <c:formatCode>General</c:formatCode>
              <c:ptCount val="2"/>
              <c:pt idx="0">
                <c:v>-3.4406035633560976</c:v>
              </c:pt>
              <c:pt idx="1">
                <c:v>-3.7322951803470819</c:v>
              </c:pt>
            </c:numLit>
          </c:xVal>
          <c:yVal>
            <c:numLit>
              <c:formatCode>General</c:formatCode>
              <c:ptCount val="2"/>
              <c:pt idx="0">
                <c:v>1.8964752998040003E-2</c:v>
              </c:pt>
              <c:pt idx="1">
                <c:v>1.891289174648661E-2</c:v>
              </c:pt>
            </c:numLit>
          </c:yVal>
          <c:smooth val="0"/>
          <c:extLst>
            <c:ext xmlns:c16="http://schemas.microsoft.com/office/drawing/2014/chart" uri="{C3380CC4-5D6E-409C-BE32-E72D297353CC}">
              <c16:uniqueId val="{00000019-0C0A-40D2-B891-EA76E48108B0}"/>
            </c:ext>
          </c:extLst>
        </c:ser>
        <c:ser>
          <c:idx val="22"/>
          <c:order val="22"/>
          <c:spPr>
            <a:ln w="3175">
              <a:solidFill>
                <a:srgbClr val="000000"/>
              </a:solidFill>
              <a:prstDash val="solid"/>
            </a:ln>
          </c:spPr>
          <c:marker>
            <c:symbol val="none"/>
          </c:marker>
          <c:xVal>
            <c:numLit>
              <c:formatCode>General</c:formatCode>
              <c:ptCount val="2"/>
              <c:pt idx="0">
                <c:v>-3.4111835808515791</c:v>
              </c:pt>
              <c:pt idx="1">
                <c:v>-3.7021044990194212</c:v>
              </c:pt>
            </c:numLit>
          </c:xVal>
          <c:yVal>
            <c:numLit>
              <c:formatCode>General</c:formatCode>
              <c:ptCount val="2"/>
              <c:pt idx="0">
                <c:v>1.8877049224379265E-2</c:v>
              </c:pt>
              <c:pt idx="1">
                <c:v>1.8822871269990157E-2</c:v>
              </c:pt>
            </c:numLit>
          </c:yVal>
          <c:smooth val="0"/>
          <c:extLst>
            <c:ext xmlns:c16="http://schemas.microsoft.com/office/drawing/2014/chart" uri="{C3380CC4-5D6E-409C-BE32-E72D297353CC}">
              <c16:uniqueId val="{0000001A-0C0A-40D2-B891-EA76E48108B0}"/>
            </c:ext>
          </c:extLst>
        </c:ser>
        <c:ser>
          <c:idx val="23"/>
          <c:order val="23"/>
          <c:spPr>
            <a:ln w="3175">
              <a:solidFill>
                <a:srgbClr val="000000"/>
              </a:solidFill>
              <a:prstDash val="solid"/>
            </a:ln>
          </c:spPr>
          <c:marker>
            <c:symbol val="none"/>
          </c:marker>
          <c:xVal>
            <c:numLit>
              <c:formatCode>General</c:formatCode>
              <c:ptCount val="2"/>
              <c:pt idx="0">
                <c:v>-3.3797243325935047</c:v>
              </c:pt>
              <c:pt idx="1">
                <c:v>-3.6698210225191046</c:v>
              </c:pt>
            </c:numLit>
          </c:xVal>
          <c:yVal>
            <c:numLit>
              <c:formatCode>General</c:formatCode>
              <c:ptCount val="2"/>
              <c:pt idx="0">
                <c:v>1.8787478625185268E-2</c:v>
              </c:pt>
              <c:pt idx="1">
                <c:v>1.8730934348336725E-2</c:v>
              </c:pt>
            </c:numLit>
          </c:yVal>
          <c:smooth val="0"/>
          <c:extLst>
            <c:ext xmlns:c16="http://schemas.microsoft.com/office/drawing/2014/chart" uri="{C3380CC4-5D6E-409C-BE32-E72D297353CC}">
              <c16:uniqueId val="{0000001B-0C0A-40D2-B891-EA76E48108B0}"/>
            </c:ext>
          </c:extLst>
        </c:ser>
        <c:ser>
          <c:idx val="24"/>
          <c:order val="24"/>
          <c:spPr>
            <a:ln w="3175">
              <a:solidFill>
                <a:srgbClr val="000000"/>
              </a:solidFill>
              <a:prstDash val="solid"/>
            </a:ln>
          </c:spPr>
          <c:marker>
            <c:symbol val="none"/>
          </c:marker>
          <c:xVal>
            <c:numLit>
              <c:formatCode>General</c:formatCode>
              <c:ptCount val="2"/>
              <c:pt idx="0">
                <c:v>-3.3461143621710736</c:v>
              </c:pt>
              <c:pt idx="1">
                <c:v>-3.6353303523381379</c:v>
              </c:pt>
            </c:numLit>
          </c:xVal>
          <c:yVal>
            <c:numLit>
              <c:formatCode>General</c:formatCode>
              <c:ptCount val="2"/>
              <c:pt idx="0">
                <c:v>1.8696016241449256E-2</c:v>
              </c:pt>
              <c:pt idx="1">
                <c:v>1.8637055329613312E-2</c:v>
              </c:pt>
            </c:numLit>
          </c:yVal>
          <c:smooth val="0"/>
          <c:extLst>
            <c:ext xmlns:c16="http://schemas.microsoft.com/office/drawing/2014/chart" uri="{C3380CC4-5D6E-409C-BE32-E72D297353CC}">
              <c16:uniqueId val="{0000001C-0C0A-40D2-B891-EA76E48108B0}"/>
            </c:ext>
          </c:extLst>
        </c:ser>
        <c:ser>
          <c:idx val="25"/>
          <c:order val="25"/>
          <c:spPr>
            <a:ln w="3175">
              <a:solidFill>
                <a:srgbClr val="000000"/>
              </a:solidFill>
              <a:prstDash val="solid"/>
            </a:ln>
          </c:spPr>
          <c:marker>
            <c:symbol val="none"/>
          </c:marker>
          <c:xVal>
            <c:numLit>
              <c:formatCode>General</c:formatCode>
              <c:ptCount val="2"/>
              <c:pt idx="0">
                <c:v>-3.3102371536754234</c:v>
              </c:pt>
              <c:pt idx="1">
                <c:v>-3.8867980751786924</c:v>
              </c:pt>
            </c:numLit>
          </c:xVal>
          <c:yVal>
            <c:numLit>
              <c:formatCode>General</c:formatCode>
              <c:ptCount val="2"/>
              <c:pt idx="0">
                <c:v>1.8602639402078635E-2</c:v>
              </c:pt>
              <c:pt idx="1">
                <c:v>1.8479806553120048E-2</c:v>
              </c:pt>
            </c:numLit>
          </c:yVal>
          <c:smooth val="0"/>
          <c:extLst>
            <c:ext xmlns:c16="http://schemas.microsoft.com/office/drawing/2014/chart" uri="{C3380CC4-5D6E-409C-BE32-E72D297353CC}">
              <c16:uniqueId val="{0000001D-0C0A-40D2-B891-EA76E48108B0}"/>
            </c:ext>
          </c:extLst>
        </c:ser>
        <c:ser>
          <c:idx val="26"/>
          <c:order val="26"/>
          <c:spPr>
            <a:ln w="3175">
              <a:solidFill>
                <a:srgbClr val="000000"/>
              </a:solidFill>
              <a:prstDash val="solid"/>
            </a:ln>
          </c:spPr>
          <c:marker>
            <c:symbol val="none"/>
          </c:marker>
          <c:xVal>
            <c:numLit>
              <c:formatCode>General</c:formatCode>
              <c:ptCount val="2"/>
              <c:pt idx="0">
                <c:v>-3.2719710627580656</c:v>
              </c:pt>
              <c:pt idx="1">
                <c:v>-3.5592437900382992</c:v>
              </c:pt>
            </c:numLit>
          </c:xVal>
          <c:yVal>
            <c:numLit>
              <c:formatCode>General</c:formatCode>
              <c:ptCount val="2"/>
              <c:pt idx="0">
                <c:v>1.85073280758347E-2</c:v>
              </c:pt>
              <c:pt idx="1">
                <c:v>1.8443380483584921E-2</c:v>
              </c:pt>
            </c:numLit>
          </c:yVal>
          <c:smooth val="0"/>
          <c:extLst>
            <c:ext xmlns:c16="http://schemas.microsoft.com/office/drawing/2014/chart" uri="{C3380CC4-5D6E-409C-BE32-E72D297353CC}">
              <c16:uniqueId val="{0000001E-0C0A-40D2-B891-EA76E48108B0}"/>
            </c:ext>
          </c:extLst>
        </c:ser>
        <c:ser>
          <c:idx val="27"/>
          <c:order val="27"/>
          <c:spPr>
            <a:ln w="3175">
              <a:solidFill>
                <a:srgbClr val="000000"/>
              </a:solidFill>
              <a:prstDash val="solid"/>
            </a:ln>
          </c:spPr>
          <c:marker>
            <c:symbol val="none"/>
          </c:marker>
          <c:xVal>
            <c:numLit>
              <c:formatCode>General</c:formatCode>
              <c:ptCount val="2"/>
              <c:pt idx="0">
                <c:v>-3.2311892749519693</c:v>
              </c:pt>
              <c:pt idx="1">
                <c:v>-3.5173928687057834</c:v>
              </c:pt>
            </c:numLit>
          </c:xVal>
          <c:yVal>
            <c:numLit>
              <c:formatCode>General</c:formatCode>
              <c:ptCount val="2"/>
              <c:pt idx="0">
                <c:v>1.8410065253019303E-2</c:v>
              </c:pt>
              <c:pt idx="1">
                <c:v>1.8343546556689797E-2</c:v>
              </c:pt>
            </c:numLit>
          </c:yVal>
          <c:smooth val="0"/>
          <c:extLst>
            <c:ext xmlns:c16="http://schemas.microsoft.com/office/drawing/2014/chart" uri="{C3380CC4-5D6E-409C-BE32-E72D297353CC}">
              <c16:uniqueId val="{0000001F-0C0A-40D2-B891-EA76E48108B0}"/>
            </c:ext>
          </c:extLst>
        </c:ser>
        <c:ser>
          <c:idx val="28"/>
          <c:order val="28"/>
          <c:spPr>
            <a:ln w="3175">
              <a:solidFill>
                <a:srgbClr val="000000"/>
              </a:solidFill>
              <a:prstDash val="solid"/>
            </a:ln>
          </c:spPr>
          <c:marker>
            <c:symbol val="none"/>
          </c:marker>
          <c:xVal>
            <c:numLit>
              <c:formatCode>General</c:formatCode>
              <c:ptCount val="2"/>
              <c:pt idx="0">
                <c:v>-3.1877597963437578</c:v>
              </c:pt>
              <c:pt idx="1">
                <c:v>-3.4728246421453663</c:v>
              </c:pt>
            </c:numLit>
          </c:xVal>
          <c:yVal>
            <c:numLit>
              <c:formatCode>General</c:formatCode>
              <c:ptCount val="2"/>
              <c:pt idx="0">
                <c:v>1.8310837357796605E-2</c:v>
              </c:pt>
              <c:pt idx="1">
                <c:v>1.8241695148370509E-2</c:v>
              </c:pt>
            </c:numLit>
          </c:yVal>
          <c:smooth val="0"/>
          <c:extLst>
            <c:ext xmlns:c16="http://schemas.microsoft.com/office/drawing/2014/chart" uri="{C3380CC4-5D6E-409C-BE32-E72D297353CC}">
              <c16:uniqueId val="{00000020-0C0A-40D2-B891-EA76E48108B0}"/>
            </c:ext>
          </c:extLst>
        </c:ser>
        <c:ser>
          <c:idx val="29"/>
          <c:order val="29"/>
          <c:spPr>
            <a:ln w="3175">
              <a:solidFill>
                <a:srgbClr val="000000"/>
              </a:solidFill>
              <a:prstDash val="solid"/>
            </a:ln>
          </c:spPr>
          <c:marker>
            <c:symbol val="none"/>
          </c:marker>
          <c:xVal>
            <c:numLit>
              <c:formatCode>General</c:formatCode>
              <c:ptCount val="2"/>
              <c:pt idx="0">
                <c:v>-3.1415454822086812</c:v>
              </c:pt>
              <c:pt idx="1">
                <c:v>-3.4253983312720453</c:v>
              </c:pt>
            </c:numLit>
          </c:xVal>
          <c:yVal>
            <c:numLit>
              <c:formatCode>General</c:formatCode>
              <c:ptCount val="2"/>
              <c:pt idx="0">
                <c:v>1.820963469175254E-2</c:v>
              </c:pt>
              <c:pt idx="1">
                <c:v>1.8137816256964326E-2</c:v>
              </c:pt>
            </c:numLit>
          </c:yVal>
          <c:smooth val="0"/>
          <c:extLst>
            <c:ext xmlns:c16="http://schemas.microsoft.com/office/drawing/2014/chart" uri="{C3380CC4-5D6E-409C-BE32-E72D297353CC}">
              <c16:uniqueId val="{00000021-0C0A-40D2-B891-EA76E48108B0}"/>
            </c:ext>
          </c:extLst>
        </c:ser>
        <c:ser>
          <c:idx val="30"/>
          <c:order val="30"/>
          <c:spPr>
            <a:ln w="3175">
              <a:solidFill>
                <a:srgbClr val="000000"/>
              </a:solidFill>
              <a:prstDash val="solid"/>
            </a:ln>
          </c:spPr>
          <c:marker>
            <c:symbol val="none"/>
          </c:marker>
          <c:xVal>
            <c:numLit>
              <c:formatCode>General</c:formatCode>
              <c:ptCount val="2"/>
              <c:pt idx="0">
                <c:v>-3.0924041097491268</c:v>
              </c:pt>
              <c:pt idx="1">
                <c:v>-3.6575453920736818</c:v>
              </c:pt>
            </c:numLit>
          </c:xVal>
          <c:yVal>
            <c:numLit>
              <c:formatCode>General</c:formatCode>
              <c:ptCount val="2"/>
              <c:pt idx="0">
                <c:v>1.8106451908935582E-2</c:v>
              </c:pt>
              <c:pt idx="1">
                <c:v>1.7957384915551974E-2</c:v>
              </c:pt>
            </c:numLit>
          </c:yVal>
          <c:smooth val="0"/>
          <c:extLst>
            <c:ext xmlns:c16="http://schemas.microsoft.com/office/drawing/2014/chart" uri="{C3380CC4-5D6E-409C-BE32-E72D297353CC}">
              <c16:uniqueId val="{00000022-0C0A-40D2-B891-EA76E48108B0}"/>
            </c:ext>
          </c:extLst>
        </c:ser>
        <c:ser>
          <c:idx val="31"/>
          <c:order val="31"/>
          <c:spPr>
            <a:ln w="3175">
              <a:solidFill>
                <a:srgbClr val="000000"/>
              </a:solidFill>
              <a:prstDash val="solid"/>
            </a:ln>
          </c:spPr>
          <c:marker>
            <c:symbol val="none"/>
          </c:marker>
          <c:dLbls>
            <c:dLbl>
              <c:idx val="0"/>
              <c:tx>
                <c:rich>
                  <a:bodyPr rot="-12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C0A-40D2-B891-EA76E48108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-4.3734691487420454</c:v>
              </c:pt>
            </c:numLit>
          </c:xVal>
          <c:yVal>
            <c:numLit>
              <c:formatCode>General</c:formatCode>
              <c:ptCount val="1"/>
              <c:pt idx="0">
                <c:v>1.7768728173225303E-2</c:v>
              </c:pt>
            </c:numLit>
          </c:yVal>
          <c:smooth val="0"/>
          <c:extLst>
            <c:ext xmlns:c16="http://schemas.microsoft.com/office/drawing/2014/chart" uri="{C3380CC4-5D6E-409C-BE32-E72D297353CC}">
              <c16:uniqueId val="{00000024-0C0A-40D2-B891-EA76E48108B0}"/>
            </c:ext>
          </c:extLst>
        </c:ser>
        <c:ser>
          <c:idx val="32"/>
          <c:order val="32"/>
          <c:spPr>
            <a:ln w="3175">
              <a:solidFill>
                <a:srgbClr val="000000"/>
              </a:solidFill>
              <a:prstDash val="solid"/>
            </a:ln>
          </c:spPr>
          <c:marker>
            <c:symbol val="none"/>
          </c:marker>
          <c:xVal>
            <c:numLit>
              <c:formatCode>General</c:formatCode>
              <c:ptCount val="2"/>
              <c:pt idx="0">
                <c:v>-3.0401885016002286</c:v>
              </c:pt>
              <c:pt idx="1">
                <c:v>-3.3213823853739761</c:v>
              </c:pt>
            </c:numLit>
          </c:xVal>
          <c:yVal>
            <c:numLit>
              <c:formatCode>General</c:formatCode>
              <c:ptCount val="2"/>
              <c:pt idx="0">
                <c:v>1.8001288522178398E-2</c:v>
              </c:pt>
              <c:pt idx="1">
                <c:v>1.79239588608462E-2</c:v>
              </c:pt>
            </c:numLit>
          </c:yVal>
          <c:smooth val="0"/>
          <c:extLst>
            <c:ext xmlns:c16="http://schemas.microsoft.com/office/drawing/2014/chart" uri="{C3380CC4-5D6E-409C-BE32-E72D297353CC}">
              <c16:uniqueId val="{00000025-0C0A-40D2-B891-EA76E48108B0}"/>
            </c:ext>
          </c:extLst>
        </c:ser>
        <c:ser>
          <c:idx val="33"/>
          <c:order val="33"/>
          <c:spPr>
            <a:ln w="3175">
              <a:solidFill>
                <a:srgbClr val="000000"/>
              </a:solidFill>
              <a:prstDash val="solid"/>
            </a:ln>
          </c:spPr>
          <c:marker>
            <c:symbol val="none"/>
          </c:marker>
          <c:xVal>
            <c:numLit>
              <c:formatCode>General</c:formatCode>
              <c:ptCount val="2"/>
              <c:pt idx="0">
                <c:v>-2.9847467072668263</c:v>
              </c:pt>
              <c:pt idx="1">
                <c:v>-3.2644856755106595</c:v>
              </c:pt>
            </c:numLit>
          </c:xVal>
          <c:yVal>
            <c:numLit>
              <c:formatCode>General</c:formatCode>
              <c:ptCount val="2"/>
              <c:pt idx="0">
                <c:v>1.7894149439960622E-2</c:v>
              </c:pt>
              <c:pt idx="1">
                <c:v>1.7813984785902574E-2</c:v>
              </c:pt>
            </c:numLit>
          </c:yVal>
          <c:smooth val="0"/>
          <c:extLst>
            <c:ext xmlns:c16="http://schemas.microsoft.com/office/drawing/2014/chart" uri="{C3380CC4-5D6E-409C-BE32-E72D297353CC}">
              <c16:uniqueId val="{00000026-0C0A-40D2-B891-EA76E48108B0}"/>
            </c:ext>
          </c:extLst>
        </c:ser>
        <c:ser>
          <c:idx val="34"/>
          <c:order val="34"/>
          <c:spPr>
            <a:ln w="3175">
              <a:solidFill>
                <a:srgbClr val="000000"/>
              </a:solidFill>
              <a:prstDash val="solid"/>
            </a:ln>
          </c:spPr>
          <c:marker>
            <c:symbol val="none"/>
          </c:marker>
          <c:xVal>
            <c:numLit>
              <c:formatCode>General</c:formatCode>
              <c:ptCount val="2"/>
              <c:pt idx="0">
                <c:v>-2.9259222501155961</c:v>
              </c:pt>
              <c:pt idx="1">
                <c:v>-3.2041171702836717</c:v>
              </c:pt>
            </c:numLit>
          </c:xVal>
          <c:yVal>
            <c:numLit>
              <c:formatCode>General</c:formatCode>
              <c:ptCount val="2"/>
              <c:pt idx="0">
                <c:v>1.7785045532430037E-2</c:v>
              </c:pt>
              <c:pt idx="1">
                <c:v>1.7701993219551154E-2</c:v>
              </c:pt>
            </c:numLit>
          </c:yVal>
          <c:smooth val="0"/>
          <c:extLst>
            <c:ext xmlns:c16="http://schemas.microsoft.com/office/drawing/2014/chart" uri="{C3380CC4-5D6E-409C-BE32-E72D297353CC}">
              <c16:uniqueId val="{00000027-0C0A-40D2-B891-EA76E48108B0}"/>
            </c:ext>
          </c:extLst>
        </c:ser>
        <c:ser>
          <c:idx val="35"/>
          <c:order val="35"/>
          <c:spPr>
            <a:ln w="3175">
              <a:solidFill>
                <a:srgbClr val="000000"/>
              </a:solidFill>
              <a:prstDash val="solid"/>
            </a:ln>
          </c:spPr>
          <c:marker>
            <c:symbol val="none"/>
          </c:marker>
          <c:xVal>
            <c:numLit>
              <c:formatCode>General</c:formatCode>
              <c:ptCount val="2"/>
              <c:pt idx="0">
                <c:v>-2.8635544479409476</c:v>
              </c:pt>
              <c:pt idx="1">
                <c:v>-3.1401119058801523</c:v>
              </c:pt>
            </c:numLit>
          </c:xVal>
          <c:yVal>
            <c:numLit>
              <c:formatCode>General</c:formatCode>
              <c:ptCount val="2"/>
              <c:pt idx="0">
                <c:v>1.7673994224443108E-2</c:v>
              </c:pt>
              <c:pt idx="1">
                <c:v>1.7588001986049255E-2</c:v>
              </c:pt>
            </c:numLit>
          </c:yVal>
          <c:smooth val="0"/>
          <c:extLst>
            <c:ext xmlns:c16="http://schemas.microsoft.com/office/drawing/2014/chart" uri="{C3380CC4-5D6E-409C-BE32-E72D297353CC}">
              <c16:uniqueId val="{00000028-0C0A-40D2-B891-EA76E48108B0}"/>
            </c:ext>
          </c:extLst>
        </c:ser>
        <c:ser>
          <c:idx val="36"/>
          <c:order val="36"/>
          <c:spPr>
            <a:ln w="3175">
              <a:solidFill>
                <a:srgbClr val="000000"/>
              </a:solidFill>
              <a:prstDash val="solid"/>
            </a:ln>
          </c:spPr>
          <c:marker>
            <c:symbol val="none"/>
          </c:marker>
          <c:xVal>
            <c:numLit>
              <c:formatCode>General</c:formatCode>
              <c:ptCount val="2"/>
              <c:pt idx="0">
                <c:v>-2.7974788154258228</c:v>
              </c:pt>
              <c:pt idx="1">
                <c:v>-3.347142064510721</c:v>
              </c:pt>
            </c:numLit>
          </c:xVal>
          <c:yVal>
            <c:numLit>
              <c:formatCode>General</c:formatCode>
              <c:ptCount val="2"/>
              <c:pt idx="0">
                <c:v>1.7561020112610893E-2</c:v>
              </c:pt>
              <c:pt idx="1">
                <c:v>1.7383084173262529E-2</c:v>
              </c:pt>
            </c:numLit>
          </c:yVal>
          <c:smooth val="0"/>
          <c:extLst>
            <c:ext xmlns:c16="http://schemas.microsoft.com/office/drawing/2014/chart" uri="{C3380CC4-5D6E-409C-BE32-E72D297353CC}">
              <c16:uniqueId val="{00000029-0C0A-40D2-B891-EA76E48108B0}"/>
            </c:ext>
          </c:extLst>
        </c:ser>
        <c:ser>
          <c:idx val="37"/>
          <c:order val="37"/>
          <c:spPr>
            <a:ln w="3175">
              <a:solidFill>
                <a:srgbClr val="000000"/>
              </a:solidFill>
              <a:prstDash val="solid"/>
            </a:ln>
          </c:spPr>
          <c:marker>
            <c:symbol val="none"/>
          </c:marker>
          <c:xVal>
            <c:numLit>
              <c:formatCode>General</c:formatCode>
              <c:ptCount val="2"/>
              <c:pt idx="0">
                <c:v>-2.7275275569962796</c:v>
              </c:pt>
              <c:pt idx="1">
                <c:v>-3.000512197277649</c:v>
              </c:pt>
            </c:numLit>
          </c:xVal>
          <c:yVal>
            <c:numLit>
              <c:formatCode>General</c:formatCode>
              <c:ptCount val="2"/>
              <c:pt idx="0">
                <c:v>1.7446155602337338E-2</c:v>
              </c:pt>
              <c:pt idx="1">
                <c:v>1.7354129262755674E-2</c:v>
              </c:pt>
            </c:numLit>
          </c:yVal>
          <c:smooth val="0"/>
          <c:extLst>
            <c:ext xmlns:c16="http://schemas.microsoft.com/office/drawing/2014/chart" uri="{C3380CC4-5D6E-409C-BE32-E72D297353CC}">
              <c16:uniqueId val="{0000002A-0C0A-40D2-B891-EA76E48108B0}"/>
            </c:ext>
          </c:extLst>
        </c:ser>
        <c:ser>
          <c:idx val="38"/>
          <c:order val="38"/>
          <c:spPr>
            <a:ln w="3175">
              <a:solidFill>
                <a:srgbClr val="000000"/>
              </a:solidFill>
              <a:prstDash val="solid"/>
            </a:ln>
          </c:spPr>
          <c:marker>
            <c:symbol val="none"/>
          </c:marker>
          <c:xVal>
            <c:numLit>
              <c:formatCode>General</c:formatCode>
              <c:ptCount val="2"/>
              <c:pt idx="0">
                <c:v>-2.6535301585852245</c:v>
              </c:pt>
              <c:pt idx="1">
                <c:v>-2.9245703956378155</c:v>
              </c:pt>
            </c:numLit>
          </c:xVal>
          <c:yVal>
            <c:numLit>
              <c:formatCode>General</c:formatCode>
              <c:ptCount val="2"/>
              <c:pt idx="0">
                <c:v>1.7329441559713527E-2</c:v>
              </c:pt>
              <c:pt idx="1">
                <c:v>1.7234322847302124E-2</c:v>
              </c:pt>
            </c:numLit>
          </c:yVal>
          <c:smooth val="0"/>
          <c:extLst>
            <c:ext xmlns:c16="http://schemas.microsoft.com/office/drawing/2014/chart" uri="{C3380CC4-5D6E-409C-BE32-E72D297353CC}">
              <c16:uniqueId val="{0000002B-0C0A-40D2-B891-EA76E48108B0}"/>
            </c:ext>
          </c:extLst>
        </c:ser>
        <c:ser>
          <c:idx val="39"/>
          <c:order val="39"/>
          <c:spPr>
            <a:ln w="3175">
              <a:solidFill>
                <a:srgbClr val="000000"/>
              </a:solidFill>
              <a:prstDash val="solid"/>
            </a:ln>
          </c:spPr>
          <c:marker>
            <c:symbol val="none"/>
          </c:marker>
          <c:xVal>
            <c:numLit>
              <c:formatCode>General</c:formatCode>
              <c:ptCount val="2"/>
              <c:pt idx="0">
                <c:v>-2.575314086634803</c:v>
              </c:pt>
              <c:pt idx="1">
                <c:v>-2.8442984434997114</c:v>
              </c:pt>
            </c:numLit>
          </c:xVal>
          <c:yVal>
            <c:numLit>
              <c:formatCode>General</c:formatCode>
              <c:ptCount val="2"/>
              <c:pt idx="0">
                <c:v>1.7210927971887027E-2</c:v>
              </c:pt>
              <c:pt idx="1">
                <c:v>1.7112668261044767E-2</c:v>
              </c:pt>
            </c:numLit>
          </c:yVal>
          <c:smooth val="0"/>
          <c:extLst>
            <c:ext xmlns:c16="http://schemas.microsoft.com/office/drawing/2014/chart" uri="{C3380CC4-5D6E-409C-BE32-E72D297353CC}">
              <c16:uniqueId val="{0000002C-0C0A-40D2-B891-EA76E48108B0}"/>
            </c:ext>
          </c:extLst>
        </c:ser>
        <c:ser>
          <c:idx val="40"/>
          <c:order val="40"/>
          <c:spPr>
            <a:ln w="3175">
              <a:solidFill>
                <a:srgbClr val="000000"/>
              </a:solidFill>
              <a:prstDash val="solid"/>
            </a:ln>
          </c:spPr>
          <c:marker>
            <c:symbol val="none"/>
          </c:marker>
          <c:xVal>
            <c:numLit>
              <c:formatCode>General</c:formatCode>
              <c:ptCount val="2"/>
              <c:pt idx="0">
                <c:v>-2.4927056022343019</c:v>
              </c:pt>
              <c:pt idx="1">
                <c:v>-2.7595179345950451</c:v>
              </c:pt>
            </c:numLit>
          </c:xVal>
          <c:yVal>
            <c:numLit>
              <c:formatCode>General</c:formatCode>
              <c:ptCount val="2"/>
              <c:pt idx="0">
                <c:v>1.7090674608169102E-2</c:v>
              </c:pt>
              <c:pt idx="1">
                <c:v>1.6989226782600338E-2</c:v>
              </c:pt>
            </c:numLit>
          </c:yVal>
          <c:smooth val="0"/>
          <c:extLst>
            <c:ext xmlns:c16="http://schemas.microsoft.com/office/drawing/2014/chart" uri="{C3380CC4-5D6E-409C-BE32-E72D297353CC}">
              <c16:uniqueId val="{0000002D-0C0A-40D2-B891-EA76E48108B0}"/>
            </c:ext>
          </c:extLst>
        </c:ser>
        <c:ser>
          <c:idx val="41"/>
          <c:order val="41"/>
          <c:spPr>
            <a:ln w="3175">
              <a:solidFill>
                <a:srgbClr val="000000"/>
              </a:solidFill>
              <a:prstDash val="solid"/>
            </a:ln>
          </c:spPr>
          <c:marker>
            <c:symbol val="none"/>
          </c:marker>
          <c:xVal>
            <c:numLit>
              <c:formatCode>General</c:formatCode>
              <c:ptCount val="2"/>
              <c:pt idx="0">
                <c:v>-2.4055306975638757</c:v>
              </c:pt>
              <c:pt idx="1">
                <c:v>-2.9345947649926489</c:v>
              </c:pt>
            </c:numLit>
          </c:xVal>
          <c:yVal>
            <c:numLit>
              <c:formatCode>General</c:formatCode>
              <c:ptCount val="2"/>
              <c:pt idx="0">
                <c:v>1.6968751672690126E-2</c:v>
              </c:pt>
              <c:pt idx="1">
                <c:v>1.6759423705491334E-2</c:v>
              </c:pt>
            </c:numLit>
          </c:yVal>
          <c:smooth val="0"/>
          <c:extLst>
            <c:ext xmlns:c16="http://schemas.microsoft.com/office/drawing/2014/chart" uri="{C3380CC4-5D6E-409C-BE32-E72D297353CC}">
              <c16:uniqueId val="{0000002E-0C0A-40D2-B891-EA76E48108B0}"/>
            </c:ext>
          </c:extLst>
        </c:ser>
        <c:ser>
          <c:idx val="42"/>
          <c:order val="42"/>
          <c:spPr>
            <a:ln w="3175">
              <a:solidFill>
                <a:srgbClr val="000000"/>
              </a:solidFill>
              <a:prstDash val="solid"/>
            </a:ln>
          </c:spPr>
          <c:marker>
            <c:symbol val="none"/>
          </c:marker>
          <c:dLbls>
            <c:dLbl>
              <c:idx val="0"/>
              <c:tx>
                <c:rich>
                  <a:bodyPr rot="-16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C0A-40D2-B891-EA76E48108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-3.6048866411471585</c:v>
              </c:pt>
            </c:numLit>
          </c:xVal>
          <c:yVal>
            <c:numLit>
              <c:formatCode>General</c:formatCode>
              <c:ptCount val="1"/>
              <c:pt idx="0">
                <c:v>1.649447339505386E-2</c:v>
              </c:pt>
            </c:numLit>
          </c:yVal>
          <c:smooth val="0"/>
          <c:extLst>
            <c:ext xmlns:c16="http://schemas.microsoft.com/office/drawing/2014/chart" uri="{C3380CC4-5D6E-409C-BE32-E72D297353CC}">
              <c16:uniqueId val="{00000030-0C0A-40D2-B891-EA76E48108B0}"/>
            </c:ext>
          </c:extLst>
        </c:ser>
        <c:ser>
          <c:idx val="43"/>
          <c:order val="43"/>
          <c:spPr>
            <a:ln w="3175">
              <a:solidFill>
                <a:srgbClr val="000000"/>
              </a:solidFill>
              <a:prstDash val="solid"/>
            </a:ln>
          </c:spPr>
          <c:marker>
            <c:symbol val="none"/>
          </c:marker>
          <c:xVal>
            <c:numLit>
              <c:formatCode>General</c:formatCode>
              <c:ptCount val="2"/>
              <c:pt idx="0">
                <c:v>-2.313616160746133</c:v>
              </c:pt>
              <c:pt idx="1">
                <c:v>-2.5757172835089825</c:v>
              </c:pt>
            </c:numLit>
          </c:xVal>
          <c:yVal>
            <c:numLit>
              <c:formatCode>General</c:formatCode>
              <c:ptCount val="2"/>
              <c:pt idx="0">
                <c:v>1.6845240437890034E-2</c:v>
              </c:pt>
              <c:pt idx="1">
                <c:v>1.6737282465345154E-2</c:v>
              </c:pt>
            </c:numLit>
          </c:yVal>
          <c:smooth val="0"/>
          <c:extLst>
            <c:ext xmlns:c16="http://schemas.microsoft.com/office/drawing/2014/chart" uri="{C3380CC4-5D6E-409C-BE32-E72D297353CC}">
              <c16:uniqueId val="{00000031-0C0A-40D2-B891-EA76E48108B0}"/>
            </c:ext>
          </c:extLst>
        </c:ser>
        <c:ser>
          <c:idx val="44"/>
          <c:order val="44"/>
          <c:spPr>
            <a:ln w="3175">
              <a:solidFill>
                <a:srgbClr val="000000"/>
              </a:solidFill>
              <a:prstDash val="solid"/>
            </a:ln>
          </c:spPr>
          <c:marker>
            <c:symbol val="none"/>
          </c:marker>
          <c:xVal>
            <c:numLit>
              <c:formatCode>General</c:formatCode>
              <c:ptCount val="2"/>
              <c:pt idx="0">
                <c:v>-2.216790773750446</c:v>
              </c:pt>
              <c:pt idx="1">
                <c:v>-2.4763434048290445</c:v>
              </c:pt>
            </c:numLit>
          </c:xVal>
          <c:yVal>
            <c:numLit>
              <c:formatCode>General</c:formatCode>
              <c:ptCount val="2"/>
              <c:pt idx="0">
                <c:v>1.6720233846569021E-2</c:v>
              </c:pt>
              <c:pt idx="1">
                <c:v>1.6608958306105915E-2</c:v>
              </c:pt>
            </c:numLit>
          </c:yVal>
          <c:smooth val="0"/>
          <c:extLst>
            <c:ext xmlns:c16="http://schemas.microsoft.com/office/drawing/2014/chart" uri="{C3380CC4-5D6E-409C-BE32-E72D297353CC}">
              <c16:uniqueId val="{00000032-0C0A-40D2-B891-EA76E48108B0}"/>
            </c:ext>
          </c:extLst>
        </c:ser>
        <c:ser>
          <c:idx val="45"/>
          <c:order val="45"/>
          <c:spPr>
            <a:ln w="3175">
              <a:solidFill>
                <a:srgbClr val="000000"/>
              </a:solidFill>
              <a:prstDash val="solid"/>
            </a:ln>
          </c:spPr>
          <c:marker>
            <c:symbol val="none"/>
          </c:marker>
          <c:xVal>
            <c:numLit>
              <c:formatCode>General</c:formatCode>
              <c:ptCount val="2"/>
              <c:pt idx="0">
                <c:v>-2.1148866461057976</c:v>
              </c:pt>
              <c:pt idx="1">
                <c:v>-2.3717560940296778</c:v>
              </c:pt>
            </c:numLit>
          </c:xVal>
          <c:yVal>
            <c:numLit>
              <c:formatCode>General</c:formatCode>
              <c:ptCount val="2"/>
              <c:pt idx="0">
                <c:v>1.6593837068668817E-2</c:v>
              </c:pt>
              <c:pt idx="1">
                <c:v>1.6479205804989291E-2</c:v>
              </c:pt>
            </c:numLit>
          </c:yVal>
          <c:smooth val="0"/>
          <c:extLst>
            <c:ext xmlns:c16="http://schemas.microsoft.com/office/drawing/2014/chart" uri="{C3380CC4-5D6E-409C-BE32-E72D297353CC}">
              <c16:uniqueId val="{00000033-0C0A-40D2-B891-EA76E48108B0}"/>
            </c:ext>
          </c:extLst>
        </c:ser>
        <c:ser>
          <c:idx val="46"/>
          <c:order val="46"/>
          <c:spPr>
            <a:ln w="3175">
              <a:solidFill>
                <a:srgbClr val="000000"/>
              </a:solidFill>
              <a:prstDash val="solid"/>
            </a:ln>
          </c:spPr>
          <c:marker>
            <c:symbol val="none"/>
          </c:marker>
          <c:xVal>
            <c:numLit>
              <c:formatCode>General</c:formatCode>
              <c:ptCount val="2"/>
              <c:pt idx="0">
                <c:v>-2.0077406848213544</c:v>
              </c:pt>
              <c:pt idx="1">
                <c:v>-2.2617878171027579</c:v>
              </c:pt>
            </c:numLit>
          </c:xVal>
          <c:yVal>
            <c:numLit>
              <c:formatCode>General</c:formatCode>
              <c:ptCount val="2"/>
              <c:pt idx="0">
                <c:v>1.6466167997462634E-2</c:v>
              </c:pt>
              <c:pt idx="1">
                <c:v>1.6348145906530984E-2</c:v>
              </c:pt>
            </c:numLit>
          </c:yVal>
          <c:smooth val="0"/>
          <c:extLst>
            <c:ext xmlns:c16="http://schemas.microsoft.com/office/drawing/2014/chart" uri="{C3380CC4-5D6E-409C-BE32-E72D297353CC}">
              <c16:uniqueId val="{00000034-0C0A-40D2-B891-EA76E48108B0}"/>
            </c:ext>
          </c:extLst>
        </c:ser>
        <c:ser>
          <c:idx val="47"/>
          <c:order val="47"/>
          <c:spPr>
            <a:ln w="3175">
              <a:solidFill>
                <a:srgbClr val="000000"/>
              </a:solidFill>
              <a:prstDash val="solid"/>
            </a:ln>
          </c:spPr>
          <c:marker>
            <c:symbol val="none"/>
          </c:marker>
          <c:xVal>
            <c:numLit>
              <c:formatCode>General</c:formatCode>
              <c:ptCount val="2"/>
              <c:pt idx="0">
                <c:v>-1.8951961980647147</c:v>
              </c:pt>
              <c:pt idx="1">
                <c:v>-2.3973910482134464</c:v>
              </c:pt>
            </c:numLit>
          </c:xVal>
          <c:yVal>
            <c:numLit>
              <c:formatCode>General</c:formatCode>
              <c:ptCount val="2"/>
              <c:pt idx="0">
                <c:v>1.6337357668468857E-2</c:v>
              </c:pt>
              <c:pt idx="1">
                <c:v>1.6094504538306124E-2</c:v>
              </c:pt>
            </c:numLit>
          </c:yVal>
          <c:smooth val="0"/>
          <c:extLst>
            <c:ext xmlns:c16="http://schemas.microsoft.com/office/drawing/2014/chart" uri="{C3380CC4-5D6E-409C-BE32-E72D297353CC}">
              <c16:uniqueId val="{00000035-0C0A-40D2-B891-EA76E48108B0}"/>
            </c:ext>
          </c:extLst>
        </c:ser>
        <c:ser>
          <c:idx val="48"/>
          <c:order val="48"/>
          <c:spPr>
            <a:ln w="3175">
              <a:solidFill>
                <a:srgbClr val="000000"/>
              </a:solidFill>
              <a:prstDash val="solid"/>
            </a:ln>
          </c:spPr>
          <c:marker>
            <c:symbol val="none"/>
          </c:marker>
          <c:xVal>
            <c:numLit>
              <c:formatCode>General</c:formatCode>
              <c:ptCount val="2"/>
              <c:pt idx="0">
                <c:v>-1.7771046267974688</c:v>
              </c:pt>
              <c:pt idx="1">
                <c:v>-2.0250727985773351</c:v>
              </c:pt>
            </c:numLit>
          </c:xVal>
          <c:yVal>
            <c:numLit>
              <c:formatCode>General</c:formatCode>
              <c:ptCount val="2"/>
              <c:pt idx="0">
                <c:v>1.6207550583249328E-2</c:v>
              </c:pt>
              <c:pt idx="1">
                <c:v>1.60826554977502E-2</c:v>
              </c:pt>
            </c:numLit>
          </c:yVal>
          <c:smooth val="0"/>
          <c:extLst>
            <c:ext xmlns:c16="http://schemas.microsoft.com/office/drawing/2014/chart" uri="{C3380CC4-5D6E-409C-BE32-E72D297353CC}">
              <c16:uniqueId val="{00000036-0C0A-40D2-B891-EA76E48108B0}"/>
            </c:ext>
          </c:extLst>
        </c:ser>
        <c:ser>
          <c:idx val="49"/>
          <c:order val="49"/>
          <c:spPr>
            <a:ln w="3175">
              <a:solidFill>
                <a:srgbClr val="000000"/>
              </a:solidFill>
              <a:prstDash val="solid"/>
            </a:ln>
          </c:spPr>
          <c:marker>
            <c:symbol val="none"/>
          </c:marker>
          <c:xVal>
            <c:numLit>
              <c:formatCode>General</c:formatCode>
              <c:ptCount val="2"/>
              <c:pt idx="0">
                <c:v>-1.6533273947279199</c:v>
              </c:pt>
              <c:pt idx="1">
                <c:v>-1.8980310127626514</c:v>
              </c:pt>
            </c:numLit>
          </c:xVal>
          <c:yVal>
            <c:numLit>
              <c:formatCode>General</c:formatCode>
              <c:ptCount val="2"/>
              <c:pt idx="0">
                <c:v>1.6076904919395639E-2</c:v>
              </c:pt>
              <c:pt idx="1">
                <c:v>1.5948535562537603E-2</c:v>
              </c:pt>
            </c:numLit>
          </c:yVal>
          <c:smooth val="0"/>
          <c:extLst>
            <c:ext xmlns:c16="http://schemas.microsoft.com/office/drawing/2014/chart" uri="{C3380CC4-5D6E-409C-BE32-E72D297353CC}">
              <c16:uniqueId val="{00000037-0C0A-40D2-B891-EA76E48108B0}"/>
            </c:ext>
          </c:extLst>
        </c:ser>
        <c:ser>
          <c:idx val="50"/>
          <c:order val="50"/>
          <c:spPr>
            <a:ln w="3175">
              <a:solidFill>
                <a:srgbClr val="000000"/>
              </a:solidFill>
              <a:prstDash val="solid"/>
            </a:ln>
          </c:spPr>
          <c:marker>
            <c:symbol val="none"/>
          </c:marker>
          <c:xVal>
            <c:numLit>
              <c:formatCode>General</c:formatCode>
              <c:ptCount val="2"/>
              <c:pt idx="0">
                <c:v>-1.5237378626491505</c:v>
              </c:pt>
              <c:pt idx="1">
                <c:v>-1.7650220780229187</c:v>
              </c:pt>
            </c:numLit>
          </c:xVal>
          <c:yVal>
            <c:numLit>
              <c:formatCode>General</c:formatCode>
              <c:ptCount val="2"/>
              <c:pt idx="0">
                <c:v>1.5945592607543146E-2</c:v>
              </c:pt>
              <c:pt idx="1">
                <c:v>1.5813729677496932E-2</c:v>
              </c:pt>
            </c:numLit>
          </c:yVal>
          <c:smooth val="0"/>
          <c:extLst>
            <c:ext xmlns:c16="http://schemas.microsoft.com/office/drawing/2014/chart" uri="{C3380CC4-5D6E-409C-BE32-E72D297353CC}">
              <c16:uniqueId val="{00000038-0C0A-40D2-B891-EA76E48108B0}"/>
            </c:ext>
          </c:extLst>
        </c:ser>
        <c:ser>
          <c:idx val="51"/>
          <c:order val="51"/>
          <c:spPr>
            <a:ln w="3175">
              <a:solidFill>
                <a:srgbClr val="000000"/>
              </a:solidFill>
              <a:prstDash val="solid"/>
            </a:ln>
          </c:spPr>
          <c:marker>
            <c:symbol val="none"/>
          </c:marker>
          <c:xVal>
            <c:numLit>
              <c:formatCode>General</c:formatCode>
              <c:ptCount val="2"/>
              <c:pt idx="0">
                <c:v>-1.388223368555124</c:v>
              </c:pt>
              <c:pt idx="1">
                <c:v>-1.6259301677145295</c:v>
              </c:pt>
            </c:numLit>
          </c:xVal>
          <c:yVal>
            <c:numLit>
              <c:formatCode>General</c:formatCode>
              <c:ptCount val="2"/>
              <c:pt idx="0">
                <c:v>1.5813799256283002E-2</c:v>
              </c:pt>
              <c:pt idx="1">
                <c:v>1.5678428325744984E-2</c:v>
              </c:pt>
            </c:numLit>
          </c:yVal>
          <c:smooth val="0"/>
          <c:extLst>
            <c:ext xmlns:c16="http://schemas.microsoft.com/office/drawing/2014/chart" uri="{C3380CC4-5D6E-409C-BE32-E72D297353CC}">
              <c16:uniqueId val="{00000039-0C0A-40D2-B891-EA76E48108B0}"/>
            </c:ext>
          </c:extLst>
        </c:ser>
        <c:ser>
          <c:idx val="52"/>
          <c:order val="52"/>
          <c:spPr>
            <a:ln w="3175">
              <a:solidFill>
                <a:srgbClr val="000000"/>
              </a:solidFill>
              <a:prstDash val="solid"/>
            </a:ln>
          </c:spPr>
          <c:marker>
            <c:symbol val="none"/>
          </c:marker>
          <c:xVal>
            <c:numLit>
              <c:formatCode>General</c:formatCode>
              <c:ptCount val="2"/>
              <c:pt idx="0">
                <c:v>-1.2466873299709398</c:v>
              </c:pt>
              <c:pt idx="1">
                <c:v>-1.7146635892116067</c:v>
              </c:pt>
            </c:numLit>
          </c:xVal>
          <c:yVal>
            <c:numLit>
              <c:formatCode>General</c:formatCode>
              <c:ptCount val="2"/>
              <c:pt idx="0">
                <c:v>1.5681723906468353E-2</c:v>
              </c:pt>
              <c:pt idx="1">
                <c:v>1.540398349013896E-2</c:v>
              </c:pt>
            </c:numLit>
          </c:yVal>
          <c:smooth val="0"/>
          <c:extLst>
            <c:ext xmlns:c16="http://schemas.microsoft.com/office/drawing/2014/chart" uri="{C3380CC4-5D6E-409C-BE32-E72D297353CC}">
              <c16:uniqueId val="{0000003A-0C0A-40D2-B891-EA76E48108B0}"/>
            </c:ext>
          </c:extLst>
        </c:ser>
        <c:ser>
          <c:idx val="53"/>
          <c:order val="53"/>
          <c:spPr>
            <a:ln w="3175">
              <a:solidFill>
                <a:srgbClr val="000000"/>
              </a:solidFill>
              <a:prstDash val="solid"/>
            </a:ln>
          </c:spPr>
          <c:marker>
            <c:symbol val="none"/>
          </c:marker>
          <c:dLbls>
            <c:dLbl>
              <c:idx val="0"/>
              <c:tx>
                <c:rich>
                  <a:bodyPr rot="-23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C0A-40D2-B891-EA76E48108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-2.3076574148248494</c:v>
              </c:pt>
            </c:numLit>
          </c:xVal>
          <c:yVal>
            <c:numLit>
              <c:formatCode>General</c:formatCode>
              <c:ptCount val="1"/>
              <c:pt idx="0">
                <c:v>1.5052384582440575E-2</c:v>
              </c:pt>
            </c:numLit>
          </c:yVal>
          <c:smooth val="0"/>
          <c:extLst>
            <c:ext xmlns:c16="http://schemas.microsoft.com/office/drawing/2014/chart" uri="{C3380CC4-5D6E-409C-BE32-E72D297353CC}">
              <c16:uniqueId val="{0000003C-0C0A-40D2-B891-EA76E48108B0}"/>
            </c:ext>
          </c:extLst>
        </c:ser>
        <c:ser>
          <c:idx val="54"/>
          <c:order val="54"/>
          <c:spPr>
            <a:ln w="3175">
              <a:solidFill>
                <a:srgbClr val="000000"/>
              </a:solidFill>
              <a:prstDash val="solid"/>
            </a:ln>
          </c:spPr>
          <c:marker>
            <c:symbol val="none"/>
          </c:marker>
          <c:xVal>
            <c:numLit>
              <c:formatCode>General</c:formatCode>
              <c:ptCount val="2"/>
              <c:pt idx="0">
                <c:v>-1.0990513798353114</c:v>
              </c:pt>
              <c:pt idx="1">
                <c:v>-1.3291187844030128</c:v>
              </c:pt>
            </c:numLit>
          </c:xVal>
          <c:yVal>
            <c:numLit>
              <c:formatCode>General</c:formatCode>
              <c:ptCount val="2"/>
              <c:pt idx="0">
                <c:v>1.5549578597725369E-2</c:v>
              </c:pt>
              <c:pt idx="1">
                <c:v>1.5407169702183561E-2</c:v>
              </c:pt>
            </c:numLit>
          </c:yVal>
          <c:smooth val="0"/>
          <c:extLst>
            <c:ext xmlns:c16="http://schemas.microsoft.com/office/drawing/2014/chart" uri="{C3380CC4-5D6E-409C-BE32-E72D297353CC}">
              <c16:uniqueId val="{0000003D-0C0A-40D2-B891-EA76E48108B0}"/>
            </c:ext>
          </c:extLst>
        </c:ser>
        <c:ser>
          <c:idx val="55"/>
          <c:order val="55"/>
          <c:spPr>
            <a:ln w="3175">
              <a:solidFill>
                <a:srgbClr val="000000"/>
              </a:solidFill>
              <a:prstDash val="solid"/>
            </a:ln>
          </c:spPr>
          <c:marker>
            <c:symbol val="none"/>
          </c:marker>
          <c:xVal>
            <c:numLit>
              <c:formatCode>General</c:formatCode>
              <c:ptCount val="2"/>
              <c:pt idx="0">
                <c:v>-0.94525750221214544</c:v>
              </c:pt>
              <c:pt idx="1">
                <c:v>-1.171258910076004</c:v>
              </c:pt>
            </c:numLit>
          </c:xVal>
          <c:yVal>
            <c:numLit>
              <c:formatCode>General</c:formatCode>
              <c:ptCount val="2"/>
              <c:pt idx="0">
                <c:v>1.5417587732063727E-2</c:v>
              </c:pt>
              <c:pt idx="1">
                <c:v>1.5271660405463735E-2</c:v>
              </c:pt>
            </c:numLit>
          </c:yVal>
          <c:smooth val="0"/>
          <c:extLst>
            <c:ext xmlns:c16="http://schemas.microsoft.com/office/drawing/2014/chart" uri="{C3380CC4-5D6E-409C-BE32-E72D297353CC}">
              <c16:uniqueId val="{0000003E-0C0A-40D2-B891-EA76E48108B0}"/>
            </c:ext>
          </c:extLst>
        </c:ser>
        <c:ser>
          <c:idx val="56"/>
          <c:order val="56"/>
          <c:spPr>
            <a:ln w="3175">
              <a:solidFill>
                <a:srgbClr val="000000"/>
              </a:solidFill>
              <a:prstDash val="solid"/>
            </a:ln>
          </c:spPr>
          <c:marker>
            <c:symbol val="none"/>
          </c:marker>
          <c:xVal>
            <c:numLit>
              <c:formatCode>General</c:formatCode>
              <c:ptCount val="2"/>
              <c:pt idx="0">
                <c:v>-0.78527012929796181</c:v>
              </c:pt>
              <c:pt idx="1">
                <c:v>-1.0070396059342881</c:v>
              </c:pt>
            </c:numLit>
          </c:xVal>
          <c:yVal>
            <c:numLit>
              <c:formatCode>General</c:formatCode>
              <c:ptCount val="2"/>
              <c:pt idx="0">
                <c:v>1.5285987222392702E-2</c:v>
              </c:pt>
              <c:pt idx="1">
                <c:v>1.5136550067768871E-2</c:v>
              </c:pt>
            </c:numLit>
          </c:yVal>
          <c:smooth val="0"/>
          <c:extLst>
            <c:ext xmlns:c16="http://schemas.microsoft.com/office/drawing/2014/chart" uri="{C3380CC4-5D6E-409C-BE32-E72D297353CC}">
              <c16:uniqueId val="{0000003F-0C0A-40D2-B891-EA76E48108B0}"/>
            </c:ext>
          </c:extLst>
        </c:ser>
        <c:ser>
          <c:idx val="57"/>
          <c:order val="57"/>
          <c:spPr>
            <a:ln w="3175">
              <a:solidFill>
                <a:srgbClr val="000000"/>
              </a:solidFill>
              <a:prstDash val="solid"/>
            </a:ln>
          </c:spPr>
          <c:marker>
            <c:symbol val="none"/>
          </c:marker>
          <c:xVal>
            <c:numLit>
              <c:formatCode>General</c:formatCode>
              <c:ptCount val="2"/>
              <c:pt idx="0">
                <c:v>-0.61907815687851919</c:v>
              </c:pt>
              <c:pt idx="1">
                <c:v>-0.83644925897128908</c:v>
              </c:pt>
            </c:numLit>
          </c:xVal>
          <c:yVal>
            <c:numLit>
              <c:formatCode>General</c:formatCode>
              <c:ptCount val="2"/>
              <c:pt idx="0">
                <c:v>1.5155023417515526E-2</c:v>
              </c:pt>
              <c:pt idx="1">
                <c:v>1.5002091586488069E-2</c:v>
              </c:pt>
            </c:numLit>
          </c:yVal>
          <c:smooth val="0"/>
          <c:extLst>
            <c:ext xmlns:c16="http://schemas.microsoft.com/office/drawing/2014/chart" uri="{C3380CC4-5D6E-409C-BE32-E72D297353CC}">
              <c16:uniqueId val="{00000040-0C0A-40D2-B891-EA76E48108B0}"/>
            </c:ext>
          </c:extLst>
        </c:ser>
        <c:ser>
          <c:idx val="58"/>
          <c:order val="58"/>
          <c:spPr>
            <a:ln w="3175">
              <a:solidFill>
                <a:srgbClr val="000000"/>
              </a:solidFill>
              <a:prstDash val="solid"/>
            </a:ln>
          </c:spPr>
          <c:marker>
            <c:symbol val="none"/>
          </c:marker>
          <c:xVal>
            <c:numLit>
              <c:formatCode>General</c:formatCode>
              <c:ptCount val="2"/>
              <c:pt idx="0">
                <c:v>-0.44669683184065456</c:v>
              </c:pt>
              <c:pt idx="1">
                <c:v>-0.87235472792758506</c:v>
              </c:pt>
            </c:numLit>
          </c:xVal>
          <c:yVal>
            <c:numLit>
              <c:formatCode>General</c:formatCode>
              <c:ptCount val="2"/>
              <c:pt idx="0">
                <c:v>1.5024951799785189E-2</c:v>
              </c:pt>
              <c:pt idx="1">
                <c:v>1.4712176032084051E-2</c:v>
              </c:pt>
            </c:numLit>
          </c:yVal>
          <c:smooth val="0"/>
          <c:extLst>
            <c:ext xmlns:c16="http://schemas.microsoft.com/office/drawing/2014/chart" uri="{C3380CC4-5D6E-409C-BE32-E72D297353CC}">
              <c16:uniqueId val="{00000041-0C0A-40D2-B891-EA76E48108B0}"/>
            </c:ext>
          </c:extLst>
        </c:ser>
        <c:ser>
          <c:idx val="59"/>
          <c:order val="59"/>
          <c:spPr>
            <a:ln w="3175">
              <a:solidFill>
                <a:srgbClr val="000000"/>
              </a:solidFill>
              <a:prstDash val="solid"/>
            </a:ln>
          </c:spPr>
          <c:marker>
            <c:symbol val="none"/>
          </c:marker>
          <c:xVal>
            <c:numLit>
              <c:formatCode>General</c:formatCode>
              <c:ptCount val="2"/>
              <c:pt idx="0">
                <c:v>-0.26816946284299165</c:v>
              </c:pt>
              <c:pt idx="1">
                <c:v>-0.47624598722283679</c:v>
              </c:pt>
            </c:numLit>
          </c:xVal>
          <c:yVal>
            <c:numLit>
              <c:formatCode>General</c:formatCode>
              <c:ptCount val="2"/>
              <c:pt idx="0">
                <c:v>1.4896035457000568E-2</c:v>
              </c:pt>
              <c:pt idx="1">
                <c:v>1.4736187176696662E-2</c:v>
              </c:pt>
            </c:numLit>
          </c:yVal>
          <c:smooth val="0"/>
          <c:extLst>
            <c:ext xmlns:c16="http://schemas.microsoft.com/office/drawing/2014/chart" uri="{C3380CC4-5D6E-409C-BE32-E72D297353CC}">
              <c16:uniqueId val="{00000042-0C0A-40D2-B891-EA76E48108B0}"/>
            </c:ext>
          </c:extLst>
        </c:ser>
        <c:ser>
          <c:idx val="60"/>
          <c:order val="60"/>
          <c:spPr>
            <a:ln w="3175">
              <a:solidFill>
                <a:srgbClr val="000000"/>
              </a:solidFill>
              <a:prstDash val="solid"/>
            </a:ln>
          </c:spPr>
          <c:marker>
            <c:symbol val="none"/>
          </c:marker>
          <c:xVal>
            <c:numLit>
              <c:formatCode>General</c:formatCode>
              <c:ptCount val="2"/>
              <c:pt idx="0">
                <c:v>-8.3568904066706209E-2</c:v>
              </c:pt>
              <c:pt idx="1">
                <c:v>-0.28675188305885801</c:v>
              </c:pt>
            </c:numLit>
          </c:xVal>
          <c:yVal>
            <c:numLit>
              <c:formatCode>General</c:formatCode>
              <c:ptCount val="2"/>
              <c:pt idx="0">
                <c:v>1.4768543336192361E-2</c:v>
              </c:pt>
              <c:pt idx="1">
                <c:v>1.4605287509683575E-2</c:v>
              </c:pt>
            </c:numLit>
          </c:yVal>
          <c:smooth val="0"/>
          <c:extLst>
            <c:ext xmlns:c16="http://schemas.microsoft.com/office/drawing/2014/chart" uri="{C3380CC4-5D6E-409C-BE32-E72D297353CC}">
              <c16:uniqueId val="{00000043-0C0A-40D2-B891-EA76E48108B0}"/>
            </c:ext>
          </c:extLst>
        </c:ser>
        <c:ser>
          <c:idx val="61"/>
          <c:order val="61"/>
          <c:spPr>
            <a:ln w="3175">
              <a:solidFill>
                <a:srgbClr val="000000"/>
              </a:solidFill>
              <a:prstDash val="solid"/>
            </a:ln>
          </c:spPr>
          <c:marker>
            <c:symbol val="none"/>
          </c:marker>
          <c:xVal>
            <c:numLit>
              <c:formatCode>General</c:formatCode>
              <c:ptCount val="2"/>
              <c:pt idx="0">
                <c:v>0.10700123764518008</c:v>
              </c:pt>
              <c:pt idx="1">
                <c:v>-9.1127145974432305E-2</c:v>
              </c:pt>
            </c:numLit>
          </c:xVal>
          <c:yVal>
            <c:numLit>
              <c:formatCode>General</c:formatCode>
              <c:ptCount val="2"/>
              <c:pt idx="0">
                <c:v>1.4642748293527812E-2</c:v>
              </c:pt>
              <c:pt idx="1">
                <c:v>1.4476128428781763E-2</c:v>
              </c:pt>
            </c:numLit>
          </c:yVal>
          <c:smooth val="0"/>
          <c:extLst>
            <c:ext xmlns:c16="http://schemas.microsoft.com/office/drawing/2014/chart" uri="{C3380CC4-5D6E-409C-BE32-E72D297353CC}">
              <c16:uniqueId val="{00000044-0C0A-40D2-B891-EA76E48108B0}"/>
            </c:ext>
          </c:extLst>
        </c:ser>
        <c:ser>
          <c:idx val="62"/>
          <c:order val="62"/>
          <c:spPr>
            <a:ln w="3175">
              <a:solidFill>
                <a:srgbClr val="000000"/>
              </a:solidFill>
              <a:prstDash val="solid"/>
            </a:ln>
          </c:spPr>
          <c:marker>
            <c:symbol val="none"/>
          </c:marker>
          <c:xVal>
            <c:numLit>
              <c:formatCode>General</c:formatCode>
              <c:ptCount val="2"/>
              <c:pt idx="0">
                <c:v>0.30340571978893238</c:v>
              </c:pt>
              <c:pt idx="1">
                <c:v>0.11048958435157942</c:v>
              </c:pt>
            </c:numLit>
          </c:xVal>
          <c:yVal>
            <c:numLit>
              <c:formatCode>General</c:formatCode>
              <c:ptCount val="2"/>
              <c:pt idx="0">
                <c:v>1.4518924961431453E-2</c:v>
              </c:pt>
              <c:pt idx="1">
                <c:v>1.4348991954383022E-2</c:v>
              </c:pt>
            </c:numLit>
          </c:yVal>
          <c:smooth val="0"/>
          <c:extLst>
            <c:ext xmlns:c16="http://schemas.microsoft.com/office/drawing/2014/chart" uri="{C3380CC4-5D6E-409C-BE32-E72D297353CC}">
              <c16:uniqueId val="{00000045-0C0A-40D2-B891-EA76E48108B0}"/>
            </c:ext>
          </c:extLst>
        </c:ser>
        <c:ser>
          <c:idx val="63"/>
          <c:order val="63"/>
          <c:spPr>
            <a:ln w="3175">
              <a:solidFill>
                <a:srgbClr val="000000"/>
              </a:solidFill>
              <a:prstDash val="solid"/>
            </a:ln>
          </c:spPr>
          <c:marker>
            <c:symbol val="none"/>
          </c:marker>
          <c:xVal>
            <c:numLit>
              <c:formatCode>General</c:formatCode>
              <c:ptCount val="2"/>
              <c:pt idx="0">
                <c:v>0.5054771487943629</c:v>
              </c:pt>
              <c:pt idx="1">
                <c:v>0.13032764032617034</c:v>
              </c:pt>
            </c:numLit>
          </c:xVal>
          <c:yVal>
            <c:numLit>
              <c:formatCode>General</c:formatCode>
              <c:ptCount val="2"/>
              <c:pt idx="0">
                <c:v>1.439734746090714E-2</c:v>
              </c:pt>
              <c:pt idx="1">
                <c:v>1.4051000367389811E-2</c:v>
              </c:pt>
            </c:numLit>
          </c:yVal>
          <c:smooth val="0"/>
          <c:extLst>
            <c:ext xmlns:c16="http://schemas.microsoft.com/office/drawing/2014/chart" uri="{C3380CC4-5D6E-409C-BE32-E72D297353CC}">
              <c16:uniqueId val="{00000046-0C0A-40D2-B891-EA76E48108B0}"/>
            </c:ext>
          </c:extLst>
        </c:ser>
        <c:ser>
          <c:idx val="64"/>
          <c:order val="64"/>
          <c:spPr>
            <a:ln w="3175">
              <a:solidFill>
                <a:srgbClr val="000000"/>
              </a:solidFill>
              <a:prstDash val="solid"/>
            </a:ln>
          </c:spPr>
          <c:marker>
            <c:symbol val="none"/>
          </c:marker>
          <c:dLbls>
            <c:dLbl>
              <c:idx val="0"/>
              <c:tx>
                <c:rich>
                  <a:bodyPr rot="-31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7-0C0A-40D2-B891-EA76E48108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-0.34514016993581637</c:v>
              </c:pt>
            </c:numLit>
          </c:xVal>
          <c:yVal>
            <c:numLit>
              <c:formatCode>General</c:formatCode>
              <c:ptCount val="1"/>
              <c:pt idx="0">
                <c:v>1.3612458427713661E-2</c:v>
              </c:pt>
            </c:numLit>
          </c:yVal>
          <c:smooth val="0"/>
          <c:extLst>
            <c:ext xmlns:c16="http://schemas.microsoft.com/office/drawing/2014/chart" uri="{C3380CC4-5D6E-409C-BE32-E72D297353CC}">
              <c16:uniqueId val="{00000048-0C0A-40D2-B891-EA76E48108B0}"/>
            </c:ext>
          </c:extLst>
        </c:ser>
        <c:ser>
          <c:idx val="65"/>
          <c:order val="65"/>
          <c:spPr>
            <a:ln w="3175">
              <a:solidFill>
                <a:srgbClr val="000000"/>
              </a:solidFill>
              <a:prstDash val="solid"/>
            </a:ln>
          </c:spPr>
          <c:marker>
            <c:symbol val="none"/>
          </c:marker>
          <c:xVal>
            <c:numLit>
              <c:formatCode>General</c:formatCode>
              <c:ptCount val="56"/>
              <c:pt idx="0">
                <c:v>-3.758</c:v>
              </c:pt>
              <c:pt idx="1">
                <c:v>-3.7573164307647193</c:v>
              </c:pt>
              <c:pt idx="2">
                <c:v>-3.7551514284703731</c:v>
              </c:pt>
              <c:pt idx="3">
                <c:v>-3.7513184851597101</c:v>
              </c:pt>
              <c:pt idx="4">
                <c:v>-3.7456091126033786</c:v>
              </c:pt>
              <c:pt idx="5">
                <c:v>-3.7377902586290985</c:v>
              </c:pt>
              <c:pt idx="6">
                <c:v>-3.7276014439375182</c:v>
              </c:pt>
              <c:pt idx="7">
                <c:v>-3.7147516008544463</c:v>
              </c:pt>
              <c:pt idx="8">
                <c:v>-3.6989155989247418</c:v>
              </c:pt>
              <c:pt idx="9">
                <c:v>-3.6797304479524238</c:v>
              </c:pt>
              <c:pt idx="10">
                <c:v>-3.6567911778075404</c:v>
              </c:pt>
              <c:pt idx="11">
                <c:v>-3.6296464070240311</c:v>
              </c:pt>
              <c:pt idx="12">
                <c:v>-3.5977936301001021</c:v>
              </c:pt>
              <c:pt idx="13">
                <c:v>-3.5606742779232401</c:v>
              </c:pt>
              <c:pt idx="14">
                <c:v>-3.517668638557927</c:v>
              </c:pt>
              <c:pt idx="15">
                <c:v>-3.4680907686435161</c:v>
              </c:pt>
              <c:pt idx="16">
                <c:v>-3.4406035633560976</c:v>
              </c:pt>
              <c:pt idx="17">
                <c:v>-3.4111835808515791</c:v>
              </c:pt>
              <c:pt idx="18">
                <c:v>-3.3797243325935047</c:v>
              </c:pt>
              <c:pt idx="19">
                <c:v>-3.3461143621710736</c:v>
              </c:pt>
              <c:pt idx="20">
                <c:v>-3.3102371536754234</c:v>
              </c:pt>
              <c:pt idx="21">
                <c:v>-3.2719710627580656</c:v>
              </c:pt>
              <c:pt idx="22">
                <c:v>-3.2311892749519693</c:v>
              </c:pt>
              <c:pt idx="23">
                <c:v>-3.1877597963437578</c:v>
              </c:pt>
              <c:pt idx="24">
                <c:v>-3.1415454822086812</c:v>
              </c:pt>
              <c:pt idx="25">
                <c:v>-3.0924041097491268</c:v>
              </c:pt>
              <c:pt idx="26">
                <c:v>-3.0401885016002286</c:v>
              </c:pt>
              <c:pt idx="27">
                <c:v>-2.9847467072668263</c:v>
              </c:pt>
              <c:pt idx="28">
                <c:v>-2.9259222501155961</c:v>
              </c:pt>
              <c:pt idx="29">
                <c:v>-2.8635544479409476</c:v>
              </c:pt>
              <c:pt idx="30">
                <c:v>-2.7974788154258228</c:v>
              </c:pt>
              <c:pt idx="31">
                <c:v>-2.7275275569962796</c:v>
              </c:pt>
              <c:pt idx="32">
                <c:v>-2.6535301585852245</c:v>
              </c:pt>
              <c:pt idx="33">
                <c:v>-2.575314086634803</c:v>
              </c:pt>
              <c:pt idx="34">
                <c:v>-2.4927056022343019</c:v>
              </c:pt>
              <c:pt idx="35">
                <c:v>-2.4055306975638757</c:v>
              </c:pt>
              <c:pt idx="36">
                <c:v>-2.313616160746133</c:v>
              </c:pt>
              <c:pt idx="37">
                <c:v>-2.216790773750446</c:v>
              </c:pt>
              <c:pt idx="38">
                <c:v>-2.1148866461057976</c:v>
              </c:pt>
              <c:pt idx="39">
                <c:v>-2.0077406848213544</c:v>
              </c:pt>
              <c:pt idx="40">
                <c:v>-1.8951961980647147</c:v>
              </c:pt>
              <c:pt idx="41">
                <c:v>-1.7771046267974688</c:v>
              </c:pt>
              <c:pt idx="42">
                <c:v>-1.6533273947279199</c:v>
              </c:pt>
              <c:pt idx="43">
                <c:v>-1.5237378626491505</c:v>
              </c:pt>
              <c:pt idx="44">
                <c:v>-1.388223368555124</c:v>
              </c:pt>
              <c:pt idx="45">
                <c:v>-1.2466873299709398</c:v>
              </c:pt>
              <c:pt idx="46">
                <c:v>-1.0990513798353114</c:v>
              </c:pt>
              <c:pt idx="47">
                <c:v>-0.94525750221214544</c:v>
              </c:pt>
              <c:pt idx="48">
                <c:v>-0.78527012929796181</c:v>
              </c:pt>
              <c:pt idx="49">
                <c:v>-0.61907815687851919</c:v>
              </c:pt>
              <c:pt idx="50">
                <c:v>-0.44669683184065456</c:v>
              </c:pt>
              <c:pt idx="51">
                <c:v>-0.26816946284299165</c:v>
              </c:pt>
              <c:pt idx="52">
                <c:v>-8.3568904066706209E-2</c:v>
              </c:pt>
              <c:pt idx="53">
                <c:v>0.10700123764518008</c:v>
              </c:pt>
              <c:pt idx="54">
                <c:v>0.30340571978893238</c:v>
              </c:pt>
              <c:pt idx="55">
                <c:v>0.5054771487943629</c:v>
              </c:pt>
            </c:numLit>
          </c:xVal>
          <c:yVal>
            <c:numLit>
              <c:formatCode>General</c:formatCode>
              <c:ptCount val="56"/>
              <c:pt idx="0">
                <c:v>2.0930000000000001E-2</c:v>
              </c:pt>
              <c:pt idx="1">
                <c:v>2.0838150344721491E-2</c:v>
              </c:pt>
              <c:pt idx="2">
                <c:v>2.0742509615122581E-2</c:v>
              </c:pt>
              <c:pt idx="3">
                <c:v>2.0642878308754005E-2</c:v>
              </c:pt>
              <c:pt idx="4">
                <c:v>2.0539046809061261E-2</c:v>
              </c:pt>
              <c:pt idx="5">
                <c:v>2.0430795350641542E-2</c:v>
              </c:pt>
              <c:pt idx="6">
                <c:v>2.0317894135552732E-2</c:v>
              </c:pt>
              <c:pt idx="7">
                <c:v>2.0200103644625281E-2</c:v>
              </c:pt>
              <c:pt idx="8">
                <c:v>2.0077175197246788E-2</c:v>
              </c:pt>
              <c:pt idx="9">
                <c:v>1.9948851824198272E-2</c:v>
              </c:pt>
              <c:pt idx="10">
                <c:v>1.9814869530917118E-2</c:v>
              </c:pt>
              <c:pt idx="11">
                <c:v>1.9674959043059544E-2</c:v>
              </c:pt>
              <c:pt idx="12">
                <c:v>1.9528848142313003E-2</c:v>
              </c:pt>
              <c:pt idx="13">
                <c:v>1.9376264717732728E-2</c:v>
              </c:pt>
              <c:pt idx="14">
                <c:v>1.921694067579767E-2</c:v>
              </c:pt>
              <c:pt idx="15">
                <c:v>1.905061686979987E-2</c:v>
              </c:pt>
              <c:pt idx="16">
                <c:v>1.8964752998040003E-2</c:v>
              </c:pt>
              <c:pt idx="17">
                <c:v>1.8877049224379265E-2</c:v>
              </c:pt>
              <c:pt idx="18">
                <c:v>1.8787478625185268E-2</c:v>
              </c:pt>
              <c:pt idx="19">
                <c:v>1.8696016241449256E-2</c:v>
              </c:pt>
              <c:pt idx="20">
                <c:v>1.8602639402078635E-2</c:v>
              </c:pt>
              <c:pt idx="21">
                <c:v>1.85073280758347E-2</c:v>
              </c:pt>
              <c:pt idx="22">
                <c:v>1.8410065253019303E-2</c:v>
              </c:pt>
              <c:pt idx="23">
                <c:v>1.8310837357796605E-2</c:v>
              </c:pt>
              <c:pt idx="24">
                <c:v>1.820963469175254E-2</c:v>
              </c:pt>
              <c:pt idx="25">
                <c:v>1.8106451908935582E-2</c:v>
              </c:pt>
              <c:pt idx="26">
                <c:v>1.8001288522178398E-2</c:v>
              </c:pt>
              <c:pt idx="27">
                <c:v>1.7894149439960622E-2</c:v>
              </c:pt>
              <c:pt idx="28">
                <c:v>1.7785045532430037E-2</c:v>
              </c:pt>
              <c:pt idx="29">
                <c:v>1.7673994224443108E-2</c:v>
              </c:pt>
              <c:pt idx="30">
                <c:v>1.7561020112610893E-2</c:v>
              </c:pt>
              <c:pt idx="31">
                <c:v>1.7446155602337338E-2</c:v>
              </c:pt>
              <c:pt idx="32">
                <c:v>1.7329441559713527E-2</c:v>
              </c:pt>
              <c:pt idx="33">
                <c:v>1.7210927971887027E-2</c:v>
              </c:pt>
              <c:pt idx="34">
                <c:v>1.7090674608169102E-2</c:v>
              </c:pt>
              <c:pt idx="35">
                <c:v>1.6968751672690126E-2</c:v>
              </c:pt>
              <c:pt idx="36">
                <c:v>1.6845240437890034E-2</c:v>
              </c:pt>
              <c:pt idx="37">
                <c:v>1.6720233846569021E-2</c:v>
              </c:pt>
              <c:pt idx="38">
                <c:v>1.6593837068668817E-2</c:v>
              </c:pt>
              <c:pt idx="39">
                <c:v>1.6466167997462634E-2</c:v>
              </c:pt>
              <c:pt idx="40">
                <c:v>1.6337357668468857E-2</c:v>
              </c:pt>
              <c:pt idx="41">
                <c:v>1.6207550583249328E-2</c:v>
              </c:pt>
              <c:pt idx="42">
                <c:v>1.6076904919395639E-2</c:v>
              </c:pt>
              <c:pt idx="43">
                <c:v>1.5945592607543146E-2</c:v>
              </c:pt>
              <c:pt idx="44">
                <c:v>1.5813799256283002E-2</c:v>
              </c:pt>
              <c:pt idx="45">
                <c:v>1.5681723906468353E-2</c:v>
              </c:pt>
              <c:pt idx="46">
                <c:v>1.5549578597725369E-2</c:v>
              </c:pt>
              <c:pt idx="47">
                <c:v>1.5417587732063727E-2</c:v>
              </c:pt>
              <c:pt idx="48">
                <c:v>1.5285987222392702E-2</c:v>
              </c:pt>
              <c:pt idx="49">
                <c:v>1.5155023417515526E-2</c:v>
              </c:pt>
              <c:pt idx="50">
                <c:v>1.5024951799785189E-2</c:v>
              </c:pt>
              <c:pt idx="51">
                <c:v>1.4896035457000568E-2</c:v>
              </c:pt>
              <c:pt idx="52">
                <c:v>1.4768543336192361E-2</c:v>
              </c:pt>
              <c:pt idx="53">
                <c:v>1.4642748293527812E-2</c:v>
              </c:pt>
              <c:pt idx="54">
                <c:v>1.4518924961431453E-2</c:v>
              </c:pt>
              <c:pt idx="55">
                <c:v>1.439734746090714E-2</c:v>
              </c:pt>
            </c:numLit>
          </c:yVal>
          <c:smooth val="1"/>
          <c:extLst>
            <c:ext xmlns:c16="http://schemas.microsoft.com/office/drawing/2014/chart" uri="{C3380CC4-5D6E-409C-BE32-E72D297353CC}">
              <c16:uniqueId val="{00000049-0C0A-40D2-B891-EA76E48108B0}"/>
            </c:ext>
          </c:extLst>
        </c:ser>
        <c:ser>
          <c:idx val="66"/>
          <c:order val="66"/>
          <c:spPr>
            <a:ln w="3175">
              <a:solidFill>
                <a:srgbClr val="000000"/>
              </a:solidFill>
              <a:prstDash val="solid"/>
            </a:ln>
          </c:spPr>
          <c:marker>
            <c:symbol val="none"/>
          </c:marker>
          <c:xVal>
            <c:numLit>
              <c:formatCode>General</c:formatCode>
              <c:ptCount val="2"/>
              <c:pt idx="0">
                <c:v>-6.4780000000000006</c:v>
              </c:pt>
              <c:pt idx="1">
                <c:v>-5.878000000000001</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4A-0C0A-40D2-B891-EA76E48108B0}"/>
            </c:ext>
          </c:extLst>
        </c:ser>
        <c:ser>
          <c:idx val="67"/>
          <c:order val="67"/>
          <c:spPr>
            <a:ln w="3175">
              <a:solidFill>
                <a:srgbClr val="000000"/>
              </a:solidFill>
              <a:prstDash val="solid"/>
            </a:ln>
          </c:spPr>
          <c:marker>
            <c:symbol val="none"/>
          </c:marker>
          <c:xVal>
            <c:numLit>
              <c:formatCode>General</c:formatCode>
              <c:ptCount val="2"/>
              <c:pt idx="0">
                <c:v>-6.4771548667567451</c:v>
              </c:pt>
              <c:pt idx="1">
                <c:v>-6.1771726249136609</c:v>
              </c:pt>
            </c:numLit>
          </c:xVal>
          <c:yVal>
            <c:numLit>
              <c:formatCode>General</c:formatCode>
              <c:ptCount val="2"/>
              <c:pt idx="0">
                <c:v>2.0816221982499338E-2</c:v>
              </c:pt>
              <c:pt idx="1">
                <c:v>2.0818636402393346E-2</c:v>
              </c:pt>
            </c:numLit>
          </c:yVal>
          <c:smooth val="0"/>
          <c:extLst>
            <c:ext xmlns:c16="http://schemas.microsoft.com/office/drawing/2014/chart" uri="{C3380CC4-5D6E-409C-BE32-E72D297353CC}">
              <c16:uniqueId val="{0000004B-0C0A-40D2-B891-EA76E48108B0}"/>
            </c:ext>
          </c:extLst>
        </c:ser>
        <c:ser>
          <c:idx val="68"/>
          <c:order val="68"/>
          <c:spPr>
            <a:ln w="3175">
              <a:solidFill>
                <a:srgbClr val="000000"/>
              </a:solidFill>
              <a:prstDash val="solid"/>
            </a:ln>
          </c:spPr>
          <c:marker>
            <c:symbol val="none"/>
          </c:marker>
          <c:xVal>
            <c:numLit>
              <c:formatCode>General</c:formatCode>
              <c:ptCount val="2"/>
              <c:pt idx="0">
                <c:v>-6.4744781546020507</c:v>
              </c:pt>
              <c:pt idx="1">
                <c:v>-6.1745521569433741</c:v>
              </c:pt>
            </c:numLit>
          </c:xVal>
          <c:yVal>
            <c:numLit>
              <c:formatCode>General</c:formatCode>
              <c:ptCount val="2"/>
              <c:pt idx="0">
                <c:v>2.0697747630638599E-2</c:v>
              </c:pt>
              <c:pt idx="1">
                <c:v>2.0702676147209751E-2</c:v>
              </c:pt>
            </c:numLit>
          </c:yVal>
          <c:smooth val="0"/>
          <c:extLst>
            <c:ext xmlns:c16="http://schemas.microsoft.com/office/drawing/2014/chart" uri="{C3380CC4-5D6E-409C-BE32-E72D297353CC}">
              <c16:uniqueId val="{0000004C-0C0A-40D2-B891-EA76E48108B0}"/>
            </c:ext>
          </c:extLst>
        </c:ser>
        <c:ser>
          <c:idx val="69"/>
          <c:order val="69"/>
          <c:spPr>
            <a:ln w="3175">
              <a:solidFill>
                <a:srgbClr val="000000"/>
              </a:solidFill>
              <a:prstDash val="solid"/>
            </a:ln>
          </c:spPr>
          <c:marker>
            <c:symbol val="none"/>
          </c:marker>
          <c:xVal>
            <c:numLit>
              <c:formatCode>General</c:formatCode>
              <c:ptCount val="2"/>
              <c:pt idx="0">
                <c:v>-6.4697392601020702</c:v>
              </c:pt>
              <c:pt idx="1">
                <c:v>-6.169912839625173</c:v>
              </c:pt>
            </c:numLit>
          </c:xVal>
          <c:yVal>
            <c:numLit>
              <c:formatCode>General</c:formatCode>
              <c:ptCount val="2"/>
              <c:pt idx="0">
                <c:v>2.0574329599127333E-2</c:v>
              </c:pt>
              <c:pt idx="1">
                <c:v>2.0581877160896857E-2</c:v>
              </c:pt>
            </c:numLit>
          </c:yVal>
          <c:smooth val="0"/>
          <c:extLst>
            <c:ext xmlns:c16="http://schemas.microsoft.com/office/drawing/2014/chart" uri="{C3380CC4-5D6E-409C-BE32-E72D297353CC}">
              <c16:uniqueId val="{0000004D-0C0A-40D2-B891-EA76E48108B0}"/>
            </c:ext>
          </c:extLst>
        </c:ser>
        <c:ser>
          <c:idx val="70"/>
          <c:order val="70"/>
          <c:spPr>
            <a:ln w="3175">
              <a:solidFill>
                <a:srgbClr val="000000"/>
              </a:solidFill>
              <a:prstDash val="solid"/>
            </a:ln>
          </c:spPr>
          <c:marker>
            <c:symbol val="none"/>
          </c:marker>
          <c:xVal>
            <c:numLit>
              <c:formatCode>General</c:formatCode>
              <c:ptCount val="2"/>
              <c:pt idx="0">
                <c:v>-6.4626803906648105</c:v>
              </c:pt>
              <c:pt idx="1">
                <c:v>-6.163002300125668</c:v>
              </c:pt>
            </c:numLit>
          </c:xVal>
          <c:yVal>
            <c:numLit>
              <c:formatCode>General</c:formatCode>
              <c:ptCount val="2"/>
              <c:pt idx="0">
                <c:v>2.0445707961793541E-2</c:v>
              </c:pt>
              <c:pt idx="1">
                <c:v>2.0455985061604547E-2</c:v>
              </c:pt>
            </c:numLit>
          </c:yVal>
          <c:smooth val="0"/>
          <c:extLst>
            <c:ext xmlns:c16="http://schemas.microsoft.com/office/drawing/2014/chart" uri="{C3380CC4-5D6E-409C-BE32-E72D297353CC}">
              <c16:uniqueId val="{0000004E-0C0A-40D2-B891-EA76E48108B0}"/>
            </c:ext>
          </c:extLst>
        </c:ser>
        <c:ser>
          <c:idx val="71"/>
          <c:order val="71"/>
          <c:spPr>
            <a:ln w="3175">
              <a:solidFill>
                <a:srgbClr val="000000"/>
              </a:solidFill>
              <a:prstDash val="solid"/>
            </a:ln>
          </c:spPr>
          <c:marker>
            <c:symbol val="none"/>
          </c:marker>
          <c:xVal>
            <c:numLit>
              <c:formatCode>General</c:formatCode>
              <c:ptCount val="2"/>
              <c:pt idx="0">
                <c:v>-6.4530133649286947</c:v>
              </c:pt>
              <c:pt idx="1">
                <c:v>-5.8540639178741065</c:v>
              </c:pt>
            </c:numLit>
          </c:xVal>
          <c:yVal>
            <c:numLit>
              <c:formatCode>General</c:formatCode>
              <c:ptCount val="2"/>
              <c:pt idx="0">
                <c:v>2.0311610158401223E-2</c:v>
              </c:pt>
              <c:pt idx="1">
                <c:v>2.033786162222339E-2</c:v>
              </c:pt>
            </c:numLit>
          </c:yVal>
          <c:smooth val="0"/>
          <c:extLst>
            <c:ext xmlns:c16="http://schemas.microsoft.com/office/drawing/2014/chart" uri="{C3380CC4-5D6E-409C-BE32-E72D297353CC}">
              <c16:uniqueId val="{0000004F-0C0A-40D2-B891-EA76E48108B0}"/>
            </c:ext>
          </c:extLst>
        </c:ser>
        <c:ser>
          <c:idx val="72"/>
          <c:order val="72"/>
          <c:spPr>
            <a:ln w="3175">
              <a:solidFill>
                <a:srgbClr val="000000"/>
              </a:solidFill>
              <a:prstDash val="solid"/>
            </a:ln>
          </c:spPr>
          <c:marker>
            <c:symbol val="none"/>
          </c:marker>
          <c:xVal>
            <c:numLit>
              <c:formatCode>General</c:formatCode>
              <c:ptCount val="2"/>
              <c:pt idx="0">
                <c:v>-6.4404160659918741</c:v>
              </c:pt>
              <c:pt idx="1">
                <c:v>-6.1412058508383218</c:v>
              </c:pt>
            </c:numLit>
          </c:xVal>
          <c:yVal>
            <c:numLit>
              <c:formatCode>General</c:formatCode>
              <c:ptCount val="2"/>
              <c:pt idx="0">
                <c:v>2.0171751126828213E-2</c:v>
              </c:pt>
              <c:pt idx="1">
                <c:v>2.0187842331041393E-2</c:v>
              </c:pt>
            </c:numLit>
          </c:yVal>
          <c:smooth val="0"/>
          <c:extLst>
            <c:ext xmlns:c16="http://schemas.microsoft.com/office/drawing/2014/chart" uri="{C3380CC4-5D6E-409C-BE32-E72D297353CC}">
              <c16:uniqueId val="{00000050-0C0A-40D2-B891-EA76E48108B0}"/>
            </c:ext>
          </c:extLst>
        </c:ser>
        <c:ser>
          <c:idx val="73"/>
          <c:order val="73"/>
          <c:spPr>
            <a:ln w="3175">
              <a:solidFill>
                <a:srgbClr val="000000"/>
              </a:solidFill>
              <a:prstDash val="solid"/>
            </a:ln>
          </c:spPr>
          <c:marker>
            <c:symbol val="none"/>
          </c:marker>
          <c:xVal>
            <c:numLit>
              <c:formatCode>General</c:formatCode>
              <c:ptCount val="2"/>
              <c:pt idx="0">
                <c:v>-6.4245285241259857</c:v>
              </c:pt>
              <c:pt idx="1">
                <c:v>-6.1256522059410843</c:v>
              </c:pt>
            </c:numLit>
          </c:xVal>
          <c:yVal>
            <c:numLit>
              <c:formatCode>General</c:formatCode>
              <c:ptCount val="2"/>
              <c:pt idx="0">
                <c:v>2.0025833674800028E-2</c:v>
              </c:pt>
              <c:pt idx="1">
                <c:v>2.0045021897082967E-2</c:v>
              </c:pt>
            </c:numLit>
          </c:yVal>
          <c:smooth val="0"/>
          <c:extLst>
            <c:ext xmlns:c16="http://schemas.microsoft.com/office/drawing/2014/chart" uri="{C3380CC4-5D6E-409C-BE32-E72D297353CC}">
              <c16:uniqueId val="{00000051-0C0A-40D2-B891-EA76E48108B0}"/>
            </c:ext>
          </c:extLst>
        </c:ser>
        <c:ser>
          <c:idx val="74"/>
          <c:order val="74"/>
          <c:spPr>
            <a:ln w="3175">
              <a:solidFill>
                <a:srgbClr val="000000"/>
              </a:solidFill>
              <a:prstDash val="solid"/>
            </a:ln>
          </c:spPr>
          <c:marker>
            <c:symbol val="none"/>
          </c:marker>
          <c:xVal>
            <c:numLit>
              <c:formatCode>General</c:formatCode>
              <c:ptCount val="2"/>
              <c:pt idx="0">
                <c:v>-6.4049486097896127</c:v>
              </c:pt>
              <c:pt idx="1">
                <c:v>-6.1064838193638336</c:v>
              </c:pt>
            </c:numLit>
          </c:xVal>
          <c:yVal>
            <c:numLit>
              <c:formatCode>General</c:formatCode>
              <c:ptCount val="2"/>
              <c:pt idx="0">
                <c:v>1.9873549157153957E-2</c:v>
              </c:pt>
              <c:pt idx="1">
                <c:v>1.9895969774747002E-2</c:v>
              </c:pt>
            </c:numLit>
          </c:yVal>
          <c:smooth val="0"/>
          <c:extLst>
            <c:ext xmlns:c16="http://schemas.microsoft.com/office/drawing/2014/chart" uri="{C3380CC4-5D6E-409C-BE32-E72D297353CC}">
              <c16:uniqueId val="{00000052-0C0A-40D2-B891-EA76E48108B0}"/>
            </c:ext>
          </c:extLst>
        </c:ser>
        <c:ser>
          <c:idx val="75"/>
          <c:order val="75"/>
          <c:spPr>
            <a:ln w="3175">
              <a:solidFill>
                <a:srgbClr val="000000"/>
              </a:solidFill>
              <a:prstDash val="solid"/>
            </a:ln>
          </c:spPr>
          <c:marker>
            <c:symbol val="none"/>
          </c:marker>
          <c:xVal>
            <c:numLit>
              <c:formatCode>General</c:formatCode>
              <c:ptCount val="2"/>
              <c:pt idx="0">
                <c:v>-6.3812273246822127</c:v>
              </c:pt>
              <c:pt idx="1">
                <c:v>-6.0832611503332013</c:v>
              </c:pt>
            </c:numLit>
          </c:xVal>
          <c:yVal>
            <c:numLit>
              <c:formatCode>General</c:formatCode>
              <c:ptCount val="2"/>
              <c:pt idx="0">
                <c:v>1.9714578538365699E-2</c:v>
              </c:pt>
              <c:pt idx="1">
                <c:v>1.9740373775798421E-2</c:v>
              </c:pt>
            </c:numLit>
          </c:yVal>
          <c:smooth val="0"/>
          <c:extLst>
            <c:ext xmlns:c16="http://schemas.microsoft.com/office/drawing/2014/chart" uri="{C3380CC4-5D6E-409C-BE32-E72D297353CC}">
              <c16:uniqueId val="{00000053-0C0A-40D2-B891-EA76E48108B0}"/>
            </c:ext>
          </c:extLst>
        </c:ser>
        <c:ser>
          <c:idx val="76"/>
          <c:order val="76"/>
          <c:spPr>
            <a:ln w="3175">
              <a:solidFill>
                <a:srgbClr val="000000"/>
              </a:solidFill>
              <a:prstDash val="solid"/>
            </a:ln>
          </c:spPr>
          <c:marker>
            <c:symbol val="none"/>
          </c:marker>
          <c:xVal>
            <c:numLit>
              <c:formatCode>General</c:formatCode>
              <c:ptCount val="2"/>
              <c:pt idx="0">
                <c:v>-6.3528636892133203</c:v>
              </c:pt>
              <c:pt idx="1">
                <c:v>-5.7581260856691445</c:v>
              </c:pt>
            </c:numLit>
          </c:xVal>
          <c:yVal>
            <c:numLit>
              <c:formatCode>General</c:formatCode>
              <c:ptCount val="2"/>
              <c:pt idx="0">
                <c:v>1.9548593935935225E-2</c:v>
              </c:pt>
              <c:pt idx="1">
                <c:v>1.9607244455322151E-2</c:v>
              </c:pt>
            </c:numLit>
          </c:yVal>
          <c:smooth val="0"/>
          <c:extLst>
            <c:ext xmlns:c16="http://schemas.microsoft.com/office/drawing/2014/chart" uri="{C3380CC4-5D6E-409C-BE32-E72D297353CC}">
              <c16:uniqueId val="{00000054-0C0A-40D2-B891-EA76E48108B0}"/>
            </c:ext>
          </c:extLst>
        </c:ser>
        <c:ser>
          <c:idx val="77"/>
          <c:order val="77"/>
          <c:spPr>
            <a:ln w="3175">
              <a:solidFill>
                <a:srgbClr val="000000"/>
              </a:solidFill>
              <a:prstDash val="solid"/>
            </a:ln>
          </c:spPr>
          <c:marker>
            <c:symbol val="none"/>
          </c:marker>
          <c:xVal>
            <c:numLit>
              <c:formatCode>General</c:formatCode>
              <c:ptCount val="2"/>
              <c:pt idx="0">
                <c:v>-6.3192992403036552</c:v>
              </c:pt>
              <c:pt idx="1">
                <c:v>-6.0226350152140311</c:v>
              </c:pt>
            </c:numLit>
          </c:xVal>
          <c:yVal>
            <c:numLit>
              <c:formatCode>General</c:formatCode>
              <c:ptCount val="2"/>
              <c:pt idx="0">
                <c:v>1.9375260758225134E-2</c:v>
              </c:pt>
              <c:pt idx="1">
                <c:v>1.94082602718086E-2</c:v>
              </c:pt>
            </c:numLit>
          </c:yVal>
          <c:smooth val="0"/>
          <c:extLst>
            <c:ext xmlns:c16="http://schemas.microsoft.com/office/drawing/2014/chart" uri="{C3380CC4-5D6E-409C-BE32-E72D297353CC}">
              <c16:uniqueId val="{00000055-0C0A-40D2-B891-EA76E48108B0}"/>
            </c:ext>
          </c:extLst>
        </c:ser>
        <c:ser>
          <c:idx val="78"/>
          <c:order val="78"/>
          <c:spPr>
            <a:ln w="3175">
              <a:solidFill>
                <a:srgbClr val="000000"/>
              </a:solidFill>
              <a:prstDash val="solid"/>
            </a:ln>
          </c:spPr>
          <c:marker>
            <c:symbol val="none"/>
          </c:marker>
          <c:xVal>
            <c:numLit>
              <c:formatCode>General</c:formatCode>
              <c:ptCount val="2"/>
              <c:pt idx="0">
                <c:v>-6.2799121753649985</c:v>
              </c:pt>
              <c:pt idx="1">
                <c:v>-5.9840761830536753</c:v>
              </c:pt>
            </c:numLit>
          </c:xVal>
          <c:yVal>
            <c:numLit>
              <c:formatCode>General</c:formatCode>
              <c:ptCount val="2"/>
              <c:pt idx="0">
                <c:v>1.9194240570334139E-2</c:v>
              </c:pt>
              <c:pt idx="1">
                <c:v>1.9231084265235985E-2</c:v>
              </c:pt>
            </c:numLit>
          </c:yVal>
          <c:smooth val="0"/>
          <c:extLst>
            <c:ext xmlns:c16="http://schemas.microsoft.com/office/drawing/2014/chart" uri="{C3380CC4-5D6E-409C-BE32-E72D297353CC}">
              <c16:uniqueId val="{00000056-0C0A-40D2-B891-EA76E48108B0}"/>
            </c:ext>
          </c:extLst>
        </c:ser>
        <c:ser>
          <c:idx val="79"/>
          <c:order val="79"/>
          <c:spPr>
            <a:ln w="3175">
              <a:solidFill>
                <a:srgbClr val="000000"/>
              </a:solidFill>
              <a:prstDash val="solid"/>
            </a:ln>
          </c:spPr>
          <c:marker>
            <c:symbol val="none"/>
          </c:marker>
          <c:xVal>
            <c:numLit>
              <c:formatCode>General</c:formatCode>
              <c:ptCount val="2"/>
              <c:pt idx="0">
                <c:v>-6.2340112084088908</c:v>
              </c:pt>
              <c:pt idx="1">
                <c:v>-5.9391405956743277</c:v>
              </c:pt>
            </c:numLit>
          </c:xVal>
          <c:yVal>
            <c:numLit>
              <c:formatCode>General</c:formatCode>
              <c:ptCount val="2"/>
              <c:pt idx="0">
                <c:v>1.900519484317249E-2</c:v>
              </c:pt>
              <c:pt idx="1">
                <c:v>1.9046053859856433E-2</c:v>
              </c:pt>
            </c:numLit>
          </c:yVal>
          <c:smooth val="0"/>
          <c:extLst>
            <c:ext xmlns:c16="http://schemas.microsoft.com/office/drawing/2014/chart" uri="{C3380CC4-5D6E-409C-BE32-E72D297353CC}">
              <c16:uniqueId val="{00000057-0C0A-40D2-B891-EA76E48108B0}"/>
            </c:ext>
          </c:extLst>
        </c:ser>
        <c:ser>
          <c:idx val="80"/>
          <c:order val="80"/>
          <c:spPr>
            <a:ln w="3175">
              <a:solidFill>
                <a:srgbClr val="000000"/>
              </a:solidFill>
              <a:prstDash val="solid"/>
            </a:ln>
          </c:spPr>
          <c:marker>
            <c:symbol val="none"/>
          </c:marker>
          <c:xVal>
            <c:numLit>
              <c:formatCode>General</c:formatCode>
              <c:ptCount val="2"/>
              <c:pt idx="0">
                <c:v>-6.1808292446003525</c:v>
              </c:pt>
              <c:pt idx="1">
                <c:v>-5.8870773748687428</c:v>
              </c:pt>
            </c:numLit>
          </c:xVal>
          <c:yVal>
            <c:numLit>
              <c:formatCode>General</c:formatCode>
              <c:ptCount val="2"/>
              <c:pt idx="0">
                <c:v>1.8807789763299193E-2</c:v>
              </c:pt>
              <c:pt idx="1">
                <c:v>1.885284251062827E-2</c:v>
              </c:pt>
            </c:numLit>
          </c:yVal>
          <c:smooth val="0"/>
          <c:extLst>
            <c:ext xmlns:c16="http://schemas.microsoft.com/office/drawing/2014/chart" uri="{C3380CC4-5D6E-409C-BE32-E72D297353CC}">
              <c16:uniqueId val="{00000058-0C0A-40D2-B891-EA76E48108B0}"/>
            </c:ext>
          </c:extLst>
        </c:ser>
        <c:ser>
          <c:idx val="81"/>
          <c:order val="81"/>
          <c:spPr>
            <a:ln w="3175">
              <a:solidFill>
                <a:srgbClr val="000000"/>
              </a:solidFill>
              <a:prstDash val="solid"/>
            </a:ln>
          </c:spPr>
          <c:marker>
            <c:symbol val="none"/>
          </c:marker>
          <c:xVal>
            <c:numLit>
              <c:formatCode>General</c:formatCode>
              <c:ptCount val="2"/>
              <c:pt idx="0">
                <c:v>-6.1195170325550308</c:v>
              </c:pt>
              <c:pt idx="1">
                <c:v>-5.534599652818355</c:v>
              </c:pt>
            </c:numLit>
          </c:xVal>
          <c:yVal>
            <c:numLit>
              <c:formatCode>General</c:formatCode>
              <c:ptCount val="2"/>
              <c:pt idx="0">
                <c:v>1.86017023029456E-2</c:v>
              </c:pt>
              <c:pt idx="1">
                <c:v>1.8700586194654339E-2</c:v>
              </c:pt>
            </c:numLit>
          </c:yVal>
          <c:smooth val="0"/>
          <c:extLst>
            <c:ext xmlns:c16="http://schemas.microsoft.com/office/drawing/2014/chart" uri="{C3380CC4-5D6E-409C-BE32-E72D297353CC}">
              <c16:uniqueId val="{00000059-0C0A-40D2-B891-EA76E48108B0}"/>
            </c:ext>
          </c:extLst>
        </c:ser>
        <c:ser>
          <c:idx val="82"/>
          <c:order val="82"/>
          <c:spPr>
            <a:ln w="3175">
              <a:solidFill>
                <a:srgbClr val="000000"/>
              </a:solidFill>
              <a:prstDash val="solid"/>
            </a:ln>
          </c:spPr>
          <c:marker>
            <c:symbol val="none"/>
          </c:marker>
          <c:xVal>
            <c:numLit>
              <c:formatCode>General</c:formatCode>
              <c:ptCount val="2"/>
              <c:pt idx="0">
                <c:v>-6.085522707107951</c:v>
              </c:pt>
              <c:pt idx="1">
                <c:v>-5.7937763361296684</c:v>
              </c:pt>
            </c:numLit>
          </c:xVal>
          <c:yVal>
            <c:numLit>
              <c:formatCode>General</c:formatCode>
              <c:ptCount val="2"/>
              <c:pt idx="0">
                <c:v>1.8495306506800622E-2</c:v>
              </c:pt>
              <c:pt idx="1">
                <c:v>1.8546999744218709E-2</c:v>
              </c:pt>
            </c:numLit>
          </c:yVal>
          <c:smooth val="0"/>
          <c:extLst>
            <c:ext xmlns:c16="http://schemas.microsoft.com/office/drawing/2014/chart" uri="{C3380CC4-5D6E-409C-BE32-E72D297353CC}">
              <c16:uniqueId val="{0000005A-0C0A-40D2-B891-EA76E48108B0}"/>
            </c:ext>
          </c:extLst>
        </c:ser>
        <c:ser>
          <c:idx val="83"/>
          <c:order val="83"/>
          <c:spPr>
            <a:ln w="3175">
              <a:solidFill>
                <a:srgbClr val="000000"/>
              </a:solidFill>
              <a:prstDash val="solid"/>
            </a:ln>
          </c:spPr>
          <c:marker>
            <c:symbol val="none"/>
          </c:marker>
          <c:xVal>
            <c:numLit>
              <c:formatCode>General</c:formatCode>
              <c:ptCount val="2"/>
              <c:pt idx="0">
                <c:v>-6.0491370217777725</c:v>
              </c:pt>
              <c:pt idx="1">
                <c:v>-5.7581565088975415</c:v>
              </c:pt>
            </c:numLit>
          </c:xVal>
          <c:yVal>
            <c:numLit>
              <c:formatCode>General</c:formatCode>
              <c:ptCount val="2"/>
              <c:pt idx="0">
                <c:v>1.8386627768883546E-2</c:v>
              </c:pt>
              <c:pt idx="1">
                <c:v>1.8440631137357402E-2</c:v>
              </c:pt>
            </c:numLit>
          </c:yVal>
          <c:smooth val="0"/>
          <c:extLst>
            <c:ext xmlns:c16="http://schemas.microsoft.com/office/drawing/2014/chart" uri="{C3380CC4-5D6E-409C-BE32-E72D297353CC}">
              <c16:uniqueId val="{0000005B-0C0A-40D2-B891-EA76E48108B0}"/>
            </c:ext>
          </c:extLst>
        </c:ser>
        <c:ser>
          <c:idx val="84"/>
          <c:order val="84"/>
          <c:spPr>
            <a:ln w="3175">
              <a:solidFill>
                <a:srgbClr val="000000"/>
              </a:solidFill>
              <a:prstDash val="solid"/>
            </a:ln>
          </c:spPr>
          <c:marker>
            <c:symbol val="none"/>
          </c:marker>
          <c:xVal>
            <c:numLit>
              <c:formatCode>General</c:formatCode>
              <c:ptCount val="2"/>
              <c:pt idx="0">
                <c:v>-6.0102280619194612</c:v>
              </c:pt>
              <c:pt idx="1">
                <c:v>-5.7200666445882398</c:v>
              </c:pt>
            </c:numLit>
          </c:xVal>
          <c:yVal>
            <c:numLit>
              <c:formatCode>General</c:formatCode>
              <c:ptCount val="2"/>
              <c:pt idx="0">
                <c:v>1.8275632385817388E-2</c:v>
              </c:pt>
              <c:pt idx="1">
                <c:v>1.8331995490505258E-2</c:v>
              </c:pt>
            </c:numLit>
          </c:yVal>
          <c:smooth val="0"/>
          <c:extLst>
            <c:ext xmlns:c16="http://schemas.microsoft.com/office/drawing/2014/chart" uri="{C3380CC4-5D6E-409C-BE32-E72D297353CC}">
              <c16:uniqueId val="{0000005C-0C0A-40D2-B891-EA76E48108B0}"/>
            </c:ext>
          </c:extLst>
        </c:ser>
        <c:ser>
          <c:idx val="85"/>
          <c:order val="85"/>
          <c:spPr>
            <a:ln w="3175">
              <a:solidFill>
                <a:srgbClr val="000000"/>
              </a:solidFill>
              <a:prstDash val="solid"/>
            </a:ln>
          </c:spPr>
          <c:marker>
            <c:symbol val="none"/>
          </c:marker>
          <c:xVal>
            <c:numLit>
              <c:formatCode>General</c:formatCode>
              <c:ptCount val="2"/>
              <c:pt idx="0">
                <c:v>-5.9686577382838752</c:v>
              </c:pt>
              <c:pt idx="1">
                <c:v>-5.6793715867435788</c:v>
              </c:pt>
            </c:numLit>
          </c:xVal>
          <c:yVal>
            <c:numLit>
              <c:formatCode>General</c:formatCode>
              <c:ptCount val="2"/>
              <c:pt idx="0">
                <c:v>1.8162289062279902E-2</c:v>
              </c:pt>
              <c:pt idx="1">
                <c:v>1.8221062213132893E-2</c:v>
              </c:pt>
            </c:numLit>
          </c:yVal>
          <c:smooth val="0"/>
          <c:extLst>
            <c:ext xmlns:c16="http://schemas.microsoft.com/office/drawing/2014/chart" uri="{C3380CC4-5D6E-409C-BE32-E72D297353CC}">
              <c16:uniqueId val="{0000005D-0C0A-40D2-B891-EA76E48108B0}"/>
            </c:ext>
          </c:extLst>
        </c:ser>
        <c:ser>
          <c:idx val="86"/>
          <c:order val="86"/>
          <c:spPr>
            <a:ln w="3175">
              <a:solidFill>
                <a:srgbClr val="000000"/>
              </a:solidFill>
              <a:prstDash val="solid"/>
            </a:ln>
          </c:spPr>
          <c:marker>
            <c:symbol val="none"/>
          </c:marker>
          <c:xVal>
            <c:numLit>
              <c:formatCode>General</c:formatCode>
              <c:ptCount val="2"/>
              <c:pt idx="0">
                <c:v>-5.9242816702136096</c:v>
              </c:pt>
              <c:pt idx="1">
                <c:v>-5.3475877573340735</c:v>
              </c:pt>
            </c:numLit>
          </c:xVal>
          <c:yVal>
            <c:numLit>
              <c:formatCode>General</c:formatCode>
              <c:ptCount val="2"/>
              <c:pt idx="0">
                <c:v>1.8046569310441331E-2</c:v>
              </c:pt>
              <c:pt idx="1">
                <c:v>1.8169061664199238E-2</c:v>
              </c:pt>
            </c:numLit>
          </c:yVal>
          <c:smooth val="0"/>
          <c:extLst>
            <c:ext xmlns:c16="http://schemas.microsoft.com/office/drawing/2014/chart" uri="{C3380CC4-5D6E-409C-BE32-E72D297353CC}">
              <c16:uniqueId val="{0000005E-0C0A-40D2-B891-EA76E48108B0}"/>
            </c:ext>
          </c:extLst>
        </c:ser>
        <c:ser>
          <c:idx val="87"/>
          <c:order val="87"/>
          <c:spPr>
            <a:ln w="3175">
              <a:solidFill>
                <a:srgbClr val="000000"/>
              </a:solidFill>
              <a:prstDash val="solid"/>
            </a:ln>
          </c:spPr>
          <c:marker>
            <c:symbol val="none"/>
          </c:marker>
          <c:xVal>
            <c:numLit>
              <c:formatCode>General</c:formatCode>
              <c:ptCount val="2"/>
              <c:pt idx="0">
                <c:v>-5.8769490965930213</c:v>
              </c:pt>
              <c:pt idx="1">
                <c:v>-5.5895944012428798</c:v>
              </c:pt>
            </c:numLit>
          </c:xVal>
          <c:yVal>
            <c:numLit>
              <c:formatCode>General</c:formatCode>
              <c:ptCount val="2"/>
              <c:pt idx="0">
                <c:v>1.7928447884993152E-2</c:v>
              </c:pt>
              <c:pt idx="1">
                <c:v>1.7992194584566659E-2</c:v>
              </c:pt>
            </c:numLit>
          </c:yVal>
          <c:smooth val="0"/>
          <c:extLst>
            <c:ext xmlns:c16="http://schemas.microsoft.com/office/drawing/2014/chart" uri="{C3380CC4-5D6E-409C-BE32-E72D297353CC}">
              <c16:uniqueId val="{0000005F-0C0A-40D2-B891-EA76E48108B0}"/>
            </c:ext>
          </c:extLst>
        </c:ser>
        <c:ser>
          <c:idx val="88"/>
          <c:order val="88"/>
          <c:spPr>
            <a:ln w="3175">
              <a:solidFill>
                <a:srgbClr val="000000"/>
              </a:solidFill>
              <a:prstDash val="solid"/>
            </a:ln>
          </c:spPr>
          <c:marker>
            <c:symbol val="none"/>
          </c:marker>
          <c:xVal>
            <c:numLit>
              <c:formatCode>General</c:formatCode>
              <c:ptCount val="2"/>
              <c:pt idx="0">
                <c:v>-5.8265028202105924</c:v>
              </c:pt>
              <c:pt idx="1">
                <c:v>-5.5402108697385151</c:v>
              </c:pt>
            </c:numLit>
          </c:xVal>
          <c:yVal>
            <c:numLit>
              <c:formatCode>General</c:formatCode>
              <c:ptCount val="2"/>
              <c:pt idx="0">
                <c:v>1.780790325517077E-2</c:v>
              </c:pt>
              <c:pt idx="1">
                <c:v>1.7874214546059516E-2</c:v>
              </c:pt>
            </c:numLit>
          </c:yVal>
          <c:smooth val="0"/>
          <c:extLst>
            <c:ext xmlns:c16="http://schemas.microsoft.com/office/drawing/2014/chart" uri="{C3380CC4-5D6E-409C-BE32-E72D297353CC}">
              <c16:uniqueId val="{00000060-0C0A-40D2-B891-EA76E48108B0}"/>
            </c:ext>
          </c:extLst>
        </c:ser>
        <c:ser>
          <c:idx val="89"/>
          <c:order val="89"/>
          <c:spPr>
            <a:ln w="3175">
              <a:solidFill>
                <a:srgbClr val="000000"/>
              </a:solidFill>
              <a:prstDash val="solid"/>
            </a:ln>
          </c:spPr>
          <c:marker>
            <c:symbol val="none"/>
          </c:marker>
          <c:xVal>
            <c:numLit>
              <c:formatCode>General</c:formatCode>
              <c:ptCount val="2"/>
              <c:pt idx="0">
                <c:v>-5.7727791918245215</c:v>
              </c:pt>
              <c:pt idx="1">
                <c:v>-5.4876192678528364</c:v>
              </c:pt>
            </c:numLit>
          </c:xVal>
          <c:yVal>
            <c:numLit>
              <c:formatCode>General</c:formatCode>
              <c:ptCount val="2"/>
              <c:pt idx="0">
                <c:v>1.7684918114909066E-2</c:v>
              </c:pt>
              <c:pt idx="1">
                <c:v>1.7753846463893632E-2</c:v>
              </c:pt>
            </c:numLit>
          </c:yVal>
          <c:smooth val="0"/>
          <c:extLst>
            <c:ext xmlns:c16="http://schemas.microsoft.com/office/drawing/2014/chart" uri="{C3380CC4-5D6E-409C-BE32-E72D297353CC}">
              <c16:uniqueId val="{00000061-0C0A-40D2-B891-EA76E48108B0}"/>
            </c:ext>
          </c:extLst>
        </c:ser>
        <c:ser>
          <c:idx val="90"/>
          <c:order val="90"/>
          <c:spPr>
            <a:ln w="3175">
              <a:solidFill>
                <a:srgbClr val="000000"/>
              </a:solidFill>
              <a:prstDash val="solid"/>
            </a:ln>
          </c:spPr>
          <c:marker>
            <c:symbol val="none"/>
          </c:marker>
          <c:xVal>
            <c:numLit>
              <c:formatCode>General</c:formatCode>
              <c:ptCount val="2"/>
              <c:pt idx="0">
                <c:v>-5.7156081408752861</c:v>
              </c:pt>
              <c:pt idx="1">
                <c:v>-5.4316531537037873</c:v>
              </c:pt>
            </c:numLit>
          </c:xVal>
          <c:yVal>
            <c:numLit>
              <c:formatCode>General</c:formatCode>
              <c:ptCount val="2"/>
              <c:pt idx="0">
                <c:v>1.7559479931924228E-2</c:v>
              </c:pt>
              <c:pt idx="1">
                <c:v>1.7631078127631022E-2</c:v>
              </c:pt>
            </c:numLit>
          </c:yVal>
          <c:smooth val="0"/>
          <c:extLst>
            <c:ext xmlns:c16="http://schemas.microsoft.com/office/drawing/2014/chart" uri="{C3380CC4-5D6E-409C-BE32-E72D297353CC}">
              <c16:uniqueId val="{00000062-0C0A-40D2-B891-EA76E48108B0}"/>
            </c:ext>
          </c:extLst>
        </c:ser>
        <c:ser>
          <c:idx val="91"/>
          <c:order val="91"/>
          <c:spPr>
            <a:ln w="3175">
              <a:solidFill>
                <a:srgbClr val="000000"/>
              </a:solidFill>
              <a:prstDash val="solid"/>
            </a:ln>
          </c:spPr>
          <c:marker>
            <c:symbol val="none"/>
          </c:marker>
          <c:xVal>
            <c:numLit>
              <c:formatCode>General</c:formatCode>
              <c:ptCount val="2"/>
              <c:pt idx="0">
                <c:v>-5.6548132604507</c:v>
              </c:pt>
              <c:pt idx="1">
                <c:v>-5.0894800551960175</c:v>
              </c:pt>
            </c:numLit>
          </c:xVal>
          <c:yVal>
            <c:numLit>
              <c:formatCode>General</c:formatCode>
              <c:ptCount val="2"/>
              <c:pt idx="0">
                <c:v>1.7431581536076757E-2</c:v>
              </c:pt>
              <c:pt idx="1">
                <c:v>1.7580251649321022E-2</c:v>
              </c:pt>
            </c:numLit>
          </c:yVal>
          <c:smooth val="0"/>
          <c:extLst>
            <c:ext xmlns:c16="http://schemas.microsoft.com/office/drawing/2014/chart" uri="{C3380CC4-5D6E-409C-BE32-E72D297353CC}">
              <c16:uniqueId val="{00000063-0C0A-40D2-B891-EA76E48108B0}"/>
            </c:ext>
          </c:extLst>
        </c:ser>
        <c:ser>
          <c:idx val="92"/>
          <c:order val="92"/>
          <c:spPr>
            <a:ln w="3175">
              <a:solidFill>
                <a:srgbClr val="000000"/>
              </a:solidFill>
              <a:prstDash val="solid"/>
            </a:ln>
          </c:spPr>
          <c:marker>
            <c:symbol val="none"/>
          </c:marker>
          <c:xVal>
            <c:numLit>
              <c:formatCode>General</c:formatCode>
              <c:ptCount val="2"/>
              <c:pt idx="0">
                <c:v>-5.5902119547643538</c:v>
              </c:pt>
              <c:pt idx="1">
                <c:v>-5.3089007812936524</c:v>
              </c:pt>
            </c:numLit>
          </c:xVal>
          <c:yVal>
            <c:numLit>
              <c:formatCode>General</c:formatCode>
              <c:ptCount val="2"/>
              <c:pt idx="0">
                <c:v>1.730122174682644E-2</c:v>
              </c:pt>
              <c:pt idx="1">
                <c:v>1.7378318722868574E-2</c:v>
              </c:pt>
            </c:numLit>
          </c:yVal>
          <c:smooth val="0"/>
          <c:extLst>
            <c:ext xmlns:c16="http://schemas.microsoft.com/office/drawing/2014/chart" uri="{C3380CC4-5D6E-409C-BE32-E72D297353CC}">
              <c16:uniqueId val="{00000064-0C0A-40D2-B891-EA76E48108B0}"/>
            </c:ext>
          </c:extLst>
        </c:ser>
        <c:ser>
          <c:idx val="93"/>
          <c:order val="93"/>
          <c:spPr>
            <a:ln w="3175">
              <a:solidFill>
                <a:srgbClr val="000000"/>
              </a:solidFill>
              <a:prstDash val="solid"/>
            </a:ln>
          </c:spPr>
          <c:marker>
            <c:symbol val="none"/>
          </c:marker>
          <c:xVal>
            <c:numLit>
              <c:formatCode>General</c:formatCode>
              <c:ptCount val="2"/>
              <c:pt idx="0">
                <c:v>-5.5216156580385984</c:v>
              </c:pt>
              <c:pt idx="1">
                <c:v>-5.2417513042334738</c:v>
              </c:pt>
            </c:numLit>
          </c:xVal>
          <c:yVal>
            <c:numLit>
              <c:formatCode>General</c:formatCode>
              <c:ptCount val="2"/>
              <c:pt idx="0">
                <c:v>1.7168406038928632E-2</c:v>
              </c:pt>
              <c:pt idx="1">
                <c:v>1.7248331985026011E-2</c:v>
              </c:pt>
            </c:numLit>
          </c:yVal>
          <c:smooth val="0"/>
          <c:extLst>
            <c:ext xmlns:c16="http://schemas.microsoft.com/office/drawing/2014/chart" uri="{C3380CC4-5D6E-409C-BE32-E72D297353CC}">
              <c16:uniqueId val="{00000065-0C0A-40D2-B891-EA76E48108B0}"/>
            </c:ext>
          </c:extLst>
        </c:ser>
        <c:ser>
          <c:idx val="94"/>
          <c:order val="94"/>
          <c:spPr>
            <a:ln w="3175">
              <a:solidFill>
                <a:srgbClr val="000000"/>
              </a:solidFill>
              <a:prstDash val="solid"/>
            </a:ln>
          </c:spPr>
          <c:marker>
            <c:symbol val="none"/>
          </c:marker>
          <c:xVal>
            <c:numLit>
              <c:formatCode>General</c:formatCode>
              <c:ptCount val="2"/>
              <c:pt idx="0">
                <c:v>-5.4488301342643446</c:v>
              </c:pt>
              <c:pt idx="1">
                <c:v>-5.1705013862512814</c:v>
              </c:pt>
            </c:numLit>
          </c:xVal>
          <c:yVal>
            <c:numLit>
              <c:formatCode>General</c:formatCode>
              <c:ptCount val="2"/>
              <c:pt idx="0">
                <c:v>1.7033147244730054E-2</c:v>
              </c:pt>
              <c:pt idx="1">
                <c:v>1.7115954993172641E-2</c:v>
              </c:pt>
            </c:numLit>
          </c:yVal>
          <c:smooth val="0"/>
          <c:extLst>
            <c:ext xmlns:c16="http://schemas.microsoft.com/office/drawing/2014/chart" uri="{C3380CC4-5D6E-409C-BE32-E72D297353CC}">
              <c16:uniqueId val="{00000066-0C0A-40D2-B891-EA76E48108B0}"/>
            </c:ext>
          </c:extLst>
        </c:ser>
        <c:ser>
          <c:idx val="95"/>
          <c:order val="95"/>
          <c:spPr>
            <a:ln w="3175">
              <a:solidFill>
                <a:srgbClr val="000000"/>
              </a:solidFill>
              <a:prstDash val="solid"/>
            </a:ln>
          </c:spPr>
          <c:marker>
            <c:symbol val="none"/>
          </c:marker>
          <c:xVal>
            <c:numLit>
              <c:formatCode>General</c:formatCode>
              <c:ptCount val="2"/>
              <c:pt idx="0">
                <c:v>-5.3716558678134341</c:v>
              </c:pt>
              <c:pt idx="1">
                <c:v>-5.0949557962763974</c:v>
              </c:pt>
            </c:numLit>
          </c:xVal>
          <c:yVal>
            <c:numLit>
              <c:formatCode>General</c:formatCode>
              <c:ptCount val="2"/>
              <c:pt idx="0">
                <c:v>1.6895466290491552E-2</c:v>
              </c:pt>
              <c:pt idx="1">
                <c:v>1.6981208300576808E-2</c:v>
              </c:pt>
            </c:numLit>
          </c:yVal>
          <c:smooth val="0"/>
          <c:extLst>
            <c:ext xmlns:c16="http://schemas.microsoft.com/office/drawing/2014/chart" uri="{C3380CC4-5D6E-409C-BE32-E72D297353CC}">
              <c16:uniqueId val="{00000067-0C0A-40D2-B891-EA76E48108B0}"/>
            </c:ext>
          </c:extLst>
        </c:ser>
        <c:ser>
          <c:idx val="96"/>
          <c:order val="96"/>
          <c:spPr>
            <a:ln w="3175">
              <a:solidFill>
                <a:srgbClr val="000000"/>
              </a:solidFill>
              <a:prstDash val="solid"/>
            </a:ln>
          </c:spPr>
          <c:marker>
            <c:symbol val="none"/>
          </c:marker>
          <c:xVal>
            <c:numLit>
              <c:formatCode>General</c:formatCode>
              <c:ptCount val="2"/>
              <c:pt idx="0">
                <c:v>-5.2898885552707755</c:v>
              </c:pt>
              <c:pt idx="1">
                <c:v>-4.7399594524317035</c:v>
              </c:pt>
            </c:numLit>
          </c:xVal>
          <c:yVal>
            <c:numLit>
              <c:formatCode>General</c:formatCode>
              <c:ptCount val="2"/>
              <c:pt idx="0">
                <c:v>1.6755392963085362E-2</c:v>
              </c:pt>
              <c:pt idx="1">
                <c:v>1.6932880948920096E-2</c:v>
              </c:pt>
            </c:numLit>
          </c:yVal>
          <c:smooth val="0"/>
          <c:extLst>
            <c:ext xmlns:c16="http://schemas.microsoft.com/office/drawing/2014/chart" uri="{C3380CC4-5D6E-409C-BE32-E72D297353CC}">
              <c16:uniqueId val="{00000068-0C0A-40D2-B891-EA76E48108B0}"/>
            </c:ext>
          </c:extLst>
        </c:ser>
        <c:ser>
          <c:idx val="97"/>
          <c:order val="97"/>
          <c:spPr>
            <a:ln w="3175">
              <a:solidFill>
                <a:srgbClr val="000000"/>
              </a:solidFill>
              <a:prstDash val="solid"/>
            </a:ln>
          </c:spPr>
          <c:marker>
            <c:symbol val="none"/>
          </c:marker>
          <c:xVal>
            <c:numLit>
              <c:formatCode>General</c:formatCode>
              <c:ptCount val="2"/>
              <c:pt idx="0">
                <c:v>-5.2033197090931331</c:v>
              </c:pt>
              <c:pt idx="1">
                <c:v>-4.930173878055025</c:v>
              </c:pt>
            </c:numLit>
          </c:xVal>
          <c:yVal>
            <c:numLit>
              <c:formatCode>General</c:formatCode>
              <c:ptCount val="2"/>
              <c:pt idx="0">
                <c:v>1.6612966702180775E-2</c:v>
              </c:pt>
              <c:pt idx="1">
                <c:v>1.6704732176865585E-2</c:v>
              </c:pt>
            </c:numLit>
          </c:yVal>
          <c:smooth val="0"/>
          <c:extLst>
            <c:ext xmlns:c16="http://schemas.microsoft.com/office/drawing/2014/chart" uri="{C3380CC4-5D6E-409C-BE32-E72D297353CC}">
              <c16:uniqueId val="{00000069-0C0A-40D2-B891-EA76E48108B0}"/>
            </c:ext>
          </c:extLst>
        </c:ser>
        <c:ser>
          <c:idx val="98"/>
          <c:order val="98"/>
          <c:spPr>
            <a:ln w="3175">
              <a:solidFill>
                <a:srgbClr val="000000"/>
              </a:solidFill>
              <a:prstDash val="solid"/>
            </a:ln>
          </c:spPr>
          <c:marker>
            <c:symbol val="none"/>
          </c:marker>
          <c:xVal>
            <c:numLit>
              <c:formatCode>General</c:formatCode>
              <c:ptCount val="2"/>
              <c:pt idx="0">
                <c:v>-5.1117373837437654</c:v>
              </c:pt>
              <c:pt idx="1">
                <c:v>-4.8405261843098577</c:v>
              </c:pt>
            </c:numLit>
          </c:xVal>
          <c:yVal>
            <c:numLit>
              <c:formatCode>General</c:formatCode>
              <c:ptCount val="2"/>
              <c:pt idx="0">
                <c:v>1.6468237411641461E-2</c:v>
              </c:pt>
              <c:pt idx="1">
                <c:v>1.6563090346779514E-2</c:v>
              </c:pt>
            </c:numLit>
          </c:yVal>
          <c:smooth val="0"/>
          <c:extLst>
            <c:ext xmlns:c16="http://schemas.microsoft.com/office/drawing/2014/chart" uri="{C3380CC4-5D6E-409C-BE32-E72D297353CC}">
              <c16:uniqueId val="{0000006A-0C0A-40D2-B891-EA76E48108B0}"/>
            </c:ext>
          </c:extLst>
        </c:ser>
        <c:ser>
          <c:idx val="99"/>
          <c:order val="99"/>
          <c:spPr>
            <a:ln w="3175">
              <a:solidFill>
                <a:srgbClr val="000000"/>
              </a:solidFill>
              <a:prstDash val="solid"/>
            </a:ln>
          </c:spPr>
          <c:marker>
            <c:symbol val="none"/>
          </c:marker>
          <c:xVal>
            <c:numLit>
              <c:formatCode>General</c:formatCode>
              <c:ptCount val="2"/>
              <c:pt idx="0">
                <c:v>-5.0149270347463339</c:v>
              </c:pt>
              <c:pt idx="1">
                <c:v>-4.7457616406108887</c:v>
              </c:pt>
            </c:numLit>
          </c:xVal>
          <c:yVal>
            <c:numLit>
              <c:formatCode>General</c:formatCode>
              <c:ptCount val="2"/>
              <c:pt idx="0">
                <c:v>1.6321266282315831E-2</c:v>
              </c:pt>
              <c:pt idx="1">
                <c:v>1.6419255616592431E-2</c:v>
              </c:pt>
            </c:numLit>
          </c:yVal>
          <c:smooth val="0"/>
          <c:extLst>
            <c:ext xmlns:c16="http://schemas.microsoft.com/office/drawing/2014/chart" uri="{C3380CC4-5D6E-409C-BE32-E72D297353CC}">
              <c16:uniqueId val="{0000006B-0C0A-40D2-B891-EA76E48108B0}"/>
            </c:ext>
          </c:extLst>
        </c:ser>
        <c:ser>
          <c:idx val="100"/>
          <c:order val="100"/>
          <c:spPr>
            <a:ln w="3175">
              <a:solidFill>
                <a:srgbClr val="000000"/>
              </a:solidFill>
              <a:prstDash val="solid"/>
            </a:ln>
          </c:spPr>
          <c:marker>
            <c:symbol val="none"/>
          </c:marker>
          <c:xVal>
            <c:numLit>
              <c:formatCode>General</c:formatCode>
              <c:ptCount val="2"/>
              <c:pt idx="0">
                <c:v>-4.9126725205921735</c:v>
              </c:pt>
              <c:pt idx="1">
                <c:v>-4.6456687915541259</c:v>
              </c:pt>
            </c:numLit>
          </c:xVal>
          <c:yVal>
            <c:numLit>
              <c:formatCode>General</c:formatCode>
              <c:ptCount val="2"/>
              <c:pt idx="0">
                <c:v>1.6172126616717374E-2</c:v>
              </c:pt>
              <c:pt idx="1">
                <c:v>1.6273299812841348E-2</c:v>
              </c:pt>
            </c:numLit>
          </c:yVal>
          <c:smooth val="0"/>
          <c:extLst>
            <c:ext xmlns:c16="http://schemas.microsoft.com/office/drawing/2014/chart" uri="{C3380CC4-5D6E-409C-BE32-E72D297353CC}">
              <c16:uniqueId val="{0000006C-0C0A-40D2-B891-EA76E48108B0}"/>
            </c:ext>
          </c:extLst>
        </c:ser>
        <c:ser>
          <c:idx val="101"/>
          <c:order val="101"/>
          <c:spPr>
            <a:ln w="3175">
              <a:solidFill>
                <a:srgbClr val="000000"/>
              </a:solidFill>
              <a:prstDash val="solid"/>
            </a:ln>
          </c:spPr>
          <c:marker>
            <c:symbol val="none"/>
          </c:marker>
          <c:xVal>
            <c:numLit>
              <c:formatCode>General</c:formatCode>
              <c:ptCount val="2"/>
              <c:pt idx="0">
                <c:v>-4.8047572565634464</c:v>
              </c:pt>
              <c:pt idx="1">
                <c:v>-4.2753392408300135</c:v>
              </c:pt>
            </c:numLit>
          </c:xVal>
          <c:yVal>
            <c:numLit>
              <c:formatCode>General</c:formatCode>
              <c:ptCount val="2"/>
              <c:pt idx="0">
                <c:v>1.602090464428578E-2</c:v>
              </c:pt>
              <c:pt idx="1">
                <c:v>1.6229744658270026E-2</c:v>
              </c:pt>
            </c:numLit>
          </c:yVal>
          <c:smooth val="0"/>
          <c:extLst>
            <c:ext xmlns:c16="http://schemas.microsoft.com/office/drawing/2014/chart" uri="{C3380CC4-5D6E-409C-BE32-E72D297353CC}">
              <c16:uniqueId val="{0000006D-0C0A-40D2-B891-EA76E48108B0}"/>
            </c:ext>
          </c:extLst>
        </c:ser>
        <c:ser>
          <c:idx val="102"/>
          <c:order val="102"/>
          <c:spPr>
            <a:ln w="3175">
              <a:solidFill>
                <a:srgbClr val="000000"/>
              </a:solidFill>
              <a:prstDash val="solid"/>
            </a:ln>
          </c:spPr>
          <c:marker>
            <c:symbol val="none"/>
          </c:marker>
          <c:xVal>
            <c:numLit>
              <c:formatCode>General</c:formatCode>
              <c:ptCount val="2"/>
              <c:pt idx="0">
                <c:v>-4.6909655282406417</c:v>
              </c:pt>
              <c:pt idx="1">
                <c:v>-4.4286515323763824</c:v>
              </c:pt>
            </c:numLit>
          </c:xVal>
          <c:yVal>
            <c:numLit>
              <c:formatCode>General</c:formatCode>
              <c:ptCount val="2"/>
              <c:pt idx="0">
                <c:v>1.5867700314020336E-2</c:v>
              </c:pt>
              <c:pt idx="1">
                <c:v>1.5975376328465341E-2</c:v>
              </c:pt>
            </c:numLit>
          </c:yVal>
          <c:smooth val="0"/>
          <c:extLst>
            <c:ext xmlns:c16="http://schemas.microsoft.com/office/drawing/2014/chart" uri="{C3380CC4-5D6E-409C-BE32-E72D297353CC}">
              <c16:uniqueId val="{0000006E-0C0A-40D2-B891-EA76E48108B0}"/>
            </c:ext>
          </c:extLst>
        </c:ser>
        <c:ser>
          <c:idx val="103"/>
          <c:order val="103"/>
          <c:spPr>
            <a:ln w="3175">
              <a:solidFill>
                <a:srgbClr val="000000"/>
              </a:solidFill>
              <a:prstDash val="solid"/>
            </a:ln>
          </c:spPr>
          <c:marker>
            <c:symbol val="none"/>
          </c:marker>
          <c:xVal>
            <c:numLit>
              <c:formatCode>General</c:formatCode>
              <c:ptCount val="2"/>
              <c:pt idx="0">
                <c:v>-4.5710839706874209</c:v>
              </c:pt>
              <c:pt idx="1">
                <c:v>-4.3113074088595988</c:v>
              </c:pt>
            </c:numLit>
          </c:xVal>
          <c:yVal>
            <c:numLit>
              <c:formatCode>General</c:formatCode>
              <c:ptCount val="2"/>
              <c:pt idx="0">
                <c:v>1.5712628049326046E-2</c:v>
              </c:pt>
              <c:pt idx="1">
                <c:v>1.5823618626362695E-2</c:v>
              </c:pt>
            </c:numLit>
          </c:yVal>
          <c:smooth val="0"/>
          <c:extLst>
            <c:ext xmlns:c16="http://schemas.microsoft.com/office/drawing/2014/chart" uri="{C3380CC4-5D6E-409C-BE32-E72D297353CC}">
              <c16:uniqueId val="{0000006F-0C0A-40D2-B891-EA76E48108B0}"/>
            </c:ext>
          </c:extLst>
        </c:ser>
        <c:ser>
          <c:idx val="104"/>
          <c:order val="104"/>
          <c:spPr>
            <a:ln w="3175">
              <a:solidFill>
                <a:srgbClr val="000000"/>
              </a:solidFill>
              <a:prstDash val="solid"/>
            </a:ln>
          </c:spPr>
          <c:marker>
            <c:symbol val="none"/>
          </c:marker>
          <c:xVal>
            <c:numLit>
              <c:formatCode>General</c:formatCode>
              <c:ptCount val="2"/>
              <c:pt idx="0">
                <c:v>-4.4449032169939464</c:v>
              </c:pt>
              <c:pt idx="1">
                <c:v>-4.1877986154546427</c:v>
              </c:pt>
            </c:numLit>
          </c:xVal>
          <c:yVal>
            <c:numLit>
              <c:formatCode>General</c:formatCode>
              <c:ptCount val="2"/>
              <c:pt idx="0">
                <c:v>1.5555817447964507E-2</c:v>
              </c:pt>
              <c:pt idx="1">
                <c:v>1.5670161229587115E-2</c:v>
              </c:pt>
            </c:numLit>
          </c:yVal>
          <c:smooth val="0"/>
          <c:extLst>
            <c:ext xmlns:c16="http://schemas.microsoft.com/office/drawing/2014/chart" uri="{C3380CC4-5D6E-409C-BE32-E72D297353CC}">
              <c16:uniqueId val="{00000070-0C0A-40D2-B891-EA76E48108B0}"/>
            </c:ext>
          </c:extLst>
        </c:ser>
        <c:ser>
          <c:idx val="105"/>
          <c:order val="105"/>
          <c:spPr>
            <a:ln w="3175">
              <a:solidFill>
                <a:srgbClr val="000000"/>
              </a:solidFill>
              <a:prstDash val="solid"/>
            </a:ln>
          </c:spPr>
          <c:marker>
            <c:symbol val="none"/>
          </c:marker>
          <c:xVal>
            <c:numLit>
              <c:formatCode>General</c:formatCode>
              <c:ptCount val="2"/>
              <c:pt idx="0">
                <c:v>-4.312219716966025</c:v>
              </c:pt>
              <c:pt idx="1">
                <c:v>-4.0579260852665504</c:v>
              </c:pt>
            </c:numLit>
          </c:xVal>
          <c:yVal>
            <c:numLit>
              <c:formatCode>General</c:formatCode>
              <c:ptCount val="2"/>
              <c:pt idx="0">
                <c:v>1.5397413908124226E-2</c:v>
              </c:pt>
              <c:pt idx="1">
                <c:v>1.5515146520333783E-2</c:v>
              </c:pt>
            </c:numLit>
          </c:yVal>
          <c:smooth val="0"/>
          <c:extLst>
            <c:ext xmlns:c16="http://schemas.microsoft.com/office/drawing/2014/chart" uri="{C3380CC4-5D6E-409C-BE32-E72D297353CC}">
              <c16:uniqueId val="{00000071-0C0A-40D2-B891-EA76E48108B0}"/>
            </c:ext>
          </c:extLst>
        </c:ser>
        <c:ser>
          <c:idx val="106"/>
          <c:order val="106"/>
          <c:spPr>
            <a:ln w="3175">
              <a:solidFill>
                <a:srgbClr val="000000"/>
              </a:solidFill>
              <a:prstDash val="solid"/>
            </a:ln>
          </c:spPr>
          <c:marker>
            <c:symbol val="none"/>
          </c:marker>
          <c:xVal>
            <c:numLit>
              <c:formatCode>General</c:formatCode>
              <c:ptCount val="2"/>
              <c:pt idx="0">
                <c:v>-4.1728377232389242</c:v>
              </c:pt>
              <c:pt idx="1">
                <c:v>-3.6701909794749938</c:v>
              </c:pt>
            </c:numLit>
          </c:xVal>
          <c:yVal>
            <c:numLit>
              <c:formatCode>General</c:formatCode>
              <c:ptCount val="2"/>
              <c:pt idx="0">
                <c:v>1.5237579159901987E-2</c:v>
              </c:pt>
              <c:pt idx="1">
                <c:v>1.5479922581002253E-2</c:v>
              </c:pt>
            </c:numLit>
          </c:yVal>
          <c:smooth val="0"/>
          <c:extLst>
            <c:ext xmlns:c16="http://schemas.microsoft.com/office/drawing/2014/chart" uri="{C3380CC4-5D6E-409C-BE32-E72D297353CC}">
              <c16:uniqueId val="{00000072-0C0A-40D2-B891-EA76E48108B0}"/>
            </c:ext>
          </c:extLst>
        </c:ser>
        <c:ser>
          <c:idx val="107"/>
          <c:order val="107"/>
          <c:spPr>
            <a:ln w="3175">
              <a:solidFill>
                <a:srgbClr val="000000"/>
              </a:solidFill>
              <a:prstDash val="solid"/>
            </a:ln>
          </c:spPr>
          <c:marker>
            <c:symbol val="none"/>
          </c:marker>
          <c:xVal>
            <c:numLit>
              <c:formatCode>General</c:formatCode>
              <c:ptCount val="2"/>
              <c:pt idx="0">
                <c:v>-4.026571437958375</c:v>
              </c:pt>
              <c:pt idx="1">
                <c:v>-3.778333902587538</c:v>
              </c:pt>
            </c:numLit>
          </c:xVal>
          <c:yVal>
            <c:numLit>
              <c:formatCode>General</c:formatCode>
              <c:ptCount val="2"/>
              <c:pt idx="0">
                <c:v>1.5076491680015076E-2</c:v>
              </c:pt>
              <c:pt idx="1">
                <c:v>1.5201094996387811E-2</c:v>
              </c:pt>
            </c:numLit>
          </c:yVal>
          <c:smooth val="0"/>
          <c:extLst>
            <c:ext xmlns:c16="http://schemas.microsoft.com/office/drawing/2014/chart" uri="{C3380CC4-5D6E-409C-BE32-E72D297353CC}">
              <c16:uniqueId val="{00000073-0C0A-40D2-B891-EA76E48108B0}"/>
            </c:ext>
          </c:extLst>
        </c:ser>
        <c:ser>
          <c:idx val="108"/>
          <c:order val="108"/>
          <c:spPr>
            <a:ln w="3175">
              <a:solidFill>
                <a:srgbClr val="000000"/>
              </a:solidFill>
              <a:prstDash val="solid"/>
            </a:ln>
          </c:spPr>
          <c:marker>
            <c:symbol val="none"/>
          </c:marker>
          <c:xVal>
            <c:numLit>
              <c:formatCode>General</c:formatCode>
              <c:ptCount val="2"/>
              <c:pt idx="0">
                <c:v>-3.8732473084196117</c:v>
              </c:pt>
              <c:pt idx="1">
                <c:v>-3.6282629203486501</c:v>
              </c:pt>
            </c:numLit>
          </c:xVal>
          <c:yVal>
            <c:numLit>
              <c:formatCode>General</c:formatCode>
              <c:ptCount val="2"/>
              <c:pt idx="0">
                <c:v>1.4914346966454389E-2</c:v>
              </c:pt>
              <c:pt idx="1">
                <c:v>1.5042424325441343E-2</c:v>
              </c:pt>
            </c:numLit>
          </c:yVal>
          <c:smooth val="0"/>
          <c:extLst>
            <c:ext xmlns:c16="http://schemas.microsoft.com/office/drawing/2014/chart" uri="{C3380CC4-5D6E-409C-BE32-E72D297353CC}">
              <c16:uniqueId val="{00000074-0C0A-40D2-B891-EA76E48108B0}"/>
            </c:ext>
          </c:extLst>
        </c:ser>
        <c:ser>
          <c:idx val="109"/>
          <c:order val="109"/>
          <c:spPr>
            <a:ln w="3175">
              <a:solidFill>
                <a:srgbClr val="000000"/>
              </a:solidFill>
              <a:prstDash val="solid"/>
            </a:ln>
          </c:spPr>
          <c:marker>
            <c:symbol val="none"/>
          </c:marker>
          <c:xVal>
            <c:numLit>
              <c:formatCode>General</c:formatCode>
              <c:ptCount val="2"/>
              <c:pt idx="0">
                <c:v>-3.7127064547319453</c:v>
              </c:pt>
              <c:pt idx="1">
                <c:v>-3.4711301637575316</c:v>
              </c:pt>
            </c:numLit>
          </c:xVal>
          <c:yVal>
            <c:numLit>
              <c:formatCode>General</c:formatCode>
              <c:ptCount val="2"/>
              <c:pt idx="0">
                <c:v>1.4751357649160357E-2</c:v>
              </c:pt>
              <c:pt idx="1">
                <c:v>1.4882929003442607E-2</c:v>
              </c:pt>
            </c:numLit>
          </c:yVal>
          <c:smooth val="0"/>
          <c:extLst>
            <c:ext xmlns:c16="http://schemas.microsoft.com/office/drawing/2014/chart" uri="{C3380CC4-5D6E-409C-BE32-E72D297353CC}">
              <c16:uniqueId val="{00000075-0C0A-40D2-B891-EA76E48108B0}"/>
            </c:ext>
          </c:extLst>
        </c:ser>
        <c:ser>
          <c:idx val="110"/>
          <c:order val="110"/>
          <c:spPr>
            <a:ln w="3175">
              <a:solidFill>
                <a:srgbClr val="000000"/>
              </a:solidFill>
              <a:prstDash val="solid"/>
            </a:ln>
          </c:spPr>
          <c:marker>
            <c:symbol val="none"/>
          </c:marker>
          <c:xVal>
            <c:numLit>
              <c:formatCode>General</c:formatCode>
              <c:ptCount val="2"/>
              <c:pt idx="0">
                <c:v>-3.5448072067633123</c:v>
              </c:pt>
              <c:pt idx="1">
                <c:v>-3.3067971968373073</c:v>
              </c:pt>
            </c:numLit>
          </c:xVal>
          <c:yVal>
            <c:numLit>
              <c:formatCode>General</c:formatCode>
              <c:ptCount val="2"/>
              <c:pt idx="0">
                <c:v>1.458775341278396E-2</c:v>
              </c:pt>
              <c:pt idx="1">
                <c:v>1.4722833866947267E-2</c:v>
              </c:pt>
            </c:numLit>
          </c:yVal>
          <c:smooth val="0"/>
          <c:extLst>
            <c:ext xmlns:c16="http://schemas.microsoft.com/office/drawing/2014/chart" uri="{C3380CC4-5D6E-409C-BE32-E72D297353CC}">
              <c16:uniqueId val="{00000076-0C0A-40D2-B891-EA76E48108B0}"/>
            </c:ext>
          </c:extLst>
        </c:ser>
        <c:ser>
          <c:idx val="111"/>
          <c:order val="111"/>
          <c:spPr>
            <a:ln w="3175">
              <a:solidFill>
                <a:srgbClr val="000000"/>
              </a:solidFill>
              <a:prstDash val="solid"/>
            </a:ln>
          </c:spPr>
          <c:marker>
            <c:symbol val="none"/>
          </c:marker>
          <c:xVal>
            <c:numLit>
              <c:formatCode>General</c:formatCode>
              <c:ptCount val="2"/>
              <c:pt idx="0">
                <c:v>-3.3694277214410562</c:v>
              </c:pt>
              <c:pt idx="1">
                <c:v>-2.9009011365821324</c:v>
              </c:pt>
            </c:numLit>
          </c:xVal>
          <c:yVal>
            <c:numLit>
              <c:formatCode>General</c:formatCode>
              <c:ptCount val="2"/>
              <c:pt idx="0">
                <c:v>1.4423780708309812E-2</c:v>
              </c:pt>
              <c:pt idx="1">
                <c:v>1.4701015343783125E-2</c:v>
              </c:pt>
            </c:numLit>
          </c:yVal>
          <c:smooth val="0"/>
          <c:extLst>
            <c:ext xmlns:c16="http://schemas.microsoft.com/office/drawing/2014/chart" uri="{C3380CC4-5D6E-409C-BE32-E72D297353CC}">
              <c16:uniqueId val="{00000077-0C0A-40D2-B891-EA76E48108B0}"/>
            </c:ext>
          </c:extLst>
        </c:ser>
        <c:ser>
          <c:idx val="112"/>
          <c:order val="112"/>
          <c:spPr>
            <a:ln w="3175">
              <a:solidFill>
                <a:srgbClr val="000000"/>
              </a:solidFill>
              <a:prstDash val="solid"/>
            </a:ln>
          </c:spPr>
          <c:marker>
            <c:symbol val="none"/>
          </c:marker>
          <c:xVal>
            <c:numLit>
              <c:formatCode>General</c:formatCode>
              <c:ptCount val="2"/>
              <c:pt idx="0">
                <c:v>-3.1864686451132647</c:v>
              </c:pt>
              <c:pt idx="1">
                <c:v>-2.9560765734004115</c:v>
              </c:pt>
            </c:numLit>
          </c:xVal>
          <c:yVal>
            <c:numLit>
              <c:formatCode>General</c:formatCode>
              <c:ptCount val="2"/>
              <c:pt idx="0">
                <c:v>1.4259702231886499E-2</c:v>
              </c:pt>
              <c:pt idx="1">
                <c:v>1.4401824969069376E-2</c:v>
              </c:pt>
            </c:numLit>
          </c:yVal>
          <c:smooth val="0"/>
          <c:extLst>
            <c:ext xmlns:c16="http://schemas.microsoft.com/office/drawing/2014/chart" uri="{C3380CC4-5D6E-409C-BE32-E72D297353CC}">
              <c16:uniqueId val="{00000078-0C0A-40D2-B891-EA76E48108B0}"/>
            </c:ext>
          </c:extLst>
        </c:ser>
        <c:ser>
          <c:idx val="113"/>
          <c:order val="113"/>
          <c:spPr>
            <a:ln w="3175">
              <a:solidFill>
                <a:srgbClr val="000000"/>
              </a:solidFill>
              <a:prstDash val="solid"/>
            </a:ln>
          </c:spPr>
          <c:marker>
            <c:symbol val="none"/>
          </c:marker>
          <c:xVal>
            <c:numLit>
              <c:formatCode>General</c:formatCode>
              <c:ptCount val="2"/>
              <c:pt idx="0">
                <c:v>-2.995855779328612</c:v>
              </c:pt>
              <c:pt idx="1">
                <c:v>-2.7695195454399149</c:v>
              </c:pt>
            </c:numLit>
          </c:xVal>
          <c:yVal>
            <c:numLit>
              <c:formatCode>General</c:formatCode>
              <c:ptCount val="2"/>
              <c:pt idx="0">
                <c:v>1.4095796151733538E-2</c:v>
              </c:pt>
              <c:pt idx="1">
                <c:v>1.4241440571197172E-2</c:v>
              </c:pt>
            </c:numLit>
          </c:yVal>
          <c:smooth val="0"/>
          <c:extLst>
            <c:ext xmlns:c16="http://schemas.microsoft.com/office/drawing/2014/chart" uri="{C3380CC4-5D6E-409C-BE32-E72D297353CC}">
              <c16:uniqueId val="{00000079-0C0A-40D2-B891-EA76E48108B0}"/>
            </c:ext>
          </c:extLst>
        </c:ser>
        <c:ser>
          <c:idx val="114"/>
          <c:order val="114"/>
          <c:spPr>
            <a:ln w="3175">
              <a:solidFill>
                <a:srgbClr val="000000"/>
              </a:solidFill>
              <a:prstDash val="solid"/>
            </a:ln>
          </c:spPr>
          <c:marker>
            <c:symbol val="none"/>
          </c:marker>
          <c:xVal>
            <c:numLit>
              <c:formatCode>General</c:formatCode>
              <c:ptCount val="2"/>
              <c:pt idx="0">
                <c:v>-2.797542702336508</c:v>
              </c:pt>
              <c:pt idx="1">
                <c:v>-2.5754287346047877</c:v>
              </c:pt>
            </c:numLit>
          </c:xVal>
          <c:yVal>
            <c:numLit>
              <c:formatCode>General</c:formatCode>
              <c:ptCount val="2"/>
              <c:pt idx="0">
                <c:v>1.3932355067550029E-2</c:v>
              </c:pt>
              <c:pt idx="1">
                <c:v>1.4081513307464042E-2</c:v>
              </c:pt>
            </c:numLit>
          </c:yVal>
          <c:smooth val="0"/>
          <c:extLst>
            <c:ext xmlns:c16="http://schemas.microsoft.com/office/drawing/2014/chart" uri="{C3380CC4-5D6E-409C-BE32-E72D297353CC}">
              <c16:uniqueId val="{0000007A-0C0A-40D2-B891-EA76E48108B0}"/>
            </c:ext>
          </c:extLst>
        </c:ser>
        <c:ser>
          <c:idx val="115"/>
          <c:order val="115"/>
          <c:spPr>
            <a:ln w="3175">
              <a:solidFill>
                <a:srgbClr val="000000"/>
              </a:solidFill>
              <a:prstDash val="solid"/>
            </a:ln>
          </c:spPr>
          <c:marker>
            <c:symbol val="none"/>
          </c:marker>
          <c:xVal>
            <c:numLit>
              <c:formatCode>General</c:formatCode>
              <c:ptCount val="2"/>
              <c:pt idx="0">
                <c:v>-2.5915132931495299</c:v>
              </c:pt>
              <c:pt idx="1">
                <c:v>-2.3737886177428424</c:v>
              </c:pt>
            </c:numLit>
          </c:xVal>
          <c:yVal>
            <c:numLit>
              <c:formatCode>General</c:formatCode>
              <c:ptCount val="2"/>
              <c:pt idx="0">
                <c:v>1.3769684691476037E-2</c:v>
              </c:pt>
              <c:pt idx="1">
                <c:v>1.3922342343814391E-2</c:v>
              </c:pt>
            </c:numLit>
          </c:yVal>
          <c:smooth val="0"/>
          <c:extLst>
            <c:ext xmlns:c16="http://schemas.microsoft.com/office/drawing/2014/chart" uri="{C3380CC4-5D6E-409C-BE32-E72D297353CC}">
              <c16:uniqueId val="{0000007B-0C0A-40D2-B891-EA76E48108B0}"/>
            </c:ext>
          </c:extLst>
        </c:ser>
        <c:ser>
          <c:idx val="116"/>
          <c:order val="116"/>
          <c:spPr>
            <a:ln w="3175">
              <a:solidFill>
                <a:srgbClr val="000000"/>
              </a:solidFill>
              <a:prstDash val="solid"/>
            </a:ln>
          </c:spPr>
          <c:marker>
            <c:symbol val="none"/>
          </c:marker>
          <c:xVal>
            <c:numLit>
              <c:formatCode>General</c:formatCode>
              <c:ptCount val="2"/>
              <c:pt idx="0">
                <c:v>-2.3777841004811022</c:v>
              </c:pt>
              <c:pt idx="1">
                <c:v>-1.9514919878507884</c:v>
              </c:pt>
            </c:numLit>
          </c:xVal>
          <c:yVal>
            <c:numLit>
              <c:formatCode>General</c:formatCode>
              <c:ptCount val="2"/>
              <c:pt idx="0">
                <c:v>1.3608102245343555E-2</c:v>
              </c:pt>
              <c:pt idx="1">
                <c:v>1.3920407227151928E-2</c:v>
              </c:pt>
            </c:numLit>
          </c:yVal>
          <c:smooth val="0"/>
          <c:extLst>
            <c:ext xmlns:c16="http://schemas.microsoft.com/office/drawing/2014/chart" uri="{C3380CC4-5D6E-409C-BE32-E72D297353CC}">
              <c16:uniqueId val="{0000007C-0C0A-40D2-B891-EA76E48108B0}"/>
            </c:ext>
          </c:extLst>
        </c:ser>
        <c:ser>
          <c:idx val="117"/>
          <c:order val="117"/>
          <c:spPr>
            <a:ln w="3175">
              <a:solidFill>
                <a:srgbClr val="000000"/>
              </a:solidFill>
              <a:prstDash val="solid"/>
            </a:ln>
          </c:spPr>
          <c:marker>
            <c:symbol val="none"/>
          </c:marker>
          <c:xVal>
            <c:numLit>
              <c:formatCode>General</c:formatCode>
              <c:ptCount val="2"/>
              <c:pt idx="0">
                <c:v>-2.156406495623691</c:v>
              </c:pt>
              <c:pt idx="1">
                <c:v>-1.9479603446816371</c:v>
              </c:pt>
            </c:numLit>
          </c:xVal>
          <c:yVal>
            <c:numLit>
              <c:formatCode>General</c:formatCode>
              <c:ptCount val="2"/>
              <c:pt idx="0">
                <c:v>1.3447934575631624E-2</c:v>
              </c:pt>
              <c:pt idx="1">
                <c:v>1.3607520356295923E-2</c:v>
              </c:pt>
            </c:numLit>
          </c:yVal>
          <c:smooth val="0"/>
          <c:extLst>
            <c:ext xmlns:c16="http://schemas.microsoft.com/office/drawing/2014/chart" uri="{C3380CC4-5D6E-409C-BE32-E72D297353CC}">
              <c16:uniqueId val="{0000007D-0C0A-40D2-B891-EA76E48108B0}"/>
            </c:ext>
          </c:extLst>
        </c:ser>
        <c:ser>
          <c:idx val="118"/>
          <c:order val="118"/>
          <c:spPr>
            <a:ln w="3175">
              <a:solidFill>
                <a:srgbClr val="000000"/>
              </a:solidFill>
              <a:prstDash val="solid"/>
            </a:ln>
          </c:spPr>
          <c:marker>
            <c:symbol val="none"/>
          </c:marker>
          <c:xVal>
            <c:numLit>
              <c:formatCode>General</c:formatCode>
              <c:ptCount val="2"/>
              <c:pt idx="0">
                <c:v>-1.9274685467120087</c:v>
              </c:pt>
              <c:pt idx="1">
                <c:v>-1.723909151193072</c:v>
              </c:pt>
            </c:numLit>
          </c:xVal>
          <c:yVal>
            <c:numLit>
              <c:formatCode>General</c:formatCode>
              <c:ptCount val="2"/>
              <c:pt idx="0">
                <c:v>1.3289515995076896E-2</c:v>
              </c:pt>
              <c:pt idx="1">
                <c:v>1.3452516235149875E-2</c:v>
              </c:pt>
            </c:numLit>
          </c:yVal>
          <c:smooth val="0"/>
          <c:extLst>
            <c:ext xmlns:c16="http://schemas.microsoft.com/office/drawing/2014/chart" uri="{C3380CC4-5D6E-409C-BE32-E72D297353CC}">
              <c16:uniqueId val="{0000007E-0C0A-40D2-B891-EA76E48108B0}"/>
            </c:ext>
          </c:extLst>
        </c:ser>
        <c:ser>
          <c:idx val="119"/>
          <c:order val="119"/>
          <c:spPr>
            <a:ln w="3175">
              <a:solidFill>
                <a:srgbClr val="000000"/>
              </a:solidFill>
              <a:prstDash val="solid"/>
            </a:ln>
          </c:spPr>
          <c:marker>
            <c:symbol val="none"/>
          </c:marker>
          <c:xVal>
            <c:numLit>
              <c:formatCode>General</c:formatCode>
              <c:ptCount val="2"/>
              <c:pt idx="0">
                <c:v>-1.6910965521384105</c:v>
              </c:pt>
              <c:pt idx="1">
                <c:v>-1.4925859044313796</c:v>
              </c:pt>
            </c:numLit>
          </c:xVal>
          <c:yVal>
            <c:numLit>
              <c:formatCode>General</c:formatCode>
              <c:ptCount val="2"/>
              <c:pt idx="0">
                <c:v>1.313318586808335E-2</c:v>
              </c:pt>
              <c:pt idx="1">
                <c:v>1.3299557742944548E-2</c:v>
              </c:pt>
            </c:numLit>
          </c:yVal>
          <c:smooth val="0"/>
          <c:extLst>
            <c:ext xmlns:c16="http://schemas.microsoft.com/office/drawing/2014/chart" uri="{C3380CC4-5D6E-409C-BE32-E72D297353CC}">
              <c16:uniqueId val="{0000007F-0C0A-40D2-B891-EA76E48108B0}"/>
            </c:ext>
          </c:extLst>
        </c:ser>
        <c:ser>
          <c:idx val="120"/>
          <c:order val="120"/>
          <c:spPr>
            <a:ln w="3175">
              <a:solidFill>
                <a:srgbClr val="000000"/>
              </a:solidFill>
              <a:prstDash val="solid"/>
            </a:ln>
          </c:spPr>
          <c:marker>
            <c:symbol val="none"/>
          </c:marker>
          <c:xVal>
            <c:numLit>
              <c:formatCode>General</c:formatCode>
              <c:ptCount val="2"/>
              <c:pt idx="0">
                <c:v>-1.4474561734172946</c:v>
              </c:pt>
              <c:pt idx="1">
                <c:v>-1.2541529530699185</c:v>
              </c:pt>
            </c:numLit>
          </c:xVal>
          <c:yVal>
            <c:numLit>
              <c:formatCode>General</c:formatCode>
              <c:ptCount val="2"/>
              <c:pt idx="0">
                <c:v>1.2979285965653065E-2</c:v>
              </c:pt>
              <c:pt idx="1">
                <c:v>1.3148979228746737E-2</c:v>
              </c:pt>
            </c:numLit>
          </c:yVal>
          <c:smooth val="0"/>
          <c:extLst>
            <c:ext xmlns:c16="http://schemas.microsoft.com/office/drawing/2014/chart" uri="{C3380CC4-5D6E-409C-BE32-E72D297353CC}">
              <c16:uniqueId val="{00000080-0C0A-40D2-B891-EA76E48108B0}"/>
            </c:ext>
          </c:extLst>
        </c:ser>
        <c:ser>
          <c:idx val="121"/>
          <c:order val="121"/>
          <c:spPr>
            <a:ln w="3175">
              <a:solidFill>
                <a:srgbClr val="000000"/>
              </a:solidFill>
              <a:prstDash val="solid"/>
            </a:ln>
          </c:spPr>
          <c:marker>
            <c:symbol val="none"/>
          </c:marker>
          <c:xVal>
            <c:numLit>
              <c:formatCode>General</c:formatCode>
              <c:ptCount val="2"/>
              <c:pt idx="0">
                <c:v>-1.1967531127124049</c:v>
              </c:pt>
              <c:pt idx="1">
                <c:v>-0.82091889735930601</c:v>
              </c:pt>
            </c:numLit>
          </c:xVal>
          <c:yVal>
            <c:numLit>
              <c:formatCode>General</c:formatCode>
              <c:ptCount val="2"/>
              <c:pt idx="0">
                <c:v>1.2828157624189995E-2</c:v>
              </c:pt>
              <c:pt idx="1">
                <c:v>1.3174100182621095E-2</c:v>
              </c:pt>
            </c:numLit>
          </c:yVal>
          <c:smooth val="0"/>
          <c:extLst>
            <c:ext xmlns:c16="http://schemas.microsoft.com/office/drawing/2014/chart" uri="{C3380CC4-5D6E-409C-BE32-E72D297353CC}">
              <c16:uniqueId val="{00000081-0C0A-40D2-B891-EA76E48108B0}"/>
            </c:ext>
          </c:extLst>
        </c:ser>
        <c:ser>
          <c:idx val="122"/>
          <c:order val="122"/>
          <c:spPr>
            <a:ln w="3175">
              <a:solidFill>
                <a:srgbClr val="000000"/>
              </a:solidFill>
              <a:prstDash val="solid"/>
            </a:ln>
          </c:spPr>
          <c:marker>
            <c:symbol val="none"/>
          </c:marker>
          <c:xVal>
            <c:numLit>
              <c:formatCode>General</c:formatCode>
              <c:ptCount val="56"/>
              <c:pt idx="0">
                <c:v>-6.4780000000000006</c:v>
              </c:pt>
              <c:pt idx="1">
                <c:v>-6.4771548667567451</c:v>
              </c:pt>
              <c:pt idx="2">
                <c:v>-6.4744781546020507</c:v>
              </c:pt>
              <c:pt idx="3">
                <c:v>-6.4697392601020702</c:v>
              </c:pt>
              <c:pt idx="4">
                <c:v>-6.4626803906648105</c:v>
              </c:pt>
              <c:pt idx="5">
                <c:v>-6.4530133649286947</c:v>
              </c:pt>
              <c:pt idx="6">
                <c:v>-6.4404160659918741</c:v>
              </c:pt>
              <c:pt idx="7">
                <c:v>-6.4245285241259857</c:v>
              </c:pt>
              <c:pt idx="8">
                <c:v>-6.4049486097896127</c:v>
              </c:pt>
              <c:pt idx="9">
                <c:v>-6.3812273246822127</c:v>
              </c:pt>
              <c:pt idx="10">
                <c:v>-6.3528636892133203</c:v>
              </c:pt>
              <c:pt idx="11">
                <c:v>-6.3192992403036552</c:v>
              </c:pt>
              <c:pt idx="12">
                <c:v>-6.2799121753649985</c:v>
              </c:pt>
              <c:pt idx="13">
                <c:v>-6.2340112084088908</c:v>
              </c:pt>
              <c:pt idx="14">
                <c:v>-6.1808292446003525</c:v>
              </c:pt>
              <c:pt idx="15">
                <c:v>-6.1195170325550308</c:v>
              </c:pt>
              <c:pt idx="16">
                <c:v>-6.085522707107951</c:v>
              </c:pt>
              <c:pt idx="17">
                <c:v>-6.0491370217777725</c:v>
              </c:pt>
              <c:pt idx="18">
                <c:v>-6.0102280619194612</c:v>
              </c:pt>
              <c:pt idx="19">
                <c:v>-5.9686577382838752</c:v>
              </c:pt>
              <c:pt idx="20">
                <c:v>-5.9242816702136096</c:v>
              </c:pt>
              <c:pt idx="21">
                <c:v>-5.8769490965930213</c:v>
              </c:pt>
              <c:pt idx="22">
                <c:v>-5.8265028202105924</c:v>
              </c:pt>
              <c:pt idx="23">
                <c:v>-5.7727791918245215</c:v>
              </c:pt>
              <c:pt idx="24">
                <c:v>-5.7156081408752861</c:v>
              </c:pt>
              <c:pt idx="25">
                <c:v>-5.6548132604507</c:v>
              </c:pt>
              <c:pt idx="26">
                <c:v>-5.5902119547643538</c:v>
              </c:pt>
              <c:pt idx="27">
                <c:v>-5.5216156580385984</c:v>
              </c:pt>
              <c:pt idx="28">
                <c:v>-5.4488301342643446</c:v>
              </c:pt>
              <c:pt idx="29">
                <c:v>-5.3716558678134341</c:v>
              </c:pt>
              <c:pt idx="30">
                <c:v>-5.2898885552707755</c:v>
              </c:pt>
              <c:pt idx="31">
                <c:v>-5.2033197090931331</c:v>
              </c:pt>
              <c:pt idx="32">
                <c:v>-5.1117373837437654</c:v>
              </c:pt>
              <c:pt idx="33">
                <c:v>-5.0149270347463339</c:v>
              </c:pt>
              <c:pt idx="34">
                <c:v>-4.9126725205921735</c:v>
              </c:pt>
              <c:pt idx="35">
                <c:v>-4.8047572565634464</c:v>
              </c:pt>
              <c:pt idx="36">
                <c:v>-4.6909655282406417</c:v>
              </c:pt>
              <c:pt idx="37">
                <c:v>-4.5710839706874209</c:v>
              </c:pt>
              <c:pt idx="38">
                <c:v>-4.4449032169939464</c:v>
              </c:pt>
              <c:pt idx="39">
                <c:v>-4.312219716966025</c:v>
              </c:pt>
              <c:pt idx="40">
                <c:v>-4.1728377232389242</c:v>
              </c:pt>
              <c:pt idx="41">
                <c:v>-4.026571437958375</c:v>
              </c:pt>
              <c:pt idx="42">
                <c:v>-3.8732473084196117</c:v>
              </c:pt>
              <c:pt idx="43">
                <c:v>-3.7127064547319453</c:v>
              </c:pt>
              <c:pt idx="44">
                <c:v>-3.5448072067633123</c:v>
              </c:pt>
              <c:pt idx="45">
                <c:v>-3.3694277214410562</c:v>
              </c:pt>
              <c:pt idx="46">
                <c:v>-3.1864686451132647</c:v>
              </c:pt>
              <c:pt idx="47">
                <c:v>-2.995855779328612</c:v>
              </c:pt>
              <c:pt idx="48">
                <c:v>-2.797542702336508</c:v>
              </c:pt>
              <c:pt idx="49">
                <c:v>-2.5915132931495299</c:v>
              </c:pt>
              <c:pt idx="50">
                <c:v>-2.3777841004811022</c:v>
              </c:pt>
              <c:pt idx="51">
                <c:v>-2.156406495623691</c:v>
              </c:pt>
              <c:pt idx="52">
                <c:v>-1.9274685467120087</c:v>
              </c:pt>
              <c:pt idx="53">
                <c:v>-1.6910965521384105</c:v>
              </c:pt>
              <c:pt idx="54">
                <c:v>-1.4474561734172946</c:v>
              </c:pt>
              <c:pt idx="55">
                <c:v>-1.1967531127124049</c:v>
              </c:pt>
            </c:numLit>
          </c:xVal>
          <c:yVal>
            <c:numLit>
              <c:formatCode>General</c:formatCode>
              <c:ptCount val="56"/>
              <c:pt idx="0">
                <c:v>2.0930000000000001E-2</c:v>
              </c:pt>
              <c:pt idx="1">
                <c:v>2.0816221982499338E-2</c:v>
              </c:pt>
              <c:pt idx="2">
                <c:v>2.0697747630638599E-2</c:v>
              </c:pt>
              <c:pt idx="3">
                <c:v>2.0574329599127333E-2</c:v>
              </c:pt>
              <c:pt idx="4">
                <c:v>2.0445707961793541E-2</c:v>
              </c:pt>
              <c:pt idx="5">
                <c:v>2.0311610158401223E-2</c:v>
              </c:pt>
              <c:pt idx="6">
                <c:v>2.0171751126828213E-2</c:v>
              </c:pt>
              <c:pt idx="7">
                <c:v>2.0025833674800028E-2</c:v>
              </c:pt>
              <c:pt idx="8">
                <c:v>1.9873549157153957E-2</c:v>
              </c:pt>
              <c:pt idx="9">
                <c:v>1.9714578538365699E-2</c:v>
              </c:pt>
              <c:pt idx="10">
                <c:v>1.9548593935935225E-2</c:v>
              </c:pt>
              <c:pt idx="11">
                <c:v>1.9375260758225134E-2</c:v>
              </c:pt>
              <c:pt idx="12">
                <c:v>1.9194240570334139E-2</c:v>
              </c:pt>
              <c:pt idx="13">
                <c:v>1.900519484317249E-2</c:v>
              </c:pt>
              <c:pt idx="14">
                <c:v>1.8807789763299193E-2</c:v>
              </c:pt>
              <c:pt idx="15">
                <c:v>1.86017023029456E-2</c:v>
              </c:pt>
              <c:pt idx="16">
                <c:v>1.8495306506800622E-2</c:v>
              </c:pt>
              <c:pt idx="17">
                <c:v>1.8386627768883546E-2</c:v>
              </c:pt>
              <c:pt idx="18">
                <c:v>1.8275632385817388E-2</c:v>
              </c:pt>
              <c:pt idx="19">
                <c:v>1.8162289062279902E-2</c:v>
              </c:pt>
              <c:pt idx="20">
                <c:v>1.8046569310441331E-2</c:v>
              </c:pt>
              <c:pt idx="21">
                <c:v>1.7928447884993152E-2</c:v>
              </c:pt>
              <c:pt idx="22">
                <c:v>1.780790325517077E-2</c:v>
              </c:pt>
              <c:pt idx="23">
                <c:v>1.7684918114909066E-2</c:v>
              </c:pt>
              <c:pt idx="24">
                <c:v>1.7559479931924228E-2</c:v>
              </c:pt>
              <c:pt idx="25">
                <c:v>1.7431581536076757E-2</c:v>
              </c:pt>
              <c:pt idx="26">
                <c:v>1.730122174682644E-2</c:v>
              </c:pt>
              <c:pt idx="27">
                <c:v>1.7168406038928632E-2</c:v>
              </c:pt>
              <c:pt idx="28">
                <c:v>1.7033147244730054E-2</c:v>
              </c:pt>
              <c:pt idx="29">
                <c:v>1.6895466290491552E-2</c:v>
              </c:pt>
              <c:pt idx="30">
                <c:v>1.6755392963085362E-2</c:v>
              </c:pt>
              <c:pt idx="31">
                <c:v>1.6612966702180775E-2</c:v>
              </c:pt>
              <c:pt idx="32">
                <c:v>1.6468237411641461E-2</c:v>
              </c:pt>
              <c:pt idx="33">
                <c:v>1.6321266282315831E-2</c:v>
              </c:pt>
              <c:pt idx="34">
                <c:v>1.6172126616717374E-2</c:v>
              </c:pt>
              <c:pt idx="35">
                <c:v>1.602090464428578E-2</c:v>
              </c:pt>
              <c:pt idx="36">
                <c:v>1.5867700314020336E-2</c:v>
              </c:pt>
              <c:pt idx="37">
                <c:v>1.5712628049326046E-2</c:v>
              </c:pt>
              <c:pt idx="38">
                <c:v>1.5555817447964507E-2</c:v>
              </c:pt>
              <c:pt idx="39">
                <c:v>1.5397413908124226E-2</c:v>
              </c:pt>
              <c:pt idx="40">
                <c:v>1.5237579159901987E-2</c:v>
              </c:pt>
              <c:pt idx="41">
                <c:v>1.5076491680015076E-2</c:v>
              </c:pt>
              <c:pt idx="42">
                <c:v>1.4914346966454389E-2</c:v>
              </c:pt>
              <c:pt idx="43">
                <c:v>1.4751357649160357E-2</c:v>
              </c:pt>
              <c:pt idx="44">
                <c:v>1.458775341278396E-2</c:v>
              </c:pt>
              <c:pt idx="45">
                <c:v>1.4423780708309812E-2</c:v>
              </c:pt>
              <c:pt idx="46">
                <c:v>1.4259702231886499E-2</c:v>
              </c:pt>
              <c:pt idx="47">
                <c:v>1.4095796151733538E-2</c:v>
              </c:pt>
              <c:pt idx="48">
                <c:v>1.3932355067550029E-2</c:v>
              </c:pt>
              <c:pt idx="49">
                <c:v>1.3769684691476037E-2</c:v>
              </c:pt>
              <c:pt idx="50">
                <c:v>1.3608102245343555E-2</c:v>
              </c:pt>
              <c:pt idx="51">
                <c:v>1.3447934575631624E-2</c:v>
              </c:pt>
              <c:pt idx="52">
                <c:v>1.3289515995076896E-2</c:v>
              </c:pt>
              <c:pt idx="53">
                <c:v>1.313318586808335E-2</c:v>
              </c:pt>
              <c:pt idx="54">
                <c:v>1.2979285965653065E-2</c:v>
              </c:pt>
              <c:pt idx="55">
                <c:v>1.2828157624189995E-2</c:v>
              </c:pt>
            </c:numLit>
          </c:yVal>
          <c:smooth val="1"/>
          <c:extLst>
            <c:ext xmlns:c16="http://schemas.microsoft.com/office/drawing/2014/chart" uri="{C3380CC4-5D6E-409C-BE32-E72D297353CC}">
              <c16:uniqueId val="{00000082-0C0A-40D2-B891-EA76E48108B0}"/>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56BA-44A1-9D5C-83997DB4DF62}"/>
            </c:ext>
          </c:extLst>
        </c:ser>
        <c:ser>
          <c:idx val="1"/>
          <c:order val="1"/>
          <c:spPr>
            <a:ln w="3175">
              <a:solidFill>
                <a:srgbClr val="000000"/>
              </a:solidFill>
              <a:prstDash val="solid"/>
            </a:ln>
          </c:spPr>
          <c:marker>
            <c:symbol val="none"/>
          </c:marker>
          <c:xVal>
            <c:numLit>
              <c:formatCode>General</c:formatCode>
              <c:ptCount val="2"/>
              <c:pt idx="0">
                <c:v>19.065942353411515</c:v>
              </c:pt>
              <c:pt idx="1">
                <c:v>18.66787537570767</c:v>
              </c:pt>
            </c:numLit>
          </c:xVal>
          <c:yVal>
            <c:numLit>
              <c:formatCode>General</c:formatCode>
              <c:ptCount val="2"/>
              <c:pt idx="0">
                <c:v>3.0559524052679921E-2</c:v>
              </c:pt>
              <c:pt idx="1">
                <c:v>3.0227471499139232E-2</c:v>
              </c:pt>
            </c:numLit>
          </c:yVal>
          <c:smooth val="0"/>
          <c:extLst>
            <c:ext xmlns:c16="http://schemas.microsoft.com/office/drawing/2014/chart" uri="{C3380CC4-5D6E-409C-BE32-E72D297353CC}">
              <c16:uniqueId val="{00000001-56BA-44A1-9D5C-83997DB4DF62}"/>
            </c:ext>
          </c:extLst>
        </c:ser>
        <c:ser>
          <c:idx val="2"/>
          <c:order val="2"/>
          <c:spPr>
            <a:ln w="3175">
              <a:solidFill>
                <a:srgbClr val="000000"/>
              </a:solidFill>
              <a:prstDash val="solid"/>
            </a:ln>
          </c:spPr>
          <c:marker>
            <c:symbol val="none"/>
          </c:marker>
          <c:xVal>
            <c:numLit>
              <c:formatCode>General</c:formatCode>
              <c:ptCount val="2"/>
              <c:pt idx="0">
                <c:v>18.790543749866966</c:v>
              </c:pt>
              <c:pt idx="1">
                <c:v>18.596258512800294</c:v>
              </c:pt>
            </c:numLit>
          </c:xVal>
          <c:yVal>
            <c:numLit>
              <c:formatCode>General</c:formatCode>
              <c:ptCount val="2"/>
              <c:pt idx="0">
                <c:v>3.0736362467444784E-2</c:v>
              </c:pt>
              <c:pt idx="1">
                <c:v>3.0567287252488837E-2</c:v>
              </c:pt>
            </c:numLit>
          </c:yVal>
          <c:smooth val="0"/>
          <c:extLst>
            <c:ext xmlns:c16="http://schemas.microsoft.com/office/drawing/2014/chart" uri="{C3380CC4-5D6E-409C-BE32-E72D297353CC}">
              <c16:uniqueId val="{00000002-56BA-44A1-9D5C-83997DB4DF62}"/>
            </c:ext>
          </c:extLst>
        </c:ser>
        <c:ser>
          <c:idx val="3"/>
          <c:order val="3"/>
          <c:spPr>
            <a:ln w="3175">
              <a:solidFill>
                <a:srgbClr val="000000"/>
              </a:solidFill>
              <a:prstDash val="solid"/>
            </a:ln>
          </c:spPr>
          <c:marker>
            <c:symbol val="none"/>
          </c:marker>
          <c:xVal>
            <c:numLit>
              <c:formatCode>General</c:formatCode>
              <c:ptCount val="2"/>
              <c:pt idx="0">
                <c:v>18.499745455246352</c:v>
              </c:pt>
              <c:pt idx="1">
                <c:v>18.121202508513718</c:v>
              </c:pt>
            </c:numLit>
          </c:xVal>
          <c:yVal>
            <c:numLit>
              <c:formatCode>General</c:formatCode>
              <c:ptCount val="2"/>
              <c:pt idx="0">
                <c:v>3.0915182575025162E-2</c:v>
              </c:pt>
              <c:pt idx="1">
                <c:v>3.0570865934507054E-2</c:v>
              </c:pt>
            </c:numLit>
          </c:yVal>
          <c:smooth val="0"/>
          <c:extLst>
            <c:ext xmlns:c16="http://schemas.microsoft.com/office/drawing/2014/chart" uri="{C3380CC4-5D6E-409C-BE32-E72D297353CC}">
              <c16:uniqueId val="{00000003-56BA-44A1-9D5C-83997DB4DF62}"/>
            </c:ext>
          </c:extLst>
        </c:ser>
        <c:ser>
          <c:idx val="4"/>
          <c:order val="4"/>
          <c:spPr>
            <a:ln w="3175">
              <a:solidFill>
                <a:srgbClr val="000000"/>
              </a:solidFill>
              <a:prstDash val="solid"/>
            </a:ln>
          </c:spPr>
          <c:marker>
            <c:symbol val="none"/>
          </c:marker>
          <c:xVal>
            <c:numLit>
              <c:formatCode>General</c:formatCode>
              <c:ptCount val="2"/>
              <c:pt idx="0">
                <c:v>18.192821137276322</c:v>
              </c:pt>
              <c:pt idx="1">
                <c:v>18.008841462495695</c:v>
              </c:pt>
            </c:numLit>
          </c:xVal>
          <c:yVal>
            <c:numLit>
              <c:formatCode>General</c:formatCode>
              <c:ptCount val="2"/>
              <c:pt idx="0">
                <c:v>3.1095573924337105E-2</c:v>
              </c:pt>
              <c:pt idx="1">
                <c:v>3.092030540840026E-2</c:v>
              </c:pt>
            </c:numLit>
          </c:yVal>
          <c:smooth val="0"/>
          <c:extLst>
            <c:ext xmlns:c16="http://schemas.microsoft.com/office/drawing/2014/chart" uri="{C3380CC4-5D6E-409C-BE32-E72D297353CC}">
              <c16:uniqueId val="{00000004-56BA-44A1-9D5C-83997DB4DF62}"/>
            </c:ext>
          </c:extLst>
        </c:ser>
        <c:ser>
          <c:idx val="5"/>
          <c:order val="5"/>
          <c:spPr>
            <a:ln w="3175">
              <a:solidFill>
                <a:srgbClr val="000000"/>
              </a:solidFill>
              <a:prstDash val="solid"/>
            </a:ln>
          </c:spPr>
          <c:marker>
            <c:symbol val="none"/>
          </c:marker>
          <c:xVal>
            <c:numLit>
              <c:formatCode>General</c:formatCode>
              <c:ptCount val="2"/>
              <c:pt idx="0">
                <c:v>17.869058802111013</c:v>
              </c:pt>
              <c:pt idx="1">
                <c:v>17.512263671003737</c:v>
              </c:pt>
            </c:numLit>
          </c:xVal>
          <c:yVal>
            <c:numLit>
              <c:formatCode>General</c:formatCode>
              <c:ptCount val="2"/>
              <c:pt idx="0">
                <c:v>3.1277058802111013E-2</c:v>
              </c:pt>
              <c:pt idx="1">
                <c:v>3.0920263671003735E-2</c:v>
              </c:pt>
            </c:numLit>
          </c:yVal>
          <c:smooth val="0"/>
          <c:extLst>
            <c:ext xmlns:c16="http://schemas.microsoft.com/office/drawing/2014/chart" uri="{C3380CC4-5D6E-409C-BE32-E72D297353CC}">
              <c16:uniqueId val="{00000005-56BA-44A1-9D5C-83997DB4DF62}"/>
            </c:ext>
          </c:extLst>
        </c:ser>
        <c:ser>
          <c:idx val="6"/>
          <c:order val="6"/>
          <c:spPr>
            <a:ln w="3175">
              <a:solidFill>
                <a:srgbClr val="000000"/>
              </a:solidFill>
              <a:prstDash val="solid"/>
            </a:ln>
          </c:spPr>
          <c:marker>
            <c:symbol val="none"/>
          </c:marker>
          <c:xVal>
            <c:numLit>
              <c:formatCode>General</c:formatCode>
              <c:ptCount val="2"/>
              <c:pt idx="0">
                <c:v>17.527772872567621</c:v>
              </c:pt>
              <c:pt idx="1">
                <c:v>17.355259547178523</c:v>
              </c:pt>
            </c:numLit>
          </c:xVal>
          <c:yVal>
            <c:numLit>
              <c:formatCode>General</c:formatCode>
              <c:ptCount val="2"/>
              <c:pt idx="0">
                <c:v>3.145908735335045E-2</c:v>
              </c:pt>
              <c:pt idx="1">
                <c:v>3.1277551364499577E-2</c:v>
              </c:pt>
            </c:numLit>
          </c:yVal>
          <c:smooth val="0"/>
          <c:extLst>
            <c:ext xmlns:c16="http://schemas.microsoft.com/office/drawing/2014/chart" uri="{C3380CC4-5D6E-409C-BE32-E72D297353CC}">
              <c16:uniqueId val="{00000006-56BA-44A1-9D5C-83997DB4DF62}"/>
            </c:ext>
          </c:extLst>
        </c:ser>
        <c:ser>
          <c:idx val="7"/>
          <c:order val="7"/>
          <c:spPr>
            <a:ln w="3175">
              <a:solidFill>
                <a:srgbClr val="000000"/>
              </a:solidFill>
              <a:prstDash val="solid"/>
            </a:ln>
          </c:spPr>
          <c:marker>
            <c:symbol val="none"/>
          </c:marker>
          <c:xVal>
            <c:numLit>
              <c:formatCode>General</c:formatCode>
              <c:ptCount val="2"/>
              <c:pt idx="0">
                <c:v>17.168318281619168</c:v>
              </c:pt>
              <c:pt idx="1">
                <c:v>16.83568661673575</c:v>
              </c:pt>
            </c:numLit>
          </c:xVal>
          <c:yVal>
            <c:numLit>
              <c:formatCode>General</c:formatCode>
              <c:ptCount val="2"/>
              <c:pt idx="0">
                <c:v>3.1641033323740492E-2</c:v>
              </c:pt>
              <c:pt idx="1">
                <c:v>3.1271687347059783E-2</c:v>
              </c:pt>
            </c:numLit>
          </c:yVal>
          <c:smooth val="0"/>
          <c:extLst>
            <c:ext xmlns:c16="http://schemas.microsoft.com/office/drawing/2014/chart" uri="{C3380CC4-5D6E-409C-BE32-E72D297353CC}">
              <c16:uniqueId val="{00000007-56BA-44A1-9D5C-83997DB4DF62}"/>
            </c:ext>
          </c:extLst>
        </c:ser>
        <c:ser>
          <c:idx val="8"/>
          <c:order val="8"/>
          <c:spPr>
            <a:ln w="3175">
              <a:solidFill>
                <a:srgbClr val="000000"/>
              </a:solidFill>
              <a:prstDash val="solid"/>
            </a:ln>
          </c:spPr>
          <c:marker>
            <c:symbol val="none"/>
          </c:marker>
          <c:xVal>
            <c:numLit>
              <c:formatCode>General</c:formatCode>
              <c:ptCount val="2"/>
              <c:pt idx="0">
                <c:v>16.790106626063352</c:v>
              </c:pt>
              <c:pt idx="1">
                <c:v>16.630311684234673</c:v>
              </c:pt>
            </c:numLit>
          </c:xVal>
          <c:yVal>
            <c:numLit>
              <c:formatCode>General</c:formatCode>
              <c:ptCount val="2"/>
              <c:pt idx="0">
                <c:v>3.1822190731097821E-2</c:v>
              </c:pt>
              <c:pt idx="1">
                <c:v>3.1634394339182338E-2</c:v>
              </c:pt>
            </c:numLit>
          </c:yVal>
          <c:smooth val="0"/>
          <c:extLst>
            <c:ext xmlns:c16="http://schemas.microsoft.com/office/drawing/2014/chart" uri="{C3380CC4-5D6E-409C-BE32-E72D297353CC}">
              <c16:uniqueId val="{00000008-56BA-44A1-9D5C-83997DB4DF62}"/>
            </c:ext>
          </c:extLst>
        </c:ser>
        <c:ser>
          <c:idx val="9"/>
          <c:order val="9"/>
          <c:spPr>
            <a:ln w="3175">
              <a:solidFill>
                <a:srgbClr val="000000"/>
              </a:solidFill>
              <a:prstDash val="solid"/>
            </a:ln>
          </c:spPr>
          <c:marker>
            <c:symbol val="none"/>
          </c:marker>
          <c:xVal>
            <c:numLit>
              <c:formatCode>General</c:formatCode>
              <c:ptCount val="2"/>
              <c:pt idx="0">
                <c:v>16.392624340635372</c:v>
              </c:pt>
              <c:pt idx="1">
                <c:v>16.086740742682426</c:v>
              </c:pt>
            </c:numLit>
          </c:xVal>
          <c:yVal>
            <c:numLit>
              <c:formatCode>General</c:formatCode>
              <c:ptCount val="2"/>
              <c:pt idx="0">
                <c:v>3.2001771819701222E-2</c:v>
              </c:pt>
              <c:pt idx="1">
                <c:v>3.1619986584539107E-2</c:v>
              </c:pt>
            </c:numLit>
          </c:yVal>
          <c:smooth val="0"/>
          <c:extLst>
            <c:ext xmlns:c16="http://schemas.microsoft.com/office/drawing/2014/chart" uri="{C3380CC4-5D6E-409C-BE32-E72D297353CC}">
              <c16:uniqueId val="{00000009-56BA-44A1-9D5C-83997DB4DF62}"/>
            </c:ext>
          </c:extLst>
        </c:ser>
        <c:ser>
          <c:idx val="10"/>
          <c:order val="10"/>
          <c:spPr>
            <a:ln w="3175">
              <a:solidFill>
                <a:srgbClr val="000000"/>
              </a:solidFill>
              <a:prstDash val="solid"/>
            </a:ln>
          </c:spPr>
          <c:marker>
            <c:symbol val="none"/>
          </c:marker>
          <c:xVal>
            <c:numLit>
              <c:formatCode>General</c:formatCode>
              <c:ptCount val="2"/>
              <c:pt idx="0">
                <c:v>15.9754527418382</c:v>
              </c:pt>
              <c:pt idx="1">
                <c:v>15.829703556634092</c:v>
              </c:pt>
            </c:numLit>
          </c:xVal>
          <c:yVal>
            <c:numLit>
              <c:formatCode>General</c:formatCode>
              <c:ptCount val="2"/>
              <c:pt idx="0">
                <c:v>3.2178906690858773E-2</c:v>
              </c:pt>
              <c:pt idx="1">
                <c:v>3.1984960023775003E-2</c:v>
              </c:pt>
            </c:numLit>
          </c:yVal>
          <c:smooth val="0"/>
          <c:extLst>
            <c:ext xmlns:c16="http://schemas.microsoft.com/office/drawing/2014/chart" uri="{C3380CC4-5D6E-409C-BE32-E72D297353CC}">
              <c16:uniqueId val="{0000000A-56BA-44A1-9D5C-83997DB4DF62}"/>
            </c:ext>
          </c:extLst>
        </c:ser>
        <c:ser>
          <c:idx val="11"/>
          <c:order val="11"/>
          <c:spPr>
            <a:ln w="3175">
              <a:solidFill>
                <a:srgbClr val="000000"/>
              </a:solidFill>
              <a:prstDash val="solid"/>
            </a:ln>
          </c:spPr>
          <c:marker>
            <c:symbol val="none"/>
          </c:marker>
          <c:xVal>
            <c:numLit>
              <c:formatCode>General</c:formatCode>
              <c:ptCount val="2"/>
              <c:pt idx="0">
                <c:v>15.538289652700842</c:v>
              </c:pt>
              <c:pt idx="1">
                <c:v>15.261865871573226</c:v>
              </c:pt>
            </c:numLit>
          </c:xVal>
          <c:yVal>
            <c:numLit>
              <c:formatCode>General</c:formatCode>
              <c:ptCount val="2"/>
              <c:pt idx="0">
                <c:v>3.2352645029202619E-2</c:v>
              </c:pt>
              <c:pt idx="1">
                <c:v>3.1958760717850802E-2</c:v>
              </c:pt>
            </c:numLit>
          </c:yVal>
          <c:smooth val="0"/>
          <c:extLst>
            <c:ext xmlns:c16="http://schemas.microsoft.com/office/drawing/2014/chart" uri="{C3380CC4-5D6E-409C-BE32-E72D297353CC}">
              <c16:uniqueId val="{0000000B-56BA-44A1-9D5C-83997DB4DF62}"/>
            </c:ext>
          </c:extLst>
        </c:ser>
        <c:ser>
          <c:idx val="12"/>
          <c:order val="12"/>
          <c:spPr>
            <a:ln w="3175">
              <a:solidFill>
                <a:srgbClr val="000000"/>
              </a:solidFill>
              <a:prstDash val="solid"/>
            </a:ln>
          </c:spPr>
          <c:marker>
            <c:symbol val="none"/>
          </c:marker>
          <c:xVal>
            <c:numLit>
              <c:formatCode>General</c:formatCode>
              <c:ptCount val="2"/>
              <c:pt idx="0">
                <c:v>15.08097215642557</c:v>
              </c:pt>
              <c:pt idx="1">
                <c:v>14.950645050280301</c:v>
              </c:pt>
            </c:numLit>
          </c:xVal>
          <c:yVal>
            <c:numLit>
              <c:formatCode>General</c:formatCode>
              <c:ptCount val="2"/>
              <c:pt idx="0">
                <c:v>3.2521960349640437E-2</c:v>
              </c:pt>
              <c:pt idx="1">
                <c:v>3.2322098964301806E-2</c:v>
              </c:pt>
            </c:numLit>
          </c:yVal>
          <c:smooth val="0"/>
          <c:extLst>
            <c:ext xmlns:c16="http://schemas.microsoft.com/office/drawing/2014/chart" uri="{C3380CC4-5D6E-409C-BE32-E72D297353CC}">
              <c16:uniqueId val="{0000000C-56BA-44A1-9D5C-83997DB4DF62}"/>
            </c:ext>
          </c:extLst>
        </c:ser>
        <c:ser>
          <c:idx val="13"/>
          <c:order val="13"/>
          <c:spPr>
            <a:ln w="3175">
              <a:solidFill>
                <a:srgbClr val="000000"/>
              </a:solidFill>
              <a:prstDash val="solid"/>
            </a:ln>
          </c:spPr>
          <c:marker>
            <c:symbol val="none"/>
          </c:marker>
          <c:xVal>
            <c:numLit>
              <c:formatCode>General</c:formatCode>
              <c:ptCount val="2"/>
              <c:pt idx="0">
                <c:v>14.603499843901423</c:v>
              </c:pt>
              <c:pt idx="1">
                <c:v>14.359310194111718</c:v>
              </c:pt>
            </c:numLit>
          </c:xVal>
          <c:yVal>
            <c:numLit>
              <c:formatCode>General</c:formatCode>
              <c:ptCount val="2"/>
              <c:pt idx="0">
                <c:v>3.2685757166608632E-2</c:v>
              </c:pt>
              <c:pt idx="1">
                <c:v>3.2280386229829018E-2</c:v>
              </c:pt>
            </c:numLit>
          </c:yVal>
          <c:smooth val="0"/>
          <c:extLst>
            <c:ext xmlns:c16="http://schemas.microsoft.com/office/drawing/2014/chart" uri="{C3380CC4-5D6E-409C-BE32-E72D297353CC}">
              <c16:uniqueId val="{0000000D-56BA-44A1-9D5C-83997DB4DF62}"/>
            </c:ext>
          </c:extLst>
        </c:ser>
        <c:ser>
          <c:idx val="14"/>
          <c:order val="14"/>
          <c:spPr>
            <a:ln w="3175">
              <a:solidFill>
                <a:srgbClr val="000000"/>
              </a:solidFill>
              <a:prstDash val="solid"/>
            </a:ln>
          </c:spPr>
          <c:marker>
            <c:symbol val="none"/>
          </c:marker>
          <c:xVal>
            <c:numLit>
              <c:formatCode>General</c:formatCode>
              <c:ptCount val="2"/>
              <c:pt idx="0">
                <c:v>14.106057727229052</c:v>
              </c:pt>
              <c:pt idx="1">
                <c:v>13.992539490552689</c:v>
              </c:pt>
            </c:numLit>
          </c:xVal>
          <c:yVal>
            <c:numLit>
              <c:formatCode>General</c:formatCode>
              <c:ptCount val="2"/>
              <c:pt idx="0">
                <c:v>3.2842881427324513E-2</c:v>
              </c:pt>
              <c:pt idx="1">
                <c:v>3.2637486919956847E-2</c:v>
              </c:pt>
            </c:numLit>
          </c:yVal>
          <c:smooth val="0"/>
          <c:extLst>
            <c:ext xmlns:c16="http://schemas.microsoft.com/office/drawing/2014/chart" uri="{C3380CC4-5D6E-409C-BE32-E72D297353CC}">
              <c16:uniqueId val="{0000000E-56BA-44A1-9D5C-83997DB4DF62}"/>
            </c:ext>
          </c:extLst>
        </c:ser>
        <c:ser>
          <c:idx val="15"/>
          <c:order val="15"/>
          <c:spPr>
            <a:ln w="3175">
              <a:solidFill>
                <a:srgbClr val="000000"/>
              </a:solidFill>
              <a:prstDash val="solid"/>
            </a:ln>
          </c:spPr>
          <c:marker>
            <c:symbol val="none"/>
          </c:marker>
          <c:xVal>
            <c:numLit>
              <c:formatCode>General</c:formatCode>
              <c:ptCount val="2"/>
              <c:pt idx="0">
                <c:v>13.589037803579986</c:v>
              </c:pt>
              <c:pt idx="1">
                <c:v>13.379829603456537</c:v>
              </c:pt>
            </c:numLit>
          </c:xVal>
          <c:yVal>
            <c:numLit>
              <c:formatCode>General</c:formatCode>
              <c:ptCount val="2"/>
              <c:pt idx="0">
                <c:v>3.2992134447433728E-2</c:v>
              </c:pt>
              <c:pt idx="1">
                <c:v>3.2576198776832564E-2</c:v>
              </c:pt>
            </c:numLit>
          </c:yVal>
          <c:smooth val="0"/>
          <c:extLst>
            <c:ext xmlns:c16="http://schemas.microsoft.com/office/drawing/2014/chart" uri="{C3380CC4-5D6E-409C-BE32-E72D297353CC}">
              <c16:uniqueId val="{0000000F-56BA-44A1-9D5C-83997DB4DF62}"/>
            </c:ext>
          </c:extLst>
        </c:ser>
        <c:ser>
          <c:idx val="16"/>
          <c:order val="16"/>
          <c:spPr>
            <a:ln w="3175">
              <a:solidFill>
                <a:srgbClr val="000000"/>
              </a:solidFill>
              <a:prstDash val="solid"/>
            </a:ln>
          </c:spPr>
          <c:marker>
            <c:symbol val="none"/>
          </c:marker>
          <c:xVal>
            <c:numLit>
              <c:formatCode>General</c:formatCode>
              <c:ptCount val="2"/>
              <c:pt idx="0">
                <c:v>13.053058090665036</c:v>
              </c:pt>
              <c:pt idx="1">
                <c:v>12.957695020136329</c:v>
              </c:pt>
            </c:numLit>
          </c:xVal>
          <c:yVal>
            <c:numLit>
              <c:formatCode>General</c:formatCode>
              <c:ptCount val="2"/>
              <c:pt idx="0">
                <c:v>3.3132290436861909E-2</c:v>
              </c:pt>
              <c:pt idx="1">
                <c:v>3.2921906118984975E-2</c:v>
              </c:pt>
            </c:numLit>
          </c:yVal>
          <c:smooth val="0"/>
          <c:extLst>
            <c:ext xmlns:c16="http://schemas.microsoft.com/office/drawing/2014/chart" uri="{C3380CC4-5D6E-409C-BE32-E72D297353CC}">
              <c16:uniqueId val="{00000010-56BA-44A1-9D5C-83997DB4DF62}"/>
            </c:ext>
          </c:extLst>
        </c:ser>
        <c:ser>
          <c:idx val="17"/>
          <c:order val="17"/>
          <c:spPr>
            <a:ln w="3175">
              <a:solidFill>
                <a:srgbClr val="000000"/>
              </a:solidFill>
              <a:prstDash val="solid"/>
            </a:ln>
          </c:spPr>
          <c:marker>
            <c:symbol val="none"/>
          </c:marker>
          <c:xVal>
            <c:numLit>
              <c:formatCode>General</c:formatCode>
              <c:ptCount val="2"/>
              <c:pt idx="0">
                <c:v>12.498977840522226</c:v>
              </c:pt>
              <c:pt idx="1">
                <c:v>12.327357914986976</c:v>
              </c:pt>
            </c:numLit>
          </c:xVal>
          <c:yVal>
            <c:numLit>
              <c:formatCode>General</c:formatCode>
              <c:ptCount val="2"/>
              <c:pt idx="0">
                <c:v>3.3262117506318627E-2</c:v>
              </c:pt>
              <c:pt idx="1">
                <c:v>3.2836872075066262E-2</c:v>
              </c:pt>
            </c:numLit>
          </c:yVal>
          <c:smooth val="0"/>
          <c:extLst>
            <c:ext xmlns:c16="http://schemas.microsoft.com/office/drawing/2014/chart" uri="{C3380CC4-5D6E-409C-BE32-E72D297353CC}">
              <c16:uniqueId val="{00000011-56BA-44A1-9D5C-83997DB4DF62}"/>
            </c:ext>
          </c:extLst>
        </c:ser>
        <c:ser>
          <c:idx val="18"/>
          <c:order val="18"/>
          <c:spPr>
            <a:ln w="3175">
              <a:solidFill>
                <a:srgbClr val="000000"/>
              </a:solidFill>
              <a:prstDash val="solid"/>
            </a:ln>
          </c:spPr>
          <c:marker>
            <c:symbol val="none"/>
          </c:marker>
          <c:xVal>
            <c:numLit>
              <c:formatCode>General</c:formatCode>
              <c:ptCount val="2"/>
              <c:pt idx="0">
                <c:v>11.927907597824111</c:v>
              </c:pt>
              <c:pt idx="1">
                <c:v>11.851943673723694</c:v>
              </c:pt>
            </c:numLit>
          </c:xVal>
          <c:yVal>
            <c:numLit>
              <c:formatCode>General</c:formatCode>
              <c:ptCount val="2"/>
              <c:pt idx="0">
                <c:v>3.3380401807334426E-2</c:v>
              </c:pt>
              <c:pt idx="1">
                <c:v>3.3165739707207965E-2</c:v>
              </c:pt>
            </c:numLit>
          </c:yVal>
          <c:smooth val="0"/>
          <c:extLst>
            <c:ext xmlns:c16="http://schemas.microsoft.com/office/drawing/2014/chart" uri="{C3380CC4-5D6E-409C-BE32-E72D297353CC}">
              <c16:uniqueId val="{00000012-56BA-44A1-9D5C-83997DB4DF62}"/>
            </c:ext>
          </c:extLst>
        </c:ser>
        <c:ser>
          <c:idx val="19"/>
          <c:order val="19"/>
          <c:spPr>
            <a:ln w="3175">
              <a:solidFill>
                <a:srgbClr val="000000"/>
              </a:solidFill>
              <a:prstDash val="solid"/>
            </a:ln>
          </c:spPr>
          <c:marker>
            <c:symbol val="none"/>
          </c:marker>
          <c:xVal>
            <c:numLit>
              <c:formatCode>General</c:formatCode>
              <c:ptCount val="2"/>
              <c:pt idx="0">
                <c:v>11.341212826619152</c:v>
              </c:pt>
              <c:pt idx="1">
                <c:v>11.209515832597802</c:v>
              </c:pt>
            </c:numLit>
          </c:xVal>
          <c:yVal>
            <c:numLit>
              <c:formatCode>General</c:formatCode>
              <c:ptCount val="2"/>
              <c:pt idx="0">
                <c:v>3.348597419470218E-2</c:v>
              </c:pt>
              <c:pt idx="1">
                <c:v>3.3053009567298661E-2</c:v>
              </c:pt>
            </c:numLit>
          </c:yVal>
          <c:smooth val="0"/>
          <c:extLst>
            <c:ext xmlns:c16="http://schemas.microsoft.com/office/drawing/2014/chart" uri="{C3380CC4-5D6E-409C-BE32-E72D297353CC}">
              <c16:uniqueId val="{00000013-56BA-44A1-9D5C-83997DB4DF62}"/>
            </c:ext>
          </c:extLst>
        </c:ser>
        <c:ser>
          <c:idx val="20"/>
          <c:order val="20"/>
          <c:spPr>
            <a:ln w="3175">
              <a:solidFill>
                <a:srgbClr val="000000"/>
              </a:solidFill>
              <a:prstDash val="solid"/>
            </a:ln>
          </c:spPr>
          <c:marker>
            <c:symbol val="none"/>
          </c:marker>
          <c:xVal>
            <c:numLit>
              <c:formatCode>General</c:formatCode>
              <c:ptCount val="2"/>
              <c:pt idx="0">
                <c:v>10.740510003894533</c:v>
              </c:pt>
              <c:pt idx="1">
                <c:v>10.685018452103247</c:v>
              </c:pt>
            </c:numLit>
          </c:xVal>
          <c:yVal>
            <c:numLit>
              <c:formatCode>General</c:formatCode>
              <c:ptCount val="2"/>
              <c:pt idx="0">
                <c:v>3.3577738530929296E-2</c:v>
              </c:pt>
              <c:pt idx="1">
                <c:v>3.3359674073499483E-2</c:v>
              </c:pt>
            </c:numLit>
          </c:yVal>
          <c:smooth val="0"/>
          <c:extLst>
            <c:ext xmlns:c16="http://schemas.microsoft.com/office/drawing/2014/chart" uri="{C3380CC4-5D6E-409C-BE32-E72D297353CC}">
              <c16:uniqueId val="{00000014-56BA-44A1-9D5C-83997DB4DF62}"/>
            </c:ext>
          </c:extLst>
        </c:ser>
        <c:ser>
          <c:idx val="21"/>
          <c:order val="21"/>
          <c:spPr>
            <a:ln w="3175">
              <a:solidFill>
                <a:srgbClr val="000000"/>
              </a:solidFill>
              <a:prstDash val="solid"/>
            </a:ln>
          </c:spPr>
          <c:marker>
            <c:symbol val="none"/>
          </c:marker>
          <c:xVal>
            <c:numLit>
              <c:formatCode>General</c:formatCode>
              <c:ptCount val="2"/>
              <c:pt idx="0">
                <c:v>10.127654377823859</c:v>
              </c:pt>
              <c:pt idx="1">
                <c:v>10.037804226864415</c:v>
              </c:pt>
            </c:numLit>
          </c:xVal>
          <c:yVal>
            <c:numLit>
              <c:formatCode>General</c:formatCode>
              <c:ptCount val="2"/>
              <c:pt idx="0">
                <c:v>3.3654700505295149E-2</c:v>
              </c:pt>
              <c:pt idx="1">
                <c:v>3.3215917729250491E-2</c:v>
              </c:pt>
            </c:numLit>
          </c:yVal>
          <c:smooth val="0"/>
          <c:extLst>
            <c:ext xmlns:c16="http://schemas.microsoft.com/office/drawing/2014/chart" uri="{C3380CC4-5D6E-409C-BE32-E72D297353CC}">
              <c16:uniqueId val="{00000015-56BA-44A1-9D5C-83997DB4DF62}"/>
            </c:ext>
          </c:extLst>
        </c:ser>
        <c:ser>
          <c:idx val="22"/>
          <c:order val="22"/>
          <c:spPr>
            <a:ln w="3175">
              <a:solidFill>
                <a:srgbClr val="000000"/>
              </a:solidFill>
              <a:prstDash val="solid"/>
            </a:ln>
          </c:spPr>
          <c:marker>
            <c:symbol val="none"/>
          </c:marker>
          <c:xVal>
            <c:numLit>
              <c:formatCode>General</c:formatCode>
              <c:ptCount val="2"/>
              <c:pt idx="0">
                <c:v>9.5047190068155949</c:v>
              </c:pt>
              <c:pt idx="1">
                <c:v>9.4705341963532561</c:v>
              </c:pt>
            </c:numLit>
          </c:xVal>
          <c:yVal>
            <c:numLit>
              <c:formatCode>General</c:formatCode>
              <c:ptCount val="2"/>
              <c:pt idx="0">
                <c:v>3.3715995646515944E-2</c:v>
              </c:pt>
              <c:pt idx="1">
                <c:v>3.3495547445713945E-2</c:v>
              </c:pt>
            </c:numLit>
          </c:yVal>
          <c:smooth val="0"/>
          <c:extLst>
            <c:ext xmlns:c16="http://schemas.microsoft.com/office/drawing/2014/chart" uri="{C3380CC4-5D6E-409C-BE32-E72D297353CC}">
              <c16:uniqueId val="{00000016-56BA-44A1-9D5C-83997DB4DF62}"/>
            </c:ext>
          </c:extLst>
        </c:ser>
        <c:ser>
          <c:idx val="23"/>
          <c:order val="23"/>
          <c:spPr>
            <a:ln w="3175">
              <a:solidFill>
                <a:srgbClr val="000000"/>
              </a:solidFill>
              <a:prstDash val="solid"/>
            </a:ln>
          </c:spPr>
          <c:marker>
            <c:symbol val="none"/>
          </c:marker>
          <c:xVal>
            <c:numLit>
              <c:formatCode>General</c:formatCode>
              <c:ptCount val="2"/>
              <c:pt idx="0">
                <c:v>8.8739652091894179</c:v>
              </c:pt>
              <c:pt idx="1">
                <c:v>8.8273457192173677</c:v>
              </c:pt>
            </c:numLit>
          </c:xVal>
          <c:yVal>
            <c:numLit>
              <c:formatCode>General</c:formatCode>
              <c:ptCount val="2"/>
              <c:pt idx="0">
                <c:v>3.3760915098533552E-2</c:v>
              </c:pt>
              <c:pt idx="1">
                <c:v>3.3318469750308249E-2</c:v>
              </c:pt>
            </c:numLit>
          </c:yVal>
          <c:smooth val="0"/>
          <c:extLst>
            <c:ext xmlns:c16="http://schemas.microsoft.com/office/drawing/2014/chart" uri="{C3380CC4-5D6E-409C-BE32-E72D297353CC}">
              <c16:uniqueId val="{00000017-56BA-44A1-9D5C-83997DB4DF62}"/>
            </c:ext>
          </c:extLst>
        </c:ser>
        <c:ser>
          <c:idx val="24"/>
          <c:order val="24"/>
          <c:spPr>
            <a:ln w="3175">
              <a:solidFill>
                <a:srgbClr val="000000"/>
              </a:solidFill>
              <a:prstDash val="solid"/>
            </a:ln>
          </c:spPr>
          <c:marker>
            <c:symbol val="none"/>
          </c:marker>
          <c:xVal>
            <c:numLit>
              <c:formatCode>General</c:formatCode>
              <c:ptCount val="2"/>
              <c:pt idx="0">
                <c:v>8.2378051220730821</c:v>
              </c:pt>
              <c:pt idx="1">
                <c:v>8.225463654451131</c:v>
              </c:pt>
            </c:numLit>
          </c:xVal>
          <c:yVal>
            <c:numLit>
              <c:formatCode>General</c:formatCode>
              <c:ptCount val="2"/>
              <c:pt idx="0">
                <c:v>3.378892772867001E-2</c:v>
              </c:pt>
              <c:pt idx="1">
                <c:v>3.3567222078175703E-2</c:v>
              </c:pt>
            </c:numLit>
          </c:yVal>
          <c:smooth val="0"/>
          <c:extLst>
            <c:ext xmlns:c16="http://schemas.microsoft.com/office/drawing/2014/chart" uri="{C3380CC4-5D6E-409C-BE32-E72D297353CC}">
              <c16:uniqueId val="{00000018-56BA-44A1-9D5C-83997DB4DF62}"/>
            </c:ext>
          </c:extLst>
        </c:ser>
        <c:ser>
          <c:idx val="25"/>
          <c:order val="25"/>
          <c:spPr>
            <a:ln w="3175">
              <a:solidFill>
                <a:srgbClr val="000000"/>
              </a:solidFill>
              <a:prstDash val="solid"/>
            </a:ln>
          </c:spPr>
          <c:marker>
            <c:symbol val="none"/>
          </c:marker>
          <c:xVal>
            <c:numLit>
              <c:formatCode>General</c:formatCode>
              <c:ptCount val="2"/>
              <c:pt idx="0">
                <c:v>7.5987576377376911</c:v>
              </c:pt>
              <c:pt idx="1">
                <c:v>7.5961108226432881</c:v>
              </c:pt>
            </c:numLit>
          </c:xVal>
          <c:yVal>
            <c:numLit>
              <c:formatCode>General</c:formatCode>
              <c:ptCount val="2"/>
              <c:pt idx="0">
                <c:v>3.3799697260686282E-2</c:v>
              </c:pt>
              <c:pt idx="1">
                <c:v>3.3355914596524684E-2</c:v>
              </c:pt>
            </c:numLit>
          </c:yVal>
          <c:smooth val="0"/>
          <c:extLst>
            <c:ext xmlns:c16="http://schemas.microsoft.com/office/drawing/2014/chart" uri="{C3380CC4-5D6E-409C-BE32-E72D297353CC}">
              <c16:uniqueId val="{00000019-56BA-44A1-9D5C-83997DB4DF62}"/>
            </c:ext>
          </c:extLst>
        </c:ser>
        <c:ser>
          <c:idx val="26"/>
          <c:order val="26"/>
          <c:spPr>
            <a:ln w="3175">
              <a:solidFill>
                <a:srgbClr val="000000"/>
              </a:solidFill>
              <a:prstDash val="solid"/>
            </a:ln>
          </c:spPr>
          <c:marker>
            <c:symbol val="none"/>
          </c:marker>
          <c:xVal>
            <c:numLit>
              <c:formatCode>General</c:formatCode>
              <c:ptCount val="2"/>
              <c:pt idx="0">
                <c:v>6.9593994946761999</c:v>
              </c:pt>
              <c:pt idx="1">
                <c:v>6.9690995033886791</c:v>
              </c:pt>
            </c:numLit>
          </c:xVal>
          <c:yVal>
            <c:numLit>
              <c:formatCode>General</c:formatCode>
              <c:ptCount val="2"/>
              <c:pt idx="0">
                <c:v>3.3793093371721462E-2</c:v>
              </c:pt>
              <c:pt idx="1">
                <c:v>3.3571315899795236E-2</c:v>
              </c:pt>
            </c:numLit>
          </c:yVal>
          <c:smooth val="0"/>
          <c:extLst>
            <c:ext xmlns:c16="http://schemas.microsoft.com/office/drawing/2014/chart" uri="{C3380CC4-5D6E-409C-BE32-E72D297353CC}">
              <c16:uniqueId val="{0000001A-56BA-44A1-9D5C-83997DB4DF62}"/>
            </c:ext>
          </c:extLst>
        </c:ser>
        <c:ser>
          <c:idx val="27"/>
          <c:order val="27"/>
          <c:spPr>
            <a:ln w="3175">
              <a:solidFill>
                <a:srgbClr val="000000"/>
              </a:solidFill>
              <a:prstDash val="solid"/>
            </a:ln>
          </c:spPr>
          <c:marker>
            <c:symbol val="none"/>
          </c:marker>
          <c:xVal>
            <c:numLit>
              <c:formatCode>General</c:formatCode>
              <c:ptCount val="2"/>
              <c:pt idx="0">
                <c:v>6.3223136896666619</c:v>
              </c:pt>
              <c:pt idx="1">
                <c:v>6.363682183126433</c:v>
              </c:pt>
            </c:numLit>
          </c:xVal>
          <c:yVal>
            <c:numLit>
              <c:formatCode>General</c:formatCode>
              <c:ptCount val="2"/>
              <c:pt idx="0">
                <c:v>3.3769196044631293E-2</c:v>
              </c:pt>
              <c:pt idx="1">
                <c:v>3.3326465146540557E-2</c:v>
              </c:pt>
            </c:numLit>
          </c:yVal>
          <c:smooth val="0"/>
          <c:extLst>
            <c:ext xmlns:c16="http://schemas.microsoft.com/office/drawing/2014/chart" uri="{C3380CC4-5D6E-409C-BE32-E72D297353CC}">
              <c16:uniqueId val="{0000001B-56BA-44A1-9D5C-83997DB4DF62}"/>
            </c:ext>
          </c:extLst>
        </c:ser>
        <c:ser>
          <c:idx val="28"/>
          <c:order val="28"/>
          <c:spPr>
            <a:ln w="3175">
              <a:solidFill>
                <a:srgbClr val="000000"/>
              </a:solidFill>
              <a:prstDash val="solid"/>
            </a:ln>
          </c:spPr>
          <c:marker>
            <c:symbol val="none"/>
          </c:marker>
          <c:xVal>
            <c:numLit>
              <c:formatCode>General</c:formatCode>
              <c:ptCount val="2"/>
              <c:pt idx="0">
                <c:v>5.690037597761866</c:v>
              </c:pt>
              <c:pt idx="1">
                <c:v>5.7216231564211437</c:v>
              </c:pt>
            </c:numLit>
          </c:xVal>
          <c:yVal>
            <c:numLit>
              <c:formatCode>General</c:formatCode>
              <c:ptCount val="2"/>
              <c:pt idx="0">
                <c:v>3.3728292893413635E-2</c:v>
              </c:pt>
              <c:pt idx="1">
                <c:v>3.3507632671113403E-2</c:v>
              </c:pt>
            </c:numLit>
          </c:yVal>
          <c:smooth val="0"/>
          <c:extLst>
            <c:ext xmlns:c16="http://schemas.microsoft.com/office/drawing/2014/chart" uri="{C3380CC4-5D6E-409C-BE32-E72D297353CC}">
              <c16:uniqueId val="{0000001C-56BA-44A1-9D5C-83997DB4DF62}"/>
            </c:ext>
          </c:extLst>
        </c:ser>
        <c:ser>
          <c:idx val="29"/>
          <c:order val="29"/>
          <c:spPr>
            <a:ln w="3175">
              <a:solidFill>
                <a:srgbClr val="000000"/>
              </a:solidFill>
              <a:prstDash val="solid"/>
            </a:ln>
          </c:spPr>
          <c:marker>
            <c:symbol val="none"/>
          </c:marker>
          <c:xVal>
            <c:numLit>
              <c:formatCode>General</c:formatCode>
              <c:ptCount val="2"/>
              <c:pt idx="0">
                <c:v>5.0650132114445139</c:v>
              </c:pt>
              <c:pt idx="1">
                <c:v>5.1497368938084964</c:v>
              </c:pt>
            </c:numLit>
          </c:xVal>
          <c:yVal>
            <c:numLit>
              <c:formatCode>General</c:formatCode>
              <c:ptCount val="2"/>
              <c:pt idx="0">
                <c:v>3.3670869635499083E-2</c:v>
              </c:pt>
              <c:pt idx="1">
                <c:v>3.3231529303240491E-2</c:v>
              </c:pt>
            </c:numLit>
          </c:yVal>
          <c:smooth val="0"/>
          <c:extLst>
            <c:ext xmlns:c16="http://schemas.microsoft.com/office/drawing/2014/chart" uri="{C3380CC4-5D6E-409C-BE32-E72D297353CC}">
              <c16:uniqueId val="{0000001D-56BA-44A1-9D5C-83997DB4DF62}"/>
            </c:ext>
          </c:extLst>
        </c:ser>
        <c:ser>
          <c:idx val="30"/>
          <c:order val="30"/>
          <c:spPr>
            <a:ln w="3175">
              <a:solidFill>
                <a:srgbClr val="000000"/>
              </a:solidFill>
              <a:prstDash val="solid"/>
            </a:ln>
          </c:spPr>
          <c:marker>
            <c:symbol val="none"/>
          </c:marker>
          <c:xVal>
            <c:numLit>
              <c:formatCode>General</c:formatCode>
              <c:ptCount val="2"/>
              <c:pt idx="0">
                <c:v>4.4495417349447202</c:v>
              </c:pt>
              <c:pt idx="1">
                <c:v>4.5025151533077423</c:v>
              </c:pt>
            </c:numLit>
          </c:xVal>
          <c:yVal>
            <c:numLit>
              <c:formatCode>General</c:formatCode>
              <c:ptCount val="2"/>
              <c:pt idx="0">
                <c:v>3.3597594322318097E-2</c:v>
              </c:pt>
              <c:pt idx="1">
                <c:v>3.3379187523657441E-2</c:v>
              </c:pt>
            </c:numLit>
          </c:yVal>
          <c:smooth val="0"/>
          <c:extLst>
            <c:ext xmlns:c16="http://schemas.microsoft.com/office/drawing/2014/chart" uri="{C3380CC4-5D6E-409C-BE32-E72D297353CC}">
              <c16:uniqueId val="{0000001E-56BA-44A1-9D5C-83997DB4DF62}"/>
            </c:ext>
          </c:extLst>
        </c:ser>
        <c:ser>
          <c:idx val="31"/>
          <c:order val="31"/>
          <c:spPr>
            <a:ln w="3175">
              <a:solidFill>
                <a:srgbClr val="000000"/>
              </a:solidFill>
              <a:prstDash val="solid"/>
            </a:ln>
          </c:spPr>
          <c:marker>
            <c:symbol val="none"/>
          </c:marker>
          <c:xVal>
            <c:numLit>
              <c:formatCode>General</c:formatCode>
              <c:ptCount val="2"/>
              <c:pt idx="0">
                <c:v>3.8457444174013791</c:v>
              </c:pt>
              <c:pt idx="1">
                <c:v>3.9725118512840907</c:v>
              </c:pt>
            </c:numLit>
          </c:xVal>
          <c:yVal>
            <c:numLit>
              <c:formatCode>General</c:formatCode>
              <c:ptCount val="2"/>
              <c:pt idx="0">
                <c:v>3.3509296313245625E-2</c:v>
              </c:pt>
              <c:pt idx="1">
                <c:v>3.3075527474857841E-2</c:v>
              </c:pt>
            </c:numLit>
          </c:yVal>
          <c:smooth val="0"/>
          <c:extLst>
            <c:ext xmlns:c16="http://schemas.microsoft.com/office/drawing/2014/chart" uri="{C3380CC4-5D6E-409C-BE32-E72D297353CC}">
              <c16:uniqueId val="{0000001F-56BA-44A1-9D5C-83997DB4DF62}"/>
            </c:ext>
          </c:extLst>
        </c:ser>
        <c:ser>
          <c:idx val="32"/>
          <c:order val="32"/>
          <c:spPr>
            <a:ln w="3175">
              <a:solidFill>
                <a:srgbClr val="000000"/>
              </a:solidFill>
              <a:prstDash val="solid"/>
            </a:ln>
          </c:spPr>
          <c:marker>
            <c:symbol val="none"/>
          </c:marker>
          <c:xVal>
            <c:numLit>
              <c:formatCode>General</c:formatCode>
              <c:ptCount val="2"/>
              <c:pt idx="0">
                <c:v>3.255531023136959</c:v>
              </c:pt>
              <c:pt idx="1">
                <c:v>3.3290908330828737</c:v>
              </c:pt>
            </c:numLit>
          </c:xVal>
          <c:yVal>
            <c:numLit>
              <c:formatCode>General</c:formatCode>
              <c:ptCount val="2"/>
              <c:pt idx="0">
                <c:v>3.3406941252105297E-2</c:v>
              </c:pt>
              <c:pt idx="1">
                <c:v>3.3191821575344858E-2</c:v>
              </c:pt>
            </c:numLit>
          </c:yVal>
          <c:smooth val="0"/>
          <c:extLst>
            <c:ext xmlns:c16="http://schemas.microsoft.com/office/drawing/2014/chart" uri="{C3380CC4-5D6E-409C-BE32-E72D297353CC}">
              <c16:uniqueId val="{00000020-56BA-44A1-9D5C-83997DB4DF62}"/>
            </c:ext>
          </c:extLst>
        </c:ser>
        <c:ser>
          <c:idx val="33"/>
          <c:order val="33"/>
          <c:spPr>
            <a:ln w="3175">
              <a:solidFill>
                <a:srgbClr val="000000"/>
              </a:solidFill>
              <a:prstDash val="solid"/>
            </a:ln>
          </c:spPr>
          <c:marker>
            <c:symbol val="none"/>
          </c:marker>
          <c:xVal>
            <c:numLit>
              <c:formatCode>General</c:formatCode>
              <c:ptCount val="2"/>
              <c:pt idx="0">
                <c:v>2.6805767765256308</c:v>
              </c:pt>
              <c:pt idx="1">
                <c:v>2.8475224049212988</c:v>
              </c:pt>
            </c:numLit>
          </c:xVal>
          <c:yVal>
            <c:numLit>
              <c:formatCode>General</c:formatCode>
              <c:ptCount val="2"/>
              <c:pt idx="0">
                <c:v>3.3291603458921876E-2</c:v>
              </c:pt>
              <c:pt idx="1">
                <c:v>3.286534127068319E-2</c:v>
              </c:pt>
            </c:numLit>
          </c:yVal>
          <c:smooth val="0"/>
          <c:extLst>
            <c:ext xmlns:c16="http://schemas.microsoft.com/office/drawing/2014/chart" uri="{C3380CC4-5D6E-409C-BE32-E72D297353CC}">
              <c16:uniqueId val="{00000021-56BA-44A1-9D5C-83997DB4DF62}"/>
            </c:ext>
          </c:extLst>
        </c:ser>
        <c:ser>
          <c:idx val="34"/>
          <c:order val="34"/>
          <c:spPr>
            <a:ln w="3175">
              <a:solidFill>
                <a:srgbClr val="000000"/>
              </a:solidFill>
              <a:prstDash val="solid"/>
            </a:ln>
          </c:spPr>
          <c:marker>
            <c:symbol val="none"/>
          </c:marker>
          <c:xVal>
            <c:numLit>
              <c:formatCode>General</c:formatCode>
              <c:ptCount val="2"/>
              <c:pt idx="0">
                <c:v>2.1223080446173976</c:v>
              </c:pt>
              <c:pt idx="1">
                <c:v>2.215406181779167</c:v>
              </c:pt>
            </c:numLit>
          </c:xVal>
          <c:yVal>
            <c:numLit>
              <c:formatCode>General</c:formatCode>
              <c:ptCount val="2"/>
              <c:pt idx="0">
                <c:v>3.3164437178186706E-2</c:v>
              </c:pt>
              <c:pt idx="1">
                <c:v>3.2953498606149004E-2</c:v>
              </c:pt>
            </c:numLit>
          </c:yVal>
          <c:smooth val="0"/>
          <c:extLst>
            <c:ext xmlns:c16="http://schemas.microsoft.com/office/drawing/2014/chart" uri="{C3380CC4-5D6E-409C-BE32-E72D297353CC}">
              <c16:uniqueId val="{00000022-56BA-44A1-9D5C-83997DB4DF62}"/>
            </c:ext>
          </c:extLst>
        </c:ser>
        <c:ser>
          <c:idx val="35"/>
          <c:order val="35"/>
          <c:spPr>
            <a:ln w="3175">
              <a:solidFill>
                <a:srgbClr val="000000"/>
              </a:solidFill>
              <a:prstDash val="solid"/>
            </a:ln>
          </c:spPr>
          <c:marker>
            <c:symbol val="none"/>
          </c:marker>
          <c:xVal>
            <c:numLit>
              <c:formatCode>General</c:formatCode>
              <c:ptCount val="2"/>
              <c:pt idx="0">
                <c:v>1.5818964894711631</c:v>
              </c:pt>
              <c:pt idx="1">
                <c:v>1.7867276450066407</c:v>
              </c:pt>
            </c:numLit>
          </c:xVal>
          <c:yVal>
            <c:numLit>
              <c:formatCode>General</c:formatCode>
              <c:ptCount val="2"/>
              <c:pt idx="0">
                <c:v>3.3026648039659948E-2</c:v>
              </c:pt>
              <c:pt idx="1">
                <c:v>3.2609522245188913E-2</c:v>
              </c:pt>
            </c:numLit>
          </c:yVal>
          <c:smooth val="0"/>
          <c:extLst>
            <c:ext xmlns:c16="http://schemas.microsoft.com/office/drawing/2014/chart" uri="{C3380CC4-5D6E-409C-BE32-E72D297353CC}">
              <c16:uniqueId val="{00000023-56BA-44A1-9D5C-83997DB4DF62}"/>
            </c:ext>
          </c:extLst>
        </c:ser>
        <c:ser>
          <c:idx val="36"/>
          <c:order val="36"/>
          <c:spPr>
            <a:ln w="3175">
              <a:solidFill>
                <a:srgbClr val="000000"/>
              </a:solidFill>
              <a:prstDash val="solid"/>
            </a:ln>
          </c:spPr>
          <c:marker>
            <c:symbol val="none"/>
          </c:marker>
          <c:xVal>
            <c:numLit>
              <c:formatCode>General</c:formatCode>
              <c:ptCount val="2"/>
              <c:pt idx="0">
                <c:v>1.0602609781934789</c:v>
              </c:pt>
              <c:pt idx="1">
                <c:v>1.1716702716729019</c:v>
              </c:pt>
            </c:numLit>
          </c:xVal>
          <c:yVal>
            <c:numLit>
              <c:formatCode>General</c:formatCode>
              <c:ptCount val="2"/>
              <c:pt idx="0">
                <c:v>3.2879465911649565E-2</c:v>
              </c:pt>
              <c:pt idx="1">
                <c:v>3.2673440637310779E-2</c:v>
              </c:pt>
            </c:numLit>
          </c:yVal>
          <c:smooth val="0"/>
          <c:extLst>
            <c:ext xmlns:c16="http://schemas.microsoft.com/office/drawing/2014/chart" uri="{C3380CC4-5D6E-409C-BE32-E72D297353CC}">
              <c16:uniqueId val="{00000024-56BA-44A1-9D5C-83997DB4DF62}"/>
            </c:ext>
          </c:extLst>
        </c:ser>
        <c:ser>
          <c:idx val="37"/>
          <c:order val="37"/>
          <c:spPr>
            <a:ln w="3175">
              <a:solidFill>
                <a:srgbClr val="000000"/>
              </a:solidFill>
              <a:prstDash val="solid"/>
            </a:ln>
          </c:spPr>
          <c:marker>
            <c:symbol val="none"/>
          </c:marker>
          <c:xVal>
            <c:numLit>
              <c:formatCode>General</c:formatCode>
              <c:ptCount val="2"/>
              <c:pt idx="0">
                <c:v>0.55807620951249115</c:v>
              </c:pt>
              <c:pt idx="1">
                <c:v>0.79821151263275059</c:v>
              </c:pt>
            </c:numLit>
          </c:xVal>
          <c:yVal>
            <c:numLit>
              <c:formatCode>General</c:formatCode>
              <c:ptCount val="2"/>
              <c:pt idx="0">
                <c:v>3.2724120089613527E-2</c:v>
              </c:pt>
              <c:pt idx="1">
                <c:v>3.2317426293419958E-2</c:v>
              </c:pt>
            </c:numLit>
          </c:yVal>
          <c:smooth val="0"/>
          <c:extLst>
            <c:ext xmlns:c16="http://schemas.microsoft.com/office/drawing/2014/chart" uri="{C3380CC4-5D6E-409C-BE32-E72D297353CC}">
              <c16:uniqueId val="{00000025-56BA-44A1-9D5C-83997DB4DF62}"/>
            </c:ext>
          </c:extLst>
        </c:ser>
        <c:ser>
          <c:idx val="38"/>
          <c:order val="38"/>
          <c:spPr>
            <a:ln w="3175">
              <a:solidFill>
                <a:srgbClr val="000000"/>
              </a:solidFill>
              <a:prstDash val="solid"/>
            </a:ln>
          </c:spPr>
          <c:marker>
            <c:symbol val="none"/>
          </c:marker>
          <c:xVal>
            <c:numLit>
              <c:formatCode>General</c:formatCode>
              <c:ptCount val="2"/>
              <c:pt idx="0">
                <c:v>7.5786811510906382E-2</c:v>
              </c:pt>
              <c:pt idx="1">
                <c:v>0.20416979751933934</c:v>
              </c:pt>
            </c:numLit>
          </c:xVal>
          <c:yVal>
            <c:numLit>
              <c:formatCode>General</c:formatCode>
              <c:ptCount val="2"/>
              <c:pt idx="0">
                <c:v>3.2561817496304393E-2</c:v>
              </c:pt>
              <c:pt idx="1">
                <c:v>3.2361268918781903E-2</c:v>
              </c:pt>
            </c:numLit>
          </c:yVal>
          <c:smooth val="0"/>
          <c:extLst>
            <c:ext xmlns:c16="http://schemas.microsoft.com/office/drawing/2014/chart" uri="{C3380CC4-5D6E-409C-BE32-E72D297353CC}">
              <c16:uniqueId val="{00000026-56BA-44A1-9D5C-83997DB4DF62}"/>
            </c:ext>
          </c:extLst>
        </c:ser>
        <c:ser>
          <c:idx val="39"/>
          <c:order val="39"/>
          <c:spPr>
            <a:ln w="3175">
              <a:solidFill>
                <a:srgbClr val="000000"/>
              </a:solidFill>
              <a:prstDash val="solid"/>
            </a:ln>
          </c:spPr>
          <c:marker>
            <c:symbol val="none"/>
          </c:marker>
          <c:xVal>
            <c:numLit>
              <c:formatCode>General</c:formatCode>
              <c:ptCount val="2"/>
              <c:pt idx="0">
                <c:v>-0.38637441921499299</c:v>
              </c:pt>
              <c:pt idx="1">
                <c:v>-0.11367185303516499</c:v>
              </c:pt>
            </c:numLit>
          </c:xVal>
          <c:yVal>
            <c:numLit>
              <c:formatCode>General</c:formatCode>
              <c:ptCount val="2"/>
              <c:pt idx="0">
                <c:v>3.2393724302205024E-2</c:v>
              </c:pt>
              <c:pt idx="1">
                <c:v>3.1998423464197956E-2</c:v>
              </c:pt>
            </c:numLit>
          </c:yVal>
          <c:smooth val="0"/>
          <c:extLst>
            <c:ext xmlns:c16="http://schemas.microsoft.com/office/drawing/2014/chart" uri="{C3380CC4-5D6E-409C-BE32-E72D297353CC}">
              <c16:uniqueId val="{00000027-56BA-44A1-9D5C-83997DB4DF62}"/>
            </c:ext>
          </c:extLst>
        </c:ser>
        <c:ser>
          <c:idx val="40"/>
          <c:order val="40"/>
          <c:spPr>
            <a:ln w="3175">
              <a:solidFill>
                <a:srgbClr val="000000"/>
              </a:solidFill>
              <a:prstDash val="solid"/>
            </a:ln>
          </c:spPr>
          <c:marker>
            <c:symbol val="none"/>
          </c:marker>
          <c:xVal>
            <c:numLit>
              <c:formatCode>General</c:formatCode>
              <c:ptCount val="2"/>
              <c:pt idx="0">
                <c:v>-0.82836544769946818</c:v>
              </c:pt>
              <c:pt idx="1">
                <c:v>-0.68439362963568395</c:v>
              </c:pt>
            </c:numLit>
          </c:xVal>
          <c:yVal>
            <c:numLit>
              <c:formatCode>General</c:formatCode>
              <c:ptCount val="2"/>
              <c:pt idx="0">
                <c:v>3.2220951129550625E-2</c:v>
              </c:pt>
              <c:pt idx="1">
                <c:v>3.2026279558351474E-2</c:v>
              </c:pt>
            </c:numLit>
          </c:yVal>
          <c:smooth val="0"/>
          <c:extLst>
            <c:ext xmlns:c16="http://schemas.microsoft.com/office/drawing/2014/chart" uri="{C3380CC4-5D6E-409C-BE32-E72D297353CC}">
              <c16:uniqueId val="{00000028-56BA-44A1-9D5C-83997DB4DF62}"/>
            </c:ext>
          </c:extLst>
        </c:ser>
        <c:ser>
          <c:idx val="41"/>
          <c:order val="41"/>
          <c:spPr>
            <a:ln w="3175">
              <a:solidFill>
                <a:srgbClr val="000000"/>
              </a:solidFill>
              <a:prstDash val="solid"/>
            </a:ln>
          </c:spPr>
          <c:marker>
            <c:symbol val="none"/>
          </c:marker>
          <c:xVal>
            <c:numLit>
              <c:formatCode>General</c:formatCode>
              <c:ptCount val="2"/>
              <c:pt idx="0">
                <c:v>-1.2503123116501493</c:v>
              </c:pt>
              <c:pt idx="1">
                <c:v>-0.94781878366221239</c:v>
              </c:pt>
            </c:numLit>
          </c:xVal>
          <c:yVal>
            <c:numLit>
              <c:formatCode>General</c:formatCode>
              <c:ptCount val="2"/>
              <c:pt idx="0">
                <c:v>3.2044541795365311E-2</c:v>
              </c:pt>
              <c:pt idx="1">
                <c:v>3.1661281733456156E-2</c:v>
              </c:pt>
            </c:numLit>
          </c:yVal>
          <c:smooth val="0"/>
          <c:extLst>
            <c:ext xmlns:c16="http://schemas.microsoft.com/office/drawing/2014/chart" uri="{C3380CC4-5D6E-409C-BE32-E72D297353CC}">
              <c16:uniqueId val="{00000029-56BA-44A1-9D5C-83997DB4DF62}"/>
            </c:ext>
          </c:extLst>
        </c:ser>
        <c:ser>
          <c:idx val="42"/>
          <c:order val="42"/>
          <c:spPr>
            <a:ln w="3175">
              <a:solidFill>
                <a:srgbClr val="000000"/>
              </a:solidFill>
              <a:prstDash val="solid"/>
            </a:ln>
          </c:spPr>
          <c:marker>
            <c:symbol val="none"/>
          </c:marker>
          <c:xVal>
            <c:numLit>
              <c:formatCode>General</c:formatCode>
              <c:ptCount val="2"/>
              <c:pt idx="0">
                <c:v>-1.6524858712974235</c:v>
              </c:pt>
              <c:pt idx="1">
                <c:v>-1.4943050804129847</c:v>
              </c:pt>
            </c:numLit>
          </c:xVal>
          <c:yVal>
            <c:numLit>
              <c:formatCode>General</c:formatCode>
              <c:ptCount val="2"/>
              <c:pt idx="0">
                <c:v>3.1865465386878213E-2</c:v>
              </c:pt>
              <c:pt idx="1">
                <c:v>3.1676922880207896E-2</c:v>
              </c:pt>
            </c:numLit>
          </c:yVal>
          <c:smooth val="0"/>
          <c:extLst>
            <c:ext xmlns:c16="http://schemas.microsoft.com/office/drawing/2014/chart" uri="{C3380CC4-5D6E-409C-BE32-E72D297353CC}">
              <c16:uniqueId val="{0000002A-56BA-44A1-9D5C-83997DB4DF62}"/>
            </c:ext>
          </c:extLst>
        </c:ser>
        <c:ser>
          <c:idx val="43"/>
          <c:order val="43"/>
          <c:spPr>
            <a:ln w="3175">
              <a:solidFill>
                <a:srgbClr val="000000"/>
              </a:solidFill>
              <a:prstDash val="solid"/>
            </a:ln>
          </c:spPr>
          <c:marker>
            <c:symbol val="none"/>
          </c:marker>
          <c:xVal>
            <c:numLit>
              <c:formatCode>General</c:formatCode>
              <c:ptCount val="2"/>
              <c:pt idx="0">
                <c:v>-2.0352788721065513</c:v>
              </c:pt>
              <c:pt idx="1">
                <c:v>-1.7057175316890834</c:v>
              </c:pt>
            </c:numLit>
          </c:xVal>
          <c:yVal>
            <c:numLit>
              <c:formatCode>General</c:formatCode>
              <c:ptCount val="2"/>
              <c:pt idx="0">
                <c:v>3.1684611348254135E-2</c:v>
              </c:pt>
              <c:pt idx="1">
                <c:v>3.1313762681072957E-2</c:v>
              </c:pt>
            </c:numLit>
          </c:yVal>
          <c:smooth val="0"/>
          <c:extLst>
            <c:ext xmlns:c16="http://schemas.microsoft.com/office/drawing/2014/chart" uri="{C3380CC4-5D6E-409C-BE32-E72D297353CC}">
              <c16:uniqueId val="{0000002B-56BA-44A1-9D5C-83997DB4DF62}"/>
            </c:ext>
          </c:extLst>
        </c:ser>
        <c:ser>
          <c:idx val="44"/>
          <c:order val="44"/>
          <c:spPr>
            <a:ln w="3175">
              <a:solidFill>
                <a:srgbClr val="000000"/>
              </a:solidFill>
              <a:prstDash val="solid"/>
            </a:ln>
          </c:spPr>
          <c:marker>
            <c:symbol val="none"/>
          </c:marker>
          <c:xVal>
            <c:numLit>
              <c:formatCode>General</c:formatCode>
              <c:ptCount val="2"/>
              <c:pt idx="0">
                <c:v>-2.3991840012325829</c:v>
              </c:pt>
              <c:pt idx="1">
                <c:v>-2.2281291046596068</c:v>
              </c:pt>
            </c:numLit>
          </c:xVal>
          <c:yVal>
            <c:numLit>
              <c:formatCode>General</c:formatCode>
              <c:ptCount val="2"/>
              <c:pt idx="0">
                <c:v>3.1502787187754219E-2</c:v>
              </c:pt>
              <c:pt idx="1">
                <c:v>3.1320497753482592E-2</c:v>
              </c:pt>
            </c:numLit>
          </c:yVal>
          <c:smooth val="0"/>
          <c:extLst>
            <c:ext xmlns:c16="http://schemas.microsoft.com/office/drawing/2014/chart" uri="{C3380CC4-5D6E-409C-BE32-E72D297353CC}">
              <c16:uniqueId val="{0000002C-56BA-44A1-9D5C-83997DB4DF62}"/>
            </c:ext>
          </c:extLst>
        </c:ser>
        <c:ser>
          <c:idx val="45"/>
          <c:order val="45"/>
          <c:spPr>
            <a:ln w="3175">
              <a:solidFill>
                <a:srgbClr val="000000"/>
              </a:solidFill>
              <a:prstDash val="solid"/>
            </a:ln>
          </c:spPr>
          <c:marker>
            <c:symbol val="none"/>
          </c:marker>
          <c:xVal>
            <c:numLit>
              <c:formatCode>General</c:formatCode>
              <c:ptCount val="2"/>
              <c:pt idx="0">
                <c:v>-2.7447734321668316</c:v>
              </c:pt>
              <c:pt idx="1">
                <c:v>-2.3907467620921121</c:v>
              </c:pt>
            </c:numLit>
          </c:xVal>
          <c:yVal>
            <c:numLit>
              <c:formatCode>General</c:formatCode>
              <c:ptCount val="2"/>
              <c:pt idx="0">
                <c:v>3.1320718383058194E-2</c:v>
              </c:pt>
              <c:pt idx="1">
                <c:v>3.0962417749159633E-2</c:v>
              </c:pt>
            </c:numLit>
          </c:yVal>
          <c:smooth val="0"/>
          <c:extLst>
            <c:ext xmlns:c16="http://schemas.microsoft.com/office/drawing/2014/chart" uri="{C3380CC4-5D6E-409C-BE32-E72D297353CC}">
              <c16:uniqueId val="{0000002D-56BA-44A1-9D5C-83997DB4DF62}"/>
            </c:ext>
          </c:extLst>
        </c:ser>
        <c:ser>
          <c:idx val="46"/>
          <c:order val="46"/>
          <c:spPr>
            <a:ln w="3175">
              <a:solidFill>
                <a:srgbClr val="000000"/>
              </a:solidFill>
              <a:prstDash val="solid"/>
            </a:ln>
          </c:spPr>
          <c:marker>
            <c:symbol val="none"/>
          </c:marker>
          <c:xVal>
            <c:numLit>
              <c:formatCode>General</c:formatCode>
              <c:ptCount val="2"/>
              <c:pt idx="0">
                <c:v>-3.072680183386634</c:v>
              </c:pt>
              <c:pt idx="1">
                <c:v>-2.890013283673071</c:v>
              </c:pt>
            </c:numLit>
          </c:xVal>
          <c:yVal>
            <c:numLit>
              <c:formatCode>General</c:formatCode>
              <c:ptCount val="2"/>
              <c:pt idx="0">
                <c:v>3.1139050061769116E-2</c:v>
              </c:pt>
              <c:pt idx="1">
                <c:v>3.0963031957255856E-2</c:v>
              </c:pt>
            </c:numLit>
          </c:yVal>
          <c:smooth val="0"/>
          <c:extLst>
            <c:ext xmlns:c16="http://schemas.microsoft.com/office/drawing/2014/chart" uri="{C3380CC4-5D6E-409C-BE32-E72D297353CC}">
              <c16:uniqueId val="{0000002E-56BA-44A1-9D5C-83997DB4DF62}"/>
            </c:ext>
          </c:extLst>
        </c:ser>
        <c:ser>
          <c:idx val="47"/>
          <c:order val="47"/>
          <c:spPr>
            <a:ln w="3175">
              <a:solidFill>
                <a:srgbClr val="000000"/>
              </a:solidFill>
              <a:prstDash val="solid"/>
            </a:ln>
          </c:spPr>
          <c:marker>
            <c:symbol val="none"/>
          </c:marker>
          <c:xVal>
            <c:numLit>
              <c:formatCode>General</c:formatCode>
              <c:ptCount val="2"/>
              <c:pt idx="0">
                <c:v>-3.3835814724217705</c:v>
              </c:pt>
              <c:pt idx="1">
                <c:v>-3.0075269388899843</c:v>
              </c:pt>
            </c:numLit>
          </c:xVal>
          <c:yVal>
            <c:numLit>
              <c:formatCode>General</c:formatCode>
              <c:ptCount val="2"/>
              <c:pt idx="0">
                <c:v>3.0958350055992959E-2</c:v>
              </c:pt>
              <c:pt idx="1">
                <c:v>3.0612544881648374E-2</c:v>
              </c:pt>
            </c:numLit>
          </c:yVal>
          <c:smooth val="0"/>
          <c:extLst>
            <c:ext xmlns:c16="http://schemas.microsoft.com/office/drawing/2014/chart" uri="{C3380CC4-5D6E-409C-BE32-E72D297353CC}">
              <c16:uniqueId val="{0000002F-56BA-44A1-9D5C-83997DB4DF62}"/>
            </c:ext>
          </c:extLst>
        </c:ser>
        <c:ser>
          <c:idx val="48"/>
          <c:order val="48"/>
          <c:spPr>
            <a:ln w="3175">
              <a:solidFill>
                <a:srgbClr val="000000"/>
              </a:solidFill>
              <a:prstDash val="solid"/>
            </a:ln>
          </c:spPr>
          <c:marker>
            <c:symbol val="none"/>
          </c:marker>
          <c:xVal>
            <c:numLit>
              <c:formatCode>General</c:formatCode>
              <c:ptCount val="2"/>
              <c:pt idx="0">
                <c:v>-3.6781841292440793</c:v>
              </c:pt>
              <c:pt idx="1">
                <c:v>-3.4850775063260775</c:v>
              </c:pt>
            </c:numLit>
          </c:xVal>
          <c:yVal>
            <c:numLit>
              <c:formatCode>General</c:formatCode>
              <c:ptCount val="2"/>
              <c:pt idx="0">
                <c:v>3.0779112966800307E-2</c:v>
              </c:pt>
              <c:pt idx="1">
                <c:v>3.0609300674269268E-2</c:v>
              </c:pt>
            </c:numLit>
          </c:yVal>
          <c:smooth val="0"/>
          <c:extLst>
            <c:ext xmlns:c16="http://schemas.microsoft.com/office/drawing/2014/chart" uri="{C3380CC4-5D6E-409C-BE32-E72D297353CC}">
              <c16:uniqueId val="{00000030-56BA-44A1-9D5C-83997DB4DF62}"/>
            </c:ext>
          </c:extLst>
        </c:ser>
        <c:ser>
          <c:idx val="49"/>
          <c:order val="49"/>
          <c:spPr>
            <a:ln w="3175">
              <a:solidFill>
                <a:srgbClr val="000000"/>
              </a:solidFill>
              <a:prstDash val="solid"/>
            </a:ln>
          </c:spPr>
          <c:marker>
            <c:symbol val="none"/>
          </c:marker>
          <c:xVal>
            <c:numLit>
              <c:formatCode>General</c:formatCode>
              <c:ptCount val="2"/>
              <c:pt idx="0">
                <c:v>-3.9572120420841821</c:v>
              </c:pt>
              <c:pt idx="1">
                <c:v>-3.5613771440812783</c:v>
              </c:pt>
            </c:numLit>
          </c:xVal>
          <c:yVal>
            <c:numLit>
              <c:formatCode>General</c:formatCode>
              <c:ptCount val="2"/>
              <c:pt idx="0">
                <c:v>3.0601764919879974E-2</c:v>
              </c:pt>
              <c:pt idx="1">
                <c:v>3.0268255784711699E-2</c:v>
              </c:pt>
            </c:numLit>
          </c:yVal>
          <c:smooth val="0"/>
          <c:extLst>
            <c:ext xmlns:c16="http://schemas.microsoft.com/office/drawing/2014/chart" uri="{C3380CC4-5D6E-409C-BE32-E72D297353CC}">
              <c16:uniqueId val="{00000031-56BA-44A1-9D5C-83997DB4DF62}"/>
            </c:ext>
          </c:extLst>
        </c:ser>
        <c:ser>
          <c:idx val="50"/>
          <c:order val="50"/>
          <c:spPr>
            <a:ln w="3175">
              <a:solidFill>
                <a:srgbClr val="000000"/>
              </a:solidFill>
              <a:prstDash val="solid"/>
            </a:ln>
          </c:spPr>
          <c:marker>
            <c:symbol val="none"/>
          </c:marker>
          <c:xVal>
            <c:numLit>
              <c:formatCode>General</c:formatCode>
              <c:ptCount val="2"/>
              <c:pt idx="0">
                <c:v>-4.221395542588029</c:v>
              </c:pt>
              <c:pt idx="1">
                <c:v>-4.018923205646856</c:v>
              </c:pt>
            </c:numLit>
          </c:xVal>
          <c:yVal>
            <c:numLit>
              <c:formatCode>General</c:formatCode>
              <c:ptCount val="2"/>
              <c:pt idx="0">
                <c:v>3.0426668742639516E-2</c:v>
              </c:pt>
              <c:pt idx="1">
                <c:v>3.0262933074662973E-2</c:v>
              </c:pt>
            </c:numLit>
          </c:yVal>
          <c:smooth val="0"/>
          <c:extLst>
            <c:ext xmlns:c16="http://schemas.microsoft.com/office/drawing/2014/chart" uri="{C3380CC4-5D6E-409C-BE32-E72D297353CC}">
              <c16:uniqueId val="{00000032-56BA-44A1-9D5C-83997DB4DF62}"/>
            </c:ext>
          </c:extLst>
        </c:ser>
        <c:ser>
          <c:idx val="51"/>
          <c:order val="51"/>
          <c:spPr>
            <a:ln w="3175">
              <a:solidFill>
                <a:srgbClr val="000000"/>
              </a:solidFill>
              <a:prstDash val="solid"/>
            </a:ln>
          </c:spPr>
          <c:marker>
            <c:symbol val="none"/>
          </c:marker>
          <c:xVal>
            <c:numLit>
              <c:formatCode>General</c:formatCode>
              <c:ptCount val="2"/>
              <c:pt idx="0">
                <c:v>-4.4714625924504272</c:v>
              </c:pt>
              <c:pt idx="1">
                <c:v>-4.0578949168486877</c:v>
              </c:pt>
            </c:numLit>
          </c:xVal>
          <c:yVal>
            <c:numLit>
              <c:formatCode>General</c:formatCode>
              <c:ptCount val="2"/>
              <c:pt idx="0">
                <c:v>3.0254129341580477E-2</c:v>
              </c:pt>
              <c:pt idx="1">
                <c:v>2.9932607640146668E-2</c:v>
              </c:pt>
            </c:numLit>
          </c:yVal>
          <c:smooth val="0"/>
          <c:extLst>
            <c:ext xmlns:c16="http://schemas.microsoft.com/office/drawing/2014/chart" uri="{C3380CC4-5D6E-409C-BE32-E72D297353CC}">
              <c16:uniqueId val="{00000033-56BA-44A1-9D5C-83997DB4DF62}"/>
            </c:ext>
          </c:extLst>
        </c:ser>
        <c:ser>
          <c:idx val="52"/>
          <c:order val="52"/>
          <c:spPr>
            <a:ln w="3175">
              <a:solidFill>
                <a:srgbClr val="000000"/>
              </a:solidFill>
              <a:prstDash val="solid"/>
            </a:ln>
          </c:spPr>
          <c:marker>
            <c:symbol val="none"/>
          </c:marker>
          <c:xVal>
            <c:numLit>
              <c:formatCode>General</c:formatCode>
              <c:ptCount val="2"/>
              <c:pt idx="0">
                <c:v>-4.7081316066320262</c:v>
              </c:pt>
              <c:pt idx="1">
                <c:v>-4.4972672685866462</c:v>
              </c:pt>
            </c:numLit>
          </c:xVal>
          <c:yVal>
            <c:numLit>
              <c:formatCode>General</c:formatCode>
              <c:ptCount val="2"/>
              <c:pt idx="0">
                <c:v>3.0084399104368914E-2</c:v>
              </c:pt>
              <c:pt idx="1">
                <c:v>2.9926564637052209E-2</c:v>
              </c:pt>
            </c:numLit>
          </c:yVal>
          <c:smooth val="0"/>
          <c:extLst>
            <c:ext xmlns:c16="http://schemas.microsoft.com/office/drawing/2014/chart" uri="{C3380CC4-5D6E-409C-BE32-E72D297353CC}">
              <c16:uniqueId val="{00000034-56BA-44A1-9D5C-83997DB4DF62}"/>
            </c:ext>
          </c:extLst>
        </c:ser>
        <c:ser>
          <c:idx val="53"/>
          <c:order val="53"/>
          <c:spPr>
            <a:ln w="3175">
              <a:solidFill>
                <a:srgbClr val="000000"/>
              </a:solidFill>
              <a:prstDash val="solid"/>
            </a:ln>
          </c:spPr>
          <c:marker>
            <c:symbol val="none"/>
          </c:marker>
          <c:xVal>
            <c:numLit>
              <c:formatCode>General</c:formatCode>
              <c:ptCount val="2"/>
              <c:pt idx="0">
                <c:v>-4.9321057352905999</c:v>
              </c:pt>
              <c:pt idx="1">
                <c:v>-4.5026538133840264</c:v>
              </c:pt>
            </c:numLit>
          </c:xVal>
          <c:yVal>
            <c:numLit>
              <c:formatCode>General</c:formatCode>
              <c:ptCount val="2"/>
              <c:pt idx="0">
                <c:v>2.9917683192038989E-2</c:v>
              </c:pt>
              <c:pt idx="1">
                <c:v>2.9607763081968677E-2</c:v>
              </c:pt>
            </c:numLit>
          </c:yVal>
          <c:smooth val="0"/>
          <c:extLst>
            <c:ext xmlns:c16="http://schemas.microsoft.com/office/drawing/2014/chart" uri="{C3380CC4-5D6E-409C-BE32-E72D297353CC}">
              <c16:uniqueId val="{00000035-56BA-44A1-9D5C-83997DB4DF62}"/>
            </c:ext>
          </c:extLst>
        </c:ser>
        <c:ser>
          <c:idx val="54"/>
          <c:order val="54"/>
          <c:spPr>
            <a:ln w="3175">
              <a:solidFill>
                <a:srgbClr val="000000"/>
              </a:solidFill>
              <a:prstDash val="solid"/>
            </a:ln>
          </c:spPr>
          <c:marker>
            <c:symbol val="none"/>
          </c:marker>
          <c:xVal>
            <c:numLit>
              <c:formatCode>General</c:formatCode>
              <c:ptCount val="2"/>
              <c:pt idx="0">
                <c:v>-5.1440684242141916</c:v>
              </c:pt>
              <c:pt idx="1">
                <c:v>-4.9256879341415329</c:v>
              </c:pt>
            </c:numLit>
          </c:xVal>
          <c:yVal>
            <c:numLit>
              <c:formatCode>General</c:formatCode>
              <c:ptCount val="2"/>
              <c:pt idx="0">
                <c:v>2.9754144622409617E-2</c:v>
              </c:pt>
              <c:pt idx="1">
                <c:v>2.9602004197885314E-2</c:v>
              </c:pt>
            </c:numLit>
          </c:yVal>
          <c:smooth val="0"/>
          <c:extLst>
            <c:ext xmlns:c16="http://schemas.microsoft.com/office/drawing/2014/chart" uri="{C3380CC4-5D6E-409C-BE32-E72D297353CC}">
              <c16:uniqueId val="{00000036-56BA-44A1-9D5C-83997DB4DF62}"/>
            </c:ext>
          </c:extLst>
        </c:ser>
        <c:ser>
          <c:idx val="55"/>
          <c:order val="55"/>
          <c:spPr>
            <a:ln w="3175">
              <a:solidFill>
                <a:srgbClr val="000000"/>
              </a:solidFill>
              <a:prstDash val="solid"/>
            </a:ln>
          </c:spPr>
          <c:marker>
            <c:symbol val="none"/>
          </c:marker>
          <c:xVal>
            <c:numLit>
              <c:formatCode>General</c:formatCode>
              <c:ptCount val="2"/>
              <c:pt idx="0">
                <c:v>-5.3446800788427877</c:v>
              </c:pt>
              <c:pt idx="1">
                <c:v>-4.9010014554344146</c:v>
              </c:pt>
            </c:numLit>
          </c:xVal>
          <c:yVal>
            <c:numLit>
              <c:formatCode>General</c:formatCode>
              <c:ptCount val="2"/>
              <c:pt idx="0">
                <c:v>2.9593909075847288E-2</c:v>
              </c:pt>
              <c:pt idx="1">
                <c:v>2.9295153590473244E-2</c:v>
              </c:pt>
            </c:numLit>
          </c:yVal>
          <c:smooth val="0"/>
          <c:extLst>
            <c:ext xmlns:c16="http://schemas.microsoft.com/office/drawing/2014/chart" uri="{C3380CC4-5D6E-409C-BE32-E72D297353CC}">
              <c16:uniqueId val="{00000037-56BA-44A1-9D5C-83997DB4DF62}"/>
            </c:ext>
          </c:extLst>
        </c:ser>
        <c:ser>
          <c:idx val="56"/>
          <c:order val="56"/>
          <c:spPr>
            <a:ln w="3175">
              <a:solidFill>
                <a:srgbClr val="000000"/>
              </a:solidFill>
              <a:prstDash val="solid"/>
            </a:ln>
          </c:spPr>
          <c:marker>
            <c:symbol val="none"/>
          </c:marker>
          <c:xVal>
            <c:numLit>
              <c:formatCode>General</c:formatCode>
              <c:ptCount val="2"/>
              <c:pt idx="0">
                <c:v>-5.5345756674157736</c:v>
              </c:pt>
              <c:pt idx="1">
                <c:v>-5.3094622938396387</c:v>
              </c:pt>
            </c:numLit>
          </c:xVal>
          <c:yVal>
            <c:numLit>
              <c:formatCode>General</c:formatCode>
              <c:ptCount val="2"/>
              <c:pt idx="0">
                <c:v>2.9437069379158205E-2</c:v>
              </c:pt>
              <c:pt idx="1">
                <c:v>2.9290395769172719E-2</c:v>
              </c:pt>
            </c:numLit>
          </c:yVal>
          <c:smooth val="0"/>
          <c:extLst>
            <c:ext xmlns:c16="http://schemas.microsoft.com/office/drawing/2014/chart" uri="{C3380CC4-5D6E-409C-BE32-E72D297353CC}">
              <c16:uniqueId val="{00000038-56BA-44A1-9D5C-83997DB4DF62}"/>
            </c:ext>
          </c:extLst>
        </c:ser>
        <c:ser>
          <c:idx val="57"/>
          <c:order val="57"/>
          <c:spPr>
            <a:ln w="3175">
              <a:solidFill>
                <a:srgbClr val="000000"/>
              </a:solidFill>
              <a:prstDash val="solid"/>
            </a:ln>
          </c:spPr>
          <c:marker>
            <c:symbol val="none"/>
          </c:marker>
          <c:xVal>
            <c:numLit>
              <c:formatCode>General</c:formatCode>
              <c:ptCount val="2"/>
              <c:pt idx="0">
                <c:v>-5.714363112392145</c:v>
              </c:pt>
              <c:pt idx="1">
                <c:v>-5.2579367981717251</c:v>
              </c:pt>
            </c:numLit>
          </c:xVal>
          <c:yVal>
            <c:numLit>
              <c:formatCode>General</c:formatCode>
              <c:ptCount val="2"/>
              <c:pt idx="0">
                <c:v>2.9283689643078106E-2</c:v>
              </c:pt>
              <c:pt idx="1">
                <c:v>2.8995631379523688E-2</c:v>
              </c:pt>
            </c:numLit>
          </c:yVal>
          <c:smooth val="0"/>
          <c:extLst>
            <c:ext xmlns:c16="http://schemas.microsoft.com/office/drawing/2014/chart" uri="{C3380CC4-5D6E-409C-BE32-E72D297353CC}">
              <c16:uniqueId val="{00000039-56BA-44A1-9D5C-83997DB4DF62}"/>
            </c:ext>
          </c:extLst>
        </c:ser>
        <c:ser>
          <c:idx val="58"/>
          <c:order val="58"/>
          <c:spPr>
            <a:ln w="3175">
              <a:solidFill>
                <a:srgbClr val="000000"/>
              </a:solidFill>
              <a:prstDash val="solid"/>
            </a:ln>
          </c:spPr>
          <c:marker>
            <c:symbol val="none"/>
          </c:marker>
          <c:xVal>
            <c:numLit>
              <c:formatCode>General</c:formatCode>
              <c:ptCount val="2"/>
              <c:pt idx="0">
                <c:v>-6.0459048297431641</c:v>
              </c:pt>
              <c:pt idx="1">
                <c:v>-5.811975436126902</c:v>
              </c:pt>
            </c:numLit>
          </c:xVal>
          <c:yVal>
            <c:numLit>
              <c:formatCode>General</c:formatCode>
              <c:ptCount val="2"/>
              <c:pt idx="0">
                <c:v>2.8987445253082427E-2</c:v>
              </c:pt>
              <c:pt idx="1">
                <c:v>2.8848523783201695E-2</c:v>
              </c:pt>
            </c:numLit>
          </c:yVal>
          <c:smooth val="0"/>
          <c:extLst>
            <c:ext xmlns:c16="http://schemas.microsoft.com/office/drawing/2014/chart" uri="{C3380CC4-5D6E-409C-BE32-E72D297353CC}">
              <c16:uniqueId val="{0000003A-56BA-44A1-9D5C-83997DB4DF62}"/>
            </c:ext>
          </c:extLst>
        </c:ser>
        <c:ser>
          <c:idx val="59"/>
          <c:order val="59"/>
          <c:spPr>
            <a:ln w="3175">
              <a:solidFill>
                <a:srgbClr val="000000"/>
              </a:solidFill>
              <a:prstDash val="solid"/>
            </a:ln>
          </c:spPr>
          <c:marker>
            <c:symbol val="none"/>
          </c:marker>
          <c:xVal>
            <c:numLit>
              <c:formatCode>General</c:formatCode>
              <c:ptCount val="2"/>
              <c:pt idx="0">
                <c:v>-6.3436038686490521</c:v>
              </c:pt>
              <c:pt idx="1">
                <c:v>-6.1045417329826881</c:v>
              </c:pt>
            </c:numLit>
          </c:xVal>
          <c:yVal>
            <c:numLit>
              <c:formatCode>General</c:formatCode>
              <c:ptCount val="2"/>
              <c:pt idx="0">
                <c:v>2.8705249438049581E-2</c:v>
              </c:pt>
              <c:pt idx="1">
                <c:v>2.8571193413255622E-2</c:v>
              </c:pt>
            </c:numLit>
          </c:yVal>
          <c:smooth val="0"/>
          <c:extLst>
            <c:ext xmlns:c16="http://schemas.microsoft.com/office/drawing/2014/chart" uri="{C3380CC4-5D6E-409C-BE32-E72D297353CC}">
              <c16:uniqueId val="{0000003B-56BA-44A1-9D5C-83997DB4DF62}"/>
            </c:ext>
          </c:extLst>
        </c:ser>
        <c:ser>
          <c:idx val="60"/>
          <c:order val="60"/>
          <c:spPr>
            <a:ln w="3175">
              <a:solidFill>
                <a:srgbClr val="000000"/>
              </a:solidFill>
              <a:prstDash val="solid"/>
            </a:ln>
          </c:spPr>
          <c:marker>
            <c:symbol val="none"/>
          </c:marker>
          <c:xVal>
            <c:numLit>
              <c:formatCode>General</c:formatCode>
              <c:ptCount val="2"/>
              <c:pt idx="0">
                <c:v>-6.6113117622552888</c:v>
              </c:pt>
              <c:pt idx="1">
                <c:v>-6.3676339732508866</c:v>
              </c:pt>
            </c:numLit>
          </c:xVal>
          <c:yVal>
            <c:numLit>
              <c:formatCode>General</c:formatCode>
              <c:ptCount val="2"/>
              <c:pt idx="0">
                <c:v>2.843692272060656E-2</c:v>
              </c:pt>
              <c:pt idx="1">
                <c:v>2.8307493018527138E-2</c:v>
              </c:pt>
            </c:numLit>
          </c:yVal>
          <c:smooth val="0"/>
          <c:extLst>
            <c:ext xmlns:c16="http://schemas.microsoft.com/office/drawing/2014/chart" uri="{C3380CC4-5D6E-409C-BE32-E72D297353CC}">
              <c16:uniqueId val="{0000003C-56BA-44A1-9D5C-83997DB4DF62}"/>
            </c:ext>
          </c:extLst>
        </c:ser>
        <c:ser>
          <c:idx val="61"/>
          <c:order val="61"/>
          <c:spPr>
            <a:ln w="3175">
              <a:solidFill>
                <a:srgbClr val="000000"/>
              </a:solidFill>
              <a:prstDash val="solid"/>
            </a:ln>
          </c:spPr>
          <c:marker>
            <c:symbol val="none"/>
          </c:marker>
          <c:xVal>
            <c:numLit>
              <c:formatCode>General</c:formatCode>
              <c:ptCount val="2"/>
              <c:pt idx="0">
                <c:v>-6.8524545533004888</c:v>
              </c:pt>
              <c:pt idx="1">
                <c:v>-6.6046191299677215</c:v>
              </c:pt>
            </c:numLit>
          </c:xVal>
          <c:yVal>
            <c:numLit>
              <c:formatCode>General</c:formatCode>
              <c:ptCount val="2"/>
              <c:pt idx="0">
                <c:v>2.8182106961193734E-2</c:v>
              </c:pt>
              <c:pt idx="1">
                <c:v>2.80570706342766E-2</c:v>
              </c:pt>
            </c:numLit>
          </c:yVal>
          <c:smooth val="0"/>
          <c:extLst>
            <c:ext xmlns:c16="http://schemas.microsoft.com/office/drawing/2014/chart" uri="{C3380CC4-5D6E-409C-BE32-E72D297353CC}">
              <c16:uniqueId val="{0000003D-56BA-44A1-9D5C-83997DB4DF62}"/>
            </c:ext>
          </c:extLst>
        </c:ser>
        <c:ser>
          <c:idx val="62"/>
          <c:order val="62"/>
          <c:spPr>
            <a:ln w="3175">
              <a:solidFill>
                <a:srgbClr val="000000"/>
              </a:solidFill>
              <a:prstDash val="solid"/>
            </a:ln>
          </c:spPr>
          <c:marker>
            <c:symbol val="none"/>
          </c:marker>
          <c:xVal>
            <c:numLit>
              <c:formatCode>General</c:formatCode>
              <c:ptCount val="2"/>
              <c:pt idx="0">
                <c:v>-7.0700641161397257</c:v>
              </c:pt>
              <c:pt idx="1">
                <c:v>-6.5668894914452514</c:v>
              </c:pt>
            </c:numLit>
          </c:xVal>
          <c:yVal>
            <c:numLit>
              <c:formatCode>General</c:formatCode>
              <c:ptCount val="2"/>
              <c:pt idx="0">
                <c:v>2.7940323066302088E-2</c:v>
              </c:pt>
              <c:pt idx="1">
                <c:v>2.769858778815374E-2</c:v>
              </c:pt>
            </c:numLit>
          </c:yVal>
          <c:smooth val="0"/>
          <c:extLst>
            <c:ext xmlns:c16="http://schemas.microsoft.com/office/drawing/2014/chart" uri="{C3380CC4-5D6E-409C-BE32-E72D297353CC}">
              <c16:uniqueId val="{0000003E-56BA-44A1-9D5C-83997DB4DF62}"/>
            </c:ext>
          </c:extLst>
        </c:ser>
        <c:ser>
          <c:idx val="63"/>
          <c:order val="63"/>
          <c:spPr>
            <a:ln w="3175">
              <a:solidFill>
                <a:srgbClr val="000000"/>
              </a:solidFill>
              <a:prstDash val="solid"/>
            </a:ln>
          </c:spPr>
          <c:marker>
            <c:symbol val="none"/>
          </c:marker>
          <c:xVal>
            <c:numLit>
              <c:formatCode>General</c:formatCode>
              <c:ptCount val="2"/>
              <c:pt idx="0">
                <c:v>-7.2668139627913737</c:v>
              </c:pt>
              <c:pt idx="1">
                <c:v>-7.0118344117087634</c:v>
              </c:pt>
            </c:numLit>
          </c:xVal>
          <c:yVal>
            <c:numLit>
              <c:formatCode>General</c:formatCode>
              <c:ptCount val="2"/>
              <c:pt idx="0">
                <c:v>2.771101497108848E-2</c:v>
              </c:pt>
              <c:pt idx="1">
                <c:v>2.7594100919862818E-2</c:v>
              </c:pt>
            </c:numLit>
          </c:yVal>
          <c:smooth val="0"/>
          <c:extLst>
            <c:ext xmlns:c16="http://schemas.microsoft.com/office/drawing/2014/chart" uri="{C3380CC4-5D6E-409C-BE32-E72D297353CC}">
              <c16:uniqueId val="{0000003F-56BA-44A1-9D5C-83997DB4DF62}"/>
            </c:ext>
          </c:extLst>
        </c:ser>
        <c:ser>
          <c:idx val="64"/>
          <c:order val="64"/>
          <c:spPr>
            <a:ln w="3175">
              <a:solidFill>
                <a:srgbClr val="000000"/>
              </a:solidFill>
              <a:prstDash val="solid"/>
            </a:ln>
          </c:spPr>
          <c:marker>
            <c:symbol val="none"/>
          </c:marker>
          <c:xVal>
            <c:numLit>
              <c:formatCode>General</c:formatCode>
              <c:ptCount val="2"/>
              <c:pt idx="0">
                <c:v>-7.4450561220153224</c:v>
              </c:pt>
              <c:pt idx="1">
                <c:v>-7.1870034302564365</c:v>
              </c:pt>
            </c:numLit>
          </c:xVal>
          <c:yVal>
            <c:numLit>
              <c:formatCode>General</c:formatCode>
              <c:ptCount val="2"/>
              <c:pt idx="0">
                <c:v>2.7493582588817535E-2</c:v>
              </c:pt>
              <c:pt idx="1">
                <c:v>2.7380417371768957E-2</c:v>
              </c:pt>
            </c:numLit>
          </c:yVal>
          <c:smooth val="0"/>
          <c:extLst>
            <c:ext xmlns:c16="http://schemas.microsoft.com/office/drawing/2014/chart" uri="{C3380CC4-5D6E-409C-BE32-E72D297353CC}">
              <c16:uniqueId val="{00000040-56BA-44A1-9D5C-83997DB4DF62}"/>
            </c:ext>
          </c:extLst>
        </c:ser>
        <c:ser>
          <c:idx val="65"/>
          <c:order val="65"/>
          <c:spPr>
            <a:ln w="3175">
              <a:solidFill>
                <a:srgbClr val="000000"/>
              </a:solidFill>
              <a:prstDash val="solid"/>
            </a:ln>
          </c:spPr>
          <c:marker>
            <c:symbol val="none"/>
          </c:marker>
          <c:xVal>
            <c:numLit>
              <c:formatCode>General</c:formatCode>
              <c:ptCount val="2"/>
              <c:pt idx="0">
                <c:v>-7.6068569785848918</c:v>
              </c:pt>
              <c:pt idx="1">
                <c:v>-7.3460146168851512</c:v>
              </c:pt>
            </c:numLit>
          </c:xVal>
          <c:yVal>
            <c:numLit>
              <c:formatCode>General</c:formatCode>
              <c:ptCount val="2"/>
              <c:pt idx="0">
                <c:v>2.7287406065353549E-2</c:v>
              </c:pt>
              <c:pt idx="1">
                <c:v>2.7177795615950903E-2</c:v>
              </c:pt>
            </c:numLit>
          </c:yVal>
          <c:smooth val="0"/>
          <c:extLst>
            <c:ext xmlns:c16="http://schemas.microsoft.com/office/drawing/2014/chart" uri="{C3380CC4-5D6E-409C-BE32-E72D297353CC}">
              <c16:uniqueId val="{00000041-56BA-44A1-9D5C-83997DB4DF62}"/>
            </c:ext>
          </c:extLst>
        </c:ser>
        <c:ser>
          <c:idx val="66"/>
          <c:order val="66"/>
          <c:spPr>
            <a:ln w="3175">
              <a:solidFill>
                <a:srgbClr val="000000"/>
              </a:solidFill>
              <a:prstDash val="solid"/>
            </a:ln>
          </c:spPr>
          <c:marker>
            <c:symbol val="none"/>
          </c:marker>
          <c:xVal>
            <c:numLit>
              <c:formatCode>General</c:formatCode>
              <c:ptCount val="2"/>
              <c:pt idx="0">
                <c:v>-7.7540308580023209</c:v>
              </c:pt>
              <c:pt idx="1">
                <c:v>-7.4906510156229702</c:v>
              </c:pt>
            </c:numLit>
          </c:xVal>
          <c:yVal>
            <c:numLit>
              <c:formatCode>General</c:formatCode>
              <c:ptCount val="2"/>
              <c:pt idx="0">
                <c:v>2.7091863289154108E-2</c:v>
              </c:pt>
              <c:pt idx="1">
                <c:v>2.6985624266927313E-2</c:v>
              </c:pt>
            </c:numLit>
          </c:yVal>
          <c:smooth val="0"/>
          <c:extLst>
            <c:ext xmlns:c16="http://schemas.microsoft.com/office/drawing/2014/chart" uri="{C3380CC4-5D6E-409C-BE32-E72D297353CC}">
              <c16:uniqueId val="{00000042-56BA-44A1-9D5C-83997DB4DF62}"/>
            </c:ext>
          </c:extLst>
        </c:ser>
        <c:ser>
          <c:idx val="67"/>
          <c:order val="67"/>
          <c:spPr>
            <a:ln w="3175">
              <a:solidFill>
                <a:srgbClr val="000000"/>
              </a:solidFill>
              <a:prstDash val="solid"/>
            </a:ln>
          </c:spPr>
          <c:marker>
            <c:symbol val="none"/>
          </c:marker>
          <c:xVal>
            <c:numLit>
              <c:formatCode>General</c:formatCode>
              <c:ptCount val="2"/>
              <c:pt idx="0">
                <c:v>-7.8881707432153219</c:v>
              </c:pt>
              <c:pt idx="1">
                <c:v>-7.3567855451734125</c:v>
              </c:pt>
            </c:numLit>
          </c:xVal>
          <c:yVal>
            <c:numLit>
              <c:formatCode>General</c:formatCode>
              <c:ptCount val="2"/>
              <c:pt idx="0">
                <c:v>2.690634223888767E-2</c:v>
              </c:pt>
              <c:pt idx="1">
                <c:v>2.6700261472029474E-2</c:v>
              </c:pt>
            </c:numLit>
          </c:yVal>
          <c:smooth val="0"/>
          <c:extLst>
            <c:ext xmlns:c16="http://schemas.microsoft.com/office/drawing/2014/chart" uri="{C3380CC4-5D6E-409C-BE32-E72D297353CC}">
              <c16:uniqueId val="{00000043-56BA-44A1-9D5C-83997DB4DF62}"/>
            </c:ext>
          </c:extLst>
        </c:ser>
        <c:ser>
          <c:idx val="68"/>
          <c:order val="68"/>
          <c:spPr>
            <a:ln w="3175">
              <a:solidFill>
                <a:srgbClr val="000000"/>
              </a:solidFill>
              <a:prstDash val="solid"/>
            </a:ln>
          </c:spPr>
          <c:marker>
            <c:symbol val="none"/>
          </c:marker>
          <c:xVal>
            <c:numLit>
              <c:formatCode>General</c:formatCode>
              <c:ptCount val="2"/>
              <c:pt idx="0">
                <c:v>-8.0106758986490121</c:v>
              </c:pt>
              <c:pt idx="1">
                <c:v>-7.742871141775753</c:v>
              </c:pt>
            </c:numLit>
          </c:xVal>
          <c:yVal>
            <c:numLit>
              <c:formatCode>General</c:formatCode>
              <c:ptCount val="2"/>
              <c:pt idx="0">
                <c:v>2.673024942614733E-2</c:v>
              </c:pt>
              <c:pt idx="1">
                <c:v>2.6630245125696513E-2</c:v>
              </c:pt>
            </c:numLit>
          </c:yVal>
          <c:smooth val="0"/>
          <c:extLst>
            <c:ext xmlns:c16="http://schemas.microsoft.com/office/drawing/2014/chart" uri="{C3380CC4-5D6E-409C-BE32-E72D297353CC}">
              <c16:uniqueId val="{00000044-56BA-44A1-9D5C-83997DB4DF62}"/>
            </c:ext>
          </c:extLst>
        </c:ser>
        <c:ser>
          <c:idx val="69"/>
          <c:order val="69"/>
          <c:spPr>
            <a:ln w="3175">
              <a:solidFill>
                <a:srgbClr val="000000"/>
              </a:solidFill>
              <a:prstDash val="solid"/>
            </a:ln>
          </c:spPr>
          <c:marker>
            <c:symbol val="none"/>
          </c:marker>
          <c:xVal>
            <c:numLit>
              <c:formatCode>General</c:formatCode>
              <c:ptCount val="2"/>
              <c:pt idx="0">
                <c:v>-8.1227764177225303</c:v>
              </c:pt>
              <c:pt idx="1">
                <c:v>-7.853038893279038</c:v>
              </c:pt>
            </c:numLit>
          </c:xVal>
          <c:yVal>
            <c:numLit>
              <c:formatCode>General</c:formatCode>
              <c:ptCount val="2"/>
              <c:pt idx="0">
                <c:v>2.6563015417404752E-2</c:v>
              </c:pt>
              <c:pt idx="1">
                <c:v>2.6465894461932257E-2</c:v>
              </c:pt>
            </c:numLit>
          </c:yVal>
          <c:smooth val="0"/>
          <c:extLst>
            <c:ext xmlns:c16="http://schemas.microsoft.com/office/drawing/2014/chart" uri="{C3380CC4-5D6E-409C-BE32-E72D297353CC}">
              <c16:uniqueId val="{00000045-56BA-44A1-9D5C-83997DB4DF62}"/>
            </c:ext>
          </c:extLst>
        </c:ser>
        <c:ser>
          <c:idx val="70"/>
          <c:order val="70"/>
          <c:spPr>
            <a:ln w="3175">
              <a:solidFill>
                <a:srgbClr val="000000"/>
              </a:solidFill>
              <a:prstDash val="solid"/>
            </a:ln>
          </c:spPr>
          <c:marker>
            <c:symbol val="none"/>
          </c:marker>
          <c:xVal>
            <c:numLit>
              <c:formatCode>General</c:formatCode>
              <c:ptCount val="2"/>
              <c:pt idx="0">
                <c:v>-8.2255548505858034</c:v>
              </c:pt>
              <c:pt idx="1">
                <c:v>-7.9540452841963916</c:v>
              </c:pt>
            </c:numLit>
          </c:xVal>
          <c:yVal>
            <c:numLit>
              <c:formatCode>General</c:formatCode>
              <c:ptCount val="2"/>
              <c:pt idx="0">
                <c:v>2.640409819616079E-2</c:v>
              </c:pt>
              <c:pt idx="1">
                <c:v>2.6309717192778709E-2</c:v>
              </c:pt>
            </c:numLit>
          </c:yVal>
          <c:smooth val="0"/>
          <c:extLst>
            <c:ext xmlns:c16="http://schemas.microsoft.com/office/drawing/2014/chart" uri="{C3380CC4-5D6E-409C-BE32-E72D297353CC}">
              <c16:uniqueId val="{00000046-56BA-44A1-9D5C-83997DB4DF62}"/>
            </c:ext>
          </c:extLst>
        </c:ser>
        <c:ser>
          <c:idx val="71"/>
          <c:order val="71"/>
          <c:spPr>
            <a:ln w="3175">
              <a:solidFill>
                <a:srgbClr val="000000"/>
              </a:solidFill>
              <a:prstDash val="solid"/>
            </a:ln>
          </c:spPr>
          <c:marker>
            <c:symbol val="none"/>
          </c:marker>
          <c:xVal>
            <c:numLit>
              <c:formatCode>General</c:formatCode>
              <c:ptCount val="2"/>
              <c:pt idx="0">
                <c:v>-8.3199651431045574</c:v>
              </c:pt>
              <c:pt idx="1">
                <c:v>-8.0468278130510296</c:v>
              </c:pt>
            </c:numLit>
          </c:xVal>
          <c:yVal>
            <c:numLit>
              <c:formatCode>General</c:formatCode>
              <c:ptCount val="2"/>
              <c:pt idx="0">
                <c:v>2.6252984947883497E-2</c:v>
              </c:pt>
              <c:pt idx="1">
                <c:v>2.616120934533378E-2</c:v>
              </c:pt>
            </c:numLit>
          </c:yVal>
          <c:smooth val="0"/>
          <c:extLst>
            <c:ext xmlns:c16="http://schemas.microsoft.com/office/drawing/2014/chart" uri="{C3380CC4-5D6E-409C-BE32-E72D297353CC}">
              <c16:uniqueId val="{00000047-56BA-44A1-9D5C-83997DB4DF62}"/>
            </c:ext>
          </c:extLst>
        </c:ser>
        <c:ser>
          <c:idx val="72"/>
          <c:order val="72"/>
          <c:spPr>
            <a:ln w="3175">
              <a:solidFill>
                <a:srgbClr val="000000"/>
              </a:solidFill>
              <a:prstDash val="solid"/>
            </a:ln>
          </c:spPr>
          <c:marker>
            <c:symbol val="none"/>
          </c:marker>
          <c:xVal>
            <c:numLit>
              <c:formatCode>General</c:formatCode>
              <c:ptCount val="2"/>
              <c:pt idx="0">
                <c:v>-8.4068491498525173</c:v>
              </c:pt>
              <c:pt idx="1">
                <c:v>-7.8575784895127745</c:v>
              </c:pt>
            </c:numLit>
          </c:xVal>
          <c:yVal>
            <c:numLit>
              <c:formatCode>General</c:formatCode>
              <c:ptCount val="2"/>
              <c:pt idx="0">
                <c:v>2.610919271000376E-2</c:v>
              </c:pt>
              <c:pt idx="1">
                <c:v>2.5930599857934666E-2</c:v>
              </c:pt>
            </c:numLit>
          </c:yVal>
          <c:smooth val="0"/>
          <c:extLst>
            <c:ext xmlns:c16="http://schemas.microsoft.com/office/drawing/2014/chart" uri="{C3380CC4-5D6E-409C-BE32-E72D297353CC}">
              <c16:uniqueId val="{00000048-56BA-44A1-9D5C-83997DB4DF62}"/>
            </c:ext>
          </c:extLst>
        </c:ser>
        <c:ser>
          <c:idx val="73"/>
          <c:order val="73"/>
          <c:spPr>
            <a:ln w="3175">
              <a:solidFill>
                <a:srgbClr val="000000"/>
              </a:solidFill>
              <a:prstDash val="solid"/>
            </a:ln>
          </c:spPr>
          <c:marker>
            <c:symbol val="none"/>
          </c:marker>
          <c:xVal>
            <c:numLit>
              <c:formatCode>General</c:formatCode>
              <c:ptCount val="2"/>
              <c:pt idx="0">
                <c:v>-8.486950989224928</c:v>
              </c:pt>
              <c:pt idx="1">
                <c:v>-8.2109345928589796</c:v>
              </c:pt>
            </c:numLit>
          </c:xVal>
          <c:yVal>
            <c:numLit>
              <c:formatCode>General</c:formatCode>
              <c:ptCount val="2"/>
              <c:pt idx="0">
                <c:v>2.597226822015037E-2</c:v>
              </c:pt>
              <c:pt idx="1">
                <c:v>2.5885332561182261E-2</c:v>
              </c:pt>
            </c:numLit>
          </c:yVal>
          <c:smooth val="0"/>
          <c:extLst>
            <c:ext xmlns:c16="http://schemas.microsoft.com/office/drawing/2014/chart" uri="{C3380CC4-5D6E-409C-BE32-E72D297353CC}">
              <c16:uniqueId val="{00000049-56BA-44A1-9D5C-83997DB4DF62}"/>
            </c:ext>
          </c:extLst>
        </c:ser>
        <c:ser>
          <c:idx val="74"/>
          <c:order val="74"/>
          <c:spPr>
            <a:ln w="3175">
              <a:solidFill>
                <a:srgbClr val="000000"/>
              </a:solidFill>
              <a:prstDash val="solid"/>
            </a:ln>
          </c:spPr>
          <c:marker>
            <c:symbol val="none"/>
          </c:marker>
          <c:xVal>
            <c:numLit>
              <c:formatCode>General</c:formatCode>
              <c:ptCount val="2"/>
              <c:pt idx="0">
                <c:v>-8.5609294985956481</c:v>
              </c:pt>
              <c:pt idx="1">
                <c:v>-8.2836376106888263</c:v>
              </c:pt>
            </c:numLit>
          </c:xVal>
          <c:yVal>
            <c:numLit>
              <c:formatCode>General</c:formatCode>
              <c:ptCount val="2"/>
              <c:pt idx="0">
                <c:v>2.5841787211775113E-2</c:v>
              </c:pt>
              <c:pt idx="1">
                <c:v>2.57571012253652E-2</c:v>
              </c:pt>
            </c:numLit>
          </c:yVal>
          <c:smooth val="0"/>
          <c:extLst>
            <c:ext xmlns:c16="http://schemas.microsoft.com/office/drawing/2014/chart" uri="{C3380CC4-5D6E-409C-BE32-E72D297353CC}">
              <c16:uniqueId val="{0000004A-56BA-44A1-9D5C-83997DB4DF62}"/>
            </c:ext>
          </c:extLst>
        </c:ser>
        <c:ser>
          <c:idx val="75"/>
          <c:order val="75"/>
          <c:spPr>
            <a:ln w="3175">
              <a:solidFill>
                <a:srgbClr val="000000"/>
              </a:solidFill>
              <a:prstDash val="solid"/>
            </a:ln>
          </c:spPr>
          <c:marker>
            <c:symbol val="none"/>
          </c:marker>
          <c:xVal>
            <c:numLit>
              <c:formatCode>General</c:formatCode>
              <c:ptCount val="2"/>
              <c:pt idx="0">
                <c:v>-8.6293690287967184</c:v>
              </c:pt>
              <c:pt idx="1">
                <c:v>-8.350897148989878</c:v>
              </c:pt>
            </c:numLit>
          </c:xVal>
          <c:yVal>
            <c:numLit>
              <c:formatCode>General</c:formatCode>
              <c:ptCount val="2"/>
              <c:pt idx="0">
                <c:v>2.5717353342065267E-2</c:v>
              </c:pt>
              <c:pt idx="1">
                <c:v>2.5634812767202073E-2</c:v>
              </c:pt>
            </c:numLit>
          </c:yVal>
          <c:smooth val="0"/>
          <c:extLst>
            <c:ext xmlns:c16="http://schemas.microsoft.com/office/drawing/2014/chart" uri="{C3380CC4-5D6E-409C-BE32-E72D297353CC}">
              <c16:uniqueId val="{0000004B-56BA-44A1-9D5C-83997DB4DF62}"/>
            </c:ext>
          </c:extLst>
        </c:ser>
        <c:ser>
          <c:idx val="76"/>
          <c:order val="76"/>
          <c:spPr>
            <a:ln w="3175">
              <a:solidFill>
                <a:srgbClr val="000000"/>
              </a:solidFill>
              <a:prstDash val="solid"/>
            </a:ln>
          </c:spPr>
          <c:marker>
            <c:symbol val="none"/>
          </c:marker>
          <c:xVal>
            <c:numLit>
              <c:formatCode>General</c:formatCode>
              <c:ptCount val="2"/>
              <c:pt idx="0">
                <c:v>-8.6927887946424995</c:v>
              </c:pt>
              <c:pt idx="1">
                <c:v>-8.4132234705969378</c:v>
              </c:pt>
            </c:numLit>
          </c:xVal>
          <c:yVal>
            <c:numLit>
              <c:formatCode>General</c:formatCode>
              <c:ptCount val="2"/>
              <c:pt idx="0">
                <c:v>2.5598596888211325E-2</c:v>
              </c:pt>
              <c:pt idx="1">
                <c:v>2.5518103838414578E-2</c:v>
              </c:pt>
            </c:numLit>
          </c:yVal>
          <c:smooth val="0"/>
          <c:extLst>
            <c:ext xmlns:c16="http://schemas.microsoft.com/office/drawing/2014/chart" uri="{C3380CC4-5D6E-409C-BE32-E72D297353CC}">
              <c16:uniqueId val="{0000004C-56BA-44A1-9D5C-83997DB4DF62}"/>
            </c:ext>
          </c:extLst>
        </c:ser>
        <c:ser>
          <c:idx val="77"/>
          <c:order val="77"/>
          <c:spPr>
            <a:ln w="3175">
              <a:solidFill>
                <a:srgbClr val="000000"/>
              </a:solidFill>
              <a:prstDash val="solid"/>
            </a:ln>
          </c:spPr>
          <c:marker>
            <c:symbol val="none"/>
          </c:marker>
          <c:xVal>
            <c:numLit>
              <c:formatCode>General</c:formatCode>
              <c:ptCount val="2"/>
              <c:pt idx="0">
                <c:v>-8.7516509745654023</c:v>
              </c:pt>
              <c:pt idx="1">
                <c:v>-8.4710707853487577</c:v>
              </c:pt>
            </c:numLit>
          </c:xVal>
          <c:yVal>
            <c:numLit>
              <c:formatCode>General</c:formatCode>
              <c:ptCount val="2"/>
              <c:pt idx="0">
                <c:v>2.5485173311188873E-2</c:v>
              </c:pt>
              <c:pt idx="1">
                <c:v>2.5406635840306308E-2</c:v>
              </c:pt>
            </c:numLit>
          </c:yVal>
          <c:smooth val="0"/>
          <c:extLst>
            <c:ext xmlns:c16="http://schemas.microsoft.com/office/drawing/2014/chart" uri="{C3380CC4-5D6E-409C-BE32-E72D297353CC}">
              <c16:uniqueId val="{0000004D-56BA-44A1-9D5C-83997DB4DF62}"/>
            </c:ext>
          </c:extLst>
        </c:ser>
        <c:ser>
          <c:idx val="78"/>
          <c:order val="78"/>
          <c:spPr>
            <a:ln w="3175">
              <a:solidFill>
                <a:srgbClr val="000000"/>
              </a:solidFill>
              <a:prstDash val="solid"/>
            </a:ln>
          </c:spPr>
          <c:marker>
            <c:symbol val="none"/>
          </c:marker>
          <c:xVal>
            <c:numLit>
              <c:formatCode>General</c:formatCode>
              <c:ptCount val="2"/>
              <c:pt idx="0">
                <c:v>-8.8573072883626267</c:v>
              </c:pt>
              <c:pt idx="1">
                <c:v>-8.5749054385632704</c:v>
              </c:pt>
            </c:numLit>
          </c:xVal>
          <c:yVal>
            <c:numLit>
              <c:formatCode>General</c:formatCode>
              <c:ptCount val="2"/>
              <c:pt idx="0">
                <c:v>2.5273063556165737E-2</c:v>
              </c:pt>
              <c:pt idx="1">
                <c:v>2.519818315002495E-2</c:v>
              </c:pt>
            </c:numLit>
          </c:yVal>
          <c:smooth val="0"/>
          <c:extLst>
            <c:ext xmlns:c16="http://schemas.microsoft.com/office/drawing/2014/chart" uri="{C3380CC4-5D6E-409C-BE32-E72D297353CC}">
              <c16:uniqueId val="{0000004E-56BA-44A1-9D5C-83997DB4DF62}"/>
            </c:ext>
          </c:extLst>
        </c:ser>
        <c:ser>
          <c:idx val="79"/>
          <c:order val="79"/>
          <c:spPr>
            <a:ln w="3175">
              <a:solidFill>
                <a:srgbClr val="000000"/>
              </a:solidFill>
              <a:prstDash val="solid"/>
            </a:ln>
          </c:spPr>
          <c:marker>
            <c:symbol val="none"/>
          </c:marker>
          <c:xVal>
            <c:numLit>
              <c:formatCode>General</c:formatCode>
              <c:ptCount val="2"/>
              <c:pt idx="0">
                <c:v>-8.9491390821074628</c:v>
              </c:pt>
              <c:pt idx="1">
                <c:v>-8.6651539255194017</c:v>
              </c:pt>
            </c:numLit>
          </c:xVal>
          <c:yVal>
            <c:numLit>
              <c:formatCode>General</c:formatCode>
              <c:ptCount val="2"/>
              <c:pt idx="0">
                <c:v>2.5078714550976496E-2</c:v>
              </c:pt>
              <c:pt idx="1">
                <c:v>2.5007184989752764E-2</c:v>
              </c:pt>
            </c:numLit>
          </c:yVal>
          <c:smooth val="0"/>
          <c:extLst>
            <c:ext xmlns:c16="http://schemas.microsoft.com/office/drawing/2014/chart" uri="{C3380CC4-5D6E-409C-BE32-E72D297353CC}">
              <c16:uniqueId val="{0000004F-56BA-44A1-9D5C-83997DB4DF62}"/>
            </c:ext>
          </c:extLst>
        </c:ser>
        <c:ser>
          <c:idx val="80"/>
          <c:order val="80"/>
          <c:spPr>
            <a:ln w="3175">
              <a:solidFill>
                <a:srgbClr val="000000"/>
              </a:solidFill>
              <a:prstDash val="solid"/>
            </a:ln>
          </c:spPr>
          <c:marker>
            <c:symbol val="none"/>
          </c:marker>
          <c:xVal>
            <c:numLit>
              <c:formatCode>General</c:formatCode>
              <c:ptCount val="2"/>
              <c:pt idx="0">
                <c:v>-9.0293977395002667</c:v>
              </c:pt>
              <c:pt idx="1">
                <c:v>-8.7440288129571595</c:v>
              </c:pt>
            </c:numLit>
          </c:xVal>
          <c:yVal>
            <c:numLit>
              <c:formatCode>General</c:formatCode>
              <c:ptCount val="2"/>
              <c:pt idx="0">
                <c:v>2.4900125447290717E-2</c:v>
              </c:pt>
              <c:pt idx="1">
                <c:v>2.4831675008544326E-2</c:v>
              </c:pt>
            </c:numLit>
          </c:yVal>
          <c:smooth val="0"/>
          <c:extLst>
            <c:ext xmlns:c16="http://schemas.microsoft.com/office/drawing/2014/chart" uri="{C3380CC4-5D6E-409C-BE32-E72D297353CC}">
              <c16:uniqueId val="{00000050-56BA-44A1-9D5C-83997DB4DF62}"/>
            </c:ext>
          </c:extLst>
        </c:ser>
        <c:ser>
          <c:idx val="81"/>
          <c:order val="81"/>
          <c:spPr>
            <a:ln w="3175">
              <a:solidFill>
                <a:srgbClr val="000000"/>
              </a:solidFill>
              <a:prstDash val="solid"/>
            </a:ln>
          </c:spPr>
          <c:marker>
            <c:symbol val="none"/>
          </c:marker>
          <c:xVal>
            <c:numLit>
              <c:formatCode>General</c:formatCode>
              <c:ptCount val="2"/>
              <c:pt idx="0">
                <c:v>-9.0999057043833709</c:v>
              </c:pt>
              <c:pt idx="1">
                <c:v>-8.8133211232733135</c:v>
              </c:pt>
            </c:numLit>
          </c:xVal>
          <c:yVal>
            <c:numLit>
              <c:formatCode>General</c:formatCode>
              <c:ptCount val="2"/>
              <c:pt idx="0">
                <c:v>2.4735561478973527E-2</c:v>
              </c:pt>
              <c:pt idx="1">
                <c:v>2.466994835002571E-2</c:v>
              </c:pt>
            </c:numLit>
          </c:yVal>
          <c:smooth val="0"/>
          <c:extLst>
            <c:ext xmlns:c16="http://schemas.microsoft.com/office/drawing/2014/chart" uri="{C3380CC4-5D6E-409C-BE32-E72D297353CC}">
              <c16:uniqueId val="{00000051-56BA-44A1-9D5C-83997DB4DF62}"/>
            </c:ext>
          </c:extLst>
        </c:ser>
        <c:ser>
          <c:idx val="82"/>
          <c:order val="82"/>
          <c:spPr>
            <a:ln w="3175">
              <a:solidFill>
                <a:srgbClr val="000000"/>
              </a:solidFill>
              <a:prstDash val="solid"/>
            </a:ln>
          </c:spPr>
          <c:marker>
            <c:symbol val="none"/>
          </c:marker>
          <c:xVal>
            <c:numLit>
              <c:formatCode>General</c:formatCode>
              <c:ptCount val="2"/>
              <c:pt idx="0">
                <c:v>-9.1621483944066782</c:v>
              </c:pt>
              <c:pt idx="1">
                <c:v>-8.5868329325305854</c:v>
              </c:pt>
            </c:numLit>
          </c:xVal>
          <c:yVal>
            <c:numLit>
              <c:formatCode>General</c:formatCode>
              <c:ptCount val="2"/>
              <c:pt idx="0">
                <c:v>2.4583516169954973E-2</c:v>
              </c:pt>
              <c:pt idx="1">
                <c:v>2.4457532853749627E-2</c:v>
              </c:pt>
            </c:numLit>
          </c:yVal>
          <c:smooth val="0"/>
          <c:extLst>
            <c:ext xmlns:c16="http://schemas.microsoft.com/office/drawing/2014/chart" uri="{C3380CC4-5D6E-409C-BE32-E72D297353CC}">
              <c16:uniqueId val="{00000052-56BA-44A1-9D5C-83997DB4DF62}"/>
            </c:ext>
          </c:extLst>
        </c:ser>
        <c:ser>
          <c:idx val="83"/>
          <c:order val="83"/>
          <c:spPr>
            <a:ln w="3175">
              <a:solidFill>
                <a:srgbClr val="000000"/>
              </a:solidFill>
              <a:prstDash val="solid"/>
            </a:ln>
          </c:spPr>
          <c:marker>
            <c:symbol val="none"/>
          </c:marker>
          <c:xVal>
            <c:numLit>
              <c:formatCode>General</c:formatCode>
              <c:ptCount val="2"/>
              <c:pt idx="0">
                <c:v>-9.2890805085034174</c:v>
              </c:pt>
              <c:pt idx="1">
                <c:v>-8.9992342928395654</c:v>
              </c:pt>
            </c:numLit>
          </c:xVal>
          <c:yVal>
            <c:numLit>
              <c:formatCode>General</c:formatCode>
              <c:ptCount val="2"/>
              <c:pt idx="0">
                <c:v>2.4249973889194042E-2</c:v>
              </c:pt>
              <c:pt idx="1">
                <c:v>2.4192732960070008E-2</c:v>
              </c:pt>
            </c:numLit>
          </c:yVal>
          <c:smooth val="0"/>
          <c:extLst>
            <c:ext xmlns:c16="http://schemas.microsoft.com/office/drawing/2014/chart" uri="{C3380CC4-5D6E-409C-BE32-E72D297353CC}">
              <c16:uniqueId val="{00000053-56BA-44A1-9D5C-83997DB4DF62}"/>
            </c:ext>
          </c:extLst>
        </c:ser>
        <c:ser>
          <c:idx val="84"/>
          <c:order val="84"/>
          <c:spPr>
            <a:ln w="3175">
              <a:solidFill>
                <a:srgbClr val="000000"/>
              </a:solidFill>
              <a:prstDash val="solid"/>
            </a:ln>
          </c:spPr>
          <c:marker>
            <c:symbol val="none"/>
          </c:marker>
          <c:xVal>
            <c:numLit>
              <c:formatCode>General</c:formatCode>
              <c:ptCount val="2"/>
              <c:pt idx="0">
                <c:v>-9.3854262264463078</c:v>
              </c:pt>
              <c:pt idx="1">
                <c:v>-8.8024115289826401</c:v>
              </c:pt>
            </c:numLit>
          </c:xVal>
          <c:yVal>
            <c:numLit>
              <c:formatCode>General</c:formatCode>
              <c:ptCount val="2"/>
              <c:pt idx="0">
                <c:v>2.3970556092921879E-2</c:v>
              </c:pt>
              <c:pt idx="1">
                <c:v>2.3865709331096985E-2</c:v>
              </c:pt>
            </c:numLit>
          </c:yVal>
          <c:smooth val="0"/>
          <c:extLst>
            <c:ext xmlns:c16="http://schemas.microsoft.com/office/drawing/2014/chart" uri="{C3380CC4-5D6E-409C-BE32-E72D297353CC}">
              <c16:uniqueId val="{00000054-56BA-44A1-9D5C-83997DB4DF62}"/>
            </c:ext>
          </c:extLst>
        </c:ser>
        <c:ser>
          <c:idx val="85"/>
          <c:order val="85"/>
          <c:spPr>
            <a:ln w="3175">
              <a:solidFill>
                <a:srgbClr val="000000"/>
              </a:solidFill>
              <a:prstDash val="solid"/>
            </a:ln>
          </c:spPr>
          <c:marker>
            <c:symbol val="none"/>
          </c:marker>
          <c:xVal>
            <c:numLit>
              <c:formatCode>General</c:formatCode>
              <c:ptCount val="2"/>
              <c:pt idx="0">
                <c:v>-9.4601719381821585</c:v>
              </c:pt>
              <c:pt idx="1">
                <c:v>-9.1673758702824664</c:v>
              </c:pt>
            </c:numLit>
          </c:xVal>
          <c:yVal>
            <c:numLit>
              <c:formatCode>General</c:formatCode>
              <c:ptCount val="2"/>
              <c:pt idx="0">
                <c:v>2.3733423854580125E-2</c:v>
              </c:pt>
              <c:pt idx="1">
                <c:v>2.3685088960535641E-2</c:v>
              </c:pt>
            </c:numLit>
          </c:yVal>
          <c:smooth val="0"/>
          <c:extLst>
            <c:ext xmlns:c16="http://schemas.microsoft.com/office/drawing/2014/chart" uri="{C3380CC4-5D6E-409C-BE32-E72D297353CC}">
              <c16:uniqueId val="{00000055-56BA-44A1-9D5C-83997DB4DF62}"/>
            </c:ext>
          </c:extLst>
        </c:ser>
        <c:ser>
          <c:idx val="86"/>
          <c:order val="86"/>
          <c:spPr>
            <a:ln w="3175">
              <a:solidFill>
                <a:srgbClr val="000000"/>
              </a:solidFill>
              <a:prstDash val="solid"/>
            </a:ln>
          </c:spPr>
          <c:marker>
            <c:symbol val="none"/>
          </c:marker>
          <c:xVal>
            <c:numLit>
              <c:formatCode>General</c:formatCode>
              <c:ptCount val="2"/>
              <c:pt idx="0">
                <c:v>-9.5192631793601503</c:v>
              </c:pt>
              <c:pt idx="1">
                <c:v>-8.9316334145546268</c:v>
              </c:pt>
            </c:numLit>
          </c:xVal>
          <c:yVal>
            <c:numLit>
              <c:formatCode>General</c:formatCode>
              <c:ptCount val="2"/>
              <c:pt idx="0">
                <c:v>2.3529865143833231E-2</c:v>
              </c:pt>
              <c:pt idx="1">
                <c:v>2.3440214621632083E-2</c:v>
              </c:pt>
            </c:numLit>
          </c:yVal>
          <c:smooth val="0"/>
          <c:extLst>
            <c:ext xmlns:c16="http://schemas.microsoft.com/office/drawing/2014/chart" uri="{C3380CC4-5D6E-409C-BE32-E72D297353CC}">
              <c16:uniqueId val="{00000056-56BA-44A1-9D5C-83997DB4DF62}"/>
            </c:ext>
          </c:extLst>
        </c:ser>
        <c:ser>
          <c:idx val="87"/>
          <c:order val="87"/>
          <c:spPr>
            <a:ln w="3175">
              <a:solidFill>
                <a:srgbClr val="000000"/>
              </a:solidFill>
              <a:prstDash val="solid"/>
            </a:ln>
          </c:spPr>
          <c:marker>
            <c:symbol val="none"/>
          </c:marker>
          <c:xVal>
            <c:numLit>
              <c:formatCode>General</c:formatCode>
              <c:ptCount val="2"/>
              <c:pt idx="0">
                <c:v>-9.5667494735594438</c:v>
              </c:pt>
              <c:pt idx="1">
                <c:v>-9.2721158619463502</c:v>
              </c:pt>
            </c:numLit>
          </c:xVal>
          <c:yVal>
            <c:numLit>
              <c:formatCode>General</c:formatCode>
              <c:ptCount val="2"/>
              <c:pt idx="0">
                <c:v>2.3353355225599216E-2</c:v>
              </c:pt>
              <c:pt idx="1">
                <c:v>2.3311573238950951E-2</c:v>
              </c:pt>
            </c:numLit>
          </c:yVal>
          <c:smooth val="0"/>
          <c:extLst>
            <c:ext xmlns:c16="http://schemas.microsoft.com/office/drawing/2014/chart" uri="{C3380CC4-5D6E-409C-BE32-E72D297353CC}">
              <c16:uniqueId val="{00000057-56BA-44A1-9D5C-83997DB4DF62}"/>
            </c:ext>
          </c:extLst>
        </c:ser>
        <c:ser>
          <c:idx val="88"/>
          <c:order val="88"/>
          <c:spPr>
            <a:ln w="3175">
              <a:solidFill>
                <a:srgbClr val="000000"/>
              </a:solidFill>
              <a:prstDash val="solid"/>
            </a:ln>
          </c:spPr>
          <c:marker>
            <c:symbol val="none"/>
          </c:marker>
          <c:xVal>
            <c:numLit>
              <c:formatCode>General</c:formatCode>
              <c:ptCount val="2"/>
              <c:pt idx="0">
                <c:v>-9.6054604899925025</c:v>
              </c:pt>
              <c:pt idx="1">
                <c:v>-9.0148584041306901</c:v>
              </c:pt>
            </c:numLit>
          </c:xVal>
          <c:yVal>
            <c:numLit>
              <c:formatCode>General</c:formatCode>
              <c:ptCount val="2"/>
              <c:pt idx="0">
                <c:v>2.3198926159195745E-2</c:v>
              </c:pt>
              <c:pt idx="1">
                <c:v>2.3120687326120031E-2</c:v>
              </c:pt>
            </c:numLit>
          </c:yVal>
          <c:smooth val="0"/>
          <c:extLst>
            <c:ext xmlns:c16="http://schemas.microsoft.com/office/drawing/2014/chart" uri="{C3380CC4-5D6E-409C-BE32-E72D297353CC}">
              <c16:uniqueId val="{00000058-56BA-44A1-9D5C-83997DB4DF62}"/>
            </c:ext>
          </c:extLst>
        </c:ser>
        <c:ser>
          <c:idx val="89"/>
          <c:order val="89"/>
          <c:spPr>
            <a:ln w="3175">
              <a:solidFill>
                <a:srgbClr val="000000"/>
              </a:solidFill>
              <a:prstDash val="solid"/>
            </a:ln>
          </c:spPr>
          <c:marker>
            <c:symbol val="none"/>
          </c:marker>
          <c:xVal>
            <c:numLit>
              <c:formatCode>General</c:formatCode>
              <c:ptCount val="2"/>
              <c:pt idx="0">
                <c:v>-9.6640995467395676</c:v>
              </c:pt>
              <c:pt idx="1">
                <c:v>-9.3677874855888845</c:v>
              </c:pt>
            </c:numLit>
          </c:xVal>
          <c:yVal>
            <c:numLit>
              <c:formatCode>General</c:formatCode>
              <c:ptCount val="2"/>
              <c:pt idx="0">
                <c:v>2.294177753595765E-2</c:v>
              </c:pt>
              <c:pt idx="1">
                <c:v>2.2907091716372171E-2</c:v>
              </c:pt>
            </c:numLit>
          </c:yVal>
          <c:smooth val="0"/>
          <c:extLst>
            <c:ext xmlns:c16="http://schemas.microsoft.com/office/drawing/2014/chart" uri="{C3380CC4-5D6E-409C-BE32-E72D297353CC}">
              <c16:uniqueId val="{00000059-56BA-44A1-9D5C-83997DB4DF62}"/>
            </c:ext>
          </c:extLst>
        </c:ser>
        <c:ser>
          <c:idx val="90"/>
          <c:order val="90"/>
          <c:spPr>
            <a:ln w="3175">
              <a:solidFill>
                <a:srgbClr val="000000"/>
              </a:solidFill>
              <a:prstDash val="solid"/>
            </a:ln>
          </c:spPr>
          <c:marker>
            <c:symbol val="none"/>
          </c:marker>
          <c:xVal>
            <c:numLit>
              <c:formatCode>General</c:formatCode>
              <c:ptCount val="2"/>
              <c:pt idx="0">
                <c:v>-9.7057408037734945</c:v>
              </c:pt>
              <c:pt idx="1">
                <c:v>-9.4087107899153306</c:v>
              </c:pt>
            </c:numLit>
          </c:xVal>
          <c:yVal>
            <c:numLit>
              <c:formatCode>General</c:formatCode>
              <c:ptCount val="2"/>
              <c:pt idx="0">
                <c:v>2.2736452704669185E-2</c:v>
              </c:pt>
              <c:pt idx="1">
                <c:v>2.2705306968381786E-2</c:v>
              </c:pt>
            </c:numLit>
          </c:yVal>
          <c:smooth val="0"/>
          <c:extLst>
            <c:ext xmlns:c16="http://schemas.microsoft.com/office/drawing/2014/chart" uri="{C3380CC4-5D6E-409C-BE32-E72D297353CC}">
              <c16:uniqueId val="{0000005A-56BA-44A1-9D5C-83997DB4DF62}"/>
            </c:ext>
          </c:extLst>
        </c:ser>
        <c:ser>
          <c:idx val="91"/>
          <c:order val="91"/>
          <c:spPr>
            <a:ln w="3175">
              <a:solidFill>
                <a:srgbClr val="000000"/>
              </a:solidFill>
              <a:prstDash val="solid"/>
            </a:ln>
          </c:spPr>
          <c:marker>
            <c:symbol val="none"/>
          </c:marker>
          <c:xVal>
            <c:numLit>
              <c:formatCode>General</c:formatCode>
              <c:ptCount val="2"/>
              <c:pt idx="0">
                <c:v>-9.7363488755763594</c:v>
              </c:pt>
              <c:pt idx="1">
                <c:v>-9.4387911363422834</c:v>
              </c:pt>
            </c:numLit>
          </c:xVal>
          <c:yVal>
            <c:numLit>
              <c:formatCode>General</c:formatCode>
              <c:ptCount val="2"/>
              <c:pt idx="0">
                <c:v>2.2568842643838953E-2</c:v>
              </c:pt>
              <c:pt idx="1">
                <c:v>2.2540586736186558E-2</c:v>
              </c:pt>
            </c:numLit>
          </c:yVal>
          <c:smooth val="0"/>
          <c:extLst>
            <c:ext xmlns:c16="http://schemas.microsoft.com/office/drawing/2014/chart" uri="{C3380CC4-5D6E-409C-BE32-E72D297353CC}">
              <c16:uniqueId val="{0000005B-56BA-44A1-9D5C-83997DB4DF62}"/>
            </c:ext>
          </c:extLst>
        </c:ser>
        <c:ser>
          <c:idx val="92"/>
          <c:order val="92"/>
          <c:spPr>
            <a:ln w="3175">
              <a:solidFill>
                <a:srgbClr val="000000"/>
              </a:solidFill>
              <a:prstDash val="solid"/>
            </a:ln>
          </c:spPr>
          <c:marker>
            <c:symbol val="none"/>
          </c:marker>
          <c:xVal>
            <c:numLit>
              <c:formatCode>General</c:formatCode>
              <c:ptCount val="2"/>
              <c:pt idx="0">
                <c:v>-9.7594920592975569</c:v>
              </c:pt>
              <c:pt idx="1">
                <c:v>-9.4615352996544964</c:v>
              </c:pt>
            </c:numLit>
          </c:xVal>
          <c:yVal>
            <c:numLit>
              <c:formatCode>General</c:formatCode>
              <c:ptCount val="2"/>
              <c:pt idx="0">
                <c:v>2.2429498103471914E-2</c:v>
              </c:pt>
              <c:pt idx="1">
                <c:v>2.2403644687894811E-2</c:v>
              </c:pt>
            </c:numLit>
          </c:yVal>
          <c:smooth val="0"/>
          <c:extLst>
            <c:ext xmlns:c16="http://schemas.microsoft.com/office/drawing/2014/chart" uri="{C3380CC4-5D6E-409C-BE32-E72D297353CC}">
              <c16:uniqueId val="{0000005C-56BA-44A1-9D5C-83997DB4DF62}"/>
            </c:ext>
          </c:extLst>
        </c:ser>
        <c:ser>
          <c:idx val="93"/>
          <c:order val="93"/>
          <c:spPr>
            <a:ln w="3175">
              <a:solidFill>
                <a:srgbClr val="000000"/>
              </a:solidFill>
              <a:prstDash val="solid"/>
            </a:ln>
          </c:spPr>
          <c:marker>
            <c:symbol val="none"/>
          </c:marker>
          <c:xVal>
            <c:numLit>
              <c:formatCode>General</c:formatCode>
              <c:ptCount val="2"/>
              <c:pt idx="0">
                <c:v>-9.7774082431157812</c:v>
              </c:pt>
              <c:pt idx="1">
                <c:v>-9.1808769243876487</c:v>
              </c:pt>
            </c:numLit>
          </c:xVal>
          <c:yVal>
            <c:numLit>
              <c:formatCode>General</c:formatCode>
              <c:ptCount val="2"/>
              <c:pt idx="0">
                <c:v>2.2311864752467405E-2</c:v>
              </c:pt>
              <c:pt idx="1">
                <c:v>2.2264214243761633E-2</c:v>
              </c:pt>
            </c:numLit>
          </c:yVal>
          <c:smooth val="0"/>
          <c:extLst>
            <c:ext xmlns:c16="http://schemas.microsoft.com/office/drawing/2014/chart" uri="{C3380CC4-5D6E-409C-BE32-E72D297353CC}">
              <c16:uniqueId val="{0000005D-56BA-44A1-9D5C-83997DB4DF62}"/>
            </c:ext>
          </c:extLst>
        </c:ser>
        <c:ser>
          <c:idx val="94"/>
          <c:order val="94"/>
          <c:spPr>
            <a:ln w="3175">
              <a:solidFill>
                <a:srgbClr val="000000"/>
              </a:solidFill>
              <a:prstDash val="solid"/>
            </a:ln>
          </c:spPr>
          <c:marker>
            <c:symbol val="none"/>
          </c:marker>
          <c:xVal>
            <c:numLit>
              <c:formatCode>General</c:formatCode>
              <c:ptCount val="2"/>
              <c:pt idx="0">
                <c:v>-9.826239533393677</c:v>
              </c:pt>
              <c:pt idx="1">
                <c:v>-9.5271319552317166</c:v>
              </c:pt>
            </c:numLit>
          </c:xVal>
          <c:yVal>
            <c:numLit>
              <c:formatCode>General</c:formatCode>
              <c:ptCount val="2"/>
              <c:pt idx="0">
                <c:v>2.19219477646126E-2</c:v>
              </c:pt>
              <c:pt idx="1">
                <c:v>2.1904845216946866E-2</c:v>
              </c:pt>
            </c:numLit>
          </c:yVal>
          <c:smooth val="0"/>
          <c:extLst>
            <c:ext xmlns:c16="http://schemas.microsoft.com/office/drawing/2014/chart" uri="{C3380CC4-5D6E-409C-BE32-E72D297353CC}">
              <c16:uniqueId val="{0000005E-56BA-44A1-9D5C-83997DB4DF62}"/>
            </c:ext>
          </c:extLst>
        </c:ser>
        <c:ser>
          <c:idx val="95"/>
          <c:order val="95"/>
          <c:spPr>
            <a:ln w="3175">
              <a:solidFill>
                <a:srgbClr val="000000"/>
              </a:solidFill>
              <a:prstDash val="solid"/>
            </a:ln>
          </c:spPr>
          <c:marker>
            <c:symbol val="none"/>
          </c:marker>
          <c:xVal>
            <c:numLit>
              <c:formatCode>General</c:formatCode>
              <c:ptCount val="2"/>
              <c:pt idx="0">
                <c:v>-9.8465584490956477</c:v>
              </c:pt>
              <c:pt idx="1">
                <c:v>-9.2476426405061414</c:v>
              </c:pt>
            </c:numLit>
          </c:xVal>
          <c:yVal>
            <c:numLit>
              <c:formatCode>General</c:formatCode>
              <c:ptCount val="2"/>
              <c:pt idx="0">
                <c:v>2.1703336717703383E-2</c:v>
              </c:pt>
              <c:pt idx="1">
                <c:v>2.16766699343343E-2</c:v>
              </c:pt>
            </c:numLit>
          </c:yVal>
          <c:smooth val="0"/>
          <c:extLst>
            <c:ext xmlns:c16="http://schemas.microsoft.com/office/drawing/2014/chart" uri="{C3380CC4-5D6E-409C-BE32-E72D297353CC}">
              <c16:uniqueId val="{0000005F-56BA-44A1-9D5C-83997DB4DF62}"/>
            </c:ext>
          </c:extLst>
        </c:ser>
        <c:ser>
          <c:idx val="96"/>
          <c:order val="96"/>
          <c:spPr>
            <a:ln w="3175">
              <a:solidFill>
                <a:srgbClr val="000000"/>
              </a:solidFill>
              <a:prstDash val="solid"/>
            </a:ln>
          </c:spPr>
          <c:marker>
            <c:symbol val="none"/>
          </c:marker>
          <c:xVal>
            <c:numLit>
              <c:formatCode>General</c:formatCode>
              <c:ptCount val="2"/>
              <c:pt idx="0">
                <c:v>-9.862870431265371</c:v>
              </c:pt>
              <c:pt idx="1">
                <c:v>-9.5631312858987254</c:v>
              </c:pt>
            </c:numLit>
          </c:xVal>
          <c:yVal>
            <c:numLit>
              <c:formatCode>General</c:formatCode>
              <c:ptCount val="2"/>
              <c:pt idx="0">
                <c:v>2.1466576659932901E-2</c:v>
              </c:pt>
              <c:pt idx="1">
                <c:v>2.1457325338209921E-2</c:v>
              </c:pt>
            </c:numLit>
          </c:yVal>
          <c:smooth val="0"/>
          <c:extLst>
            <c:ext xmlns:c16="http://schemas.microsoft.com/office/drawing/2014/chart" uri="{C3380CC4-5D6E-409C-BE32-E72D297353CC}">
              <c16:uniqueId val="{00000060-56BA-44A1-9D5C-83997DB4DF62}"/>
            </c:ext>
          </c:extLst>
        </c:ser>
        <c:ser>
          <c:idx val="97"/>
          <c:order val="97"/>
          <c:spPr>
            <a:ln w="3175">
              <a:solidFill>
                <a:srgbClr val="000000"/>
              </a:solidFill>
              <a:prstDash val="solid"/>
            </a:ln>
          </c:spPr>
          <c:marker>
            <c:symbol val="none"/>
          </c:marker>
          <c:xVal>
            <c:numLit>
              <c:formatCode>General</c:formatCode>
              <c:ptCount val="2"/>
              <c:pt idx="0">
                <c:v>-9.8691357952931487</c:v>
              </c:pt>
              <c:pt idx="1">
                <c:v>-9.2694414575244188</c:v>
              </c:pt>
            </c:numLit>
          </c:xVal>
          <c:yVal>
            <c:numLit>
              <c:formatCode>General</c:formatCode>
              <c:ptCount val="2"/>
              <c:pt idx="0">
                <c:v>2.1340749932151591E-2</c:v>
              </c:pt>
              <c:pt idx="1">
                <c:v>2.1326586141387743E-2</c:v>
              </c:pt>
            </c:numLit>
          </c:yVal>
          <c:smooth val="0"/>
          <c:extLst>
            <c:ext xmlns:c16="http://schemas.microsoft.com/office/drawing/2014/chart" uri="{C3380CC4-5D6E-409C-BE32-E72D297353CC}">
              <c16:uniqueId val="{00000061-56BA-44A1-9D5C-83997DB4DF62}"/>
            </c:ext>
          </c:extLst>
        </c:ser>
        <c:ser>
          <c:idx val="98"/>
          <c:order val="98"/>
          <c:spPr>
            <a:ln w="3175">
              <a:solidFill>
                <a:srgbClr val="000000"/>
              </a:solidFill>
              <a:prstDash val="solid"/>
            </a:ln>
          </c:spPr>
          <c:marker>
            <c:symbol val="none"/>
          </c:marker>
          <c:xVal>
            <c:numLit>
              <c:formatCode>General</c:formatCode>
              <c:ptCount val="2"/>
              <c:pt idx="0">
                <c:v>-9.8780000000000001</c:v>
              </c:pt>
              <c:pt idx="1">
                <c:v>-9.2779999999999987</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62-56BA-44A1-9D5C-83997DB4DF62}"/>
            </c:ext>
          </c:extLst>
        </c:ser>
        <c:ser>
          <c:idx val="99"/>
          <c:order val="99"/>
          <c:spPr>
            <a:ln w="3175">
              <a:solidFill>
                <a:srgbClr val="000000"/>
              </a:solidFill>
              <a:prstDash val="solid"/>
            </a:ln>
          </c:spPr>
          <c:marker>
            <c:symbol val="none"/>
          </c:marker>
          <c:xVal>
            <c:numLit>
              <c:formatCode>General</c:formatCode>
              <c:ptCount val="2"/>
              <c:pt idx="0">
                <c:v>-9.8665090567206697</c:v>
              </c:pt>
              <c:pt idx="1">
                <c:v>-9.2669052961440936</c:v>
              </c:pt>
            </c:numLit>
          </c:xVal>
          <c:yVal>
            <c:numLit>
              <c:formatCode>General</c:formatCode>
              <c:ptCount val="2"/>
              <c:pt idx="0">
                <c:v>2.0462352026117177E-2</c:v>
              </c:pt>
              <c:pt idx="1">
                <c:v>2.0478477818320035E-2</c:v>
              </c:pt>
            </c:numLit>
          </c:yVal>
          <c:smooth val="0"/>
          <c:extLst>
            <c:ext xmlns:c16="http://schemas.microsoft.com/office/drawing/2014/chart" uri="{C3380CC4-5D6E-409C-BE32-E72D297353CC}">
              <c16:uniqueId val="{00000063-56BA-44A1-9D5C-83997DB4DF62}"/>
            </c:ext>
          </c:extLst>
        </c:ser>
        <c:ser>
          <c:idx val="100"/>
          <c:order val="100"/>
          <c:spPr>
            <a:ln w="3175">
              <a:solidFill>
                <a:srgbClr val="000000"/>
              </a:solidFill>
              <a:prstDash val="solid"/>
            </a:ln>
          </c:spPr>
          <c:marker>
            <c:symbol val="none"/>
          </c:marker>
          <c:xVal>
            <c:numLit>
              <c:formatCode>General</c:formatCode>
              <c:ptCount val="2"/>
              <c:pt idx="0">
                <c:v>-9.8566117153194046</c:v>
              </c:pt>
              <c:pt idx="1">
                <c:v>-9.5569804788483808</c:v>
              </c:pt>
            </c:numLit>
          </c:xVal>
          <c:yVal>
            <c:numLit>
              <c:formatCode>General</c:formatCode>
              <c:ptCount val="2"/>
              <c:pt idx="0">
                <c:v>2.0292078253462336E-2</c:v>
              </c:pt>
              <c:pt idx="1">
                <c:v>2.0303076904264708E-2</c:v>
              </c:pt>
            </c:numLit>
          </c:yVal>
          <c:smooth val="0"/>
          <c:extLst>
            <c:ext xmlns:c16="http://schemas.microsoft.com/office/drawing/2014/chart" uri="{C3380CC4-5D6E-409C-BE32-E72D297353CC}">
              <c16:uniqueId val="{00000064-56BA-44A1-9D5C-83997DB4DF62}"/>
            </c:ext>
          </c:extLst>
        </c:ser>
        <c:ser>
          <c:idx val="101"/>
          <c:order val="101"/>
          <c:spPr>
            <a:ln w="3175">
              <a:solidFill>
                <a:srgbClr val="000000"/>
              </a:solidFill>
              <a:prstDash val="solid"/>
            </a:ln>
          </c:spPr>
          <c:marker>
            <c:symbol val="none"/>
          </c:marker>
          <c:xVal>
            <c:numLit>
              <c:formatCode>General</c:formatCode>
              <c:ptCount val="2"/>
              <c:pt idx="0">
                <c:v>-9.825120498007605</c:v>
              </c:pt>
              <c:pt idx="1">
                <c:v>-9.2269439291107886</c:v>
              </c:pt>
            </c:numLit>
          </c:xVal>
          <c:yVal>
            <c:numLit>
              <c:formatCode>General</c:formatCode>
              <c:ptCount val="2"/>
              <c:pt idx="0">
                <c:v>1.9927403009249937E-2</c:v>
              </c:pt>
              <c:pt idx="1">
                <c:v>1.9961975319275804E-2</c:v>
              </c:pt>
            </c:numLit>
          </c:yVal>
          <c:smooth val="0"/>
          <c:extLst>
            <c:ext xmlns:c16="http://schemas.microsoft.com/office/drawing/2014/chart" uri="{C3380CC4-5D6E-409C-BE32-E72D297353CC}">
              <c16:uniqueId val="{00000065-56BA-44A1-9D5C-83997DB4DF62}"/>
            </c:ext>
          </c:extLst>
        </c:ser>
        <c:ser>
          <c:idx val="102"/>
          <c:order val="102"/>
          <c:spPr>
            <a:ln w="3175">
              <a:solidFill>
                <a:srgbClr val="000000"/>
              </a:solidFill>
              <a:prstDash val="solid"/>
            </a:ln>
          </c:spPr>
          <c:marker>
            <c:symbol val="none"/>
          </c:marker>
          <c:xVal>
            <c:numLit>
              <c:formatCode>General</c:formatCode>
              <c:ptCount val="2"/>
              <c:pt idx="0">
                <c:v>-9.7743638069967425</c:v>
              </c:pt>
              <c:pt idx="1">
                <c:v>-9.1779374688244388</c:v>
              </c:pt>
            </c:numLit>
          </c:xVal>
          <c:yVal>
            <c:numLit>
              <c:formatCode>General</c:formatCode>
              <c:ptCount val="2"/>
              <c:pt idx="0">
                <c:v>1.9527441400141971E-2</c:v>
              </c:pt>
              <c:pt idx="1">
                <c:v>1.957580548979225E-2</c:v>
              </c:pt>
            </c:numLit>
          </c:yVal>
          <c:smooth val="0"/>
          <c:extLst>
            <c:ext xmlns:c16="http://schemas.microsoft.com/office/drawing/2014/chart" uri="{C3380CC4-5D6E-409C-BE32-E72D297353CC}">
              <c16:uniqueId val="{00000066-56BA-44A1-9D5C-83997DB4DF62}"/>
            </c:ext>
          </c:extLst>
        </c:ser>
        <c:ser>
          <c:idx val="103"/>
          <c:order val="103"/>
          <c:spPr>
            <a:ln w="3175">
              <a:solidFill>
                <a:srgbClr val="000000"/>
              </a:solidFill>
              <a:prstDash val="solid"/>
            </a:ln>
          </c:spPr>
          <c:marker>
            <c:symbol val="none"/>
          </c:marker>
          <c:xVal>
            <c:numLit>
              <c:formatCode>General</c:formatCode>
              <c:ptCount val="2"/>
              <c:pt idx="0">
                <c:v>-9.7555947041230944</c:v>
              </c:pt>
              <c:pt idx="1">
                <c:v>-9.4577051402589021</c:v>
              </c:pt>
            </c:numLit>
          </c:xVal>
          <c:yVal>
            <c:numLit>
              <c:formatCode>General</c:formatCode>
              <c:ptCount val="2"/>
              <c:pt idx="0">
                <c:v>1.9406130083083659E-2</c:v>
              </c:pt>
              <c:pt idx="1">
                <c:v>1.9432403702340839E-2</c:v>
              </c:pt>
            </c:numLit>
          </c:yVal>
          <c:smooth val="0"/>
          <c:extLst>
            <c:ext xmlns:c16="http://schemas.microsoft.com/office/drawing/2014/chart" uri="{C3380CC4-5D6E-409C-BE32-E72D297353CC}">
              <c16:uniqueId val="{00000067-56BA-44A1-9D5C-83997DB4DF62}"/>
            </c:ext>
          </c:extLst>
        </c:ser>
        <c:ser>
          <c:idx val="104"/>
          <c:order val="104"/>
          <c:spPr>
            <a:ln w="3175">
              <a:solidFill>
                <a:srgbClr val="000000"/>
              </a:solidFill>
              <a:prstDash val="solid"/>
            </a:ln>
          </c:spPr>
          <c:marker>
            <c:symbol val="none"/>
          </c:marker>
          <c:xVal>
            <c:numLit>
              <c:formatCode>General</c:formatCode>
              <c:ptCount val="2"/>
              <c:pt idx="0">
                <c:v>-9.7312495160578543</c:v>
              </c:pt>
              <c:pt idx="1">
                <c:v>-9.4337796968154759</c:v>
              </c:pt>
            </c:numLit>
          </c:xVal>
          <c:yVal>
            <c:numLit>
              <c:formatCode>General</c:formatCode>
              <c:ptCount val="2"/>
              <c:pt idx="0">
                <c:v>1.9262042185935597E-2</c:v>
              </c:pt>
              <c:pt idx="1">
                <c:v>1.9290800079281533E-2</c:v>
              </c:pt>
            </c:numLit>
          </c:yVal>
          <c:smooth val="0"/>
          <c:extLst>
            <c:ext xmlns:c16="http://schemas.microsoft.com/office/drawing/2014/chart" uri="{C3380CC4-5D6E-409C-BE32-E72D297353CC}">
              <c16:uniqueId val="{00000068-56BA-44A1-9D5C-83997DB4DF62}"/>
            </c:ext>
          </c:extLst>
        </c:ser>
        <c:ser>
          <c:idx val="105"/>
          <c:order val="105"/>
          <c:spPr>
            <a:ln w="3175">
              <a:solidFill>
                <a:srgbClr val="000000"/>
              </a:solidFill>
              <a:prstDash val="solid"/>
            </a:ln>
          </c:spPr>
          <c:marker>
            <c:symbol val="none"/>
          </c:marker>
          <c:xVal>
            <c:numLit>
              <c:formatCode>General</c:formatCode>
              <c:ptCount val="2"/>
              <c:pt idx="0">
                <c:v>-9.6988930377242379</c:v>
              </c:pt>
              <c:pt idx="1">
                <c:v>-9.1050691398716754</c:v>
              </c:pt>
            </c:numLit>
          </c:xVal>
          <c:yVal>
            <c:numLit>
              <c:formatCode>General</c:formatCode>
              <c:ptCount val="2"/>
              <c:pt idx="0">
                <c:v>1.9088173676807301E-2</c:v>
              </c:pt>
              <c:pt idx="1">
                <c:v>1.9151684929331187E-2</c:v>
              </c:pt>
            </c:numLit>
          </c:yVal>
          <c:smooth val="0"/>
          <c:extLst>
            <c:ext xmlns:c16="http://schemas.microsoft.com/office/drawing/2014/chart" uri="{C3380CC4-5D6E-409C-BE32-E72D297353CC}">
              <c16:uniqueId val="{00000069-56BA-44A1-9D5C-83997DB4DF62}"/>
            </c:ext>
          </c:extLst>
        </c:ser>
        <c:ser>
          <c:idx val="106"/>
          <c:order val="106"/>
          <c:spPr>
            <a:ln w="3175">
              <a:solidFill>
                <a:srgbClr val="000000"/>
              </a:solidFill>
              <a:prstDash val="solid"/>
            </a:ln>
          </c:spPr>
          <c:marker>
            <c:symbol val="none"/>
          </c:marker>
          <c:xVal>
            <c:numLit>
              <c:formatCode>General</c:formatCode>
              <c:ptCount val="2"/>
              <c:pt idx="0">
                <c:v>-9.6546103310984979</c:v>
              </c:pt>
              <c:pt idx="1">
                <c:v>-9.3584618771140402</c:v>
              </c:pt>
            </c:numLit>
          </c:xVal>
          <c:yVal>
            <c:numLit>
              <c:formatCode>General</c:formatCode>
              <c:ptCount val="2"/>
              <c:pt idx="0">
                <c:v>1.8874364740294421E-2</c:v>
              </c:pt>
              <c:pt idx="1">
                <c:v>1.8909806727530724E-2</c:v>
              </c:pt>
            </c:numLit>
          </c:yVal>
          <c:smooth val="0"/>
          <c:extLst>
            <c:ext xmlns:c16="http://schemas.microsoft.com/office/drawing/2014/chart" uri="{C3380CC4-5D6E-409C-BE32-E72D297353CC}">
              <c16:uniqueId val="{0000006A-56BA-44A1-9D5C-83997DB4DF62}"/>
            </c:ext>
          </c:extLst>
        </c:ser>
        <c:ser>
          <c:idx val="107"/>
          <c:order val="107"/>
          <c:spPr>
            <a:ln w="3175">
              <a:solidFill>
                <a:srgbClr val="000000"/>
              </a:solidFill>
              <a:prstDash val="solid"/>
            </a:ln>
          </c:spPr>
          <c:marker>
            <c:symbol val="none"/>
          </c:marker>
          <c:xVal>
            <c:numLit>
              <c:formatCode>General</c:formatCode>
              <c:ptCount val="2"/>
              <c:pt idx="0">
                <c:v>-9.5917920119000488</c:v>
              </c:pt>
              <c:pt idx="1">
                <c:v>-9.0016612528690114</c:v>
              </c:pt>
            </c:numLit>
          </c:xVal>
          <c:yVal>
            <c:numLit>
              <c:formatCode>General</c:formatCode>
              <c:ptCount val="2"/>
              <c:pt idx="0">
                <c:v>1.8605334220365727E-2</c:v>
              </c:pt>
              <c:pt idx="1">
                <c:v>1.8685495109318634E-2</c:v>
              </c:pt>
            </c:numLit>
          </c:yVal>
          <c:smooth val="0"/>
          <c:extLst>
            <c:ext xmlns:c16="http://schemas.microsoft.com/office/drawing/2014/chart" uri="{C3380CC4-5D6E-409C-BE32-E72D297353CC}">
              <c16:uniqueId val="{0000006B-56BA-44A1-9D5C-83997DB4DF62}"/>
            </c:ext>
          </c:extLst>
        </c:ser>
        <c:ser>
          <c:idx val="108"/>
          <c:order val="108"/>
          <c:spPr>
            <a:ln w="3175">
              <a:solidFill>
                <a:srgbClr val="000000"/>
              </a:solidFill>
              <a:prstDash val="solid"/>
            </a:ln>
          </c:spPr>
          <c:marker>
            <c:symbol val="none"/>
          </c:marker>
          <c:xVal>
            <c:numLit>
              <c:formatCode>General</c:formatCode>
              <c:ptCount val="2"/>
              <c:pt idx="0">
                <c:v>-9.5500552853147749</c:v>
              </c:pt>
              <c:pt idx="1">
                <c:v>-9.2557095045334847</c:v>
              </c:pt>
            </c:numLit>
          </c:xVal>
          <c:yVal>
            <c:numLit>
              <c:formatCode>General</c:formatCode>
              <c:ptCount val="2"/>
              <c:pt idx="0">
                <c:v>1.8443106339845548E-2</c:v>
              </c:pt>
              <c:pt idx="1">
                <c:v>1.8485983816744763E-2</c:v>
              </c:pt>
            </c:numLit>
          </c:yVal>
          <c:smooth val="0"/>
          <c:extLst>
            <c:ext xmlns:c16="http://schemas.microsoft.com/office/drawing/2014/chart" uri="{C3380CC4-5D6E-409C-BE32-E72D297353CC}">
              <c16:uniqueId val="{0000006C-56BA-44A1-9D5C-83997DB4DF62}"/>
            </c:ext>
          </c:extLst>
        </c:ser>
        <c:ser>
          <c:idx val="109"/>
          <c:order val="109"/>
          <c:spPr>
            <a:ln w="3175">
              <a:solidFill>
                <a:srgbClr val="000000"/>
              </a:solidFill>
              <a:prstDash val="solid"/>
            </a:ln>
          </c:spPr>
          <c:marker>
            <c:symbol val="none"/>
          </c:marker>
          <c:xVal>
            <c:numLit>
              <c:formatCode>General</c:formatCode>
              <c:ptCount val="2"/>
              <c:pt idx="0">
                <c:v>-9.4985920174877663</c:v>
              </c:pt>
              <c:pt idx="1">
                <c:v>-8.9116750513674958</c:v>
              </c:pt>
            </c:numLit>
          </c:xVal>
          <c:yVal>
            <c:numLit>
              <c:formatCode>General</c:formatCode>
              <c:ptCount val="2"/>
              <c:pt idx="0">
                <c:v>1.8257081553294929E-2</c:v>
              </c:pt>
              <c:pt idx="1">
                <c:v>1.8349251154905447E-2</c:v>
              </c:pt>
            </c:numLit>
          </c:yVal>
          <c:smooth val="0"/>
          <c:extLst>
            <c:ext xmlns:c16="http://schemas.microsoft.com/office/drawing/2014/chart" uri="{C3380CC4-5D6E-409C-BE32-E72D297353CC}">
              <c16:uniqueId val="{0000006D-56BA-44A1-9D5C-83997DB4DF62}"/>
            </c:ext>
          </c:extLst>
        </c:ser>
        <c:ser>
          <c:idx val="110"/>
          <c:order val="110"/>
          <c:spPr>
            <a:ln w="3175">
              <a:solidFill>
                <a:srgbClr val="000000"/>
              </a:solidFill>
              <a:prstDash val="solid"/>
            </a:ln>
          </c:spPr>
          <c:marker>
            <c:symbol val="none"/>
          </c:marker>
          <c:xVal>
            <c:numLit>
              <c:formatCode>General</c:formatCode>
              <c:ptCount val="2"/>
              <c:pt idx="0">
                <c:v>-9.4341733564072943</c:v>
              </c:pt>
              <c:pt idx="1">
                <c:v>-9.1418255399175123</c:v>
              </c:pt>
            </c:numLit>
          </c:xVal>
          <c:yVal>
            <c:numLit>
              <c:formatCode>General</c:formatCode>
              <c:ptCount val="2"/>
              <c:pt idx="0">
                <c:v>1.8041765933534418E-2</c:v>
              </c:pt>
              <c:pt idx="1">
                <c:v>1.8091563072611408E-2</c:v>
              </c:pt>
            </c:numLit>
          </c:yVal>
          <c:smooth val="0"/>
          <c:extLst>
            <c:ext xmlns:c16="http://schemas.microsoft.com/office/drawing/2014/chart" uri="{C3380CC4-5D6E-409C-BE32-E72D297353CC}">
              <c16:uniqueId val="{0000006E-56BA-44A1-9D5C-83997DB4DF62}"/>
            </c:ext>
          </c:extLst>
        </c:ser>
        <c:ser>
          <c:idx val="111"/>
          <c:order val="111"/>
          <c:spPr>
            <a:ln w="3175">
              <a:solidFill>
                <a:srgbClr val="000000"/>
              </a:solidFill>
              <a:prstDash val="solid"/>
            </a:ln>
          </c:spPr>
          <c:marker>
            <c:symbol val="none"/>
          </c:marker>
          <c:xVal>
            <c:numLit>
              <c:formatCode>General</c:formatCode>
              <c:ptCount val="2"/>
              <c:pt idx="0">
                <c:v>-9.3521355422659074</c:v>
              </c:pt>
              <c:pt idx="1">
                <c:v>-8.7702687994291519</c:v>
              </c:pt>
            </c:numLit>
          </c:xVal>
          <c:yVal>
            <c:numLit>
              <c:formatCode>General</c:formatCode>
              <c:ptCount val="2"/>
              <c:pt idx="0">
                <c:v>1.7789900045223919E-2</c:v>
              </c:pt>
              <c:pt idx="1">
                <c:v>1.7898179354009301E-2</c:v>
              </c:pt>
            </c:numLit>
          </c:yVal>
          <c:smooth val="0"/>
          <c:extLst>
            <c:ext xmlns:c16="http://schemas.microsoft.com/office/drawing/2014/chart" uri="{C3380CC4-5D6E-409C-BE32-E72D297353CC}">
              <c16:uniqueId val="{0000006F-56BA-44A1-9D5C-83997DB4DF62}"/>
            </c:ext>
          </c:extLst>
        </c:ser>
        <c:ser>
          <c:idx val="112"/>
          <c:order val="112"/>
          <c:spPr>
            <a:ln w="3175">
              <a:solidFill>
                <a:srgbClr val="000000"/>
              </a:solidFill>
              <a:prstDash val="solid"/>
            </a:ln>
          </c:spPr>
          <c:marker>
            <c:symbol val="none"/>
          </c:marker>
          <c:xVal>
            <c:numLit>
              <c:formatCode>General</c:formatCode>
              <c:ptCount val="2"/>
              <c:pt idx="0">
                <c:v>-9.2455590364770597</c:v>
              </c:pt>
              <c:pt idx="1">
                <c:v>-8.9564631910205588</c:v>
              </c:pt>
            </c:numLit>
          </c:xVal>
          <c:yVal>
            <c:numLit>
              <c:formatCode>General</c:formatCode>
              <c:ptCount val="2"/>
              <c:pt idx="0">
                <c:v>1.7491727600755014E-2</c:v>
              </c:pt>
              <c:pt idx="1">
                <c:v>1.7551008159362686E-2</c:v>
              </c:pt>
            </c:numLit>
          </c:yVal>
          <c:smooth val="0"/>
          <c:extLst>
            <c:ext xmlns:c16="http://schemas.microsoft.com/office/drawing/2014/chart" uri="{C3380CC4-5D6E-409C-BE32-E72D297353CC}">
              <c16:uniqueId val="{00000070-56BA-44A1-9D5C-83997DB4DF62}"/>
            </c:ext>
          </c:extLst>
        </c:ser>
        <c:ser>
          <c:idx val="113"/>
          <c:order val="113"/>
          <c:spPr>
            <a:ln w="3175">
              <a:solidFill>
                <a:srgbClr val="000000"/>
              </a:solidFill>
              <a:prstDash val="solid"/>
            </a:ln>
          </c:spPr>
          <c:marker>
            <c:symbol val="none"/>
          </c:marker>
          <c:xVal>
            <c:numLit>
              <c:formatCode>General</c:formatCode>
              <c:ptCount val="2"/>
              <c:pt idx="0">
                <c:v>-9.1038600359190358</c:v>
              </c:pt>
              <c:pt idx="1">
                <c:v>-8.530554517439068</c:v>
              </c:pt>
            </c:numLit>
          </c:xVal>
          <c:yVal>
            <c:numLit>
              <c:formatCode>General</c:formatCode>
              <c:ptCount val="2"/>
              <c:pt idx="0">
                <c:v>1.7133900318625845E-2</c:v>
              </c:pt>
              <c:pt idx="1">
                <c:v>1.7264800307638748E-2</c:v>
              </c:pt>
            </c:numLit>
          </c:yVal>
          <c:smooth val="0"/>
          <c:extLst>
            <c:ext xmlns:c16="http://schemas.microsoft.com/office/drawing/2014/chart" uri="{C3380CC4-5D6E-409C-BE32-E72D297353CC}">
              <c16:uniqueId val="{00000071-56BA-44A1-9D5C-83997DB4DF62}"/>
            </c:ext>
          </c:extLst>
        </c:ser>
        <c:ser>
          <c:idx val="114"/>
          <c:order val="114"/>
          <c:spPr>
            <a:ln w="3175">
              <a:solidFill>
                <a:srgbClr val="000000"/>
              </a:solidFill>
              <a:prstDash val="solid"/>
            </a:ln>
          </c:spPr>
          <c:marker>
            <c:symbol val="none"/>
          </c:marker>
          <c:xVal>
            <c:numLit>
              <c:formatCode>General</c:formatCode>
              <c:ptCount val="2"/>
              <c:pt idx="0">
                <c:v>-9.033886916005148</c:v>
              </c:pt>
              <c:pt idx="1">
                <c:v>-8.748440589867128</c:v>
              </c:pt>
            </c:numLit>
          </c:xVal>
          <c:yVal>
            <c:numLit>
              <c:formatCode>General</c:formatCode>
              <c:ptCount val="2"/>
              <c:pt idx="0">
                <c:v>1.6970127856038714E-2</c:v>
              </c:pt>
              <c:pt idx="1">
                <c:v>1.7038401513693218E-2</c:v>
              </c:pt>
            </c:numLit>
          </c:yVal>
          <c:smooth val="0"/>
          <c:extLst>
            <c:ext xmlns:c16="http://schemas.microsoft.com/office/drawing/2014/chart" uri="{C3380CC4-5D6E-409C-BE32-E72D297353CC}">
              <c16:uniqueId val="{00000072-56BA-44A1-9D5C-83997DB4DF62}"/>
            </c:ext>
          </c:extLst>
        </c:ser>
        <c:ser>
          <c:idx val="115"/>
          <c:order val="115"/>
          <c:spPr>
            <a:ln w="3175">
              <a:solidFill>
                <a:srgbClr val="000000"/>
              </a:solidFill>
              <a:prstDash val="solid"/>
            </a:ln>
          </c:spPr>
          <c:marker>
            <c:symbol val="none"/>
          </c:marker>
          <c:xVal>
            <c:numLit>
              <c:formatCode>General</c:formatCode>
              <c:ptCount val="2"/>
              <c:pt idx="0">
                <c:v>-8.954260939861248</c:v>
              </c:pt>
              <c:pt idx="1">
                <c:v>-8.6701874753808799</c:v>
              </c:pt>
            </c:numLit>
          </c:xVal>
          <c:yVal>
            <c:numLit>
              <c:formatCode>General</c:formatCode>
              <c:ptCount val="2"/>
              <c:pt idx="0">
                <c:v>1.6792426733524612E-2</c:v>
              </c:pt>
              <c:pt idx="1">
                <c:v>1.6863764203636257E-2</c:v>
              </c:pt>
            </c:numLit>
          </c:yVal>
          <c:smooth val="0"/>
          <c:extLst>
            <c:ext xmlns:c16="http://schemas.microsoft.com/office/drawing/2014/chart" uri="{C3380CC4-5D6E-409C-BE32-E72D297353CC}">
              <c16:uniqueId val="{00000073-56BA-44A1-9D5C-83997DB4DF62}"/>
            </c:ext>
          </c:extLst>
        </c:ser>
        <c:ser>
          <c:idx val="116"/>
          <c:order val="116"/>
          <c:spPr>
            <a:ln w="3175">
              <a:solidFill>
                <a:srgbClr val="000000"/>
              </a:solidFill>
              <a:prstDash val="solid"/>
            </a:ln>
          </c:spPr>
          <c:marker>
            <c:symbol val="none"/>
          </c:marker>
          <c:xVal>
            <c:numLit>
              <c:formatCode>General</c:formatCode>
              <c:ptCount val="2"/>
              <c:pt idx="0">
                <c:v>-8.8631822315685405</c:v>
              </c:pt>
              <c:pt idx="1">
                <c:v>-8.5806790896449439</c:v>
              </c:pt>
            </c:numLit>
          </c:xVal>
          <c:yVal>
            <c:numLit>
              <c:formatCode>General</c:formatCode>
              <c:ptCount val="2"/>
              <c:pt idx="0">
                <c:v>1.6599076898329495E-2</c:v>
              </c:pt>
              <c:pt idx="1">
                <c:v>1.6673747986289334E-2</c:v>
              </c:pt>
            </c:numLit>
          </c:yVal>
          <c:smooth val="0"/>
          <c:extLst>
            <c:ext xmlns:c16="http://schemas.microsoft.com/office/drawing/2014/chart" uri="{C3380CC4-5D6E-409C-BE32-E72D297353CC}">
              <c16:uniqueId val="{00000074-56BA-44A1-9D5C-83997DB4DF62}"/>
            </c:ext>
          </c:extLst>
        </c:ser>
        <c:ser>
          <c:idx val="117"/>
          <c:order val="117"/>
          <c:spPr>
            <a:ln w="3175">
              <a:solidFill>
                <a:srgbClr val="000000"/>
              </a:solidFill>
              <a:prstDash val="solid"/>
            </a:ln>
          </c:spPr>
          <c:marker>
            <c:symbol val="none"/>
          </c:marker>
          <c:xVal>
            <c:numLit>
              <c:formatCode>General</c:formatCode>
              <c:ptCount val="2"/>
              <c:pt idx="0">
                <c:v>-8.7584282202067296</c:v>
              </c:pt>
              <c:pt idx="1">
                <c:v>-8.477731181927302</c:v>
              </c:pt>
            </c:numLit>
          </c:xVal>
          <c:yVal>
            <c:numLit>
              <c:formatCode>General</c:formatCode>
              <c:ptCount val="2"/>
              <c:pt idx="0">
                <c:v>1.6388094622981707E-2</c:v>
              </c:pt>
              <c:pt idx="1">
                <c:v>1.6466403336378575E-2</c:v>
              </c:pt>
            </c:numLit>
          </c:yVal>
          <c:smooth val="0"/>
          <c:extLst>
            <c:ext xmlns:c16="http://schemas.microsoft.com/office/drawing/2014/chart" uri="{C3380CC4-5D6E-409C-BE32-E72D297353CC}">
              <c16:uniqueId val="{00000075-56BA-44A1-9D5C-83997DB4DF62}"/>
            </c:ext>
          </c:extLst>
        </c:ser>
        <c:ser>
          <c:idx val="118"/>
          <c:order val="118"/>
          <c:spPr>
            <a:ln w="3175">
              <a:solidFill>
                <a:srgbClr val="000000"/>
              </a:solidFill>
              <a:prstDash val="solid"/>
            </a:ln>
          </c:spPr>
          <c:marker>
            <c:symbol val="none"/>
          </c:marker>
          <c:xVal>
            <c:numLit>
              <c:formatCode>General</c:formatCode>
              <c:ptCount val="2"/>
              <c:pt idx="0">
                <c:v>-8.6372348348493126</c:v>
              </c:pt>
              <c:pt idx="1">
                <c:v>-8.0800198405441641</c:v>
              </c:pt>
            </c:numLit>
          </c:xVal>
          <c:yVal>
            <c:numLit>
              <c:formatCode>General</c:formatCode>
              <c:ptCount val="2"/>
              <c:pt idx="0">
                <c:v>1.6157190180898885E-2</c:v>
              </c:pt>
              <c:pt idx="1">
                <c:v>1.6321769829833407E-2</c:v>
              </c:pt>
            </c:numLit>
          </c:yVal>
          <c:smooth val="0"/>
          <c:extLst>
            <c:ext xmlns:c16="http://schemas.microsoft.com/office/drawing/2014/chart" uri="{C3380CC4-5D6E-409C-BE32-E72D297353CC}">
              <c16:uniqueId val="{00000076-56BA-44A1-9D5C-83997DB4DF62}"/>
            </c:ext>
          </c:extLst>
        </c:ser>
        <c:ser>
          <c:idx val="119"/>
          <c:order val="119"/>
          <c:spPr>
            <a:ln w="3175">
              <a:solidFill>
                <a:srgbClr val="000000"/>
              </a:solidFill>
              <a:prstDash val="solid"/>
            </a:ln>
          </c:spPr>
          <c:marker>
            <c:symbol val="none"/>
          </c:marker>
          <c:xVal>
            <c:numLit>
              <c:formatCode>General</c:formatCode>
              <c:ptCount val="2"/>
              <c:pt idx="0">
                <c:v>-8.5694238961193641</c:v>
              </c:pt>
              <c:pt idx="1">
                <c:v>-8.2919855530828226</c:v>
              </c:pt>
            </c:numLit>
          </c:xVal>
          <c:yVal>
            <c:numLit>
              <c:formatCode>General</c:formatCode>
              <c:ptCount val="2"/>
              <c:pt idx="0">
                <c:v>1.6033456612372633E-2</c:v>
              </c:pt>
              <c:pt idx="1">
                <c:v>1.611787977422828E-2</c:v>
              </c:pt>
            </c:numLit>
          </c:yVal>
          <c:smooth val="0"/>
          <c:extLst>
            <c:ext xmlns:c16="http://schemas.microsoft.com/office/drawing/2014/chart" uri="{C3380CC4-5D6E-409C-BE32-E72D297353CC}">
              <c16:uniqueId val="{00000077-56BA-44A1-9D5C-83997DB4DF62}"/>
            </c:ext>
          </c:extLst>
        </c:ser>
        <c:ser>
          <c:idx val="120"/>
          <c:order val="120"/>
          <c:spPr>
            <a:ln w="3175">
              <a:solidFill>
                <a:srgbClr val="000000"/>
              </a:solidFill>
              <a:prstDash val="solid"/>
            </a:ln>
          </c:spPr>
          <c:marker>
            <c:symbol val="none"/>
          </c:marker>
          <c:xVal>
            <c:numLit>
              <c:formatCode>General</c:formatCode>
              <c:ptCount val="2"/>
              <c:pt idx="0">
                <c:v>-8.496139552640436</c:v>
              </c:pt>
              <c:pt idx="1">
                <c:v>-8.2199647327673251</c:v>
              </c:pt>
            </c:numLit>
          </c:xVal>
          <c:yVal>
            <c:numLit>
              <c:formatCode>General</c:formatCode>
              <c:ptCount val="2"/>
              <c:pt idx="0">
                <c:v>1.590372165004483E-2</c:v>
              </c:pt>
              <c:pt idx="1">
                <c:v>1.599038162159578E-2</c:v>
              </c:pt>
            </c:numLit>
          </c:yVal>
          <c:smooth val="0"/>
          <c:extLst>
            <c:ext xmlns:c16="http://schemas.microsoft.com/office/drawing/2014/chart" uri="{C3380CC4-5D6E-409C-BE32-E72D297353CC}">
              <c16:uniqueId val="{00000078-56BA-44A1-9D5C-83997DB4DF62}"/>
            </c:ext>
          </c:extLst>
        </c:ser>
        <c:ser>
          <c:idx val="121"/>
          <c:order val="121"/>
          <c:spPr>
            <a:ln w="3175">
              <a:solidFill>
                <a:srgbClr val="000000"/>
              </a:solidFill>
              <a:prstDash val="solid"/>
            </a:ln>
          </c:spPr>
          <c:marker>
            <c:symbol val="none"/>
          </c:marker>
          <c:xVal>
            <c:numLit>
              <c:formatCode>General</c:formatCode>
              <c:ptCount val="2"/>
              <c:pt idx="0">
                <c:v>-8.4168057372568565</c:v>
              </c:pt>
              <c:pt idx="1">
                <c:v>-8.1419987417869102</c:v>
              </c:pt>
            </c:numLit>
          </c:xVal>
          <c:yVal>
            <c:numLit>
              <c:formatCode>General</c:formatCode>
              <c:ptCount val="2"/>
              <c:pt idx="0">
                <c:v>1.5767592217746176E-2</c:v>
              </c:pt>
              <c:pt idx="1">
                <c:v>1.5856599248474688E-2</c:v>
              </c:pt>
            </c:numLit>
          </c:yVal>
          <c:smooth val="0"/>
          <c:extLst>
            <c:ext xmlns:c16="http://schemas.microsoft.com/office/drawing/2014/chart" uri="{C3380CC4-5D6E-409C-BE32-E72D297353CC}">
              <c16:uniqueId val="{00000079-56BA-44A1-9D5C-83997DB4DF62}"/>
            </c:ext>
          </c:extLst>
        </c:ser>
        <c:ser>
          <c:idx val="122"/>
          <c:order val="122"/>
          <c:spPr>
            <a:ln w="3175">
              <a:solidFill>
                <a:srgbClr val="000000"/>
              </a:solidFill>
              <a:prstDash val="solid"/>
            </a:ln>
          </c:spPr>
          <c:marker>
            <c:symbol val="none"/>
          </c:marker>
          <c:xVal>
            <c:numLit>
              <c:formatCode>General</c:formatCode>
              <c:ptCount val="2"/>
              <c:pt idx="0">
                <c:v>-8.3307730905498314</c:v>
              </c:pt>
              <c:pt idx="1">
                <c:v>-8.0574494165748334</c:v>
              </c:pt>
            </c:numLit>
          </c:xVal>
          <c:yVal>
            <c:numLit>
              <c:formatCode>General</c:formatCode>
              <c:ptCount val="2"/>
              <c:pt idx="0">
                <c:v>1.5624647462044871E-2</c:v>
              </c:pt>
              <c:pt idx="1">
                <c:v>1.5716119057526855E-2</c:v>
              </c:pt>
            </c:numLit>
          </c:yVal>
          <c:smooth val="0"/>
          <c:extLst>
            <c:ext xmlns:c16="http://schemas.microsoft.com/office/drawing/2014/chart" uri="{C3380CC4-5D6E-409C-BE32-E72D297353CC}">
              <c16:uniqueId val="{0000007A-56BA-44A1-9D5C-83997DB4DF62}"/>
            </c:ext>
          </c:extLst>
        </c:ser>
        <c:ser>
          <c:idx val="123"/>
          <c:order val="123"/>
          <c:spPr>
            <a:ln w="3175">
              <a:solidFill>
                <a:srgbClr val="000000"/>
              </a:solidFill>
              <a:prstDash val="solid"/>
            </a:ln>
          </c:spPr>
          <c:marker>
            <c:symbol val="none"/>
          </c:marker>
          <c:xVal>
            <c:numLit>
              <c:formatCode>General</c:formatCode>
              <c:ptCount val="2"/>
              <c:pt idx="0">
                <c:v>-8.2373083506110412</c:v>
              </c:pt>
              <c:pt idx="1">
                <c:v>-7.6938839247279001</c:v>
              </c:pt>
            </c:numLit>
          </c:xVal>
          <c:yVal>
            <c:numLit>
              <c:formatCode>General</c:formatCode>
              <c:ptCount val="2"/>
              <c:pt idx="0">
                <c:v>1.5474437646003199E-2</c:v>
              </c:pt>
              <c:pt idx="1">
                <c:v>1.5662560485796194E-2</c:v>
              </c:pt>
            </c:numLit>
          </c:yVal>
          <c:smooth val="0"/>
          <c:extLst>
            <c:ext xmlns:c16="http://schemas.microsoft.com/office/drawing/2014/chart" uri="{C3380CC4-5D6E-409C-BE32-E72D297353CC}">
              <c16:uniqueId val="{0000007B-56BA-44A1-9D5C-83997DB4DF62}"/>
            </c:ext>
          </c:extLst>
        </c:ser>
        <c:ser>
          <c:idx val="124"/>
          <c:order val="124"/>
          <c:spPr>
            <a:ln w="3175">
              <a:solidFill>
                <a:srgbClr val="000000"/>
              </a:solidFill>
              <a:prstDash val="solid"/>
            </a:ln>
          </c:spPr>
          <c:marker>
            <c:symbol val="none"/>
          </c:marker>
          <c:xVal>
            <c:numLit>
              <c:formatCode>General</c:formatCode>
              <c:ptCount val="2"/>
              <c:pt idx="0">
                <c:v>-8.135582109378646</c:v>
              </c:pt>
              <c:pt idx="1">
                <c:v>-7.865623797147979</c:v>
              </c:pt>
            </c:numLit>
          </c:xVal>
          <c:yVal>
            <c:numLit>
              <c:formatCode>General</c:formatCode>
              <c:ptCount val="2"/>
              <c:pt idx="0">
                <c:v>1.5316483392004664E-2</c:v>
              </c:pt>
              <c:pt idx="1">
                <c:v>1.5413268161108032E-2</c:v>
              </c:pt>
            </c:numLit>
          </c:yVal>
          <c:smooth val="0"/>
          <c:extLst>
            <c:ext xmlns:c16="http://schemas.microsoft.com/office/drawing/2014/chart" uri="{C3380CC4-5D6E-409C-BE32-E72D297353CC}">
              <c16:uniqueId val="{0000007C-56BA-44A1-9D5C-83997DB4DF62}"/>
            </c:ext>
          </c:extLst>
        </c:ser>
        <c:ser>
          <c:idx val="125"/>
          <c:order val="125"/>
          <c:spPr>
            <a:ln w="3175">
              <a:solidFill>
                <a:srgbClr val="000000"/>
              </a:solidFill>
              <a:prstDash val="solid"/>
            </a:ln>
          </c:spPr>
          <c:marker>
            <c:symbol val="none"/>
          </c:marker>
          <c:xVal>
            <c:numLit>
              <c:formatCode>General</c:formatCode>
              <c:ptCount val="2"/>
              <c:pt idx="0">
                <c:v>-8.0246546988258096</c:v>
              </c:pt>
              <c:pt idx="1">
                <c:v>-7.7566089281563979</c:v>
              </c:pt>
            </c:numLit>
          </c:xVal>
          <c:yVal>
            <c:numLit>
              <c:formatCode>General</c:formatCode>
              <c:ptCount val="2"/>
              <c:pt idx="0">
                <c:v>1.5150275451951677E-2</c:v>
              </c:pt>
              <c:pt idx="1">
                <c:v>1.5249925875193889E-2</c:v>
              </c:pt>
            </c:numLit>
          </c:yVal>
          <c:smooth val="0"/>
          <c:extLst>
            <c:ext xmlns:c16="http://schemas.microsoft.com/office/drawing/2014/chart" uri="{C3380CC4-5D6E-409C-BE32-E72D297353CC}">
              <c16:uniqueId val="{0000007D-56BA-44A1-9D5C-83997DB4DF62}"/>
            </c:ext>
          </c:extLst>
        </c:ser>
        <c:ser>
          <c:idx val="126"/>
          <c:order val="126"/>
          <c:spPr>
            <a:ln w="3175">
              <a:solidFill>
                <a:srgbClr val="000000"/>
              </a:solidFill>
              <a:prstDash val="solid"/>
            </a:ln>
          </c:spPr>
          <c:marker>
            <c:symbol val="none"/>
          </c:marker>
          <c:xVal>
            <c:numLit>
              <c:formatCode>General</c:formatCode>
              <c:ptCount val="2"/>
              <c:pt idx="0">
                <c:v>-7.9034599509797507</c:v>
              </c:pt>
              <c:pt idx="1">
                <c:v>-7.6375037449283747</c:v>
              </c:pt>
            </c:numLit>
          </c:xVal>
          <c:yVal>
            <c:numLit>
              <c:formatCode>General</c:formatCode>
              <c:ptCount val="2"/>
              <c:pt idx="0">
                <c:v>1.4975275245324009E-2</c:v>
              </c:pt>
              <c:pt idx="1">
                <c:v>1.5077942913508079E-2</c:v>
              </c:pt>
            </c:numLit>
          </c:yVal>
          <c:smooth val="0"/>
          <c:extLst>
            <c:ext xmlns:c16="http://schemas.microsoft.com/office/drawing/2014/chart" uri="{C3380CC4-5D6E-409C-BE32-E72D297353CC}">
              <c16:uniqueId val="{0000007E-56BA-44A1-9D5C-83997DB4DF62}"/>
            </c:ext>
          </c:extLst>
        </c:ser>
        <c:ser>
          <c:idx val="127"/>
          <c:order val="127"/>
          <c:spPr>
            <a:ln w="3175">
              <a:solidFill>
                <a:srgbClr val="000000"/>
              </a:solidFill>
              <a:prstDash val="solid"/>
            </a:ln>
          </c:spPr>
          <c:marker>
            <c:symbol val="none"/>
          </c:marker>
          <c:xVal>
            <c:numLit>
              <c:formatCode>General</c:formatCode>
              <c:ptCount val="2"/>
              <c:pt idx="0">
                <c:v>-7.7707865642283949</c:v>
              </c:pt>
              <c:pt idx="1">
                <c:v>-7.5071178303623878</c:v>
              </c:pt>
            </c:numLit>
          </c:xVal>
          <c:yVal>
            <c:numLit>
              <c:formatCode>General</c:formatCode>
              <c:ptCount val="2"/>
              <c:pt idx="0">
                <c:v>1.4790916486985731E-2</c:v>
              </c:pt>
              <c:pt idx="1">
                <c:v>1.4896762754451495E-2</c:v>
              </c:pt>
            </c:numLit>
          </c:yVal>
          <c:smooth val="0"/>
          <c:extLst>
            <c:ext xmlns:c16="http://schemas.microsoft.com/office/drawing/2014/chart" uri="{C3380CC4-5D6E-409C-BE32-E72D297353CC}">
              <c16:uniqueId val="{0000007F-56BA-44A1-9D5C-83997DB4DF62}"/>
            </c:ext>
          </c:extLst>
        </c:ser>
        <c:ser>
          <c:idx val="128"/>
          <c:order val="128"/>
          <c:spPr>
            <a:ln w="3175">
              <a:solidFill>
                <a:srgbClr val="000000"/>
              </a:solidFill>
              <a:prstDash val="solid"/>
            </a:ln>
          </c:spPr>
          <c:marker>
            <c:symbol val="none"/>
          </c:marker>
          <c:xVal>
            <c:numLit>
              <c:formatCode>General</c:formatCode>
              <c:ptCount val="2"/>
              <c:pt idx="0">
                <c:v>-7.6252568113761559</c:v>
              </c:pt>
              <c:pt idx="1">
                <c:v>-7.1029376109838731</c:v>
              </c:pt>
            </c:numLit>
          </c:xVal>
          <c:yVal>
            <c:numLit>
              <c:formatCode>General</c:formatCode>
              <c:ptCount val="2"/>
              <c:pt idx="0">
                <c:v>1.4596608332400495E-2</c:v>
              </c:pt>
              <c:pt idx="1">
                <c:v>1.4815001148524616E-2</c:v>
              </c:pt>
            </c:numLit>
          </c:yVal>
          <c:smooth val="0"/>
          <c:extLst>
            <c:ext xmlns:c16="http://schemas.microsoft.com/office/drawing/2014/chart" uri="{C3380CC4-5D6E-409C-BE32-E72D297353CC}">
              <c16:uniqueId val="{00000080-56BA-44A1-9D5C-83997DB4DF62}"/>
            </c:ext>
          </c:extLst>
        </c:ser>
        <c:ser>
          <c:idx val="129"/>
          <c:order val="129"/>
          <c:spPr>
            <a:ln w="3175">
              <a:solidFill>
                <a:srgbClr val="000000"/>
              </a:solidFill>
              <a:prstDash val="solid"/>
            </a:ln>
          </c:spPr>
          <c:marker>
            <c:symbol val="none"/>
          </c:marker>
          <c:xVal>
            <c:numLit>
              <c:formatCode>General</c:formatCode>
              <c:ptCount val="2"/>
              <c:pt idx="0">
                <c:v>-7.4653023527450681</c:v>
              </c:pt>
              <c:pt idx="1">
                <c:v>-7.2069005880425658</c:v>
              </c:pt>
            </c:numLit>
          </c:xVal>
          <c:yVal>
            <c:numLit>
              <c:formatCode>General</c:formatCode>
              <c:ptCount val="2"/>
              <c:pt idx="0">
                <c:v>1.4391740604136366E-2</c:v>
              </c:pt>
              <c:pt idx="1">
                <c:v>1.4504469214409878E-2</c:v>
              </c:pt>
            </c:numLit>
          </c:yVal>
          <c:smooth val="0"/>
          <c:extLst>
            <c:ext xmlns:c16="http://schemas.microsoft.com/office/drawing/2014/chart" uri="{C3380CC4-5D6E-409C-BE32-E72D297353CC}">
              <c16:uniqueId val="{00000081-56BA-44A1-9D5C-83997DB4DF62}"/>
            </c:ext>
          </c:extLst>
        </c:ser>
        <c:ser>
          <c:idx val="130"/>
          <c:order val="130"/>
          <c:spPr>
            <a:ln w="3175">
              <a:solidFill>
                <a:srgbClr val="000000"/>
              </a:solidFill>
              <a:prstDash val="solid"/>
            </a:ln>
          </c:spPr>
          <c:marker>
            <c:symbol val="none"/>
          </c:marker>
          <c:xVal>
            <c:numLit>
              <c:formatCode>General</c:formatCode>
              <c:ptCount val="2"/>
              <c:pt idx="0">
                <c:v>-7.2891369857220321</c:v>
              </c:pt>
              <c:pt idx="1">
                <c:v>-7.0337725549337202</c:v>
              </c:pt>
            </c:numLit>
          </c:xVal>
          <c:yVal>
            <c:numLit>
              <c:formatCode>General</c:formatCode>
              <c:ptCount val="2"/>
              <c:pt idx="0">
                <c:v>1.4175691836973547E-2</c:v>
              </c:pt>
              <c:pt idx="1">
                <c:v>1.4292145425991245E-2</c:v>
              </c:pt>
            </c:numLit>
          </c:yVal>
          <c:smooth val="0"/>
          <c:extLst>
            <c:ext xmlns:c16="http://schemas.microsoft.com/office/drawing/2014/chart" uri="{C3380CC4-5D6E-409C-BE32-E72D297353CC}">
              <c16:uniqueId val="{00000082-56BA-44A1-9D5C-83997DB4DF62}"/>
            </c:ext>
          </c:extLst>
        </c:ser>
        <c:ser>
          <c:idx val="131"/>
          <c:order val="131"/>
          <c:spPr>
            <a:ln w="3175">
              <a:solidFill>
                <a:srgbClr val="000000"/>
              </a:solidFill>
              <a:prstDash val="solid"/>
            </a:ln>
          </c:spPr>
          <c:marker>
            <c:symbol val="none"/>
          </c:marker>
          <c:xVal>
            <c:numLit>
              <c:formatCode>General</c:formatCode>
              <c:ptCount val="2"/>
              <c:pt idx="0">
                <c:v>-7.0947262932026645</c:v>
              </c:pt>
              <c:pt idx="1">
                <c:v>-6.8427137709060659</c:v>
              </c:pt>
            </c:numLit>
          </c:xVal>
          <c:yVal>
            <c:numLit>
              <c:formatCode>General</c:formatCode>
              <c:ptCount val="2"/>
              <c:pt idx="0">
                <c:v>1.3947841096409371E-2</c:v>
              </c:pt>
              <c:pt idx="1">
                <c:v>1.4068223146471279E-2</c:v>
              </c:pt>
            </c:numLit>
          </c:yVal>
          <c:smooth val="0"/>
          <c:extLst>
            <c:ext xmlns:c16="http://schemas.microsoft.com/office/drawing/2014/chart" uri="{C3380CC4-5D6E-409C-BE32-E72D297353CC}">
              <c16:uniqueId val="{00000083-56BA-44A1-9D5C-83997DB4DF62}"/>
            </c:ext>
          </c:extLst>
        </c:ser>
        <c:ser>
          <c:idx val="132"/>
          <c:order val="132"/>
          <c:spPr>
            <a:ln w="3175">
              <a:solidFill>
                <a:srgbClr val="000000"/>
              </a:solidFill>
              <a:prstDash val="solid"/>
            </a:ln>
          </c:spPr>
          <c:marker>
            <c:symbol val="none"/>
          </c:marker>
          <c:xVal>
            <c:numLit>
              <c:formatCode>General</c:formatCode>
              <c:ptCount val="2"/>
              <c:pt idx="0">
                <c:v>-6.8797543799888556</c:v>
              </c:pt>
              <c:pt idx="1">
                <c:v>-6.6314482699890469</c:v>
              </c:pt>
            </c:numLit>
          </c:xVal>
          <c:yVal>
            <c:numLit>
              <c:formatCode>General</c:formatCode>
              <c:ptCount val="2"/>
              <c:pt idx="0">
                <c:v>1.3707584792488141E-2</c:v>
              </c:pt>
              <c:pt idx="1">
                <c:v>1.3832109192617657E-2</c:v>
              </c:pt>
            </c:numLit>
          </c:yVal>
          <c:smooth val="0"/>
          <c:extLst>
            <c:ext xmlns:c16="http://schemas.microsoft.com/office/drawing/2014/chart" uri="{C3380CC4-5D6E-409C-BE32-E72D297353CC}">
              <c16:uniqueId val="{00000084-56BA-44A1-9D5C-83997DB4DF62}"/>
            </c:ext>
          </c:extLst>
        </c:ser>
        <c:ser>
          <c:idx val="133"/>
          <c:order val="133"/>
          <c:spPr>
            <a:ln w="3175">
              <a:solidFill>
                <a:srgbClr val="000000"/>
              </a:solidFill>
              <a:prstDash val="solid"/>
            </a:ln>
          </c:spPr>
          <c:marker>
            <c:symbol val="none"/>
          </c:marker>
          <c:xVal>
            <c:numLit>
              <c:formatCode>General</c:formatCode>
              <c:ptCount val="2"/>
              <c:pt idx="0">
                <c:v>-6.6415882541581794</c:v>
              </c:pt>
              <c:pt idx="1">
                <c:v>-6.1531886591872063</c:v>
              </c:pt>
            </c:numLit>
          </c:xVal>
          <c:yVal>
            <c:numLit>
              <c:formatCode>General</c:formatCode>
              <c:ptCount val="2"/>
              <c:pt idx="0">
                <c:v>1.3454360029547155E-2</c:v>
              </c:pt>
              <c:pt idx="1">
                <c:v>1.3712140718183462E-2</c:v>
              </c:pt>
            </c:numLit>
          </c:yVal>
          <c:smooth val="0"/>
          <c:extLst>
            <c:ext xmlns:c16="http://schemas.microsoft.com/office/drawing/2014/chart" uri="{C3380CC4-5D6E-409C-BE32-E72D297353CC}">
              <c16:uniqueId val="{00000085-56BA-44A1-9D5C-83997DB4DF62}"/>
            </c:ext>
          </c:extLst>
        </c:ser>
        <c:ser>
          <c:idx val="134"/>
          <c:order val="134"/>
          <c:spPr>
            <a:ln w="3175">
              <a:solidFill>
                <a:srgbClr val="000000"/>
              </a:solidFill>
              <a:prstDash val="solid"/>
            </a:ln>
          </c:spPr>
          <c:marker>
            <c:symbol val="none"/>
          </c:marker>
          <c:xVal>
            <c:numLit>
              <c:formatCode>General</c:formatCode>
              <c:ptCount val="2"/>
              <c:pt idx="0">
                <c:v>-6.5128887746212865</c:v>
              </c:pt>
              <c:pt idx="1">
                <c:v>-6.2709079336795401</c:v>
              </c:pt>
            </c:numLit>
          </c:xVal>
          <c:yVal>
            <c:numLit>
              <c:formatCode>General</c:formatCode>
              <c:ptCount val="2"/>
              <c:pt idx="0">
                <c:v>1.3322727312893847E-2</c:v>
              </c:pt>
              <c:pt idx="1">
                <c:v>1.3453887186809472E-2</c:v>
              </c:pt>
            </c:numLit>
          </c:yVal>
          <c:smooth val="0"/>
          <c:extLst>
            <c:ext xmlns:c16="http://schemas.microsoft.com/office/drawing/2014/chart" uri="{C3380CC4-5D6E-409C-BE32-E72D297353CC}">
              <c16:uniqueId val="{00000086-56BA-44A1-9D5C-83997DB4DF62}"/>
            </c:ext>
          </c:extLst>
        </c:ser>
        <c:ser>
          <c:idx val="135"/>
          <c:order val="135"/>
          <c:spPr>
            <a:ln w="3175">
              <a:solidFill>
                <a:srgbClr val="000000"/>
              </a:solidFill>
              <a:prstDash val="solid"/>
            </a:ln>
          </c:spPr>
          <c:marker>
            <c:symbol val="none"/>
          </c:marker>
          <c:xVal>
            <c:numLit>
              <c:formatCode>General</c:formatCode>
              <c:ptCount val="2"/>
              <c:pt idx="0">
                <c:v>-6.377240982176394</c:v>
              </c:pt>
              <c:pt idx="1">
                <c:v>-5.8979568103772069</c:v>
              </c:pt>
            </c:numLit>
          </c:xVal>
          <c:yVal>
            <c:numLit>
              <c:formatCode>General</c:formatCode>
              <c:ptCount val="2"/>
              <c:pt idx="0">
                <c:v>1.3187676396417802E-2</c:v>
              </c:pt>
              <c:pt idx="1">
                <c:v>1.3454653072403396E-2</c:v>
              </c:pt>
            </c:numLit>
          </c:yVal>
          <c:smooth val="0"/>
          <c:extLst>
            <c:ext xmlns:c16="http://schemas.microsoft.com/office/drawing/2014/chart" uri="{C3380CC4-5D6E-409C-BE32-E72D297353CC}">
              <c16:uniqueId val="{00000087-56BA-44A1-9D5C-83997DB4DF62}"/>
            </c:ext>
          </c:extLst>
        </c:ser>
        <c:ser>
          <c:idx val="136"/>
          <c:order val="136"/>
          <c:spPr>
            <a:ln w="3175">
              <a:solidFill>
                <a:srgbClr val="000000"/>
              </a:solidFill>
              <a:prstDash val="solid"/>
            </a:ln>
          </c:spPr>
          <c:marker>
            <c:symbol val="none"/>
          </c:marker>
          <c:xVal>
            <c:numLit>
              <c:formatCode>General</c:formatCode>
              <c:ptCount val="2"/>
              <c:pt idx="0">
                <c:v>-6.2342102755987439</c:v>
              </c:pt>
              <c:pt idx="1">
                <c:v>-5.9970342363642821</c:v>
              </c:pt>
            </c:numLit>
          </c:xVal>
          <c:yVal>
            <c:numLit>
              <c:formatCode>General</c:formatCode>
              <c:ptCount val="2"/>
              <c:pt idx="0">
                <c:v>1.304916427263535E-2</c:v>
              </c:pt>
              <c:pt idx="1">
                <c:v>1.3185040750693362E-2</c:v>
              </c:pt>
            </c:numLit>
          </c:yVal>
          <c:smooth val="0"/>
          <c:extLst>
            <c:ext xmlns:c16="http://schemas.microsoft.com/office/drawing/2014/chart" uri="{C3380CC4-5D6E-409C-BE32-E72D297353CC}">
              <c16:uniqueId val="{00000088-56BA-44A1-9D5C-83997DB4DF62}"/>
            </c:ext>
          </c:extLst>
        </c:ser>
        <c:ser>
          <c:idx val="137"/>
          <c:order val="137"/>
          <c:spPr>
            <a:ln w="3175">
              <a:solidFill>
                <a:srgbClr val="000000"/>
              </a:solidFill>
              <a:prstDash val="solid"/>
            </a:ln>
          </c:spPr>
          <c:marker>
            <c:symbol val="none"/>
          </c:marker>
          <c:xVal>
            <c:numLit>
              <c:formatCode>General</c:formatCode>
              <c:ptCount val="2"/>
              <c:pt idx="0">
                <c:v>-6.0833356038875808</c:v>
              </c:pt>
              <c:pt idx="1">
                <c:v>-5.6141861003052496</c:v>
              </c:pt>
            </c:numLit>
          </c:xVal>
          <c:yVal>
            <c:numLit>
              <c:formatCode>General</c:formatCode>
              <c:ptCount val="2"/>
              <c:pt idx="0">
                <c:v>1.2907158489149532E-2</c:v>
              </c:pt>
              <c:pt idx="1">
                <c:v>1.3183808196420238E-2</c:v>
              </c:pt>
            </c:numLit>
          </c:yVal>
          <c:smooth val="0"/>
          <c:extLst>
            <c:ext xmlns:c16="http://schemas.microsoft.com/office/drawing/2014/chart" uri="{C3380CC4-5D6E-409C-BE32-E72D297353CC}">
              <c16:uniqueId val="{00000089-56BA-44A1-9D5C-83997DB4DF62}"/>
            </c:ext>
          </c:extLst>
        </c:ser>
        <c:ser>
          <c:idx val="138"/>
          <c:order val="138"/>
          <c:spPr>
            <a:ln w="3175">
              <a:solidFill>
                <a:srgbClr val="000000"/>
              </a:solidFill>
              <a:prstDash val="solid"/>
            </a:ln>
          </c:spPr>
          <c:marker>
            <c:symbol val="none"/>
          </c:marker>
          <c:xVal>
            <c:numLit>
              <c:formatCode>General</c:formatCode>
              <c:ptCount val="2"/>
              <c:pt idx="0">
                <c:v>-5.9241286231448873</c:v>
              </c:pt>
              <c:pt idx="1">
                <c:v>-5.6922988192975605</c:v>
              </c:pt>
            </c:numLit>
          </c:xVal>
          <c:yVal>
            <c:numLit>
              <c:formatCode>General</c:formatCode>
              <c:ptCount val="2"/>
              <c:pt idx="0">
                <c:v>1.2761639254297252E-2</c:v>
              </c:pt>
              <c:pt idx="1">
                <c:v>1.2902473060257644E-2</c:v>
              </c:pt>
            </c:numLit>
          </c:yVal>
          <c:smooth val="0"/>
          <c:extLst>
            <c:ext xmlns:c16="http://schemas.microsoft.com/office/drawing/2014/chart" uri="{C3380CC4-5D6E-409C-BE32-E72D297353CC}">
              <c16:uniqueId val="{0000008A-56BA-44A1-9D5C-83997DB4DF62}"/>
            </c:ext>
          </c:extLst>
        </c:ser>
        <c:ser>
          <c:idx val="139"/>
          <c:order val="139"/>
          <c:spPr>
            <a:ln w="3175">
              <a:solidFill>
                <a:srgbClr val="000000"/>
              </a:solidFill>
              <a:prstDash val="solid"/>
            </a:ln>
          </c:spPr>
          <c:marker>
            <c:symbol val="none"/>
          </c:marker>
          <c:xVal>
            <c:numLit>
              <c:formatCode>General</c:formatCode>
              <c:ptCount val="2"/>
              <c:pt idx="0">
                <c:v>-5.7560730377038629</c:v>
              </c:pt>
              <c:pt idx="1">
                <c:v>-5.2982084501968325</c:v>
              </c:pt>
            </c:numLit>
          </c:xVal>
          <c:yVal>
            <c:numLit>
              <c:formatCode>General</c:formatCode>
              <c:ptCount val="2"/>
              <c:pt idx="0">
                <c:v>1.2612601820716014E-2</c:v>
              </c:pt>
              <c:pt idx="1">
                <c:v>1.2899408654484428E-2</c:v>
              </c:pt>
            </c:numLit>
          </c:yVal>
          <c:smooth val="0"/>
          <c:extLst>
            <c:ext xmlns:c16="http://schemas.microsoft.com/office/drawing/2014/chart" uri="{C3380CC4-5D6E-409C-BE32-E72D297353CC}">
              <c16:uniqueId val="{0000008B-56BA-44A1-9D5C-83997DB4DF62}"/>
            </c:ext>
          </c:extLst>
        </c:ser>
        <c:ser>
          <c:idx val="140"/>
          <c:order val="140"/>
          <c:spPr>
            <a:ln w="3175">
              <a:solidFill>
                <a:srgbClr val="000000"/>
              </a:solidFill>
              <a:prstDash val="solid"/>
            </a:ln>
          </c:spPr>
          <c:marker>
            <c:symbol val="none"/>
          </c:marker>
          <c:xVal>
            <c:numLit>
              <c:formatCode>General</c:formatCode>
              <c:ptCount val="2"/>
              <c:pt idx="0">
                <c:v>-5.578624186981501</c:v>
              </c:pt>
              <c:pt idx="1">
                <c:v>-5.352751356171475</c:v>
              </c:pt>
            </c:numLit>
          </c:xVal>
          <c:yVal>
            <c:numLit>
              <c:formatCode>General</c:formatCode>
              <c:ptCount val="2"/>
              <c:pt idx="0">
                <c:v>1.2460059169599368E-2</c:v>
              </c:pt>
              <c:pt idx="1">
                <c:v>1.2606092632192483E-2</c:v>
              </c:pt>
            </c:numLit>
          </c:yVal>
          <c:smooth val="0"/>
          <c:extLst>
            <c:ext xmlns:c16="http://schemas.microsoft.com/office/drawing/2014/chart" uri="{C3380CC4-5D6E-409C-BE32-E72D297353CC}">
              <c16:uniqueId val="{0000008C-56BA-44A1-9D5C-83997DB4DF62}"/>
            </c:ext>
          </c:extLst>
        </c:ser>
        <c:ser>
          <c:idx val="141"/>
          <c:order val="141"/>
          <c:spPr>
            <a:ln w="3175">
              <a:solidFill>
                <a:srgbClr val="000000"/>
              </a:solidFill>
              <a:prstDash val="solid"/>
            </a:ln>
          </c:spPr>
          <c:marker>
            <c:symbol val="none"/>
          </c:marker>
          <c:xVal>
            <c:numLit>
              <c:formatCode>General</c:formatCode>
              <c:ptCount val="2"/>
              <c:pt idx="0">
                <c:v>-5.3912089513591752</c:v>
              </c:pt>
              <c:pt idx="1">
                <c:v>-4.9459258840709275</c:v>
              </c:pt>
            </c:numLit>
          </c:xVal>
          <c:yVal>
            <c:numLit>
              <c:formatCode>General</c:formatCode>
              <c:ptCount val="2"/>
              <c:pt idx="0">
                <c:v>1.2304045016555564E-2</c:v>
              </c:pt>
              <c:pt idx="1">
                <c:v>1.2601491740122614E-2</c:v>
              </c:pt>
            </c:numLit>
          </c:yVal>
          <c:smooth val="0"/>
          <c:extLst>
            <c:ext xmlns:c16="http://schemas.microsoft.com/office/drawing/2014/chart" uri="{C3380CC4-5D6E-409C-BE32-E72D297353CC}">
              <c16:uniqueId val="{0000008D-56BA-44A1-9D5C-83997DB4DF62}"/>
            </c:ext>
          </c:extLst>
        </c:ser>
        <c:ser>
          <c:idx val="142"/>
          <c:order val="142"/>
          <c:spPr>
            <a:ln w="3175">
              <a:solidFill>
                <a:srgbClr val="000000"/>
              </a:solidFill>
              <a:prstDash val="solid"/>
            </a:ln>
          </c:spPr>
          <c:marker>
            <c:symbol val="none"/>
          </c:marker>
          <c:xVal>
            <c:numLit>
              <c:formatCode>General</c:formatCode>
              <c:ptCount val="2"/>
              <c:pt idx="0">
                <c:v>-5.1932260635615615</c:v>
              </c:pt>
              <c:pt idx="1">
                <c:v>-4.9739980279829137</c:v>
              </c:pt>
            </c:numLit>
          </c:xVal>
          <c:yVal>
            <c:numLit>
              <c:formatCode>General</c:formatCode>
              <c:ptCount val="2"/>
              <c:pt idx="0">
                <c:v>1.214461715663261E-2</c:v>
              </c:pt>
              <c:pt idx="1">
                <c:v>1.2296089274621703E-2</c:v>
              </c:pt>
            </c:numLit>
          </c:yVal>
          <c:smooth val="0"/>
          <c:extLst>
            <c:ext xmlns:c16="http://schemas.microsoft.com/office/drawing/2014/chart" uri="{C3380CC4-5D6E-409C-BE32-E72D297353CC}">
              <c16:uniqueId val="{0000008E-56BA-44A1-9D5C-83997DB4DF62}"/>
            </c:ext>
          </c:extLst>
        </c:ser>
        <c:ser>
          <c:idx val="143"/>
          <c:order val="143"/>
          <c:spPr>
            <a:ln w="3175">
              <a:solidFill>
                <a:srgbClr val="000000"/>
              </a:solidFill>
              <a:prstDash val="solid"/>
            </a:ln>
          </c:spPr>
          <c:marker>
            <c:symbol val="none"/>
          </c:marker>
          <c:xVal>
            <c:numLit>
              <c:formatCode>General</c:formatCode>
              <c:ptCount val="2"/>
              <c:pt idx="0">
                <c:v>-4.9840469263693068</c:v>
              </c:pt>
              <c:pt idx="1">
                <c:v>-4.5528039289082951</c:v>
              </c:pt>
            </c:numLit>
          </c:xVal>
          <c:yVal>
            <c:numLit>
              <c:formatCode>General</c:formatCode>
              <c:ptCount val="2"/>
              <c:pt idx="0">
                <c:v>1.1981861160791238E-2</c:v>
              </c:pt>
              <c:pt idx="1">
                <c:v>1.2290417672488093E-2</c:v>
              </c:pt>
            </c:numLit>
          </c:yVal>
          <c:smooth val="0"/>
          <c:extLst>
            <c:ext xmlns:c16="http://schemas.microsoft.com/office/drawing/2014/chart" uri="{C3380CC4-5D6E-409C-BE32-E72D297353CC}">
              <c16:uniqueId val="{0000008F-56BA-44A1-9D5C-83997DB4DF62}"/>
            </c:ext>
          </c:extLst>
        </c:ser>
        <c:ser>
          <c:idx val="144"/>
          <c:order val="144"/>
          <c:spPr>
            <a:ln w="3175">
              <a:solidFill>
                <a:srgbClr val="000000"/>
              </a:solidFill>
              <a:prstDash val="solid"/>
            </a:ln>
          </c:spPr>
          <c:marker>
            <c:symbol val="none"/>
          </c:marker>
          <c:xVal>
            <c:numLit>
              <c:formatCode>General</c:formatCode>
              <c:ptCount val="2"/>
              <c:pt idx="0">
                <c:v>-4.763017052784714</c:v>
              </c:pt>
              <c:pt idx="1">
                <c:v>-4.5512064139435973</c:v>
              </c:pt>
            </c:numLit>
          </c:xVal>
          <c:yVal>
            <c:numLit>
              <c:formatCode>General</c:formatCode>
              <c:ptCount val="2"/>
              <c:pt idx="0">
                <c:v>1.1815894428391283E-2</c:v>
              </c:pt>
              <c:pt idx="1">
                <c:v>1.1973034179625917E-2</c:v>
              </c:pt>
            </c:numLit>
          </c:yVal>
          <c:smooth val="0"/>
          <c:extLst>
            <c:ext xmlns:c16="http://schemas.microsoft.com/office/drawing/2014/chart" uri="{C3380CC4-5D6E-409C-BE32-E72D297353CC}">
              <c16:uniqueId val="{00000090-56BA-44A1-9D5C-83997DB4DF62}"/>
            </c:ext>
          </c:extLst>
        </c:ser>
        <c:ser>
          <c:idx val="145"/>
          <c:order val="145"/>
          <c:spPr>
            <a:ln w="3175">
              <a:solidFill>
                <a:srgbClr val="000000"/>
              </a:solidFill>
              <a:prstDash val="solid"/>
            </a:ln>
          </c:spPr>
          <c:marker>
            <c:symbol val="none"/>
          </c:marker>
          <c:xVal>
            <c:numLit>
              <c:formatCode>General</c:formatCode>
              <c:ptCount val="2"/>
              <c:pt idx="0">
                <c:v>-4.5294582604980791</c:v>
              </c:pt>
              <c:pt idx="1">
                <c:v>-4.1138907342740056</c:v>
              </c:pt>
            </c:numLit>
          </c:xVal>
          <c:yVal>
            <c:numLit>
              <c:formatCode>General</c:formatCode>
              <c:ptCount val="2"/>
              <c:pt idx="0">
                <c:v>1.1646870589539764E-2</c:v>
              </c:pt>
              <c:pt idx="1">
                <c:v>1.1966978500245291E-2</c:v>
              </c:pt>
            </c:numLit>
          </c:yVal>
          <c:smooth val="0"/>
          <c:extLst>
            <c:ext xmlns:c16="http://schemas.microsoft.com/office/drawing/2014/chart" uri="{C3380CC4-5D6E-409C-BE32-E72D297353CC}">
              <c16:uniqueId val="{00000091-56BA-44A1-9D5C-83997DB4DF62}"/>
            </c:ext>
          </c:extLst>
        </c:ser>
        <c:ser>
          <c:idx val="146"/>
          <c:order val="146"/>
          <c:spPr>
            <a:ln w="3175">
              <a:solidFill>
                <a:srgbClr val="000000"/>
              </a:solidFill>
              <a:prstDash val="solid"/>
            </a:ln>
          </c:spPr>
          <c:marker>
            <c:symbol val="none"/>
          </c:marker>
          <c:xVal>
            <c:numLit>
              <c:formatCode>General</c:formatCode>
              <c:ptCount val="2"/>
              <c:pt idx="0">
                <c:v>-4.2826717679503306</c:v>
              </c:pt>
              <c:pt idx="1">
                <c:v>-4.07914294436498</c:v>
              </c:pt>
            </c:numLit>
          </c:xVal>
          <c:yVal>
            <c:numLit>
              <c:formatCode>General</c:formatCode>
              <c:ptCount val="2"/>
              <c:pt idx="0">
                <c:v>1.1474984236816857E-2</c:v>
              </c:pt>
              <c:pt idx="1">
                <c:v>1.1638001749975188E-2</c:v>
              </c:pt>
            </c:numLit>
          </c:yVal>
          <c:smooth val="0"/>
          <c:extLst>
            <c:ext xmlns:c16="http://schemas.microsoft.com/office/drawing/2014/chart" uri="{C3380CC4-5D6E-409C-BE32-E72D297353CC}">
              <c16:uniqueId val="{00000092-56BA-44A1-9D5C-83997DB4DF62}"/>
            </c:ext>
          </c:extLst>
        </c:ser>
        <c:ser>
          <c:idx val="147"/>
          <c:order val="147"/>
          <c:spPr>
            <a:ln w="3175">
              <a:solidFill>
                <a:srgbClr val="000000"/>
              </a:solidFill>
              <a:prstDash val="solid"/>
            </a:ln>
          </c:spPr>
          <c:marker>
            <c:symbol val="none"/>
          </c:marker>
          <c:xVal>
            <c:numLit>
              <c:formatCode>General</c:formatCode>
              <c:ptCount val="2"/>
              <c:pt idx="0">
                <c:v>-4.021942353411518</c:v>
              </c:pt>
              <c:pt idx="1">
                <c:v>-3.6238753757076712</c:v>
              </c:pt>
            </c:numLit>
          </c:xVal>
          <c:yVal>
            <c:numLit>
              <c:formatCode>General</c:formatCode>
              <c:ptCount val="2"/>
              <c:pt idx="0">
                <c:v>1.1300475947320083E-2</c:v>
              </c:pt>
              <c:pt idx="1">
                <c:v>1.1632528500860769E-2</c:v>
              </c:pt>
            </c:numLit>
          </c:yVal>
          <c:smooth val="0"/>
          <c:extLst>
            <c:ext xmlns:c16="http://schemas.microsoft.com/office/drawing/2014/chart" uri="{C3380CC4-5D6E-409C-BE32-E72D297353CC}">
              <c16:uniqueId val="{00000093-56BA-44A1-9D5C-83997DB4DF62}"/>
            </c:ext>
          </c:extLst>
        </c:ser>
        <c:ser>
          <c:idx val="148"/>
          <c:order val="148"/>
          <c:spPr>
            <a:ln w="3175">
              <a:solidFill>
                <a:srgbClr val="000000"/>
              </a:solidFill>
              <a:prstDash val="solid"/>
            </a:ln>
          </c:spPr>
          <c:marker>
            <c:symbol val="none"/>
          </c:marker>
          <c:xVal>
            <c:numLit>
              <c:formatCode>General</c:formatCode>
              <c:ptCount val="147"/>
              <c:pt idx="0">
                <c:v>19.065942353411515</c:v>
              </c:pt>
              <c:pt idx="1">
                <c:v>18.790543749866966</c:v>
              </c:pt>
              <c:pt idx="2">
                <c:v>18.499745455246352</c:v>
              </c:pt>
              <c:pt idx="3">
                <c:v>18.192821137276322</c:v>
              </c:pt>
              <c:pt idx="4">
                <c:v>17.869058802111013</c:v>
              </c:pt>
              <c:pt idx="5">
                <c:v>17.527772872567621</c:v>
              </c:pt>
              <c:pt idx="6">
                <c:v>17.168318281619168</c:v>
              </c:pt>
              <c:pt idx="7">
                <c:v>16.790106626063352</c:v>
              </c:pt>
              <c:pt idx="8">
                <c:v>16.392624340635372</c:v>
              </c:pt>
              <c:pt idx="9">
                <c:v>15.9754527418382</c:v>
              </c:pt>
              <c:pt idx="10">
                <c:v>15.538289652700842</c:v>
              </c:pt>
              <c:pt idx="11">
                <c:v>15.08097215642557</c:v>
              </c:pt>
              <c:pt idx="12">
                <c:v>14.603499843901423</c:v>
              </c:pt>
              <c:pt idx="13">
                <c:v>14.106057727229052</c:v>
              </c:pt>
              <c:pt idx="14">
                <c:v>13.589037803579986</c:v>
              </c:pt>
              <c:pt idx="15">
                <c:v>13.053058090665036</c:v>
              </c:pt>
              <c:pt idx="16">
                <c:v>12.498977840522226</c:v>
              </c:pt>
              <c:pt idx="17">
                <c:v>11.927907597824111</c:v>
              </c:pt>
              <c:pt idx="18">
                <c:v>11.341212826619152</c:v>
              </c:pt>
              <c:pt idx="19">
                <c:v>10.740510003894533</c:v>
              </c:pt>
              <c:pt idx="20">
                <c:v>10.127654377823859</c:v>
              </c:pt>
              <c:pt idx="21">
                <c:v>9.5047190068155949</c:v>
              </c:pt>
              <c:pt idx="22">
                <c:v>8.8739652091894179</c:v>
              </c:pt>
              <c:pt idx="23">
                <c:v>8.2378051220730821</c:v>
              </c:pt>
              <c:pt idx="24">
                <c:v>7.5987576377376911</c:v>
              </c:pt>
              <c:pt idx="25">
                <c:v>6.9593994946761999</c:v>
              </c:pt>
              <c:pt idx="26">
                <c:v>6.3223136896666619</c:v>
              </c:pt>
              <c:pt idx="27">
                <c:v>5.690037597761866</c:v>
              </c:pt>
              <c:pt idx="28">
                <c:v>5.0650132114445139</c:v>
              </c:pt>
              <c:pt idx="29">
                <c:v>4.4495417349447202</c:v>
              </c:pt>
              <c:pt idx="30">
                <c:v>3.8457444174013791</c:v>
              </c:pt>
              <c:pt idx="31">
                <c:v>3.255531023136959</c:v>
              </c:pt>
              <c:pt idx="32">
                <c:v>2.6805767765256308</c:v>
              </c:pt>
              <c:pt idx="33">
                <c:v>2.1223080446173976</c:v>
              </c:pt>
              <c:pt idx="34">
                <c:v>1.5818964894711631</c:v>
              </c:pt>
              <c:pt idx="35">
                <c:v>1.0602609781934789</c:v>
              </c:pt>
              <c:pt idx="36">
                <c:v>0.55807620951249115</c:v>
              </c:pt>
              <c:pt idx="37">
                <c:v>7.5786811510906382E-2</c:v>
              </c:pt>
              <c:pt idx="38">
                <c:v>-0.38637441921499299</c:v>
              </c:pt>
              <c:pt idx="39">
                <c:v>-0.82836544769946818</c:v>
              </c:pt>
              <c:pt idx="40">
                <c:v>-1.2503123116501493</c:v>
              </c:pt>
              <c:pt idx="41">
                <c:v>-1.6524858712974235</c:v>
              </c:pt>
              <c:pt idx="42">
                <c:v>-2.0352788721065513</c:v>
              </c:pt>
              <c:pt idx="43">
                <c:v>-2.3991840012325829</c:v>
              </c:pt>
              <c:pt idx="44">
                <c:v>-2.7447734321668316</c:v>
              </c:pt>
              <c:pt idx="45">
                <c:v>-3.072680183386634</c:v>
              </c:pt>
              <c:pt idx="46">
                <c:v>-3.3835814724217705</c:v>
              </c:pt>
              <c:pt idx="47">
                <c:v>-3.6781841292440793</c:v>
              </c:pt>
              <c:pt idx="48">
                <c:v>-3.9572120420841821</c:v>
              </c:pt>
              <c:pt idx="49">
                <c:v>-4.221395542588029</c:v>
              </c:pt>
              <c:pt idx="50">
                <c:v>-4.4714625924504272</c:v>
              </c:pt>
              <c:pt idx="51">
                <c:v>-4.7081316066320262</c:v>
              </c:pt>
              <c:pt idx="52">
                <c:v>-4.9321057352905999</c:v>
              </c:pt>
              <c:pt idx="53">
                <c:v>-5.1440684242141916</c:v>
              </c:pt>
              <c:pt idx="54">
                <c:v>-5.3446800788427877</c:v>
              </c:pt>
              <c:pt idx="55">
                <c:v>-5.5345756674157736</c:v>
              </c:pt>
              <c:pt idx="56">
                <c:v>-5.714363112392145</c:v>
              </c:pt>
              <c:pt idx="57">
                <c:v>-6.0459048297431641</c:v>
              </c:pt>
              <c:pt idx="58">
                <c:v>-6.3436038686490521</c:v>
              </c:pt>
              <c:pt idx="59">
                <c:v>-6.6113117622552888</c:v>
              </c:pt>
              <c:pt idx="60">
                <c:v>-6.8524545533004888</c:v>
              </c:pt>
              <c:pt idx="61">
                <c:v>-7.0700641161397257</c:v>
              </c:pt>
              <c:pt idx="62">
                <c:v>-7.2668139627913737</c:v>
              </c:pt>
              <c:pt idx="63">
                <c:v>-7.4450561220153224</c:v>
              </c:pt>
              <c:pt idx="64">
                <c:v>-7.6068569785848918</c:v>
              </c:pt>
              <c:pt idx="65">
                <c:v>-7.7540308580023209</c:v>
              </c:pt>
              <c:pt idx="66">
                <c:v>-7.8881707432153219</c:v>
              </c:pt>
              <c:pt idx="67">
                <c:v>-8.0106758986490121</c:v>
              </c:pt>
              <c:pt idx="68">
                <c:v>-8.1227764177225303</c:v>
              </c:pt>
              <c:pt idx="69">
                <c:v>-8.2255548505858034</c:v>
              </c:pt>
              <c:pt idx="70">
                <c:v>-8.3199651431045574</c:v>
              </c:pt>
              <c:pt idx="71">
                <c:v>-8.4068491498525173</c:v>
              </c:pt>
              <c:pt idx="72">
                <c:v>-8.486950989224928</c:v>
              </c:pt>
              <c:pt idx="73">
                <c:v>-8.5609294985956481</c:v>
              </c:pt>
              <c:pt idx="74">
                <c:v>-8.6293690287967184</c:v>
              </c:pt>
              <c:pt idx="75">
                <c:v>-8.6927887946424995</c:v>
              </c:pt>
              <c:pt idx="76">
                <c:v>-8.7516509745654023</c:v>
              </c:pt>
              <c:pt idx="77">
                <c:v>-8.8573072883626267</c:v>
              </c:pt>
              <c:pt idx="78">
                <c:v>-8.9491390821074628</c:v>
              </c:pt>
              <c:pt idx="79">
                <c:v>-9.0293977395002667</c:v>
              </c:pt>
              <c:pt idx="80">
                <c:v>-9.0999057043833709</c:v>
              </c:pt>
              <c:pt idx="81">
                <c:v>-9.1621483944066782</c:v>
              </c:pt>
              <c:pt idx="82">
                <c:v>-9.2890805085034174</c:v>
              </c:pt>
              <c:pt idx="83">
                <c:v>-9.3854262264463078</c:v>
              </c:pt>
              <c:pt idx="84">
                <c:v>-9.4601719381821585</c:v>
              </c:pt>
              <c:pt idx="85">
                <c:v>-9.5192631793601503</c:v>
              </c:pt>
              <c:pt idx="86">
                <c:v>-9.5667494735594438</c:v>
              </c:pt>
              <c:pt idx="87">
                <c:v>-9.6054604899925025</c:v>
              </c:pt>
              <c:pt idx="88">
                <c:v>-9.6640995467395676</c:v>
              </c:pt>
              <c:pt idx="89">
                <c:v>-9.7057408037734945</c:v>
              </c:pt>
              <c:pt idx="90">
                <c:v>-9.7363488755763594</c:v>
              </c:pt>
              <c:pt idx="91">
                <c:v>-9.7594920592975569</c:v>
              </c:pt>
              <c:pt idx="92">
                <c:v>-9.7774082431157812</c:v>
              </c:pt>
              <c:pt idx="93">
                <c:v>-9.826239533393677</c:v>
              </c:pt>
              <c:pt idx="94">
                <c:v>-9.8465584490956477</c:v>
              </c:pt>
              <c:pt idx="95">
                <c:v>-9.862870431265371</c:v>
              </c:pt>
              <c:pt idx="96">
                <c:v>-9.8691357952931487</c:v>
              </c:pt>
              <c:pt idx="97">
                <c:v>-9.8780000000000001</c:v>
              </c:pt>
              <c:pt idx="98">
                <c:v>-9.8665090567206697</c:v>
              </c:pt>
              <c:pt idx="99">
                <c:v>-9.8566117153194046</c:v>
              </c:pt>
              <c:pt idx="100">
                <c:v>-9.825120498007605</c:v>
              </c:pt>
              <c:pt idx="101">
                <c:v>-9.7743638069967425</c:v>
              </c:pt>
              <c:pt idx="102">
                <c:v>-9.7555947041230944</c:v>
              </c:pt>
              <c:pt idx="103">
                <c:v>-9.7312495160578543</c:v>
              </c:pt>
              <c:pt idx="104">
                <c:v>-9.6988930377242379</c:v>
              </c:pt>
              <c:pt idx="105">
                <c:v>-9.6546103310984979</c:v>
              </c:pt>
              <c:pt idx="106">
                <c:v>-9.5917920119000488</c:v>
              </c:pt>
              <c:pt idx="107">
                <c:v>-9.5500552853147749</c:v>
              </c:pt>
              <c:pt idx="108">
                <c:v>-9.4985920174877663</c:v>
              </c:pt>
              <c:pt idx="109">
                <c:v>-9.4341733564072943</c:v>
              </c:pt>
              <c:pt idx="110">
                <c:v>-9.3521355422659074</c:v>
              </c:pt>
              <c:pt idx="111">
                <c:v>-9.2455590364770597</c:v>
              </c:pt>
              <c:pt idx="112">
                <c:v>-9.1038600359190358</c:v>
              </c:pt>
              <c:pt idx="113">
                <c:v>-9.033886916005148</c:v>
              </c:pt>
              <c:pt idx="114">
                <c:v>-8.954260939861248</c:v>
              </c:pt>
              <c:pt idx="115">
                <c:v>-8.8631822315685405</c:v>
              </c:pt>
              <c:pt idx="116">
                <c:v>-8.7584282202067296</c:v>
              </c:pt>
              <c:pt idx="117">
                <c:v>-8.6372348348493126</c:v>
              </c:pt>
              <c:pt idx="118">
                <c:v>-8.5694238961193641</c:v>
              </c:pt>
              <c:pt idx="119">
                <c:v>-8.496139552640436</c:v>
              </c:pt>
              <c:pt idx="120">
                <c:v>-8.4168057372568565</c:v>
              </c:pt>
              <c:pt idx="121">
                <c:v>-8.3307730905498314</c:v>
              </c:pt>
              <c:pt idx="122">
                <c:v>-8.2373083506110412</c:v>
              </c:pt>
              <c:pt idx="123">
                <c:v>-8.135582109378646</c:v>
              </c:pt>
              <c:pt idx="124">
                <c:v>-8.0246546988258096</c:v>
              </c:pt>
              <c:pt idx="125">
                <c:v>-7.9034599509797507</c:v>
              </c:pt>
              <c:pt idx="126">
                <c:v>-7.7707865642283949</c:v>
              </c:pt>
              <c:pt idx="127">
                <c:v>-7.6252568113761559</c:v>
              </c:pt>
              <c:pt idx="128">
                <c:v>-7.4653023527450681</c:v>
              </c:pt>
              <c:pt idx="129">
                <c:v>-7.2891369857220321</c:v>
              </c:pt>
              <c:pt idx="130">
                <c:v>-7.0947262932026645</c:v>
              </c:pt>
              <c:pt idx="131">
                <c:v>-6.8797543799888556</c:v>
              </c:pt>
              <c:pt idx="132">
                <c:v>-6.6415882541581794</c:v>
              </c:pt>
              <c:pt idx="133">
                <c:v>-6.5128887746212865</c:v>
              </c:pt>
              <c:pt idx="134">
                <c:v>-6.377240982176394</c:v>
              </c:pt>
              <c:pt idx="135">
                <c:v>-6.2342102755987439</c:v>
              </c:pt>
              <c:pt idx="136">
                <c:v>-6.0833356038875808</c:v>
              </c:pt>
              <c:pt idx="137">
                <c:v>-5.9241286231448873</c:v>
              </c:pt>
              <c:pt idx="138">
                <c:v>-5.7560730377038629</c:v>
              </c:pt>
              <c:pt idx="139">
                <c:v>-5.578624186981501</c:v>
              </c:pt>
              <c:pt idx="140">
                <c:v>-5.3912089513591752</c:v>
              </c:pt>
              <c:pt idx="141">
                <c:v>-5.1932260635615615</c:v>
              </c:pt>
              <c:pt idx="142">
                <c:v>-4.9840469263693068</c:v>
              </c:pt>
              <c:pt idx="143">
                <c:v>-4.763017052784714</c:v>
              </c:pt>
              <c:pt idx="144">
                <c:v>-4.5294582604980791</c:v>
              </c:pt>
              <c:pt idx="145">
                <c:v>-4.2826717679503306</c:v>
              </c:pt>
              <c:pt idx="146">
                <c:v>-4.021942353411518</c:v>
              </c:pt>
            </c:numLit>
          </c:xVal>
          <c:yVal>
            <c:numLit>
              <c:formatCode>General</c:formatCode>
              <c:ptCount val="147"/>
              <c:pt idx="0">
                <c:v>3.0559524052679921E-2</c:v>
              </c:pt>
              <c:pt idx="1">
                <c:v>3.0736362467444784E-2</c:v>
              </c:pt>
              <c:pt idx="2">
                <c:v>3.0915182575025162E-2</c:v>
              </c:pt>
              <c:pt idx="3">
                <c:v>3.1095573924337105E-2</c:v>
              </c:pt>
              <c:pt idx="4">
                <c:v>3.1277058802111013E-2</c:v>
              </c:pt>
              <c:pt idx="5">
                <c:v>3.145908735335045E-2</c:v>
              </c:pt>
              <c:pt idx="6">
                <c:v>3.1641033323740492E-2</c:v>
              </c:pt>
              <c:pt idx="7">
                <c:v>3.1822190731097821E-2</c:v>
              </c:pt>
              <c:pt idx="8">
                <c:v>3.2001771819701222E-2</c:v>
              </c:pt>
              <c:pt idx="9">
                <c:v>3.2178906690858773E-2</c:v>
              </c:pt>
              <c:pt idx="10">
                <c:v>3.2352645029202619E-2</c:v>
              </c:pt>
              <c:pt idx="11">
                <c:v>3.2521960349640437E-2</c:v>
              </c:pt>
              <c:pt idx="12">
                <c:v>3.2685757166608632E-2</c:v>
              </c:pt>
              <c:pt idx="13">
                <c:v>3.2842881427324513E-2</c:v>
              </c:pt>
              <c:pt idx="14">
                <c:v>3.2992134447433728E-2</c:v>
              </c:pt>
              <c:pt idx="15">
                <c:v>3.3132290436861909E-2</c:v>
              </c:pt>
              <c:pt idx="16">
                <c:v>3.3262117506318627E-2</c:v>
              </c:pt>
              <c:pt idx="17">
                <c:v>3.3380401807334426E-2</c:v>
              </c:pt>
              <c:pt idx="18">
                <c:v>3.348597419470218E-2</c:v>
              </c:pt>
              <c:pt idx="19">
                <c:v>3.3577738530929296E-2</c:v>
              </c:pt>
              <c:pt idx="20">
                <c:v>3.3654700505295149E-2</c:v>
              </c:pt>
              <c:pt idx="21">
                <c:v>3.3715995646515944E-2</c:v>
              </c:pt>
              <c:pt idx="22">
                <c:v>3.3760915098533552E-2</c:v>
              </c:pt>
              <c:pt idx="23">
                <c:v>3.378892772867001E-2</c:v>
              </c:pt>
              <c:pt idx="24">
                <c:v>3.3799697260686282E-2</c:v>
              </c:pt>
              <c:pt idx="25">
                <c:v>3.3793093371721462E-2</c:v>
              </c:pt>
              <c:pt idx="26">
                <c:v>3.3769196044631293E-2</c:v>
              </c:pt>
              <c:pt idx="27">
                <c:v>3.3728292893413635E-2</c:v>
              </c:pt>
              <c:pt idx="28">
                <c:v>3.3670869635499083E-2</c:v>
              </c:pt>
              <c:pt idx="29">
                <c:v>3.3597594322318097E-2</c:v>
              </c:pt>
              <c:pt idx="30">
                <c:v>3.3509296313245625E-2</c:v>
              </c:pt>
              <c:pt idx="31">
                <c:v>3.3406941252105297E-2</c:v>
              </c:pt>
              <c:pt idx="32">
                <c:v>3.3291603458921876E-2</c:v>
              </c:pt>
              <c:pt idx="33">
                <c:v>3.3164437178186706E-2</c:v>
              </c:pt>
              <c:pt idx="34">
                <c:v>3.3026648039659948E-2</c:v>
              </c:pt>
              <c:pt idx="35">
                <c:v>3.2879465911649565E-2</c:v>
              </c:pt>
              <c:pt idx="36">
                <c:v>3.2724120089613527E-2</c:v>
              </c:pt>
              <c:pt idx="37">
                <c:v>3.2561817496304393E-2</c:v>
              </c:pt>
              <c:pt idx="38">
                <c:v>3.2393724302205024E-2</c:v>
              </c:pt>
              <c:pt idx="39">
                <c:v>3.2220951129550625E-2</c:v>
              </c:pt>
              <c:pt idx="40">
                <c:v>3.2044541795365311E-2</c:v>
              </c:pt>
              <c:pt idx="41">
                <c:v>3.1865465386878213E-2</c:v>
              </c:pt>
              <c:pt idx="42">
                <c:v>3.1684611348254135E-2</c:v>
              </c:pt>
              <c:pt idx="43">
                <c:v>3.1502787187754219E-2</c:v>
              </c:pt>
              <c:pt idx="44">
                <c:v>3.1320718383058194E-2</c:v>
              </c:pt>
              <c:pt idx="45">
                <c:v>3.1139050061769116E-2</c:v>
              </c:pt>
              <c:pt idx="46">
                <c:v>3.0958350055992959E-2</c:v>
              </c:pt>
              <c:pt idx="47">
                <c:v>3.0779112966800307E-2</c:v>
              </c:pt>
              <c:pt idx="48">
                <c:v>3.0601764919879974E-2</c:v>
              </c:pt>
              <c:pt idx="49">
                <c:v>3.0426668742639516E-2</c:v>
              </c:pt>
              <c:pt idx="50">
                <c:v>3.0254129341580477E-2</c:v>
              </c:pt>
              <c:pt idx="51">
                <c:v>3.0084399104368914E-2</c:v>
              </c:pt>
              <c:pt idx="52">
                <c:v>2.9917683192038989E-2</c:v>
              </c:pt>
              <c:pt idx="53">
                <c:v>2.9754144622409617E-2</c:v>
              </c:pt>
              <c:pt idx="54">
                <c:v>2.9593909075847288E-2</c:v>
              </c:pt>
              <c:pt idx="55">
                <c:v>2.9437069379158205E-2</c:v>
              </c:pt>
              <c:pt idx="56">
                <c:v>2.9283689643078106E-2</c:v>
              </c:pt>
              <c:pt idx="57">
                <c:v>2.8987445253082427E-2</c:v>
              </c:pt>
              <c:pt idx="58">
                <c:v>2.8705249438049581E-2</c:v>
              </c:pt>
              <c:pt idx="59">
                <c:v>2.843692272060656E-2</c:v>
              </c:pt>
              <c:pt idx="60">
                <c:v>2.8182106961193734E-2</c:v>
              </c:pt>
              <c:pt idx="61">
                <c:v>2.7940323066302088E-2</c:v>
              </c:pt>
              <c:pt idx="62">
                <c:v>2.771101497108848E-2</c:v>
              </c:pt>
              <c:pt idx="63">
                <c:v>2.7493582588817535E-2</c:v>
              </c:pt>
              <c:pt idx="64">
                <c:v>2.7287406065353549E-2</c:v>
              </c:pt>
              <c:pt idx="65">
                <c:v>2.7091863289154108E-2</c:v>
              </c:pt>
              <c:pt idx="66">
                <c:v>2.690634223888767E-2</c:v>
              </c:pt>
              <c:pt idx="67">
                <c:v>2.673024942614733E-2</c:v>
              </c:pt>
              <c:pt idx="68">
                <c:v>2.6563015417404752E-2</c:v>
              </c:pt>
              <c:pt idx="69">
                <c:v>2.640409819616079E-2</c:v>
              </c:pt>
              <c:pt idx="70">
                <c:v>2.6252984947883497E-2</c:v>
              </c:pt>
              <c:pt idx="71">
                <c:v>2.610919271000376E-2</c:v>
              </c:pt>
              <c:pt idx="72">
                <c:v>2.597226822015037E-2</c:v>
              </c:pt>
              <c:pt idx="73">
                <c:v>2.5841787211775113E-2</c:v>
              </c:pt>
              <c:pt idx="74">
                <c:v>2.5717353342065267E-2</c:v>
              </c:pt>
              <c:pt idx="75">
                <c:v>2.5598596888211325E-2</c:v>
              </c:pt>
              <c:pt idx="76">
                <c:v>2.5485173311188873E-2</c:v>
              </c:pt>
              <c:pt idx="77">
                <c:v>2.5273063556165737E-2</c:v>
              </c:pt>
              <c:pt idx="78">
                <c:v>2.5078714550976496E-2</c:v>
              </c:pt>
              <c:pt idx="79">
                <c:v>2.4900125447290717E-2</c:v>
              </c:pt>
              <c:pt idx="80">
                <c:v>2.4735561478973527E-2</c:v>
              </c:pt>
              <c:pt idx="81">
                <c:v>2.4583516169954973E-2</c:v>
              </c:pt>
              <c:pt idx="82">
                <c:v>2.4249973889194042E-2</c:v>
              </c:pt>
              <c:pt idx="83">
                <c:v>2.3970556092921879E-2</c:v>
              </c:pt>
              <c:pt idx="84">
                <c:v>2.3733423854580125E-2</c:v>
              </c:pt>
              <c:pt idx="85">
                <c:v>2.3529865143833231E-2</c:v>
              </c:pt>
              <c:pt idx="86">
                <c:v>2.3353355225599216E-2</c:v>
              </c:pt>
              <c:pt idx="87">
                <c:v>2.3198926159195745E-2</c:v>
              </c:pt>
              <c:pt idx="88">
                <c:v>2.294177753595765E-2</c:v>
              </c:pt>
              <c:pt idx="89">
                <c:v>2.2736452704669185E-2</c:v>
              </c:pt>
              <c:pt idx="90">
                <c:v>2.2568842643838953E-2</c:v>
              </c:pt>
              <c:pt idx="91">
                <c:v>2.2429498103471914E-2</c:v>
              </c:pt>
              <c:pt idx="92">
                <c:v>2.2311864752467405E-2</c:v>
              </c:pt>
              <c:pt idx="93">
                <c:v>2.19219477646126E-2</c:v>
              </c:pt>
              <c:pt idx="94">
                <c:v>2.1703336717703383E-2</c:v>
              </c:pt>
              <c:pt idx="95">
                <c:v>2.1466576659932901E-2</c:v>
              </c:pt>
              <c:pt idx="96">
                <c:v>2.1340749932151591E-2</c:v>
              </c:pt>
              <c:pt idx="97">
                <c:v>2.0930000000000001E-2</c:v>
              </c:pt>
              <c:pt idx="98">
                <c:v>2.0462352026117177E-2</c:v>
              </c:pt>
              <c:pt idx="99">
                <c:v>2.0292078253462336E-2</c:v>
              </c:pt>
              <c:pt idx="100">
                <c:v>1.9927403009249937E-2</c:v>
              </c:pt>
              <c:pt idx="101">
                <c:v>1.9527441400141971E-2</c:v>
              </c:pt>
              <c:pt idx="102">
                <c:v>1.9406130083083659E-2</c:v>
              </c:pt>
              <c:pt idx="103">
                <c:v>1.9262042185935597E-2</c:v>
              </c:pt>
              <c:pt idx="104">
                <c:v>1.9088173676807301E-2</c:v>
              </c:pt>
              <c:pt idx="105">
                <c:v>1.8874364740294421E-2</c:v>
              </c:pt>
              <c:pt idx="106">
                <c:v>1.8605334220365727E-2</c:v>
              </c:pt>
              <c:pt idx="107">
                <c:v>1.8443106339845548E-2</c:v>
              </c:pt>
              <c:pt idx="108">
                <c:v>1.8257081553294929E-2</c:v>
              </c:pt>
              <c:pt idx="109">
                <c:v>1.8041765933534418E-2</c:v>
              </c:pt>
              <c:pt idx="110">
                <c:v>1.7789900045223919E-2</c:v>
              </c:pt>
              <c:pt idx="111">
                <c:v>1.7491727600755014E-2</c:v>
              </c:pt>
              <c:pt idx="112">
                <c:v>1.7133900318625845E-2</c:v>
              </c:pt>
              <c:pt idx="113">
                <c:v>1.6970127856038714E-2</c:v>
              </c:pt>
              <c:pt idx="114">
                <c:v>1.6792426733524612E-2</c:v>
              </c:pt>
              <c:pt idx="115">
                <c:v>1.6599076898329495E-2</c:v>
              </c:pt>
              <c:pt idx="116">
                <c:v>1.6388094622981707E-2</c:v>
              </c:pt>
              <c:pt idx="117">
                <c:v>1.6157190180898885E-2</c:v>
              </c:pt>
              <c:pt idx="118">
                <c:v>1.6033456612372633E-2</c:v>
              </c:pt>
              <c:pt idx="119">
                <c:v>1.590372165004483E-2</c:v>
              </c:pt>
              <c:pt idx="120">
                <c:v>1.5767592217746176E-2</c:v>
              </c:pt>
              <c:pt idx="121">
                <c:v>1.5624647462044871E-2</c:v>
              </c:pt>
              <c:pt idx="122">
                <c:v>1.5474437646003199E-2</c:v>
              </c:pt>
              <c:pt idx="123">
                <c:v>1.5316483392004664E-2</c:v>
              </c:pt>
              <c:pt idx="124">
                <c:v>1.5150275451951677E-2</c:v>
              </c:pt>
              <c:pt idx="125">
                <c:v>1.4975275245324009E-2</c:v>
              </c:pt>
              <c:pt idx="126">
                <c:v>1.4790916486985731E-2</c:v>
              </c:pt>
              <c:pt idx="127">
                <c:v>1.4596608332400495E-2</c:v>
              </c:pt>
              <c:pt idx="128">
                <c:v>1.4391740604136366E-2</c:v>
              </c:pt>
              <c:pt idx="129">
                <c:v>1.4175691836973547E-2</c:v>
              </c:pt>
              <c:pt idx="130">
                <c:v>1.3947841096409371E-2</c:v>
              </c:pt>
              <c:pt idx="131">
                <c:v>1.3707584792488141E-2</c:v>
              </c:pt>
              <c:pt idx="132">
                <c:v>1.3454360029547155E-2</c:v>
              </c:pt>
              <c:pt idx="133">
                <c:v>1.3322727312893847E-2</c:v>
              </c:pt>
              <c:pt idx="134">
                <c:v>1.3187676396417802E-2</c:v>
              </c:pt>
              <c:pt idx="135">
                <c:v>1.304916427263535E-2</c:v>
              </c:pt>
              <c:pt idx="136">
                <c:v>1.2907158489149532E-2</c:v>
              </c:pt>
              <c:pt idx="137">
                <c:v>1.2761639254297252E-2</c:v>
              </c:pt>
              <c:pt idx="138">
                <c:v>1.2612601820716014E-2</c:v>
              </c:pt>
              <c:pt idx="139">
                <c:v>1.2460059169599368E-2</c:v>
              </c:pt>
              <c:pt idx="140">
                <c:v>1.2304045016555564E-2</c:v>
              </c:pt>
              <c:pt idx="141">
                <c:v>1.214461715663261E-2</c:v>
              </c:pt>
              <c:pt idx="142">
                <c:v>1.1981861160791238E-2</c:v>
              </c:pt>
              <c:pt idx="143">
                <c:v>1.1815894428391283E-2</c:v>
              </c:pt>
              <c:pt idx="144">
                <c:v>1.1646870589539764E-2</c:v>
              </c:pt>
              <c:pt idx="145">
                <c:v>1.1474984236816857E-2</c:v>
              </c:pt>
              <c:pt idx="146">
                <c:v>1.1300475947320083E-2</c:v>
              </c:pt>
            </c:numLit>
          </c:yVal>
          <c:smooth val="1"/>
          <c:extLst>
            <c:ext xmlns:c16="http://schemas.microsoft.com/office/drawing/2014/chart" uri="{C3380CC4-5D6E-409C-BE32-E72D297353CC}">
              <c16:uniqueId val="{00000094-56BA-44A1-9D5C-83997DB4DF62}"/>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D994-475D-8D6A-2553892D8F00}"/>
            </c:ext>
          </c:extLst>
        </c:ser>
        <c:ser>
          <c:idx val="1"/>
          <c:order val="1"/>
          <c:spPr>
            <a:ln w="3175">
              <a:solidFill>
                <a:srgbClr val="000000"/>
              </a:solidFill>
              <a:prstDash val="solid"/>
            </a:ln>
          </c:spPr>
          <c:marker>
            <c:symbol val="none"/>
          </c:marker>
          <c:xVal>
            <c:numLit>
              <c:formatCode>General</c:formatCode>
              <c:ptCount val="2"/>
              <c:pt idx="0">
                <c:v>16.810229479756391</c:v>
              </c:pt>
              <c:pt idx="1">
                <c:v>17.208296457460236</c:v>
              </c:pt>
            </c:numLit>
          </c:xVal>
          <c:yVal>
            <c:numLit>
              <c:formatCode>General</c:formatCode>
              <c:ptCount val="2"/>
              <c:pt idx="0">
                <c:v>2.8677892915949361E-2</c:v>
              </c:pt>
              <c:pt idx="1">
                <c:v>2.900994546949005E-2</c:v>
              </c:pt>
            </c:numLit>
          </c:yVal>
          <c:smooth val="0"/>
          <c:extLst>
            <c:ext xmlns:c16="http://schemas.microsoft.com/office/drawing/2014/chart" uri="{C3380CC4-5D6E-409C-BE32-E72D297353CC}">
              <c16:uniqueId val="{00000001-D994-475D-8D6A-2553892D8F00}"/>
            </c:ext>
          </c:extLst>
        </c:ser>
        <c:ser>
          <c:idx val="2"/>
          <c:order val="2"/>
          <c:spPr>
            <a:ln w="3175">
              <a:solidFill>
                <a:srgbClr val="000000"/>
              </a:solidFill>
              <a:prstDash val="solid"/>
            </a:ln>
          </c:spPr>
          <c:marker>
            <c:symbol val="none"/>
          </c:marker>
          <c:dLbls>
            <c:dLbl>
              <c:idx val="0"/>
              <c:tx>
                <c:rich>
                  <a:bodyPr rot="-28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17.938085916583955</c:v>
              </c:pt>
            </c:numLit>
          </c:xVal>
          <c:yVal>
            <c:numLit>
              <c:formatCode>General</c:formatCode>
              <c:ptCount val="1"/>
              <c:pt idx="0">
                <c:v>2.9618708484314641E-2</c:v>
              </c:pt>
            </c:numLit>
          </c:yVal>
          <c:smooth val="0"/>
          <c:extLst>
            <c:ext xmlns:c16="http://schemas.microsoft.com/office/drawing/2014/chart" uri="{C3380CC4-5D6E-409C-BE32-E72D297353CC}">
              <c16:uniqueId val="{00000003-D994-475D-8D6A-2553892D8F00}"/>
            </c:ext>
          </c:extLst>
        </c:ser>
        <c:ser>
          <c:idx val="3"/>
          <c:order val="3"/>
          <c:spPr>
            <a:ln w="3175">
              <a:solidFill>
                <a:srgbClr val="000000"/>
              </a:solidFill>
              <a:prstDash val="solid"/>
            </a:ln>
          </c:spPr>
          <c:marker>
            <c:symbol val="none"/>
          </c:marker>
          <c:xVal>
            <c:numLit>
              <c:formatCode>General</c:formatCode>
              <c:ptCount val="2"/>
              <c:pt idx="0">
                <c:v>16.588644396444685</c:v>
              </c:pt>
              <c:pt idx="1">
                <c:v>16.782929633511358</c:v>
              </c:pt>
            </c:numLit>
          </c:xVal>
          <c:yVal>
            <c:numLit>
              <c:formatCode>General</c:formatCode>
              <c:ptCount val="2"/>
              <c:pt idx="0">
                <c:v>2.882017669794408E-2</c:v>
              </c:pt>
              <c:pt idx="1">
                <c:v>2.8989251912900024E-2</c:v>
              </c:pt>
            </c:numLit>
          </c:yVal>
          <c:smooth val="0"/>
          <c:extLst>
            <c:ext xmlns:c16="http://schemas.microsoft.com/office/drawing/2014/chart" uri="{C3380CC4-5D6E-409C-BE32-E72D297353CC}">
              <c16:uniqueId val="{00000004-D994-475D-8D6A-2553892D8F00}"/>
            </c:ext>
          </c:extLst>
        </c:ser>
        <c:ser>
          <c:idx val="4"/>
          <c:order val="4"/>
          <c:spPr>
            <a:ln w="3175">
              <a:solidFill>
                <a:srgbClr val="000000"/>
              </a:solidFill>
              <a:prstDash val="solid"/>
            </a:ln>
          </c:spPr>
          <c:marker>
            <c:symbol val="none"/>
          </c:marker>
          <c:xVal>
            <c:numLit>
              <c:formatCode>General</c:formatCode>
              <c:ptCount val="2"/>
              <c:pt idx="0">
                <c:v>16.354668757094764</c:v>
              </c:pt>
              <c:pt idx="1">
                <c:v>16.733211703827397</c:v>
              </c:pt>
            </c:numLit>
          </c:xVal>
          <c:yVal>
            <c:numLit>
              <c:formatCode>General</c:formatCode>
              <c:ptCount val="2"/>
              <c:pt idx="0">
                <c:v>2.8964054945422545E-2</c:v>
              </c:pt>
              <c:pt idx="1">
                <c:v>2.9308371585940653E-2</c:v>
              </c:pt>
            </c:numLit>
          </c:yVal>
          <c:smooth val="0"/>
          <c:extLst>
            <c:ext xmlns:c16="http://schemas.microsoft.com/office/drawing/2014/chart" uri="{C3380CC4-5D6E-409C-BE32-E72D297353CC}">
              <c16:uniqueId val="{00000005-D994-475D-8D6A-2553892D8F00}"/>
            </c:ext>
          </c:extLst>
        </c:ser>
        <c:ser>
          <c:idx val="5"/>
          <c:order val="5"/>
          <c:spPr>
            <a:ln w="3175">
              <a:solidFill>
                <a:srgbClr val="000000"/>
              </a:solidFill>
              <a:prstDash val="solid"/>
            </a:ln>
          </c:spPr>
          <c:marker>
            <c:symbol val="none"/>
          </c:marker>
          <c:xVal>
            <c:numLit>
              <c:formatCode>General</c:formatCode>
              <c:ptCount val="2"/>
              <c:pt idx="0">
                <c:v>16.107718156429225</c:v>
              </c:pt>
              <c:pt idx="1">
                <c:v>16.291697831209852</c:v>
              </c:pt>
            </c:numLit>
          </c:xVal>
          <c:yVal>
            <c:numLit>
              <c:formatCode>General</c:formatCode>
              <c:ptCount val="2"/>
              <c:pt idx="0">
                <c:v>2.9109197410386176E-2</c:v>
              </c:pt>
              <c:pt idx="1">
                <c:v>2.9284465926323024E-2</c:v>
              </c:pt>
            </c:numLit>
          </c:yVal>
          <c:smooth val="0"/>
          <c:extLst>
            <c:ext xmlns:c16="http://schemas.microsoft.com/office/drawing/2014/chart" uri="{C3380CC4-5D6E-409C-BE32-E72D297353CC}">
              <c16:uniqueId val="{00000006-D994-475D-8D6A-2553892D8F00}"/>
            </c:ext>
          </c:extLst>
        </c:ser>
        <c:ser>
          <c:idx val="6"/>
          <c:order val="6"/>
          <c:spPr>
            <a:ln w="3175">
              <a:solidFill>
                <a:srgbClr val="000000"/>
              </a:solidFill>
              <a:prstDash val="solid"/>
            </a:ln>
          </c:spPr>
          <c:marker>
            <c:symbol val="none"/>
          </c:marker>
          <c:xVal>
            <c:numLit>
              <c:formatCode>General</c:formatCode>
              <c:ptCount val="2"/>
              <c:pt idx="0">
                <c:v>15.847219725836448</c:v>
              </c:pt>
              <c:pt idx="1">
                <c:v>16.204014856943722</c:v>
              </c:pt>
            </c:numLit>
          </c:xVal>
          <c:yVal>
            <c:numLit>
              <c:formatCode>General</c:formatCode>
              <c:ptCount val="2"/>
              <c:pt idx="0">
                <c:v>2.9255219725836449E-2</c:v>
              </c:pt>
              <c:pt idx="1">
                <c:v>2.9612014856943723E-2</c:v>
              </c:pt>
            </c:numLit>
          </c:yVal>
          <c:smooth val="0"/>
          <c:extLst>
            <c:ext xmlns:c16="http://schemas.microsoft.com/office/drawing/2014/chart" uri="{C3380CC4-5D6E-409C-BE32-E72D297353CC}">
              <c16:uniqueId val="{00000007-D994-475D-8D6A-2553892D8F00}"/>
            </c:ext>
          </c:extLst>
        </c:ser>
        <c:ser>
          <c:idx val="7"/>
          <c:order val="7"/>
          <c:spPr>
            <a:ln w="3175">
              <a:solidFill>
                <a:srgbClr val="000000"/>
              </a:solidFill>
              <a:prstDash val="solid"/>
            </a:ln>
          </c:spPr>
          <c:marker>
            <c:symbol val="none"/>
          </c:marker>
          <c:dLbls>
            <c:dLbl>
              <c:idx val="0"/>
              <c:tx>
                <c:rich>
                  <a:bodyPr rot="-32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16.85813926397373</c:v>
              </c:pt>
            </c:numLit>
          </c:xVal>
          <c:yVal>
            <c:numLit>
              <c:formatCode>General</c:formatCode>
              <c:ptCount val="1"/>
              <c:pt idx="0">
                <c:v>3.0266139263973729E-2</c:v>
              </c:pt>
            </c:numLit>
          </c:yVal>
          <c:smooth val="0"/>
          <c:extLst>
            <c:ext xmlns:c16="http://schemas.microsoft.com/office/drawing/2014/chart" uri="{C3380CC4-5D6E-409C-BE32-E72D297353CC}">
              <c16:uniqueId val="{00000009-D994-475D-8D6A-2553892D8F00}"/>
            </c:ext>
          </c:extLst>
        </c:ser>
        <c:ser>
          <c:idx val="8"/>
          <c:order val="8"/>
          <c:spPr>
            <a:ln w="3175">
              <a:solidFill>
                <a:srgbClr val="000000"/>
              </a:solidFill>
              <a:prstDash val="solid"/>
            </a:ln>
          </c:spPr>
          <c:marker>
            <c:symbol val="none"/>
          </c:marker>
          <c:xVal>
            <c:numLit>
              <c:formatCode>General</c:formatCode>
              <c:ptCount val="2"/>
              <c:pt idx="0">
                <c:v>15.572621851491188</c:v>
              </c:pt>
              <c:pt idx="1">
                <c:v>15.745135176880286</c:v>
              </c:pt>
            </c:numLit>
          </c:xVal>
          <c:yVal>
            <c:numLit>
              <c:formatCode>General</c:formatCode>
              <c:ptCount val="2"/>
              <c:pt idx="0">
                <c:v>2.9401679479707257E-2</c:v>
              </c:pt>
              <c:pt idx="1">
                <c:v>2.9583215468558126E-2</c:v>
              </c:pt>
            </c:numLit>
          </c:yVal>
          <c:smooth val="0"/>
          <c:extLst>
            <c:ext xmlns:c16="http://schemas.microsoft.com/office/drawing/2014/chart" uri="{C3380CC4-5D6E-409C-BE32-E72D297353CC}">
              <c16:uniqueId val="{0000000A-D994-475D-8D6A-2553892D8F00}"/>
            </c:ext>
          </c:extLst>
        </c:ser>
        <c:ser>
          <c:idx val="9"/>
          <c:order val="9"/>
          <c:spPr>
            <a:ln w="3175">
              <a:solidFill>
                <a:srgbClr val="000000"/>
              </a:solidFill>
              <a:prstDash val="solid"/>
            </a:ln>
          </c:spPr>
          <c:marker>
            <c:symbol val="none"/>
          </c:marker>
          <c:xVal>
            <c:numLit>
              <c:formatCode>General</c:formatCode>
              <c:ptCount val="2"/>
              <c:pt idx="0">
                <c:v>15.283405513946459</c:v>
              </c:pt>
              <c:pt idx="1">
                <c:v>15.616037178829878</c:v>
              </c:pt>
            </c:numLit>
          </c:xVal>
          <c:yVal>
            <c:numLit>
              <c:formatCode>General</c:formatCode>
              <c:ptCount val="2"/>
              <c:pt idx="0">
                <c:v>2.9548072789216489E-2</c:v>
              </c:pt>
              <c:pt idx="1">
                <c:v>2.9917418765897194E-2</c:v>
              </c:pt>
            </c:numLit>
          </c:yVal>
          <c:smooth val="0"/>
          <c:extLst>
            <c:ext xmlns:c16="http://schemas.microsoft.com/office/drawing/2014/chart" uri="{C3380CC4-5D6E-409C-BE32-E72D297353CC}">
              <c16:uniqueId val="{0000000B-D994-475D-8D6A-2553892D8F00}"/>
            </c:ext>
          </c:extLst>
        </c:ser>
        <c:ser>
          <c:idx val="10"/>
          <c:order val="10"/>
          <c:spPr>
            <a:ln w="3175">
              <a:solidFill>
                <a:srgbClr val="000000"/>
              </a:solidFill>
              <a:prstDash val="solid"/>
            </a:ln>
          </c:spPr>
          <c:marker>
            <c:symbol val="none"/>
          </c:marker>
          <c:xVal>
            <c:numLit>
              <c:formatCode>General</c:formatCode>
              <c:ptCount val="2"/>
              <c:pt idx="0">
                <c:v>14.97909728533833</c:v>
              </c:pt>
              <c:pt idx="1">
                <c:v>15.138892227167009</c:v>
              </c:pt>
            </c:numLit>
          </c:xVal>
          <c:yVal>
            <c:numLit>
              <c:formatCode>General</c:formatCode>
              <c:ptCount val="2"/>
              <c:pt idx="0">
                <c:v>2.9693831622722384E-2</c:v>
              </c:pt>
              <c:pt idx="1">
                <c:v>2.9881628014637864E-2</c:v>
              </c:pt>
            </c:numLit>
          </c:yVal>
          <c:smooth val="0"/>
          <c:extLst>
            <c:ext xmlns:c16="http://schemas.microsoft.com/office/drawing/2014/chart" uri="{C3380CC4-5D6E-409C-BE32-E72D297353CC}">
              <c16:uniqueId val="{0000000C-D994-475D-8D6A-2553892D8F00}"/>
            </c:ext>
          </c:extLst>
        </c:ser>
        <c:ser>
          <c:idx val="11"/>
          <c:order val="11"/>
          <c:spPr>
            <a:ln w="3175">
              <a:solidFill>
                <a:srgbClr val="000000"/>
              </a:solidFill>
              <a:prstDash val="solid"/>
            </a:ln>
          </c:spPr>
          <c:marker>
            <c:symbol val="none"/>
          </c:marker>
          <c:xVal>
            <c:numLit>
              <c:formatCode>General</c:formatCode>
              <c:ptCount val="2"/>
              <c:pt idx="0">
                <c:v>14.659283952235356</c:v>
              </c:pt>
              <c:pt idx="1">
                <c:v>14.965167550188299</c:v>
              </c:pt>
            </c:numLit>
          </c:xVal>
          <c:yVal>
            <c:numLit>
              <c:formatCode>General</c:formatCode>
              <c:ptCount val="2"/>
              <c:pt idx="0">
                <c:v>2.9838322153782595E-2</c:v>
              </c:pt>
              <c:pt idx="1">
                <c:v>3.0220107388944706E-2</c:v>
              </c:pt>
            </c:numLit>
          </c:yVal>
          <c:smooth val="0"/>
          <c:extLst>
            <c:ext xmlns:c16="http://schemas.microsoft.com/office/drawing/2014/chart" uri="{C3380CC4-5D6E-409C-BE32-E72D297353CC}">
              <c16:uniqueId val="{0000000D-D994-475D-8D6A-2553892D8F00}"/>
            </c:ext>
          </c:extLst>
        </c:ser>
        <c:ser>
          <c:idx val="12"/>
          <c:order val="12"/>
          <c:spPr>
            <a:ln w="3175">
              <a:solidFill>
                <a:srgbClr val="000000"/>
              </a:solidFill>
              <a:prstDash val="solid"/>
            </a:ln>
          </c:spPr>
          <c:marker>
            <c:symbol val="none"/>
          </c:marker>
          <c:dLbls>
            <c:dLbl>
              <c:idx val="0"/>
              <c:tx>
                <c:rich>
                  <a:bodyPr rot="-35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15.525954146435364</c:v>
              </c:pt>
            </c:numLit>
          </c:xVal>
          <c:yVal>
            <c:numLit>
              <c:formatCode>General</c:formatCode>
              <c:ptCount val="1"/>
              <c:pt idx="0">
                <c:v>3.0920046986741907E-2</c:v>
              </c:pt>
            </c:numLit>
          </c:yVal>
          <c:smooth val="0"/>
          <c:extLst>
            <c:ext xmlns:c16="http://schemas.microsoft.com/office/drawing/2014/chart" uri="{C3380CC4-5D6E-409C-BE32-E72D297353CC}">
              <c16:uniqueId val="{0000000F-D994-475D-8D6A-2553892D8F00}"/>
            </c:ext>
          </c:extLst>
        </c:ser>
        <c:ser>
          <c:idx val="13"/>
          <c:order val="13"/>
          <c:spPr>
            <a:ln w="3175">
              <a:solidFill>
                <a:srgbClr val="000000"/>
              </a:solidFill>
              <a:prstDash val="solid"/>
            </a:ln>
          </c:spPr>
          <c:marker>
            <c:symbol val="none"/>
          </c:marker>
          <c:xVal>
            <c:numLit>
              <c:formatCode>General</c:formatCode>
              <c:ptCount val="2"/>
              <c:pt idx="0">
                <c:v>14.323628642858322</c:v>
              </c:pt>
              <c:pt idx="1">
                <c:v>14.469377828062429</c:v>
              </c:pt>
            </c:numLit>
          </c:xVal>
          <c:yVal>
            <c:numLit>
              <c:formatCode>General</c:formatCode>
              <c:ptCount val="2"/>
              <c:pt idx="0">
                <c:v>2.9980844463909358E-2</c:v>
              </c:pt>
              <c:pt idx="1">
                <c:v>3.0174791130993129E-2</c:v>
              </c:pt>
            </c:numLit>
          </c:yVal>
          <c:smooth val="0"/>
          <c:extLst>
            <c:ext xmlns:c16="http://schemas.microsoft.com/office/drawing/2014/chart" uri="{C3380CC4-5D6E-409C-BE32-E72D297353CC}">
              <c16:uniqueId val="{00000010-D994-475D-8D6A-2553892D8F00}"/>
            </c:ext>
          </c:extLst>
        </c:ser>
        <c:ser>
          <c:idx val="14"/>
          <c:order val="14"/>
          <c:spPr>
            <a:ln w="3175">
              <a:solidFill>
                <a:srgbClr val="000000"/>
              </a:solidFill>
              <a:prstDash val="solid"/>
            </a:ln>
          </c:spPr>
          <c:marker>
            <c:symbol val="none"/>
          </c:marker>
          <c:xVal>
            <c:numLit>
              <c:formatCode>General</c:formatCode>
              <c:ptCount val="2"/>
              <c:pt idx="0">
                <c:v>13.971888226311023</c:v>
              </c:pt>
              <c:pt idx="1">
                <c:v>14.248312007438637</c:v>
              </c:pt>
            </c:numLit>
          </c:xVal>
          <c:yVal>
            <c:numLit>
              <c:formatCode>General</c:formatCode>
              <c:ptCount val="2"/>
              <c:pt idx="0">
                <c:v>3.0120633931542337E-2</c:v>
              </c:pt>
              <c:pt idx="1">
                <c:v>3.051451824289415E-2</c:v>
              </c:pt>
            </c:numLit>
          </c:yVal>
          <c:smooth val="0"/>
          <c:extLst>
            <c:ext xmlns:c16="http://schemas.microsoft.com/office/drawing/2014/chart" uri="{C3380CC4-5D6E-409C-BE32-E72D297353CC}">
              <c16:uniqueId val="{00000011-D994-475D-8D6A-2553892D8F00}"/>
            </c:ext>
          </c:extLst>
        </c:ser>
        <c:ser>
          <c:idx val="15"/>
          <c:order val="15"/>
          <c:spPr>
            <a:ln w="3175">
              <a:solidFill>
                <a:srgbClr val="000000"/>
              </a:solidFill>
              <a:prstDash val="solid"/>
            </a:ln>
          </c:spPr>
          <c:marker>
            <c:symbol val="none"/>
          </c:marker>
          <c:xVal>
            <c:numLit>
              <c:formatCode>General</c:formatCode>
              <c:ptCount val="2"/>
              <c:pt idx="0">
                <c:v>13.603931620112528</c:v>
              </c:pt>
              <c:pt idx="1">
                <c:v>13.734258726257798</c:v>
              </c:pt>
            </c:numLit>
          </c:xVal>
          <c:yVal>
            <c:numLit>
              <c:formatCode>General</c:formatCode>
              <c:ptCount val="2"/>
              <c:pt idx="0">
                <c:v>3.0256864649135986E-2</c:v>
              </c:pt>
              <c:pt idx="1">
                <c:v>3.0456726034474614E-2</c:v>
              </c:pt>
            </c:numLit>
          </c:yVal>
          <c:smooth val="0"/>
          <c:extLst>
            <c:ext xmlns:c16="http://schemas.microsoft.com/office/drawing/2014/chart" uri="{C3380CC4-5D6E-409C-BE32-E72D297353CC}">
              <c16:uniqueId val="{00000012-D994-475D-8D6A-2553892D8F00}"/>
            </c:ext>
          </c:extLst>
        </c:ser>
        <c:ser>
          <c:idx val="16"/>
          <c:order val="16"/>
          <c:spPr>
            <a:ln w="3175">
              <a:solidFill>
                <a:srgbClr val="000000"/>
              </a:solidFill>
              <a:prstDash val="solid"/>
            </a:ln>
          </c:spPr>
          <c:marker>
            <c:symbol val="none"/>
          </c:marker>
          <c:xVal>
            <c:numLit>
              <c:formatCode>General</c:formatCode>
              <c:ptCount val="2"/>
              <c:pt idx="0">
                <c:v>13.2197584950931</c:v>
              </c:pt>
              <c:pt idx="1">
                <c:v>13.463948144882803</c:v>
              </c:pt>
            </c:numLit>
          </c:xVal>
          <c:yVal>
            <c:numLit>
              <c:formatCode>General</c:formatCode>
              <c:ptCount val="2"/>
              <c:pt idx="0">
                <c:v>3.0388655191524186E-2</c:v>
              </c:pt>
              <c:pt idx="1">
                <c:v>3.0794026128303793E-2</c:v>
              </c:pt>
            </c:numLit>
          </c:yVal>
          <c:smooth val="0"/>
          <c:extLst>
            <c:ext xmlns:c16="http://schemas.microsoft.com/office/drawing/2014/chart" uri="{C3380CC4-5D6E-409C-BE32-E72D297353CC}">
              <c16:uniqueId val="{00000013-D994-475D-8D6A-2553892D8F00}"/>
            </c:ext>
          </c:extLst>
        </c:ser>
        <c:ser>
          <c:idx val="17"/>
          <c:order val="17"/>
          <c:spPr>
            <a:ln w="3175">
              <a:solidFill>
                <a:srgbClr val="000000"/>
              </a:solidFill>
              <a:prstDash val="solid"/>
            </a:ln>
          </c:spPr>
          <c:marker>
            <c:symbol val="none"/>
          </c:marker>
          <c:dLbls>
            <c:dLbl>
              <c:idx val="0"/>
              <c:tx>
                <c:rich>
                  <a:bodyPr rot="-3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13.91162916949726</c:v>
              </c:pt>
            </c:numLit>
          </c:xVal>
          <c:yVal>
            <c:numLit>
              <c:formatCode>General</c:formatCode>
              <c:ptCount val="1"/>
              <c:pt idx="0">
                <c:v>3.1537206179066406E-2</c:v>
              </c:pt>
            </c:numLit>
          </c:yVal>
          <c:smooth val="0"/>
          <c:extLst>
            <c:ext xmlns:c16="http://schemas.microsoft.com/office/drawing/2014/chart" uri="{C3380CC4-5D6E-409C-BE32-E72D297353CC}">
              <c16:uniqueId val="{00000015-D994-475D-8D6A-2553892D8F00}"/>
            </c:ext>
          </c:extLst>
        </c:ser>
        <c:ser>
          <c:idx val="18"/>
          <c:order val="18"/>
          <c:spPr>
            <a:ln w="3175">
              <a:solidFill>
                <a:srgbClr val="000000"/>
              </a:solidFill>
              <a:prstDash val="solid"/>
            </a:ln>
          </c:spPr>
          <c:marker>
            <c:symbol val="none"/>
          </c:marker>
          <c:xVal>
            <c:numLit>
              <c:formatCode>General</c:formatCode>
              <c:ptCount val="2"/>
              <c:pt idx="0">
                <c:v>12.819517711563606</c:v>
              </c:pt>
              <c:pt idx="1">
                <c:v>12.933035948239969</c:v>
              </c:pt>
            </c:numLit>
          </c:xVal>
          <c:yVal>
            <c:numLit>
              <c:formatCode>General</c:formatCode>
              <c:ptCount val="2"/>
              <c:pt idx="0">
                <c:v>3.0515077010490988E-2</c:v>
              </c:pt>
              <c:pt idx="1">
                <c:v>3.0720471517858654E-2</c:v>
              </c:pt>
            </c:numLit>
          </c:yVal>
          <c:smooth val="0"/>
          <c:extLst>
            <c:ext xmlns:c16="http://schemas.microsoft.com/office/drawing/2014/chart" uri="{C3380CC4-5D6E-409C-BE32-E72D297353CC}">
              <c16:uniqueId val="{00000016-D994-475D-8D6A-2553892D8F00}"/>
            </c:ext>
          </c:extLst>
        </c:ser>
        <c:ser>
          <c:idx val="19"/>
          <c:order val="19"/>
          <c:spPr>
            <a:ln w="3175">
              <a:solidFill>
                <a:srgbClr val="000000"/>
              </a:solidFill>
              <a:prstDash val="solid"/>
            </a:ln>
          </c:spPr>
          <c:marker>
            <c:symbol val="none"/>
          </c:marker>
          <c:xVal>
            <c:numLit>
              <c:formatCode>General</c:formatCode>
              <c:ptCount val="2"/>
              <c:pt idx="0">
                <c:v>12.403524669547116</c:v>
              </c:pt>
              <c:pt idx="1">
                <c:v>12.612732869670563</c:v>
              </c:pt>
            </c:numLit>
          </c:xVal>
          <c:yVal>
            <c:numLit>
              <c:formatCode>General</c:formatCode>
              <c:ptCount val="2"/>
              <c:pt idx="0">
                <c:v>3.0635165647360473E-2</c:v>
              </c:pt>
              <c:pt idx="1">
                <c:v>3.1051101317961634E-2</c:v>
              </c:pt>
            </c:numLit>
          </c:yVal>
          <c:smooth val="0"/>
          <c:extLst>
            <c:ext xmlns:c16="http://schemas.microsoft.com/office/drawing/2014/chart" uri="{C3380CC4-5D6E-409C-BE32-E72D297353CC}">
              <c16:uniqueId val="{00000017-D994-475D-8D6A-2553892D8F00}"/>
            </c:ext>
          </c:extLst>
        </c:ser>
        <c:ser>
          <c:idx val="20"/>
          <c:order val="20"/>
          <c:spPr>
            <a:ln w="3175">
              <a:solidFill>
                <a:srgbClr val="000000"/>
              </a:solidFill>
              <a:prstDash val="solid"/>
            </a:ln>
          </c:spPr>
          <c:marker>
            <c:symbol val="none"/>
          </c:marker>
          <c:xVal>
            <c:numLit>
              <c:formatCode>General</c:formatCode>
              <c:ptCount val="2"/>
              <c:pt idx="0">
                <c:v>11.972276624673018</c:v>
              </c:pt>
              <c:pt idx="1">
                <c:v>12.067639695201725</c:v>
              </c:pt>
            </c:numLit>
          </c:xVal>
          <c:yVal>
            <c:numLit>
              <c:formatCode>General</c:formatCode>
              <c:ptCount val="2"/>
              <c:pt idx="0">
                <c:v>3.0747934834256706E-2</c:v>
              </c:pt>
              <c:pt idx="1">
                <c:v>3.0958319152133637E-2</c:v>
              </c:pt>
            </c:numLit>
          </c:yVal>
          <c:smooth val="0"/>
          <c:extLst>
            <c:ext xmlns:c16="http://schemas.microsoft.com/office/drawing/2014/chart" uri="{C3380CC4-5D6E-409C-BE32-E72D297353CC}">
              <c16:uniqueId val="{00000018-D994-475D-8D6A-2553892D8F00}"/>
            </c:ext>
          </c:extLst>
        </c:ser>
        <c:ser>
          <c:idx val="21"/>
          <c:order val="21"/>
          <c:spPr>
            <a:ln w="3175">
              <a:solidFill>
                <a:srgbClr val="000000"/>
              </a:solidFill>
              <a:prstDash val="solid"/>
            </a:ln>
          </c:spPr>
          <c:marker>
            <c:symbol val="none"/>
          </c:marker>
          <c:xVal>
            <c:numLit>
              <c:formatCode>General</c:formatCode>
              <c:ptCount val="2"/>
              <c:pt idx="0">
                <c:v>11.526464929155814</c:v>
              </c:pt>
              <c:pt idx="1">
                <c:v>11.698084854691064</c:v>
              </c:pt>
            </c:numLit>
          </c:xVal>
          <c:yVal>
            <c:numLit>
              <c:formatCode>General</c:formatCode>
              <c:ptCount val="2"/>
              <c:pt idx="0">
                <c:v>3.085239339588855E-2</c:v>
              </c:pt>
              <c:pt idx="1">
                <c:v>3.1277638827140915E-2</c:v>
              </c:pt>
            </c:numLit>
          </c:yVal>
          <c:smooth val="0"/>
          <c:extLst>
            <c:ext xmlns:c16="http://schemas.microsoft.com/office/drawing/2014/chart" uri="{C3380CC4-5D6E-409C-BE32-E72D297353CC}">
              <c16:uniqueId val="{00000019-D994-475D-8D6A-2553892D8F00}"/>
            </c:ext>
          </c:extLst>
        </c:ser>
        <c:ser>
          <c:idx val="22"/>
          <c:order val="22"/>
          <c:spPr>
            <a:ln w="3175">
              <a:solidFill>
                <a:srgbClr val="000000"/>
              </a:solidFill>
              <a:prstDash val="solid"/>
            </a:ln>
          </c:spPr>
          <c:marker>
            <c:symbol val="none"/>
          </c:marker>
          <c:dLbls>
            <c:dLbl>
              <c:idx val="0"/>
              <c:tx>
                <c:rich>
                  <a:bodyPr rot="-43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12.01272138483902</c:v>
              </c:pt>
            </c:numLit>
          </c:xVal>
          <c:yVal>
            <c:numLit>
              <c:formatCode>General</c:formatCode>
              <c:ptCount val="1"/>
              <c:pt idx="0">
                <c:v>3.2057255451103592E-2</c:v>
              </c:pt>
            </c:numLit>
          </c:yVal>
          <c:smooth val="0"/>
          <c:extLst>
            <c:ext xmlns:c16="http://schemas.microsoft.com/office/drawing/2014/chart" uri="{C3380CC4-5D6E-409C-BE32-E72D297353CC}">
              <c16:uniqueId val="{0000001B-D994-475D-8D6A-2553892D8F00}"/>
            </c:ext>
          </c:extLst>
        </c:ser>
        <c:ser>
          <c:idx val="23"/>
          <c:order val="23"/>
          <c:spPr>
            <a:ln w="3175">
              <a:solidFill>
                <a:srgbClr val="000000"/>
              </a:solidFill>
              <a:prstDash val="solid"/>
            </a:ln>
          </c:spPr>
          <c:marker>
            <c:symbol val="none"/>
          </c:marker>
          <c:xVal>
            <c:numLit>
              <c:formatCode>General</c:formatCode>
              <c:ptCount val="2"/>
              <c:pt idx="0">
                <c:v>11.066983124686066</c:v>
              </c:pt>
              <c:pt idx="1">
                <c:v>11.142947048786482</c:v>
              </c:pt>
            </c:numLit>
          </c:xVal>
          <c:yVal>
            <c:numLit>
              <c:formatCode>General</c:formatCode>
              <c:ptCount val="2"/>
              <c:pt idx="0">
                <c:v>3.0947564672567929E-2</c:v>
              </c:pt>
              <c:pt idx="1">
                <c:v>3.1162226772694385E-2</c:v>
              </c:pt>
            </c:numLit>
          </c:yVal>
          <c:smooth val="0"/>
          <c:extLst>
            <c:ext xmlns:c16="http://schemas.microsoft.com/office/drawing/2014/chart" uri="{C3380CC4-5D6E-409C-BE32-E72D297353CC}">
              <c16:uniqueId val="{0000001C-D994-475D-8D6A-2553892D8F00}"/>
            </c:ext>
          </c:extLst>
        </c:ser>
        <c:ser>
          <c:idx val="24"/>
          <c:order val="24"/>
          <c:spPr>
            <a:ln w="3175">
              <a:solidFill>
                <a:srgbClr val="000000"/>
              </a:solidFill>
              <a:prstDash val="solid"/>
            </a:ln>
          </c:spPr>
          <c:marker>
            <c:symbol val="none"/>
          </c:marker>
          <c:xVal>
            <c:numLit>
              <c:formatCode>General</c:formatCode>
              <c:ptCount val="2"/>
              <c:pt idx="0">
                <c:v>10.594929860498169</c:v>
              </c:pt>
              <c:pt idx="1">
                <c:v>10.72662685451952</c:v>
              </c:pt>
            </c:numLit>
          </c:xVal>
          <c:yVal>
            <c:numLit>
              <c:formatCode>General</c:formatCode>
              <c:ptCount val="2"/>
              <c:pt idx="0">
                <c:v>3.1032507972748882E-2</c:v>
              </c:pt>
              <c:pt idx="1">
                <c:v>3.1465472600152408E-2</c:v>
              </c:pt>
            </c:numLit>
          </c:yVal>
          <c:smooth val="0"/>
          <c:extLst>
            <c:ext xmlns:c16="http://schemas.microsoft.com/office/drawing/2014/chart" uri="{C3380CC4-5D6E-409C-BE32-E72D297353CC}">
              <c16:uniqueId val="{0000001D-D994-475D-8D6A-2553892D8F00}"/>
            </c:ext>
          </c:extLst>
        </c:ser>
        <c:ser>
          <c:idx val="25"/>
          <c:order val="25"/>
          <c:spPr>
            <a:ln w="3175">
              <a:solidFill>
                <a:srgbClr val="000000"/>
              </a:solidFill>
              <a:prstDash val="solid"/>
            </a:ln>
          </c:spPr>
          <c:marker>
            <c:symbol val="none"/>
          </c:marker>
          <c:xVal>
            <c:numLit>
              <c:formatCode>General</c:formatCode>
              <c:ptCount val="2"/>
              <c:pt idx="0">
                <c:v>10.111605750259969</c:v>
              </c:pt>
              <c:pt idx="1">
                <c:v>10.167097302051253</c:v>
              </c:pt>
            </c:numLit>
          </c:xVal>
          <c:yVal>
            <c:numLit>
              <c:formatCode>General</c:formatCode>
              <c:ptCount val="2"/>
              <c:pt idx="0">
                <c:v>3.1106341346724724E-2</c:v>
              </c:pt>
              <c:pt idx="1">
                <c:v>3.1324405804154541E-2</c:v>
              </c:pt>
            </c:numLit>
          </c:yVal>
          <c:smooth val="0"/>
          <c:extLst>
            <c:ext xmlns:c16="http://schemas.microsoft.com/office/drawing/2014/chart" uri="{C3380CC4-5D6E-409C-BE32-E72D297353CC}">
              <c16:uniqueId val="{0000001E-D994-475D-8D6A-2553892D8F00}"/>
            </c:ext>
          </c:extLst>
        </c:ser>
        <c:ser>
          <c:idx val="26"/>
          <c:order val="26"/>
          <c:spPr>
            <a:ln w="3175">
              <a:solidFill>
                <a:srgbClr val="000000"/>
              </a:solidFill>
              <a:prstDash val="solid"/>
            </a:ln>
          </c:spPr>
          <c:marker>
            <c:symbol val="none"/>
          </c:marker>
          <c:xVal>
            <c:numLit>
              <c:formatCode>General</c:formatCode>
              <c:ptCount val="2"/>
              <c:pt idx="0">
                <c:v>9.6185035223870123</c:v>
              </c:pt>
              <c:pt idx="1">
                <c:v>9.7083536733464566</c:v>
              </c:pt>
            </c:numLit>
          </c:xVal>
          <c:yVal>
            <c:numLit>
              <c:formatCode>General</c:formatCode>
              <c:ptCount val="2"/>
              <c:pt idx="0">
                <c:v>3.1168264774375409E-2</c:v>
              </c:pt>
              <c:pt idx="1">
                <c:v>3.160704755042007E-2</c:v>
              </c:pt>
            </c:numLit>
          </c:yVal>
          <c:smooth val="0"/>
          <c:extLst>
            <c:ext xmlns:c16="http://schemas.microsoft.com/office/drawing/2014/chart" uri="{C3380CC4-5D6E-409C-BE32-E72D297353CC}">
              <c16:uniqueId val="{0000001F-D994-475D-8D6A-2553892D8F00}"/>
            </c:ext>
          </c:extLst>
        </c:ser>
        <c:ser>
          <c:idx val="27"/>
          <c:order val="27"/>
          <c:spPr>
            <a:ln w="3175">
              <a:solidFill>
                <a:srgbClr val="000000"/>
              </a:solidFill>
              <a:prstDash val="solid"/>
            </a:ln>
          </c:spPr>
          <c:marker>
            <c:symbol val="none"/>
          </c:marker>
          <c:dLbls>
            <c:dLbl>
              <c:idx val="0"/>
              <c:tx>
                <c:rich>
                  <a:bodyPr rot="-48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9.8730789501054357</c:v>
              </c:pt>
            </c:numLit>
          </c:xVal>
          <c:yVal>
            <c:numLit>
              <c:formatCode>General</c:formatCode>
              <c:ptCount val="1"/>
              <c:pt idx="0">
                <c:v>3.241148263983528E-2</c:v>
              </c:pt>
            </c:numLit>
          </c:yVal>
          <c:smooth val="0"/>
          <c:extLst>
            <c:ext xmlns:c16="http://schemas.microsoft.com/office/drawing/2014/chart" uri="{C3380CC4-5D6E-409C-BE32-E72D297353CC}">
              <c16:uniqueId val="{00000021-D994-475D-8D6A-2553892D8F00}"/>
            </c:ext>
          </c:extLst>
        </c:ser>
        <c:ser>
          <c:idx val="28"/>
          <c:order val="28"/>
          <c:spPr>
            <a:ln w="3175">
              <a:solidFill>
                <a:srgbClr val="000000"/>
              </a:solidFill>
              <a:prstDash val="solid"/>
            </a:ln>
          </c:spPr>
          <c:marker>
            <c:symbol val="none"/>
          </c:marker>
          <c:xVal>
            <c:numLit>
              <c:formatCode>General</c:formatCode>
              <c:ptCount val="2"/>
              <c:pt idx="0">
                <c:v>9.1172911549090987</c:v>
              </c:pt>
              <c:pt idx="1">
                <c:v>9.1514759653714375</c:v>
              </c:pt>
            </c:numLit>
          </c:xVal>
          <c:yVal>
            <c:numLit>
              <c:formatCode>General</c:formatCode>
              <c:ptCount val="2"/>
              <c:pt idx="0">
                <c:v>3.1217582704093288E-2</c:v>
              </c:pt>
              <c:pt idx="1">
                <c:v>3.1438030904895289E-2</c:v>
              </c:pt>
            </c:numLit>
          </c:yVal>
          <c:smooth val="0"/>
          <c:extLst>
            <c:ext xmlns:c16="http://schemas.microsoft.com/office/drawing/2014/chart" uri="{C3380CC4-5D6E-409C-BE32-E72D297353CC}">
              <c16:uniqueId val="{00000022-D994-475D-8D6A-2553892D8F00}"/>
            </c:ext>
          </c:extLst>
        </c:ser>
        <c:ser>
          <c:idx val="29"/>
          <c:order val="29"/>
          <c:spPr>
            <a:ln w="3175">
              <a:solidFill>
                <a:srgbClr val="000000"/>
              </a:solidFill>
              <a:prstDash val="solid"/>
            </a:ln>
          </c:spPr>
          <c:marker>
            <c:symbol val="none"/>
          </c:marker>
          <c:xVal>
            <c:numLit>
              <c:formatCode>General</c:formatCode>
              <c:ptCount val="2"/>
              <c:pt idx="0">
                <c:v>8.6097880993478064</c:v>
              </c:pt>
              <c:pt idx="1">
                <c:v>8.6564075893198567</c:v>
              </c:pt>
            </c:numLit>
          </c:xVal>
          <c:yVal>
            <c:numLit>
              <c:formatCode>General</c:formatCode>
              <c:ptCount val="2"/>
              <c:pt idx="0">
                <c:v>3.1253724791923544E-2</c:v>
              </c:pt>
              <c:pt idx="1">
                <c:v>3.169617014014884E-2</c:v>
              </c:pt>
            </c:numLit>
          </c:yVal>
          <c:smooth val="0"/>
          <c:extLst>
            <c:ext xmlns:c16="http://schemas.microsoft.com/office/drawing/2014/chart" uri="{C3380CC4-5D6E-409C-BE32-E72D297353CC}">
              <c16:uniqueId val="{00000023-D994-475D-8D6A-2553892D8F00}"/>
            </c:ext>
          </c:extLst>
        </c:ser>
        <c:ser>
          <c:idx val="30"/>
          <c:order val="30"/>
          <c:spPr>
            <a:ln w="3175">
              <a:solidFill>
                <a:srgbClr val="000000"/>
              </a:solidFill>
              <a:prstDash val="solid"/>
            </a:ln>
          </c:spPr>
          <c:marker>
            <c:symbol val="none"/>
          </c:marker>
          <c:xVal>
            <c:numLit>
              <c:formatCode>General</c:formatCode>
              <c:ptCount val="2"/>
              <c:pt idx="0">
                <c:v>8.0979351556909851</c:v>
              </c:pt>
              <c:pt idx="1">
                <c:v>8.1102766233129344</c:v>
              </c:pt>
            </c:numLit>
          </c:xVal>
          <c:yVal>
            <c:numLit>
              <c:formatCode>General</c:formatCode>
              <c:ptCount val="2"/>
              <c:pt idx="0">
                <c:v>3.127626368973449E-2</c:v>
              </c:pt>
              <c:pt idx="1">
                <c:v>3.1497969340228804E-2</c:v>
              </c:pt>
            </c:numLit>
          </c:yVal>
          <c:smooth val="0"/>
          <c:extLst>
            <c:ext xmlns:c16="http://schemas.microsoft.com/office/drawing/2014/chart" uri="{C3380CC4-5D6E-409C-BE32-E72D297353CC}">
              <c16:uniqueId val="{00000024-D994-475D-8D6A-2553892D8F00}"/>
            </c:ext>
          </c:extLst>
        </c:ser>
        <c:ser>
          <c:idx val="31"/>
          <c:order val="31"/>
          <c:spPr>
            <a:ln w="3175">
              <a:solidFill>
                <a:srgbClr val="000000"/>
              </a:solidFill>
              <a:prstDash val="solid"/>
            </a:ln>
          </c:spPr>
          <c:marker>
            <c:symbol val="none"/>
          </c:marker>
          <c:xVal>
            <c:numLit>
              <c:formatCode>General</c:formatCode>
              <c:ptCount val="2"/>
              <c:pt idx="0">
                <c:v>7.5837590188694071</c:v>
              </c:pt>
              <c:pt idx="1">
                <c:v>7.5864058339638101</c:v>
              </c:pt>
            </c:numLit>
          </c:xVal>
          <c:yVal>
            <c:numLit>
              <c:formatCode>General</c:formatCode>
              <c:ptCount val="2"/>
              <c:pt idx="0">
                <c:v>3.1284928830437236E-2</c:v>
              </c:pt>
              <c:pt idx="1">
                <c:v>3.1728711494598834E-2</c:v>
              </c:pt>
            </c:numLit>
          </c:yVal>
          <c:smooth val="0"/>
          <c:extLst>
            <c:ext xmlns:c16="http://schemas.microsoft.com/office/drawing/2014/chart" uri="{C3380CC4-5D6E-409C-BE32-E72D297353CC}">
              <c16:uniqueId val="{00000025-D994-475D-8D6A-2553892D8F00}"/>
            </c:ext>
          </c:extLst>
        </c:ser>
        <c:ser>
          <c:idx val="32"/>
          <c:order val="32"/>
          <c:spPr>
            <a:ln w="3175">
              <a:solidFill>
                <a:srgbClr val="000000"/>
              </a:solidFill>
              <a:prstDash val="solid"/>
            </a:ln>
          </c:spPr>
          <c:marker>
            <c:symbol val="none"/>
          </c:marker>
          <c:dLbls>
            <c:dLbl>
              <c:idx val="0"/>
              <c:tx>
                <c:rich>
                  <a:bodyPr rot="-5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7.5912583283035486</c:v>
              </c:pt>
            </c:numLit>
          </c:xVal>
          <c:yVal>
            <c:numLit>
              <c:formatCode>General</c:formatCode>
              <c:ptCount val="1"/>
              <c:pt idx="0">
                <c:v>3.2542313045561759E-2</c:v>
              </c:pt>
            </c:numLit>
          </c:yVal>
          <c:smooth val="0"/>
          <c:extLst>
            <c:ext xmlns:c16="http://schemas.microsoft.com/office/drawing/2014/chart" uri="{C3380CC4-5D6E-409C-BE32-E72D297353CC}">
              <c16:uniqueId val="{00000027-D994-475D-8D6A-2553892D8F00}"/>
            </c:ext>
          </c:extLst>
        </c:ser>
        <c:ser>
          <c:idx val="33"/>
          <c:order val="33"/>
          <c:spPr>
            <a:ln w="3175">
              <a:solidFill>
                <a:srgbClr val="000000"/>
              </a:solidFill>
              <a:prstDash val="solid"/>
            </a:ln>
          </c:spPr>
          <c:marker>
            <c:symbol val="none"/>
          </c:marker>
          <c:xVal>
            <c:numLit>
              <c:formatCode>General</c:formatCode>
              <c:ptCount val="2"/>
              <c:pt idx="0">
                <c:v>7.069332926750965</c:v>
              </c:pt>
              <c:pt idx="1">
                <c:v>7.0596329180384858</c:v>
              </c:pt>
            </c:numLit>
          </c:xVal>
          <c:yVal>
            <c:numLit>
              <c:formatCode>General</c:formatCode>
              <c:ptCount val="2"/>
              <c:pt idx="0">
                <c:v>3.1279615356557502E-2</c:v>
              </c:pt>
              <c:pt idx="1">
                <c:v>3.1501392828483736E-2</c:v>
              </c:pt>
            </c:numLit>
          </c:yVal>
          <c:smooth val="0"/>
          <c:extLst>
            <c:ext xmlns:c16="http://schemas.microsoft.com/office/drawing/2014/chart" uri="{C3380CC4-5D6E-409C-BE32-E72D297353CC}">
              <c16:uniqueId val="{00000028-D994-475D-8D6A-2553892D8F00}"/>
            </c:ext>
          </c:extLst>
        </c:ser>
        <c:ser>
          <c:idx val="34"/>
          <c:order val="34"/>
          <c:spPr>
            <a:ln w="3175">
              <a:solidFill>
                <a:srgbClr val="000000"/>
              </a:solidFill>
              <a:prstDash val="solid"/>
            </a:ln>
          </c:spPr>
          <c:marker>
            <c:symbol val="none"/>
          </c:marker>
          <c:xVal>
            <c:numLit>
              <c:formatCode>General</c:formatCode>
              <c:ptCount val="2"/>
              <c:pt idx="0">
                <c:v>6.5567351526053601</c:v>
              </c:pt>
              <c:pt idx="1">
                <c:v>6.5153666591455899</c:v>
              </c:pt>
            </c:numLit>
          </c:xVal>
          <c:yVal>
            <c:numLit>
              <c:formatCode>General</c:formatCode>
              <c:ptCount val="2"/>
              <c:pt idx="0">
                <c:v>3.1260387622117129E-2</c:v>
              </c:pt>
              <c:pt idx="1">
                <c:v>3.1703118520207865E-2</c:v>
              </c:pt>
            </c:numLit>
          </c:yVal>
          <c:smooth val="0"/>
          <c:extLst>
            <c:ext xmlns:c16="http://schemas.microsoft.com/office/drawing/2014/chart" uri="{C3380CC4-5D6E-409C-BE32-E72D297353CC}">
              <c16:uniqueId val="{00000029-D994-475D-8D6A-2553892D8F00}"/>
            </c:ext>
          </c:extLst>
        </c:ser>
        <c:ser>
          <c:idx val="35"/>
          <c:order val="35"/>
          <c:spPr>
            <a:ln w="3175">
              <a:solidFill>
                <a:srgbClr val="000000"/>
              </a:solidFill>
              <a:prstDash val="solid"/>
            </a:ln>
          </c:spPr>
          <c:marker>
            <c:symbol val="none"/>
          </c:marker>
          <c:xVal>
            <c:numLit>
              <c:formatCode>General</c:formatCode>
              <c:ptCount val="2"/>
              <c:pt idx="0">
                <c:v>6.048007262567018</c:v>
              </c:pt>
              <c:pt idx="1">
                <c:v>6.0164217039077394</c:v>
              </c:pt>
            </c:numLit>
          </c:xVal>
          <c:yVal>
            <c:numLit>
              <c:formatCode>General</c:formatCode>
              <c:ptCount val="2"/>
              <c:pt idx="0">
                <c:v>3.1227477040677638E-2</c:v>
              </c:pt>
              <c:pt idx="1">
                <c:v>3.1448137262977877E-2</c:v>
              </c:pt>
            </c:numLit>
          </c:yVal>
          <c:smooth val="0"/>
          <c:extLst>
            <c:ext xmlns:c16="http://schemas.microsoft.com/office/drawing/2014/chart" uri="{C3380CC4-5D6E-409C-BE32-E72D297353CC}">
              <c16:uniqueId val="{0000002A-D994-475D-8D6A-2553892D8F00}"/>
            </c:ext>
          </c:extLst>
        </c:ser>
        <c:ser>
          <c:idx val="36"/>
          <c:order val="36"/>
          <c:spPr>
            <a:ln w="3175">
              <a:solidFill>
                <a:srgbClr val="000000"/>
              </a:solidFill>
              <a:prstDash val="solid"/>
            </a:ln>
          </c:spPr>
          <c:marker>
            <c:symbol val="none"/>
          </c:marker>
          <c:xVal>
            <c:numLit>
              <c:formatCode>General</c:formatCode>
              <c:ptCount val="2"/>
              <c:pt idx="0">
                <c:v>5.5451140781737465</c:v>
              </c:pt>
              <c:pt idx="1">
                <c:v>5.4603903958097648</c:v>
              </c:pt>
            </c:numLit>
          </c:xVal>
          <c:yVal>
            <c:numLit>
              <c:formatCode>General</c:formatCode>
              <c:ptCount val="2"/>
              <c:pt idx="0">
                <c:v>3.1181274419367078E-2</c:v>
              </c:pt>
              <c:pt idx="1">
                <c:v>3.1620614751625663E-2</c:v>
              </c:pt>
            </c:numLit>
          </c:yVal>
          <c:smooth val="0"/>
          <c:extLst>
            <c:ext xmlns:c16="http://schemas.microsoft.com/office/drawing/2014/chart" uri="{C3380CC4-5D6E-409C-BE32-E72D297353CC}">
              <c16:uniqueId val="{0000002B-D994-475D-8D6A-2553892D8F00}"/>
            </c:ext>
          </c:extLst>
        </c:ser>
        <c:ser>
          <c:idx val="37"/>
          <c:order val="37"/>
          <c:spPr>
            <a:ln w="3175">
              <a:solidFill>
                <a:srgbClr val="000000"/>
              </a:solidFill>
              <a:prstDash val="solid"/>
            </a:ln>
          </c:spPr>
          <c:marker>
            <c:symbol val="none"/>
          </c:marker>
          <c:dLbls>
            <c:dLbl>
              <c:idx val="0"/>
              <c:tx>
                <c:rich>
                  <a:bodyPr rot="49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5.3050636448091302</c:v>
              </c:pt>
            </c:numLit>
          </c:xVal>
          <c:yVal>
            <c:numLit>
              <c:formatCode>General</c:formatCode>
              <c:ptCount val="1"/>
              <c:pt idx="0">
                <c:v>3.2426072027433077E-2</c:v>
              </c:pt>
            </c:numLit>
          </c:yVal>
          <c:smooth val="0"/>
          <c:extLst>
            <c:ext xmlns:c16="http://schemas.microsoft.com/office/drawing/2014/chart" uri="{C3380CC4-5D6E-409C-BE32-E72D297353CC}">
              <c16:uniqueId val="{0000002D-D994-475D-8D6A-2553892D8F00}"/>
            </c:ext>
          </c:extLst>
        </c:ser>
        <c:ser>
          <c:idx val="38"/>
          <c:order val="38"/>
          <c:spPr>
            <a:ln w="3175">
              <a:solidFill>
                <a:srgbClr val="000000"/>
              </a:solidFill>
              <a:prstDash val="solid"/>
            </a:ln>
          </c:spPr>
          <c:marker>
            <c:symbol val="none"/>
          </c:marker>
          <c:xVal>
            <c:numLit>
              <c:formatCode>General</c:formatCode>
              <c:ptCount val="2"/>
              <c:pt idx="0">
                <c:v>5.0499071430589693</c:v>
              </c:pt>
              <c:pt idx="1">
                <c:v>4.9969337246959471</c:v>
              </c:pt>
            </c:numLit>
          </c:xVal>
          <c:yVal>
            <c:numLit>
              <c:formatCode>General</c:formatCode>
              <c:ptCount val="2"/>
              <c:pt idx="0">
                <c:v>3.1122317270830653E-2</c:v>
              </c:pt>
              <c:pt idx="1">
                <c:v>3.1340724069491309E-2</c:v>
              </c:pt>
            </c:numLit>
          </c:yVal>
          <c:smooth val="0"/>
          <c:extLst>
            <c:ext xmlns:c16="http://schemas.microsoft.com/office/drawing/2014/chart" uri="{C3380CC4-5D6E-409C-BE32-E72D297353CC}">
              <c16:uniqueId val="{0000002E-D994-475D-8D6A-2553892D8F00}"/>
            </c:ext>
          </c:extLst>
        </c:ser>
        <c:ser>
          <c:idx val="39"/>
          <c:order val="39"/>
          <c:spPr>
            <a:ln w="3175">
              <a:solidFill>
                <a:srgbClr val="000000"/>
              </a:solidFill>
              <a:prstDash val="solid"/>
            </a:ln>
          </c:spPr>
          <c:marker>
            <c:symbol val="none"/>
          </c:marker>
          <c:xVal>
            <c:numLit>
              <c:formatCode>General</c:formatCode>
              <c:ptCount val="2"/>
              <c:pt idx="0">
                <c:v>4.5640932094034081</c:v>
              </c:pt>
              <c:pt idx="1">
                <c:v>4.437325775520697</c:v>
              </c:pt>
            </c:numLit>
          </c:xVal>
          <c:yVal>
            <c:numLit>
              <c:formatCode>General</c:formatCode>
              <c:ptCount val="2"/>
              <c:pt idx="0">
                <c:v>3.1051272895714872E-2</c:v>
              </c:pt>
              <c:pt idx="1">
                <c:v>3.1485041734102652E-2</c:v>
              </c:pt>
            </c:numLit>
          </c:yVal>
          <c:smooth val="0"/>
          <c:extLst>
            <c:ext xmlns:c16="http://schemas.microsoft.com/office/drawing/2014/chart" uri="{C3380CC4-5D6E-409C-BE32-E72D297353CC}">
              <c16:uniqueId val="{0000002F-D994-475D-8D6A-2553892D8F00}"/>
            </c:ext>
          </c:extLst>
        </c:ser>
        <c:ser>
          <c:idx val="40"/>
          <c:order val="40"/>
          <c:spPr>
            <a:ln w="3175">
              <a:solidFill>
                <a:srgbClr val="000000"/>
              </a:solidFill>
              <a:prstDash val="solid"/>
            </a:ln>
          </c:spPr>
          <c:marker>
            <c:symbol val="none"/>
          </c:marker>
          <c:xVal>
            <c:numLit>
              <c:formatCode>General</c:formatCode>
              <c:ptCount val="2"/>
              <c:pt idx="0">
                <c:v>4.0892088691906565</c:v>
              </c:pt>
              <c:pt idx="1">
                <c:v>4.0156490592447414</c:v>
              </c:pt>
            </c:numLit>
          </c:xVal>
          <c:yVal>
            <c:numLit>
              <c:formatCode>General</c:formatCode>
              <c:ptCount val="2"/>
              <c:pt idx="0">
                <c:v>3.0968918248820355E-2</c:v>
              </c:pt>
              <c:pt idx="1">
                <c:v>3.118403792558079E-2</c:v>
              </c:pt>
            </c:numLit>
          </c:yVal>
          <c:smooth val="0"/>
          <c:extLst>
            <c:ext xmlns:c16="http://schemas.microsoft.com/office/drawing/2014/chart" uri="{C3380CC4-5D6E-409C-BE32-E72D297353CC}">
              <c16:uniqueId val="{00000030-D994-475D-8D6A-2553892D8F00}"/>
            </c:ext>
          </c:extLst>
        </c:ser>
        <c:ser>
          <c:idx val="41"/>
          <c:order val="41"/>
          <c:spPr>
            <a:ln w="3175">
              <a:solidFill>
                <a:srgbClr val="000000"/>
              </a:solidFill>
              <a:prstDash val="solid"/>
            </a:ln>
          </c:spPr>
          <c:marker>
            <c:symbol val="none"/>
          </c:marker>
          <c:xVal>
            <c:numLit>
              <c:formatCode>General</c:formatCode>
              <c:ptCount val="2"/>
              <c:pt idx="0">
                <c:v>3.6266020041010818</c:v>
              </c:pt>
              <c:pt idx="1">
                <c:v>3.4596563757054137</c:v>
              </c:pt>
            </c:numLit>
          </c:xVal>
          <c:yVal>
            <c:numLit>
              <c:formatCode>General</c:formatCode>
              <c:ptCount val="2"/>
              <c:pt idx="0">
                <c:v>3.0876117725569325E-2</c:v>
              </c:pt>
              <c:pt idx="1">
                <c:v>3.1302379913808007E-2</c:v>
              </c:pt>
            </c:numLit>
          </c:yVal>
          <c:smooth val="0"/>
          <c:extLst>
            <c:ext xmlns:c16="http://schemas.microsoft.com/office/drawing/2014/chart" uri="{C3380CC4-5D6E-409C-BE32-E72D297353CC}">
              <c16:uniqueId val="{00000031-D994-475D-8D6A-2553892D8F00}"/>
            </c:ext>
          </c:extLst>
        </c:ser>
        <c:ser>
          <c:idx val="42"/>
          <c:order val="42"/>
          <c:spPr>
            <a:ln w="3175">
              <a:solidFill>
                <a:srgbClr val="000000"/>
              </a:solidFill>
              <a:prstDash val="solid"/>
            </a:ln>
          </c:spPr>
          <c:marker>
            <c:symbol val="none"/>
          </c:marker>
          <c:dLbls>
            <c:dLbl>
              <c:idx val="0"/>
              <c:tx>
                <c:rich>
                  <a:bodyPr rot="44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3.1535893903133561</c:v>
              </c:pt>
            </c:numLit>
          </c:xVal>
          <c:yVal>
            <c:numLit>
              <c:formatCode>General</c:formatCode>
              <c:ptCount val="1"/>
              <c:pt idx="0">
                <c:v>3.2083860592245599E-2</c:v>
              </c:pt>
            </c:numLit>
          </c:yVal>
          <c:smooth val="0"/>
          <c:extLst>
            <c:ext xmlns:c16="http://schemas.microsoft.com/office/drawing/2014/chart" uri="{C3380CC4-5D6E-409C-BE32-E72D297353CC}">
              <c16:uniqueId val="{00000033-D994-475D-8D6A-2553892D8F00}"/>
            </c:ext>
          </c:extLst>
        </c:ser>
        <c:ser>
          <c:idx val="43"/>
          <c:order val="43"/>
          <c:spPr>
            <a:ln w="3175">
              <a:solidFill>
                <a:srgbClr val="000000"/>
              </a:solidFill>
              <a:prstDash val="solid"/>
            </a:ln>
          </c:spPr>
          <c:marker>
            <c:symbol val="none"/>
          </c:marker>
          <c:xVal>
            <c:numLit>
              <c:formatCode>General</c:formatCode>
              <c:ptCount val="2"/>
              <c:pt idx="0">
                <c:v>3.1774202657841126</c:v>
              </c:pt>
              <c:pt idx="1">
                <c:v>3.0843221286223432</c:v>
              </c:pt>
            </c:numLit>
          </c:xVal>
          <c:yVal>
            <c:numLit>
              <c:formatCode>General</c:formatCode>
              <c:ptCount val="2"/>
              <c:pt idx="0">
                <c:v>3.0773800028426088E-2</c:v>
              </c:pt>
              <c:pt idx="1">
                <c:v>3.0984738600463791E-2</c:v>
              </c:pt>
            </c:numLit>
          </c:yVal>
          <c:smooth val="0"/>
          <c:extLst>
            <c:ext xmlns:c16="http://schemas.microsoft.com/office/drawing/2014/chart" uri="{C3380CC4-5D6E-409C-BE32-E72D297353CC}">
              <c16:uniqueId val="{00000034-D994-475D-8D6A-2553892D8F00}"/>
            </c:ext>
          </c:extLst>
        </c:ser>
        <c:ser>
          <c:idx val="44"/>
          <c:order val="44"/>
          <c:spPr>
            <a:ln w="3175">
              <a:solidFill>
                <a:srgbClr val="000000"/>
              </a:solidFill>
              <a:prstDash val="solid"/>
            </a:ln>
          </c:spPr>
          <c:marker>
            <c:symbol val="none"/>
          </c:marker>
          <c:xVal>
            <c:numLit>
              <c:formatCode>General</c:formatCode>
              <c:ptCount val="2"/>
              <c:pt idx="0">
                <c:v>2.7426063708388666</c:v>
              </c:pt>
              <c:pt idx="1">
                <c:v>2.5377752153033892</c:v>
              </c:pt>
            </c:numLit>
          </c:xVal>
          <c:yVal>
            <c:numLit>
              <c:formatCode>General</c:formatCode>
              <c:ptCount val="2"/>
              <c:pt idx="0">
                <c:v>3.0662935204324095E-2</c:v>
              </c:pt>
              <c:pt idx="1">
                <c:v>3.1080060998795126E-2</c:v>
              </c:pt>
            </c:numLit>
          </c:yVal>
          <c:smooth val="0"/>
          <c:extLst>
            <c:ext xmlns:c16="http://schemas.microsoft.com/office/drawing/2014/chart" uri="{C3380CC4-5D6E-409C-BE32-E72D297353CC}">
              <c16:uniqueId val="{00000035-D994-475D-8D6A-2553892D8F00}"/>
            </c:ext>
          </c:extLst>
        </c:ser>
        <c:ser>
          <c:idx val="45"/>
          <c:order val="45"/>
          <c:spPr>
            <a:ln w="3175">
              <a:solidFill>
                <a:srgbClr val="000000"/>
              </a:solidFill>
              <a:prstDash val="solid"/>
            </a:ln>
          </c:spPr>
          <c:marker>
            <c:symbol val="none"/>
          </c:marker>
          <c:xVal>
            <c:numLit>
              <c:formatCode>General</c:formatCode>
              <c:ptCount val="2"/>
              <c:pt idx="0">
                <c:v>2.3228996376269366</c:v>
              </c:pt>
              <c:pt idx="1">
                <c:v>2.2114903441475136</c:v>
              </c:pt>
            </c:numLit>
          </c:xVal>
          <c:yVal>
            <c:numLit>
              <c:formatCode>General</c:formatCode>
              <c:ptCount val="2"/>
              <c:pt idx="0">
                <c:v>3.0544512802476664E-2</c:v>
              </c:pt>
              <c:pt idx="1">
                <c:v>3.0750538076815451E-2</c:v>
              </c:pt>
            </c:numLit>
          </c:yVal>
          <c:smooth val="0"/>
          <c:extLst>
            <c:ext xmlns:c16="http://schemas.microsoft.com/office/drawing/2014/chart" uri="{C3380CC4-5D6E-409C-BE32-E72D297353CC}">
              <c16:uniqueId val="{00000036-D994-475D-8D6A-2553892D8F00}"/>
            </c:ext>
          </c:extLst>
        </c:ser>
        <c:ser>
          <c:idx val="46"/>
          <c:order val="46"/>
          <c:spPr>
            <a:ln w="3175">
              <a:solidFill>
                <a:srgbClr val="000000"/>
              </a:solidFill>
              <a:prstDash val="solid"/>
            </a:ln>
          </c:spPr>
          <c:marker>
            <c:symbol val="none"/>
          </c:marker>
          <c:xVal>
            <c:numLit>
              <c:formatCode>General</c:formatCode>
              <c:ptCount val="2"/>
              <c:pt idx="0">
                <c:v>1.9188429271939578</c:v>
              </c:pt>
              <c:pt idx="1">
                <c:v>1.6787076240736989</c:v>
              </c:pt>
            </c:numLit>
          </c:xVal>
          <c:yVal>
            <c:numLit>
              <c:formatCode>General</c:formatCode>
              <c:ptCount val="2"/>
              <c:pt idx="0">
                <c:v>3.04195219111833E-2</c:v>
              </c:pt>
              <c:pt idx="1">
                <c:v>3.0826215707376869E-2</c:v>
              </c:pt>
            </c:numLit>
          </c:yVal>
          <c:smooth val="0"/>
          <c:extLst>
            <c:ext xmlns:c16="http://schemas.microsoft.com/office/drawing/2014/chart" uri="{C3380CC4-5D6E-409C-BE32-E72D297353CC}">
              <c16:uniqueId val="{00000037-D994-475D-8D6A-2553892D8F00}"/>
            </c:ext>
          </c:extLst>
        </c:ser>
        <c:ser>
          <c:idx val="47"/>
          <c:order val="47"/>
          <c:spPr>
            <a:ln w="3175">
              <a:solidFill>
                <a:srgbClr val="000000"/>
              </a:solidFill>
              <a:prstDash val="solid"/>
            </a:ln>
          </c:spPr>
          <c:marker>
            <c:symbol val="none"/>
          </c:marker>
          <c:dLbls>
            <c:dLbl>
              <c:idx val="0"/>
              <c:tx>
                <c:rich>
                  <a:bodyPr rot="3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1.2384595683532245</c:v>
              </c:pt>
            </c:numLit>
          </c:xVal>
          <c:yVal>
            <c:numLit>
              <c:formatCode>General</c:formatCode>
              <c:ptCount val="1"/>
              <c:pt idx="0">
                <c:v>3.1571821000398417E-2</c:v>
              </c:pt>
            </c:numLit>
          </c:yVal>
          <c:smooth val="0"/>
          <c:extLst>
            <c:ext xmlns:c16="http://schemas.microsoft.com/office/drawing/2014/chart" uri="{C3380CC4-5D6E-409C-BE32-E72D297353CC}">
              <c16:uniqueId val="{00000039-D994-475D-8D6A-2553892D8F00}"/>
            </c:ext>
          </c:extLst>
        </c:ser>
        <c:ser>
          <c:idx val="48"/>
          <c:order val="48"/>
          <c:spPr>
            <a:ln w="3175">
              <a:solidFill>
                <a:srgbClr val="000000"/>
              </a:solidFill>
              <a:prstDash val="solid"/>
            </a:ln>
          </c:spPr>
          <c:marker>
            <c:symbol val="none"/>
          </c:marker>
          <c:xVal>
            <c:numLit>
              <c:formatCode>General</c:formatCode>
              <c:ptCount val="2"/>
              <c:pt idx="0">
                <c:v>1.5307939862731423</c:v>
              </c:pt>
              <c:pt idx="1">
                <c:v>1.4024110002647094</c:v>
              </c:pt>
            </c:numLit>
          </c:xVal>
          <c:yVal>
            <c:numLit>
              <c:formatCode>General</c:formatCode>
              <c:ptCount val="2"/>
              <c:pt idx="0">
                <c:v>3.0288933617716181E-2</c:v>
              </c:pt>
              <c:pt idx="1">
                <c:v>3.0489482195238671E-2</c:v>
              </c:pt>
            </c:numLit>
          </c:yVal>
          <c:smooth val="0"/>
          <c:extLst>
            <c:ext xmlns:c16="http://schemas.microsoft.com/office/drawing/2014/chart" uri="{C3380CC4-5D6E-409C-BE32-E72D297353CC}">
              <c16:uniqueId val="{0000003A-D994-475D-8D6A-2553892D8F00}"/>
            </c:ext>
          </c:extLst>
        </c:ser>
        <c:ser>
          <c:idx val="49"/>
          <c:order val="49"/>
          <c:spPr>
            <a:ln w="3175">
              <a:solidFill>
                <a:srgbClr val="000000"/>
              </a:solidFill>
              <a:prstDash val="solid"/>
            </a:ln>
          </c:spPr>
          <c:marker>
            <c:symbol val="none"/>
          </c:marker>
          <c:xVal>
            <c:numLit>
              <c:formatCode>General</c:formatCode>
              <c:ptCount val="2"/>
              <c:pt idx="0">
                <c:v>1.1589401224706948</c:v>
              </c:pt>
              <c:pt idx="1">
                <c:v>0.88623755629086753</c:v>
              </c:pt>
            </c:numLit>
          </c:xVal>
          <c:yVal>
            <c:numLit>
              <c:formatCode>General</c:formatCode>
              <c:ptCount val="2"/>
              <c:pt idx="0">
                <c:v>3.0153686220164965E-2</c:v>
              </c:pt>
              <c:pt idx="1">
                <c:v>3.0548987058172033E-2</c:v>
              </c:pt>
            </c:numLit>
          </c:yVal>
          <c:smooth val="0"/>
          <c:extLst>
            <c:ext xmlns:c16="http://schemas.microsoft.com/office/drawing/2014/chart" uri="{C3380CC4-5D6E-409C-BE32-E72D297353CC}">
              <c16:uniqueId val="{0000003B-D994-475D-8D6A-2553892D8F00}"/>
            </c:ext>
          </c:extLst>
        </c:ser>
        <c:ser>
          <c:idx val="50"/>
          <c:order val="50"/>
          <c:spPr>
            <a:ln w="3175">
              <a:solidFill>
                <a:srgbClr val="000000"/>
              </a:solidFill>
              <a:prstDash val="solid"/>
            </a:ln>
          </c:spPr>
          <c:marker>
            <c:symbol val="none"/>
          </c:marker>
          <c:xVal>
            <c:numLit>
              <c:formatCode>General</c:formatCode>
              <c:ptCount val="2"/>
              <c:pt idx="0">
                <c:v>0.80331515702341572</c:v>
              </c:pt>
              <c:pt idx="1">
                <c:v>0.65934333895963149</c:v>
              </c:pt>
            </c:numLit>
          </c:xVal>
          <c:yVal>
            <c:numLit>
              <c:formatCode>General</c:formatCode>
              <c:ptCount val="2"/>
              <c:pt idx="0">
                <c:v>3.0014673322626941E-2</c:v>
              </c:pt>
              <c:pt idx="1">
                <c:v>3.0209344893826089E-2</c:v>
              </c:pt>
            </c:numLit>
          </c:yVal>
          <c:smooth val="0"/>
          <c:extLst>
            <c:ext xmlns:c16="http://schemas.microsoft.com/office/drawing/2014/chart" uri="{C3380CC4-5D6E-409C-BE32-E72D297353CC}">
              <c16:uniqueId val="{0000003C-D994-475D-8D6A-2553892D8F00}"/>
            </c:ext>
          </c:extLst>
        </c:ser>
        <c:ser>
          <c:idx val="51"/>
          <c:order val="51"/>
          <c:spPr>
            <a:ln w="3175">
              <a:solidFill>
                <a:srgbClr val="000000"/>
              </a:solidFill>
              <a:prstDash val="solid"/>
            </a:ln>
          </c:spPr>
          <c:marker>
            <c:symbol val="none"/>
          </c:marker>
          <c:xVal>
            <c:numLit>
              <c:formatCode>General</c:formatCode>
              <c:ptCount val="2"/>
              <c:pt idx="0">
                <c:v>0.4638176802814884</c:v>
              </c:pt>
              <c:pt idx="1">
                <c:v>0.1613241522935524</c:v>
              </c:pt>
            </c:numLit>
          </c:xVal>
          <c:yVal>
            <c:numLit>
              <c:formatCode>General</c:formatCode>
              <c:ptCount val="2"/>
              <c:pt idx="0">
                <c:v>2.9872734777880133E-2</c:v>
              </c:pt>
              <c:pt idx="1">
                <c:v>3.0255994839789281E-2</c:v>
              </c:pt>
            </c:numLit>
          </c:yVal>
          <c:smooth val="0"/>
          <c:extLst>
            <c:ext xmlns:c16="http://schemas.microsoft.com/office/drawing/2014/chart" uri="{C3380CC4-5D6E-409C-BE32-E72D297353CC}">
              <c16:uniqueId val="{0000003D-D994-475D-8D6A-2553892D8F00}"/>
            </c:ext>
          </c:extLst>
        </c:ser>
        <c:ser>
          <c:idx val="52"/>
          <c:order val="52"/>
          <c:spPr>
            <a:ln w="3175">
              <a:solidFill>
                <a:srgbClr val="000000"/>
              </a:solidFill>
              <a:prstDash val="solid"/>
            </a:ln>
          </c:spPr>
          <c:marker>
            <c:symbol val="none"/>
          </c:marker>
          <c:dLbls>
            <c:dLbl>
              <c:idx val="0"/>
              <c:tx>
                <c:rich>
                  <a:bodyPr rot="3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-0.39324731568433041</c:v>
              </c:pt>
            </c:numLit>
          </c:xVal>
          <c:yVal>
            <c:numLit>
              <c:formatCode>General</c:formatCode>
              <c:ptCount val="1"/>
              <c:pt idx="0">
                <c:v>3.0958638286622722E-2</c:v>
              </c:pt>
            </c:numLit>
          </c:yVal>
          <c:smooth val="0"/>
          <c:extLst>
            <c:ext xmlns:c16="http://schemas.microsoft.com/office/drawing/2014/chart" uri="{C3380CC4-5D6E-409C-BE32-E72D297353CC}">
              <c16:uniqueId val="{0000003F-D994-475D-8D6A-2553892D8F00}"/>
            </c:ext>
          </c:extLst>
        </c:ser>
        <c:ser>
          <c:idx val="53"/>
          <c:order val="53"/>
          <c:spPr>
            <a:ln w="3175">
              <a:solidFill>
                <a:srgbClr val="000000"/>
              </a:solidFill>
              <a:prstDash val="solid"/>
            </a:ln>
          </c:spPr>
          <c:marker>
            <c:symbol val="none"/>
          </c:marker>
          <c:xVal>
            <c:numLit>
              <c:formatCode>General</c:formatCode>
              <c:ptCount val="2"/>
              <c:pt idx="0">
                <c:v>0.14022975872621024</c:v>
              </c:pt>
              <c:pt idx="1">
                <c:v>-1.7951032158228471E-2</c:v>
              </c:pt>
            </c:numLit>
          </c:xVal>
          <c:yVal>
            <c:numLit>
              <c:formatCode>General</c:formatCode>
              <c:ptCount val="2"/>
              <c:pt idx="0">
                <c:v>2.9728650311281322E-2</c:v>
              </c:pt>
              <c:pt idx="1">
                <c:v>2.9917192817951636E-2</c:v>
              </c:pt>
            </c:numLit>
          </c:yVal>
          <c:smooth val="0"/>
          <c:extLst>
            <c:ext xmlns:c16="http://schemas.microsoft.com/office/drawing/2014/chart" uri="{C3380CC4-5D6E-409C-BE32-E72D297353CC}">
              <c16:uniqueId val="{00000040-D994-475D-8D6A-2553892D8F00}"/>
            </c:ext>
          </c:extLst>
        </c:ser>
        <c:ser>
          <c:idx val="54"/>
          <c:order val="54"/>
          <c:spPr>
            <a:ln w="3175">
              <a:solidFill>
                <a:srgbClr val="000000"/>
              </a:solidFill>
              <a:prstDash val="solid"/>
            </a:ln>
          </c:spPr>
          <c:marker>
            <c:symbol val="none"/>
          </c:marker>
          <c:xVal>
            <c:numLit>
              <c:formatCode>General</c:formatCode>
              <c:ptCount val="2"/>
              <c:pt idx="0">
                <c:v>-0.16776460974090424</c:v>
              </c:pt>
              <c:pt idx="1">
                <c:v>-0.49732595015837133</c:v>
              </c:pt>
            </c:numLit>
          </c:xVal>
          <c:yVal>
            <c:numLit>
              <c:formatCode>General</c:formatCode>
              <c:ptCount val="2"/>
              <c:pt idx="0">
                <c:v>2.95831355675608E-2</c:v>
              </c:pt>
              <c:pt idx="1">
                <c:v>2.9953984234741979E-2</c:v>
              </c:pt>
            </c:numLit>
          </c:yVal>
          <c:smooth val="0"/>
          <c:extLst>
            <c:ext xmlns:c16="http://schemas.microsoft.com/office/drawing/2014/chart" uri="{C3380CC4-5D6E-409C-BE32-E72D297353CC}">
              <c16:uniqueId val="{00000041-D994-475D-8D6A-2553892D8F00}"/>
            </c:ext>
          </c:extLst>
        </c:ser>
        <c:ser>
          <c:idx val="55"/>
          <c:order val="55"/>
          <c:spPr>
            <a:ln w="3175">
              <a:solidFill>
                <a:srgbClr val="000000"/>
              </a:solidFill>
              <a:prstDash val="solid"/>
            </a:ln>
          </c:spPr>
          <c:marker>
            <c:symbol val="none"/>
          </c:marker>
          <c:xVal>
            <c:numLit>
              <c:formatCode>General</c:formatCode>
              <c:ptCount val="2"/>
              <c:pt idx="0">
                <c:v>-0.46056184007219381</c:v>
              </c:pt>
              <c:pt idx="1">
                <c:v>-0.63161673664516982</c:v>
              </c:pt>
            </c:numLit>
          </c:xVal>
          <c:yVal>
            <c:numLit>
              <c:formatCode>General</c:formatCode>
              <c:ptCount val="2"/>
              <c:pt idx="0">
                <c:v>2.9436840266009144E-2</c:v>
              </c:pt>
              <c:pt idx="1">
                <c:v>2.9619129700280768E-2</c:v>
              </c:pt>
            </c:numLit>
          </c:yVal>
          <c:smooth val="0"/>
          <c:extLst>
            <c:ext xmlns:c16="http://schemas.microsoft.com/office/drawing/2014/chart" uri="{C3380CC4-5D6E-409C-BE32-E72D297353CC}">
              <c16:uniqueId val="{00000042-D994-475D-8D6A-2553892D8F00}"/>
            </c:ext>
          </c:extLst>
        </c:ser>
        <c:ser>
          <c:idx val="56"/>
          <c:order val="56"/>
          <c:spPr>
            <a:ln w="3175">
              <a:solidFill>
                <a:srgbClr val="000000"/>
              </a:solidFill>
              <a:prstDash val="solid"/>
            </a:ln>
          </c:spPr>
          <c:marker>
            <c:symbol val="none"/>
          </c:marker>
          <c:xVal>
            <c:numLit>
              <c:formatCode>General</c:formatCode>
              <c:ptCount val="2"/>
              <c:pt idx="0">
                <c:v>-0.73862230174342836</c:v>
              </c:pt>
              <c:pt idx="1">
                <c:v>-1.0926489718181465</c:v>
              </c:pt>
            </c:numLit>
          </c:xVal>
          <c:yVal>
            <c:numLit>
              <c:formatCode>General</c:formatCode>
              <c:ptCount val="2"/>
              <c:pt idx="0">
                <c:v>2.9290348124299693E-2</c:v>
              </c:pt>
              <c:pt idx="1">
                <c:v>2.9648648758198254E-2</c:v>
              </c:pt>
            </c:numLit>
          </c:yVal>
          <c:smooth val="0"/>
          <c:extLst>
            <c:ext xmlns:c16="http://schemas.microsoft.com/office/drawing/2014/chart" uri="{C3380CC4-5D6E-409C-BE32-E72D297353CC}">
              <c16:uniqueId val="{00000043-D994-475D-8D6A-2553892D8F00}"/>
            </c:ext>
          </c:extLst>
        </c:ser>
        <c:ser>
          <c:idx val="57"/>
          <c:order val="57"/>
          <c:spPr>
            <a:ln w="3175">
              <a:solidFill>
                <a:srgbClr val="000000"/>
              </a:solidFill>
              <a:prstDash val="solid"/>
            </a:ln>
          </c:spPr>
          <c:marker>
            <c:symbol val="none"/>
          </c:marker>
          <c:dLbls>
            <c:dLbl>
              <c:idx val="0"/>
              <c:tx>
                <c:rich>
                  <a:bodyPr rot="32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4-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-1.74169786695513</c:v>
              </c:pt>
            </c:numLit>
          </c:xVal>
          <c:yVal>
            <c:numLit>
              <c:formatCode>General</c:formatCode>
              <c:ptCount val="1"/>
              <c:pt idx="0">
                <c:v>3.0305533253678942E-2</c:v>
              </c:pt>
            </c:numLit>
          </c:yVal>
          <c:smooth val="0"/>
          <c:extLst>
            <c:ext xmlns:c16="http://schemas.microsoft.com/office/drawing/2014/chart" uri="{C3380CC4-5D6E-409C-BE32-E72D297353CC}">
              <c16:uniqueId val="{00000045-D994-475D-8D6A-2553892D8F00}"/>
            </c:ext>
          </c:extLst>
        </c:ser>
        <c:ser>
          <c:idx val="58"/>
          <c:order val="58"/>
          <c:spPr>
            <a:ln w="3175">
              <a:solidFill>
                <a:srgbClr val="000000"/>
              </a:solidFill>
              <a:prstDash val="solid"/>
            </a:ln>
          </c:spPr>
          <c:marker>
            <c:symbol val="none"/>
          </c:marker>
          <c:xVal>
            <c:numLit>
              <c:formatCode>General</c:formatCode>
              <c:ptCount val="2"/>
              <c:pt idx="0">
                <c:v>-1.002455319966258</c:v>
              </c:pt>
              <c:pt idx="1">
                <c:v>-1.1851222196798212</c:v>
              </c:pt>
            </c:numLit>
          </c:xVal>
          <c:yVal>
            <c:numLit>
              <c:formatCode>General</c:formatCode>
              <c:ptCount val="2"/>
              <c:pt idx="0">
                <c:v>2.9144178210618831E-2</c:v>
              </c:pt>
              <c:pt idx="1">
                <c:v>2.932019631513209E-2</c:v>
              </c:pt>
            </c:numLit>
          </c:yVal>
          <c:smooth val="0"/>
          <c:extLst>
            <c:ext xmlns:c16="http://schemas.microsoft.com/office/drawing/2014/chart" uri="{C3380CC4-5D6E-409C-BE32-E72D297353CC}">
              <c16:uniqueId val="{00000046-D994-475D-8D6A-2553892D8F00}"/>
            </c:ext>
          </c:extLst>
        </c:ser>
        <c:ser>
          <c:idx val="59"/>
          <c:order val="59"/>
          <c:spPr>
            <a:ln w="3175">
              <a:solidFill>
                <a:srgbClr val="000000"/>
              </a:solidFill>
              <a:prstDash val="solid"/>
            </a:ln>
          </c:spPr>
          <c:marker>
            <c:symbol val="none"/>
          </c:marker>
          <c:xVal>
            <c:numLit>
              <c:formatCode>General</c:formatCode>
              <c:ptCount val="2"/>
              <c:pt idx="0">
                <c:v>-1.2526057824083219</c:v>
              </c:pt>
              <c:pt idx="1">
                <c:v>-1.6286603159401067</c:v>
              </c:pt>
            </c:numLit>
          </c:xVal>
          <c:yVal>
            <c:numLit>
              <c:formatCode>General</c:formatCode>
              <c:ptCount val="2"/>
              <c:pt idx="0">
                <c:v>2.8998787401373648E-2</c:v>
              </c:pt>
              <c:pt idx="1">
                <c:v>2.9344592575718233E-2</c:v>
              </c:pt>
            </c:numLit>
          </c:yVal>
          <c:smooth val="0"/>
          <c:extLst>
            <c:ext xmlns:c16="http://schemas.microsoft.com/office/drawing/2014/chart" uri="{C3380CC4-5D6E-409C-BE32-E72D297353CC}">
              <c16:uniqueId val="{00000047-D994-475D-8D6A-2553892D8F00}"/>
            </c:ext>
          </c:extLst>
        </c:ser>
        <c:ser>
          <c:idx val="60"/>
          <c:order val="60"/>
          <c:spPr>
            <a:ln w="3175">
              <a:solidFill>
                <a:srgbClr val="000000"/>
              </a:solidFill>
              <a:prstDash val="solid"/>
            </a:ln>
          </c:spPr>
          <c:marker>
            <c:symbol val="none"/>
          </c:marker>
          <c:xVal>
            <c:numLit>
              <c:formatCode>General</c:formatCode>
              <c:ptCount val="2"/>
              <c:pt idx="0">
                <c:v>-1.4896424028400646</c:v>
              </c:pt>
              <c:pt idx="1">
                <c:v>-1.6827490257580664</c:v>
              </c:pt>
            </c:numLit>
          </c:xVal>
          <c:yVal>
            <c:numLit>
              <c:formatCode>General</c:formatCode>
              <c:ptCount val="2"/>
              <c:pt idx="0">
                <c:v>2.8854573651448525E-2</c:v>
              </c:pt>
              <c:pt idx="1">
                <c:v>2.9024385943979564E-2</c:v>
              </c:pt>
            </c:numLit>
          </c:yVal>
          <c:smooth val="0"/>
          <c:extLst>
            <c:ext xmlns:c16="http://schemas.microsoft.com/office/drawing/2014/chart" uri="{C3380CC4-5D6E-409C-BE32-E72D297353CC}">
              <c16:uniqueId val="{00000048-D994-475D-8D6A-2553892D8F00}"/>
            </c:ext>
          </c:extLst>
        </c:ser>
        <c:ser>
          <c:idx val="61"/>
          <c:order val="61"/>
          <c:spPr>
            <a:ln w="3175">
              <a:solidFill>
                <a:srgbClr val="000000"/>
              </a:solidFill>
              <a:prstDash val="solid"/>
            </a:ln>
          </c:spPr>
          <c:marker>
            <c:symbol val="none"/>
          </c:marker>
          <c:xVal>
            <c:numLit>
              <c:formatCode>General</c:formatCode>
              <c:ptCount val="2"/>
              <c:pt idx="0">
                <c:v>-1.7141476200677335</c:v>
              </c:pt>
              <c:pt idx="1">
                <c:v>-2.1099825180706362</c:v>
              </c:pt>
            </c:numLit>
          </c:xVal>
          <c:yVal>
            <c:numLit>
              <c:formatCode>General</c:formatCode>
              <c:ptCount val="2"/>
              <c:pt idx="0">
                <c:v>2.8711879820593082E-2</c:v>
              </c:pt>
              <c:pt idx="1">
                <c:v>2.9045388955761357E-2</c:v>
              </c:pt>
            </c:numLit>
          </c:yVal>
          <c:smooth val="0"/>
          <c:extLst>
            <c:ext xmlns:c16="http://schemas.microsoft.com/office/drawing/2014/chart" uri="{C3380CC4-5D6E-409C-BE32-E72D297353CC}">
              <c16:uniqueId val="{00000049-D994-475D-8D6A-2553892D8F00}"/>
            </c:ext>
          </c:extLst>
        </c:ser>
        <c:ser>
          <c:idx val="62"/>
          <c:order val="62"/>
          <c:spPr>
            <a:ln w="3175">
              <a:solidFill>
                <a:srgbClr val="000000"/>
              </a:solidFill>
              <a:prstDash val="solid"/>
            </a:ln>
          </c:spPr>
          <c:marker>
            <c:symbol val="none"/>
          </c:marker>
          <c:dLbls>
            <c:dLbl>
              <c:idx val="0"/>
              <c:tx>
                <c:rich>
                  <a:bodyPr rot="29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A-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-2.8356798310759577</c:v>
              </c:pt>
            </c:numLit>
          </c:xVal>
          <c:yVal>
            <c:numLit>
              <c:formatCode>General</c:formatCode>
              <c:ptCount val="1"/>
              <c:pt idx="0">
                <c:v>2.9656822370236528E-2</c:v>
              </c:pt>
            </c:numLit>
          </c:yVal>
          <c:smooth val="0"/>
          <c:extLst>
            <c:ext xmlns:c16="http://schemas.microsoft.com/office/drawing/2014/chart" uri="{C3380CC4-5D6E-409C-BE32-E72D297353CC}">
              <c16:uniqueId val="{0000004B-D994-475D-8D6A-2553892D8F00}"/>
            </c:ext>
          </c:extLst>
        </c:ser>
        <c:ser>
          <c:idx val="63"/>
          <c:order val="63"/>
          <c:spPr>
            <a:ln w="3175">
              <a:solidFill>
                <a:srgbClr val="000000"/>
              </a:solidFill>
              <a:prstDash val="solid"/>
            </a:ln>
          </c:spPr>
          <c:marker>
            <c:symbol val="none"/>
          </c:marker>
          <c:xVal>
            <c:numLit>
              <c:formatCode>General</c:formatCode>
              <c:ptCount val="2"/>
              <c:pt idx="0">
                <c:v>-1.9267090572547372</c:v>
              </c:pt>
              <c:pt idx="1">
                <c:v>-2.1291813941959106</c:v>
              </c:pt>
            </c:numLit>
          </c:xVal>
          <c:yVal>
            <c:numLit>
              <c:formatCode>General</c:formatCode>
              <c:ptCount val="2"/>
              <c:pt idx="0">
                <c:v>2.8570997838905359E-2</c:v>
              </c:pt>
              <c:pt idx="1">
                <c:v>2.8734733506881903E-2</c:v>
              </c:pt>
            </c:numLit>
          </c:yVal>
          <c:smooth val="0"/>
          <c:extLst>
            <c:ext xmlns:c16="http://schemas.microsoft.com/office/drawing/2014/chart" uri="{C3380CC4-5D6E-409C-BE32-E72D297353CC}">
              <c16:uniqueId val="{0000004C-D994-475D-8D6A-2553892D8F00}"/>
            </c:ext>
          </c:extLst>
        </c:ser>
        <c:ser>
          <c:idx val="64"/>
          <c:order val="64"/>
          <c:spPr>
            <a:ln w="3175">
              <a:solidFill>
                <a:srgbClr val="000000"/>
              </a:solidFill>
              <a:prstDash val="solid"/>
            </a:ln>
          </c:spPr>
          <c:marker>
            <c:symbol val="none"/>
          </c:marker>
          <c:xVal>
            <c:numLit>
              <c:formatCode>General</c:formatCode>
              <c:ptCount val="2"/>
              <c:pt idx="0">
                <c:v>-2.1279124307072412</c:v>
              </c:pt>
              <c:pt idx="1">
                <c:v>-2.5414801063089798</c:v>
              </c:pt>
            </c:numLit>
          </c:xVal>
          <c:yVal>
            <c:numLit>
              <c:formatCode>General</c:formatCode>
              <c:ptCount val="2"/>
              <c:pt idx="0">
                <c:v>2.8432173033455556E-2</c:v>
              </c:pt>
              <c:pt idx="1">
                <c:v>2.8753694734889368E-2</c:v>
              </c:pt>
            </c:numLit>
          </c:yVal>
          <c:smooth val="0"/>
          <c:extLst>
            <c:ext xmlns:c16="http://schemas.microsoft.com/office/drawing/2014/chart" uri="{C3380CC4-5D6E-409C-BE32-E72D297353CC}">
              <c16:uniqueId val="{0000004D-D994-475D-8D6A-2553892D8F00}"/>
            </c:ext>
          </c:extLst>
        </c:ser>
        <c:ser>
          <c:idx val="65"/>
          <c:order val="65"/>
          <c:spPr>
            <a:ln w="3175">
              <a:solidFill>
                <a:srgbClr val="000000"/>
              </a:solidFill>
              <a:prstDash val="solid"/>
            </a:ln>
          </c:spPr>
          <c:marker>
            <c:symbol val="none"/>
          </c:marker>
          <c:xVal>
            <c:numLit>
              <c:formatCode>General</c:formatCode>
              <c:ptCount val="2"/>
              <c:pt idx="0">
                <c:v>-2.3183357754510565</c:v>
              </c:pt>
              <c:pt idx="1">
                <c:v>-2.529200113496437</c:v>
              </c:pt>
            </c:numLit>
          </c:xVal>
          <c:yVal>
            <c:numLit>
              <c:formatCode>General</c:formatCode>
              <c:ptCount val="2"/>
              <c:pt idx="0">
                <c:v>2.8295608474779587E-2</c:v>
              </c:pt>
              <c:pt idx="1">
                <c:v>2.8453442942096292E-2</c:v>
              </c:pt>
            </c:numLit>
          </c:yVal>
          <c:smooth val="0"/>
          <c:extLst>
            <c:ext xmlns:c16="http://schemas.microsoft.com/office/drawing/2014/chart" uri="{C3380CC4-5D6E-409C-BE32-E72D297353CC}">
              <c16:uniqueId val="{0000004E-D994-475D-8D6A-2553892D8F00}"/>
            </c:ext>
          </c:extLst>
        </c:ser>
        <c:ser>
          <c:idx val="66"/>
          <c:order val="66"/>
          <c:spPr>
            <a:ln w="3175">
              <a:solidFill>
                <a:srgbClr val="000000"/>
              </a:solidFill>
              <a:prstDash val="solid"/>
            </a:ln>
          </c:spPr>
          <c:marker>
            <c:symbol val="none"/>
          </c:marker>
          <c:xVal>
            <c:numLit>
              <c:formatCode>General</c:formatCode>
              <c:ptCount val="2"/>
              <c:pt idx="0">
                <c:v>-2.4985448444866902</c:v>
              </c:pt>
              <c:pt idx="1">
                <c:v>-2.9279967663932625</c:v>
              </c:pt>
            </c:numLit>
          </c:xVal>
          <c:yVal>
            <c:numLit>
              <c:formatCode>General</c:formatCode>
              <c:ptCount val="2"/>
              <c:pt idx="0">
                <c:v>2.8161469234973899E-2</c:v>
              </c:pt>
              <c:pt idx="1">
                <c:v>2.8471389345044212E-2</c:v>
              </c:pt>
            </c:numLit>
          </c:yVal>
          <c:smooth val="0"/>
          <c:extLst>
            <c:ext xmlns:c16="http://schemas.microsoft.com/office/drawing/2014/chart" uri="{C3380CC4-5D6E-409C-BE32-E72D297353CC}">
              <c16:uniqueId val="{0000004F-D994-475D-8D6A-2553892D8F00}"/>
            </c:ext>
          </c:extLst>
        </c:ser>
        <c:ser>
          <c:idx val="67"/>
          <c:order val="67"/>
          <c:spPr>
            <a:ln w="3175">
              <a:solidFill>
                <a:srgbClr val="000000"/>
              </a:solidFill>
              <a:prstDash val="solid"/>
            </a:ln>
          </c:spPr>
          <c:marker>
            <c:symbol val="none"/>
          </c:marker>
          <c:dLbls>
            <c:dLbl>
              <c:idx val="0"/>
              <c:tx>
                <c:rich>
                  <a:bodyPr rot="26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0-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-3.7153252898886451</c:v>
              </c:pt>
            </c:numLit>
          </c:xVal>
          <c:yVal>
            <c:numLit>
              <c:formatCode>General</c:formatCode>
              <c:ptCount val="1"/>
              <c:pt idx="0">
                <c:v>2.9039576213506446E-2</c:v>
              </c:pt>
            </c:numLit>
          </c:yVal>
          <c:smooth val="0"/>
          <c:extLst>
            <c:ext xmlns:c16="http://schemas.microsoft.com/office/drawing/2014/chart" uri="{C3380CC4-5D6E-409C-BE32-E72D297353CC}">
              <c16:uniqueId val="{00000051-D994-475D-8D6A-2553892D8F00}"/>
            </c:ext>
          </c:extLst>
        </c:ser>
        <c:ser>
          <c:idx val="68"/>
          <c:order val="68"/>
          <c:spPr>
            <a:ln w="3175">
              <a:solidFill>
                <a:srgbClr val="000000"/>
              </a:solidFill>
              <a:prstDash val="solid"/>
            </a:ln>
          </c:spPr>
          <c:marker>
            <c:symbol val="none"/>
          </c:marker>
          <c:xVal>
            <c:numLit>
              <c:formatCode>General</c:formatCode>
              <c:ptCount val="2"/>
              <c:pt idx="0">
                <c:v>-2.669089536724063</c:v>
              </c:pt>
              <c:pt idx="1">
                <c:v>-2.8874700267967222</c:v>
              </c:pt>
            </c:numLit>
          </c:xVal>
          <c:yVal>
            <c:numLit>
              <c:formatCode>General</c:formatCode>
              <c:ptCount val="2"/>
              <c:pt idx="0">
                <c:v>2.8029886477800841E-2</c:v>
              </c:pt>
              <c:pt idx="1">
                <c:v>2.8182026902325148E-2</c:v>
              </c:pt>
            </c:numLit>
          </c:yVal>
          <c:smooth val="0"/>
          <c:extLst>
            <c:ext xmlns:c16="http://schemas.microsoft.com/office/drawing/2014/chart" uri="{C3380CC4-5D6E-409C-BE32-E72D297353CC}">
              <c16:uniqueId val="{00000052-D994-475D-8D6A-2553892D8F00}"/>
            </c:ext>
          </c:extLst>
        </c:ser>
        <c:ser>
          <c:idx val="69"/>
          <c:order val="69"/>
          <c:spPr>
            <a:ln w="3175">
              <a:solidFill>
                <a:srgbClr val="000000"/>
              </a:solidFill>
              <a:prstDash val="solid"/>
            </a:ln>
          </c:spPr>
          <c:marker>
            <c:symbol val="none"/>
          </c:marker>
          <c:xVal>
            <c:numLit>
              <c:formatCode>General</c:formatCode>
              <c:ptCount val="2"/>
              <c:pt idx="0">
                <c:v>-2.8305012128620142</c:v>
              </c:pt>
              <c:pt idx="1">
                <c:v>-3.274179836270386</c:v>
              </c:pt>
            </c:numLit>
          </c:xVal>
          <c:yVal>
            <c:numLit>
              <c:formatCode>General</c:formatCode>
              <c:ptCount val="2"/>
              <c:pt idx="0">
                <c:v>2.7900961325394373E-2</c:v>
              </c:pt>
              <c:pt idx="1">
                <c:v>2.8199716810768417E-2</c:v>
              </c:pt>
            </c:numLit>
          </c:yVal>
          <c:smooth val="0"/>
          <c:extLst>
            <c:ext xmlns:c16="http://schemas.microsoft.com/office/drawing/2014/chart" uri="{C3380CC4-5D6E-409C-BE32-E72D297353CC}">
              <c16:uniqueId val="{00000053-D994-475D-8D6A-2553892D8F00}"/>
            </c:ext>
          </c:extLst>
        </c:ser>
        <c:ser>
          <c:idx val="70"/>
          <c:order val="70"/>
          <c:spPr>
            <a:ln w="3175">
              <a:solidFill>
                <a:srgbClr val="000000"/>
              </a:solidFill>
              <a:prstDash val="solid"/>
            </a:ln>
          </c:spPr>
          <c:marker>
            <c:symbol val="none"/>
          </c:marker>
          <c:xVal>
            <c:numLit>
              <c:formatCode>General</c:formatCode>
              <c:ptCount val="2"/>
              <c:pt idx="0">
                <c:v>-2.9832907668862556</c:v>
              </c:pt>
              <c:pt idx="1">
                <c:v>-3.20840414046239</c:v>
              </c:pt>
            </c:numLit>
          </c:xVal>
          <c:yVal>
            <c:numLit>
              <c:formatCode>General</c:formatCode>
              <c:ptCount val="2"/>
              <c:pt idx="0">
                <c:v>2.777476846598936E-2</c:v>
              </c:pt>
              <c:pt idx="1">
                <c:v>2.7921442075974846E-2</c:v>
              </c:pt>
            </c:numLit>
          </c:yVal>
          <c:smooth val="0"/>
          <c:extLst>
            <c:ext xmlns:c16="http://schemas.microsoft.com/office/drawing/2014/chart" uri="{C3380CC4-5D6E-409C-BE32-E72D297353CC}">
              <c16:uniqueId val="{00000054-D994-475D-8D6A-2553892D8F00}"/>
            </c:ext>
          </c:extLst>
        </c:ser>
        <c:ser>
          <c:idx val="71"/>
          <c:order val="71"/>
          <c:spPr>
            <a:ln w="3175">
              <a:solidFill>
                <a:srgbClr val="000000"/>
              </a:solidFill>
              <a:prstDash val="solid"/>
            </a:ln>
          </c:spPr>
          <c:marker>
            <c:symbol val="none"/>
          </c:marker>
          <c:xVal>
            <c:numLit>
              <c:formatCode>General</c:formatCode>
              <c:ptCount val="2"/>
              <c:pt idx="0">
                <c:v>-3.1279473318097732</c:v>
              </c:pt>
              <c:pt idx="1">
                <c:v>-3.5843736460301914</c:v>
              </c:pt>
            </c:numLit>
          </c:xVal>
          <c:yVal>
            <c:numLit>
              <c:formatCode>General</c:formatCode>
              <c:ptCount val="2"/>
              <c:pt idx="0">
                <c:v>2.765135948293641E-2</c:v>
              </c:pt>
              <c:pt idx="1">
                <c:v>2.7939417746490825E-2</c:v>
              </c:pt>
            </c:numLit>
          </c:yVal>
          <c:smooth val="0"/>
          <c:extLst>
            <c:ext xmlns:c16="http://schemas.microsoft.com/office/drawing/2014/chart" uri="{C3380CC4-5D6E-409C-BE32-E72D297353CC}">
              <c16:uniqueId val="{00000055-D994-475D-8D6A-2553892D8F00}"/>
            </c:ext>
          </c:extLst>
        </c:ser>
        <c:ser>
          <c:idx val="72"/>
          <c:order val="72"/>
          <c:spPr>
            <a:ln w="3175">
              <a:solidFill>
                <a:srgbClr val="000000"/>
              </a:solidFill>
              <a:prstDash val="solid"/>
            </a:ln>
          </c:spPr>
          <c:marker>
            <c:symbol val="none"/>
          </c:marker>
          <c:dLbls>
            <c:dLbl>
              <c:idx val="0"/>
              <c:tx>
                <c:rich>
                  <a:bodyPr rot="2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6-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-4.4211552221009596</c:v>
              </c:pt>
            </c:numLit>
          </c:xVal>
          <c:yVal>
            <c:numLit>
              <c:formatCode>General</c:formatCode>
              <c:ptCount val="1"/>
              <c:pt idx="0">
                <c:v>2.8467524563007256E-2</c:v>
              </c:pt>
            </c:numLit>
          </c:yVal>
          <c:smooth val="0"/>
          <c:extLst>
            <c:ext xmlns:c16="http://schemas.microsoft.com/office/drawing/2014/chart" uri="{C3380CC4-5D6E-409C-BE32-E72D297353CC}">
              <c16:uniqueId val="{00000057-D994-475D-8D6A-2553892D8F00}"/>
            </c:ext>
          </c:extLst>
        </c:ser>
        <c:ser>
          <c:idx val="73"/>
          <c:order val="73"/>
          <c:spPr>
            <a:ln w="3175">
              <a:solidFill>
                <a:srgbClr val="000000"/>
              </a:solidFill>
              <a:prstDash val="solid"/>
            </a:ln>
          </c:spPr>
          <c:marker>
            <c:symbol val="none"/>
          </c:marker>
          <c:xVal>
            <c:numLit>
              <c:formatCode>General</c:formatCode>
              <c:ptCount val="2"/>
              <c:pt idx="0">
                <c:v>-3.3947050354255355</c:v>
              </c:pt>
              <c:pt idx="1">
                <c:v>-3.6286344290417976</c:v>
              </c:pt>
            </c:numLit>
          </c:xVal>
          <c:yVal>
            <c:numLit>
              <c:formatCode>General</c:formatCode>
              <c:ptCount val="2"/>
              <c:pt idx="0">
                <c:v>2.741300192776747E-2</c:v>
              </c:pt>
              <c:pt idx="1">
                <c:v>2.7551923397648202E-2</c:v>
              </c:pt>
            </c:numLit>
          </c:yVal>
          <c:smooth val="0"/>
          <c:extLst>
            <c:ext xmlns:c16="http://schemas.microsoft.com/office/drawing/2014/chart" uri="{C3380CC4-5D6E-409C-BE32-E72D297353CC}">
              <c16:uniqueId val="{00000058-D994-475D-8D6A-2553892D8F00}"/>
            </c:ext>
          </c:extLst>
        </c:ser>
        <c:ser>
          <c:idx val="74"/>
          <c:order val="74"/>
          <c:spPr>
            <a:ln w="3175">
              <a:solidFill>
                <a:srgbClr val="000000"/>
              </a:solidFill>
              <a:prstDash val="solid"/>
            </a:ln>
          </c:spPr>
          <c:marker>
            <c:symbol val="none"/>
          </c:marker>
          <c:xVal>
            <c:numLit>
              <c:formatCode>General</c:formatCode>
              <c:ptCount val="2"/>
              <c:pt idx="0">
                <c:v>-3.6342329977636059</c:v>
              </c:pt>
              <c:pt idx="1">
                <c:v>-3.8732951334299695</c:v>
              </c:pt>
            </c:numLit>
          </c:xVal>
          <c:yVal>
            <c:numLit>
              <c:formatCode>General</c:formatCode>
              <c:ptCount val="2"/>
              <c:pt idx="0">
                <c:v>2.7185947823718054E-2</c:v>
              </c:pt>
              <c:pt idx="1">
                <c:v>2.7320003848512013E-2</c:v>
              </c:pt>
            </c:numLit>
          </c:yVal>
          <c:smooth val="0"/>
          <c:extLst>
            <c:ext xmlns:c16="http://schemas.microsoft.com/office/drawing/2014/chart" uri="{C3380CC4-5D6E-409C-BE32-E72D297353CC}">
              <c16:uniqueId val="{00000059-D994-475D-8D6A-2553892D8F00}"/>
            </c:ext>
          </c:extLst>
        </c:ser>
        <c:ser>
          <c:idx val="75"/>
          <c:order val="75"/>
          <c:spPr>
            <a:ln w="3175">
              <a:solidFill>
                <a:srgbClr val="000000"/>
              </a:solidFill>
              <a:prstDash val="solid"/>
            </a:ln>
          </c:spPr>
          <c:marker>
            <c:symbol val="none"/>
          </c:marker>
          <c:xVal>
            <c:numLit>
              <c:formatCode>General</c:formatCode>
              <c:ptCount val="2"/>
              <c:pt idx="0">
                <c:v>-3.8496301535387389</c:v>
              </c:pt>
              <c:pt idx="1">
                <c:v>-4.0933079425431407</c:v>
              </c:pt>
            </c:numLit>
          </c:xVal>
          <c:yVal>
            <c:numLit>
              <c:formatCode>General</c:formatCode>
              <c:ptCount val="2"/>
              <c:pt idx="0">
                <c:v>2.6970052763706429E-2</c:v>
              </c:pt>
              <c:pt idx="1">
                <c:v>2.7099482465785852E-2</c:v>
              </c:pt>
            </c:numLit>
          </c:yVal>
          <c:smooth val="0"/>
          <c:extLst>
            <c:ext xmlns:c16="http://schemas.microsoft.com/office/drawing/2014/chart" uri="{C3380CC4-5D6E-409C-BE32-E72D297353CC}">
              <c16:uniqueId val="{0000005A-D994-475D-8D6A-2553892D8F00}"/>
            </c:ext>
          </c:extLst>
        </c:ser>
        <c:ser>
          <c:idx val="76"/>
          <c:order val="76"/>
          <c:spPr>
            <a:ln w="3175">
              <a:solidFill>
                <a:srgbClr val="000000"/>
              </a:solidFill>
              <a:prstDash val="solid"/>
            </a:ln>
          </c:spPr>
          <c:marker>
            <c:symbol val="none"/>
          </c:marker>
          <c:xVal>
            <c:numLit>
              <c:formatCode>General</c:formatCode>
              <c:ptCount val="2"/>
              <c:pt idx="0">
                <c:v>-4.0436530888624631</c:v>
              </c:pt>
              <c:pt idx="1">
                <c:v>-4.2914885121952313</c:v>
              </c:pt>
            </c:numLit>
          </c:xVal>
          <c:yVal>
            <c:numLit>
              <c:formatCode>General</c:formatCode>
              <c:ptCount val="2"/>
              <c:pt idx="0">
                <c:v>2.6765028589466222E-2</c:v>
              </c:pt>
              <c:pt idx="1">
                <c:v>2.6890064916383356E-2</c:v>
              </c:pt>
            </c:numLit>
          </c:yVal>
          <c:smooth val="0"/>
          <c:extLst>
            <c:ext xmlns:c16="http://schemas.microsoft.com/office/drawing/2014/chart" uri="{C3380CC4-5D6E-409C-BE32-E72D297353CC}">
              <c16:uniqueId val="{0000005B-D994-475D-8D6A-2553892D8F00}"/>
            </c:ext>
          </c:extLst>
        </c:ser>
        <c:ser>
          <c:idx val="77"/>
          <c:order val="77"/>
          <c:spPr>
            <a:ln w="3175">
              <a:solidFill>
                <a:srgbClr val="000000"/>
              </a:solidFill>
              <a:prstDash val="solid"/>
            </a:ln>
          </c:spPr>
          <c:marker>
            <c:symbol val="none"/>
          </c:marker>
          <c:xVal>
            <c:numLit>
              <c:formatCode>General</c:formatCode>
              <c:ptCount val="2"/>
              <c:pt idx="0">
                <c:v>-4.2187412428710447</c:v>
              </c:pt>
              <c:pt idx="1">
                <c:v>-4.7219158675655173</c:v>
              </c:pt>
            </c:numLit>
          </c:xVal>
          <c:yVal>
            <c:numLit>
              <c:formatCode>General</c:formatCode>
              <c:ptCount val="2"/>
              <c:pt idx="0">
                <c:v>2.6570489823461451E-2</c:v>
              </c:pt>
              <c:pt idx="1">
                <c:v>2.6812225101609799E-2</c:v>
              </c:pt>
            </c:numLit>
          </c:yVal>
          <c:smooth val="0"/>
          <c:extLst>
            <c:ext xmlns:c16="http://schemas.microsoft.com/office/drawing/2014/chart" uri="{C3380CC4-5D6E-409C-BE32-E72D297353CC}">
              <c16:uniqueId val="{0000005C-D994-475D-8D6A-2553892D8F00}"/>
            </c:ext>
          </c:extLst>
        </c:ser>
        <c:ser>
          <c:idx val="78"/>
          <c:order val="78"/>
          <c:spPr>
            <a:ln w="3175">
              <a:solidFill>
                <a:srgbClr val="000000"/>
              </a:solidFill>
              <a:prstDash val="solid"/>
            </a:ln>
          </c:spPr>
          <c:marker>
            <c:symbol val="none"/>
          </c:marker>
          <c:dLbls>
            <c:dLbl>
              <c:idx val="0"/>
              <c:tx>
                <c:rich>
                  <a:bodyPr rot="19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D-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-5.6444026795053848</c:v>
              </c:pt>
            </c:numLit>
          </c:xVal>
          <c:yVal>
            <c:numLit>
              <c:formatCode>General</c:formatCode>
              <c:ptCount val="1"/>
              <c:pt idx="0">
                <c:v>2.725540644488177E-2</c:v>
              </c:pt>
            </c:numLit>
          </c:yVal>
          <c:smooth val="0"/>
          <c:extLst>
            <c:ext xmlns:c16="http://schemas.microsoft.com/office/drawing/2014/chart" uri="{C3380CC4-5D6E-409C-BE32-E72D297353CC}">
              <c16:uniqueId val="{0000005E-D994-475D-8D6A-2553892D8F00}"/>
            </c:ext>
          </c:extLst>
        </c:ser>
        <c:ser>
          <c:idx val="79"/>
          <c:order val="79"/>
          <c:spPr>
            <a:ln w="3175">
              <a:solidFill>
                <a:srgbClr val="000000"/>
              </a:solidFill>
              <a:prstDash val="solid"/>
            </a:ln>
          </c:spPr>
          <c:marker>
            <c:symbol val="none"/>
          </c:marker>
          <c:xVal>
            <c:numLit>
              <c:formatCode>General</c:formatCode>
              <c:ptCount val="2"/>
              <c:pt idx="0">
                <c:v>-4.3770457171884622</c:v>
              </c:pt>
              <c:pt idx="1">
                <c:v>-4.6320252682710734</c:v>
              </c:pt>
            </c:numLit>
          </c:xVal>
          <c:yVal>
            <c:numLit>
              <c:formatCode>General</c:formatCode>
              <c:ptCount val="2"/>
              <c:pt idx="0">
                <c:v>2.6385989057197627E-2</c:v>
              </c:pt>
              <c:pt idx="1">
                <c:v>2.6502903108423292E-2</c:v>
              </c:pt>
            </c:numLit>
          </c:yVal>
          <c:smooth val="0"/>
          <c:extLst>
            <c:ext xmlns:c16="http://schemas.microsoft.com/office/drawing/2014/chart" uri="{C3380CC4-5D6E-409C-BE32-E72D297353CC}">
              <c16:uniqueId val="{0000005F-D994-475D-8D6A-2553892D8F00}"/>
            </c:ext>
          </c:extLst>
        </c:ser>
        <c:ser>
          <c:idx val="80"/>
          <c:order val="80"/>
          <c:spPr>
            <a:ln w="3175">
              <a:solidFill>
                <a:srgbClr val="000000"/>
              </a:solidFill>
              <a:prstDash val="solid"/>
            </a:ln>
          </c:spPr>
          <c:marker>
            <c:symbol val="none"/>
          </c:marker>
          <c:xVal>
            <c:numLit>
              <c:formatCode>General</c:formatCode>
              <c:ptCount val="2"/>
              <c:pt idx="0">
                <c:v>-4.5204589487479616</c:v>
              </c:pt>
              <c:pt idx="1">
                <c:v>-4.7785116405068475</c:v>
              </c:pt>
            </c:numLit>
          </c:xVal>
          <c:yVal>
            <c:numLit>
              <c:formatCode>General</c:formatCode>
              <c:ptCount val="2"/>
              <c:pt idx="0">
                <c:v>2.6211043462266981E-2</c:v>
              </c:pt>
              <c:pt idx="1">
                <c:v>2.632420867931556E-2</c:v>
              </c:pt>
            </c:numLit>
          </c:yVal>
          <c:smooth val="0"/>
          <c:extLst>
            <c:ext xmlns:c16="http://schemas.microsoft.com/office/drawing/2014/chart" uri="{C3380CC4-5D6E-409C-BE32-E72D297353CC}">
              <c16:uniqueId val="{00000060-D994-475D-8D6A-2553892D8F00}"/>
            </c:ext>
          </c:extLst>
        </c:ser>
        <c:ser>
          <c:idx val="81"/>
          <c:order val="81"/>
          <c:spPr>
            <a:ln w="3175">
              <a:solidFill>
                <a:srgbClr val="000000"/>
              </a:solidFill>
              <a:prstDash val="solid"/>
            </a:ln>
          </c:spPr>
          <c:marker>
            <c:symbol val="none"/>
          </c:marker>
          <c:xVal>
            <c:numLit>
              <c:formatCode>General</c:formatCode>
              <c:ptCount val="2"/>
              <c:pt idx="0">
                <c:v>-4.6506435459878448</c:v>
              </c:pt>
              <c:pt idx="1">
                <c:v>-4.9114859076875854</c:v>
              </c:pt>
            </c:numLit>
          </c:xVal>
          <c:yVal>
            <c:numLit>
              <c:formatCode>General</c:formatCode>
              <c:ptCount val="2"/>
              <c:pt idx="0">
                <c:v>2.6045154305456879E-2</c:v>
              </c:pt>
              <c:pt idx="1">
                <c:v>2.615476475485953E-2</c:v>
              </c:pt>
            </c:numLit>
          </c:yVal>
          <c:smooth val="0"/>
          <c:extLst>
            <c:ext xmlns:c16="http://schemas.microsoft.com/office/drawing/2014/chart" uri="{C3380CC4-5D6E-409C-BE32-E72D297353CC}">
              <c16:uniqueId val="{00000061-D994-475D-8D6A-2553892D8F00}"/>
            </c:ext>
          </c:extLst>
        </c:ser>
        <c:ser>
          <c:idx val="82"/>
          <c:order val="82"/>
          <c:spPr>
            <a:ln w="3175">
              <a:solidFill>
                <a:srgbClr val="000000"/>
              </a:solidFill>
              <a:prstDash val="solid"/>
            </a:ln>
          </c:spPr>
          <c:marker>
            <c:symbol val="none"/>
          </c:marker>
          <c:xVal>
            <c:numLit>
              <c:formatCode>General</c:formatCode>
              <c:ptCount val="2"/>
              <c:pt idx="0">
                <c:v>-4.7690593110363508</c:v>
              </c:pt>
              <c:pt idx="1">
                <c:v>-5.0324391534157025</c:v>
              </c:pt>
            </c:numLit>
          </c:xVal>
          <c:yVal>
            <c:numLit>
              <c:formatCode>General</c:formatCode>
              <c:ptCount val="2"/>
              <c:pt idx="0">
                <c:v>2.5887821037250434E-2</c:v>
              </c:pt>
              <c:pt idx="1">
                <c:v>2.5994060059477228E-2</c:v>
              </c:pt>
            </c:numLit>
          </c:yVal>
          <c:smooth val="0"/>
          <c:extLst>
            <c:ext xmlns:c16="http://schemas.microsoft.com/office/drawing/2014/chart" uri="{C3380CC4-5D6E-409C-BE32-E72D297353CC}">
              <c16:uniqueId val="{00000062-D994-475D-8D6A-2553892D8F00}"/>
            </c:ext>
          </c:extLst>
        </c:ser>
        <c:ser>
          <c:idx val="83"/>
          <c:order val="83"/>
          <c:spPr>
            <a:ln w="3175">
              <a:solidFill>
                <a:srgbClr val="000000"/>
              </a:solidFill>
              <a:prstDash val="solid"/>
            </a:ln>
          </c:spPr>
          <c:marker>
            <c:symbol val="none"/>
          </c:marker>
          <c:xVal>
            <c:numLit>
              <c:formatCode>General</c:formatCode>
              <c:ptCount val="2"/>
              <c:pt idx="0">
                <c:v>-4.8769879543111792</c:v>
              </c:pt>
              <c:pt idx="1">
                <c:v>-5.4083731523530867</c:v>
              </c:pt>
            </c:numLit>
          </c:xVal>
          <c:yVal>
            <c:numLit>
              <c:formatCode>General</c:formatCode>
              <c:ptCount val="2"/>
              <c:pt idx="0">
                <c:v>2.573855122669123E-2</c:v>
              </c:pt>
              <c:pt idx="1">
                <c:v>2.5944631993549423E-2</c:v>
              </c:pt>
            </c:numLit>
          </c:yVal>
          <c:smooth val="0"/>
          <c:extLst>
            <c:ext xmlns:c16="http://schemas.microsoft.com/office/drawing/2014/chart" uri="{C3380CC4-5D6E-409C-BE32-E72D297353CC}">
              <c16:uniqueId val="{00000063-D994-475D-8D6A-2553892D8F00}"/>
            </c:ext>
          </c:extLst>
        </c:ser>
        <c:ser>
          <c:idx val="84"/>
          <c:order val="84"/>
          <c:spPr>
            <a:ln w="3175">
              <a:solidFill>
                <a:srgbClr val="000000"/>
              </a:solidFill>
              <a:prstDash val="solid"/>
            </a:ln>
          </c:spPr>
          <c:marker>
            <c:symbol val="none"/>
          </c:marker>
          <c:dLbls>
            <c:dLbl>
              <c:idx val="0"/>
              <c:tx>
                <c:rich>
                  <a:bodyPr rot="16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4-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-6.3825793487632509</c:v>
              </c:pt>
            </c:numLit>
          </c:xVal>
          <c:yVal>
            <c:numLit>
              <c:formatCode>General</c:formatCode>
              <c:ptCount val="1"/>
              <c:pt idx="0">
                <c:v>2.632244673278945E-2</c:v>
              </c:pt>
            </c:numLit>
          </c:yVal>
          <c:smooth val="0"/>
          <c:extLst>
            <c:ext xmlns:c16="http://schemas.microsoft.com/office/drawing/2014/chart" uri="{C3380CC4-5D6E-409C-BE32-E72D297353CC}">
              <c16:uniqueId val="{00000065-D994-475D-8D6A-2553892D8F00}"/>
            </c:ext>
          </c:extLst>
        </c:ser>
        <c:ser>
          <c:idx val="85"/>
          <c:order val="85"/>
          <c:spPr>
            <a:ln w="3175">
              <a:solidFill>
                <a:srgbClr val="000000"/>
              </a:solidFill>
              <a:prstDash val="solid"/>
            </a:ln>
          </c:spPr>
          <c:marker>
            <c:symbol val="none"/>
          </c:marker>
          <c:xVal>
            <c:numLit>
              <c:formatCode>General</c:formatCode>
              <c:ptCount val="2"/>
              <c:pt idx="0">
                <c:v>-4.97555532075208</c:v>
              </c:pt>
              <c:pt idx="1">
                <c:v>-5.2433600776253391</c:v>
              </c:pt>
            </c:numLit>
          </c:xVal>
          <c:yVal>
            <c:numLit>
              <c:formatCode>General</c:formatCode>
              <c:ptCount val="2"/>
              <c:pt idx="0">
                <c:v>2.5596867354371416E-2</c:v>
              </c:pt>
              <c:pt idx="1">
                <c:v>2.5696871654822231E-2</c:v>
              </c:pt>
            </c:numLit>
          </c:yVal>
          <c:smooth val="0"/>
          <c:extLst>
            <c:ext xmlns:c16="http://schemas.microsoft.com/office/drawing/2014/chart" uri="{C3380CC4-5D6E-409C-BE32-E72D297353CC}">
              <c16:uniqueId val="{00000066-D994-475D-8D6A-2553892D8F00}"/>
            </c:ext>
          </c:extLst>
        </c:ser>
        <c:ser>
          <c:idx val="86"/>
          <c:order val="86"/>
          <c:spPr>
            <a:ln w="3175">
              <a:solidFill>
                <a:srgbClr val="000000"/>
              </a:solidFill>
              <a:prstDash val="solid"/>
            </a:ln>
          </c:spPr>
          <c:marker>
            <c:symbol val="none"/>
          </c:marker>
          <c:xVal>
            <c:numLit>
              <c:formatCode>General</c:formatCode>
              <c:ptCount val="2"/>
              <c:pt idx="0">
                <c:v>-5.0657511406962898</c:v>
              </c:pt>
              <c:pt idx="1">
                <c:v>-5.335488665139783</c:v>
              </c:pt>
            </c:numLit>
          </c:xVal>
          <c:yVal>
            <c:numLit>
              <c:formatCode>General</c:formatCode>
              <c:ptCount val="2"/>
              <c:pt idx="0">
                <c:v>2.5462311255383133E-2</c:v>
              </c:pt>
              <c:pt idx="1">
                <c:v>2.5559432210855628E-2</c:v>
              </c:pt>
            </c:numLit>
          </c:yVal>
          <c:smooth val="0"/>
          <c:extLst>
            <c:ext xmlns:c16="http://schemas.microsoft.com/office/drawing/2014/chart" uri="{C3380CC4-5D6E-409C-BE32-E72D297353CC}">
              <c16:uniqueId val="{00000067-D994-475D-8D6A-2553892D8F00}"/>
            </c:ext>
          </c:extLst>
        </c:ser>
        <c:ser>
          <c:idx val="87"/>
          <c:order val="87"/>
          <c:spPr>
            <a:ln w="3175">
              <a:solidFill>
                <a:srgbClr val="000000"/>
              </a:solidFill>
              <a:prstDash val="solid"/>
            </a:ln>
          </c:spPr>
          <c:marker>
            <c:symbol val="none"/>
          </c:marker>
          <c:xVal>
            <c:numLit>
              <c:formatCode>General</c:formatCode>
              <c:ptCount val="2"/>
              <c:pt idx="0">
                <c:v>-5.1484464315058194</c:v>
              </c:pt>
              <c:pt idx="1">
                <c:v>-5.4199559978952303</c:v>
              </c:pt>
            </c:numLit>
          </c:xVal>
          <c:yVal>
            <c:numLit>
              <c:formatCode>General</c:formatCode>
              <c:ptCount val="2"/>
              <c:pt idx="0">
                <c:v>2.5334446824497189E-2</c:v>
              </c:pt>
              <c:pt idx="1">
                <c:v>2.5428827827879273E-2</c:v>
              </c:pt>
            </c:numLit>
          </c:yVal>
          <c:smooth val="0"/>
          <c:extLst>
            <c:ext xmlns:c16="http://schemas.microsoft.com/office/drawing/2014/chart" uri="{C3380CC4-5D6E-409C-BE32-E72D297353CC}">
              <c16:uniqueId val="{00000068-D994-475D-8D6A-2553892D8F00}"/>
            </c:ext>
          </c:extLst>
        </c:ser>
        <c:ser>
          <c:idx val="88"/>
          <c:order val="88"/>
          <c:spPr>
            <a:ln w="3175">
              <a:solidFill>
                <a:srgbClr val="000000"/>
              </a:solidFill>
              <a:prstDash val="solid"/>
            </a:ln>
          </c:spPr>
          <c:marker>
            <c:symbol val="none"/>
          </c:marker>
          <c:xVal>
            <c:numLit>
              <c:formatCode>General</c:formatCode>
              <c:ptCount val="2"/>
              <c:pt idx="0">
                <c:v>-5.2244087358312541</c:v>
              </c:pt>
              <c:pt idx="1">
                <c:v>-5.497546065884781</c:v>
              </c:pt>
            </c:numLit>
          </c:xVal>
          <c:yVal>
            <c:numLit>
              <c:formatCode>General</c:formatCode>
              <c:ptCount val="2"/>
              <c:pt idx="0">
                <c:v>2.5212861452320056E-2</c:v>
              </c:pt>
              <c:pt idx="1">
                <c:v>2.530463705486977E-2</c:v>
              </c:pt>
            </c:numLit>
          </c:yVal>
          <c:smooth val="0"/>
          <c:extLst>
            <c:ext xmlns:c16="http://schemas.microsoft.com/office/drawing/2014/chart" uri="{C3380CC4-5D6E-409C-BE32-E72D297353CC}">
              <c16:uniqueId val="{00000069-D994-475D-8D6A-2553892D8F00}"/>
            </c:ext>
          </c:extLst>
        </c:ser>
        <c:ser>
          <c:idx val="89"/>
          <c:order val="89"/>
          <c:spPr>
            <a:ln w="3175">
              <a:solidFill>
                <a:srgbClr val="000000"/>
              </a:solidFill>
              <a:prstDash val="solid"/>
            </a:ln>
          </c:spPr>
          <c:marker>
            <c:symbol val="none"/>
          </c:marker>
          <c:xVal>
            <c:numLit>
              <c:formatCode>General</c:formatCode>
              <c:ptCount val="2"/>
              <c:pt idx="0">
                <c:v>-5.2943154079273143</c:v>
              </c:pt>
              <c:pt idx="1">
                <c:v>-5.8435860682670562</c:v>
              </c:pt>
            </c:numLit>
          </c:xVal>
          <c:yVal>
            <c:numLit>
              <c:formatCode>General</c:formatCode>
              <c:ptCount val="2"/>
              <c:pt idx="0">
                <c:v>2.5097166548278888E-2</c:v>
              </c:pt>
              <c:pt idx="1">
                <c:v>2.5275759400347982E-2</c:v>
              </c:pt>
            </c:numLit>
          </c:yVal>
          <c:smooth val="0"/>
          <c:extLst>
            <c:ext xmlns:c16="http://schemas.microsoft.com/office/drawing/2014/chart" uri="{C3380CC4-5D6E-409C-BE32-E72D297353CC}">
              <c16:uniqueId val="{0000006A-D994-475D-8D6A-2553892D8F00}"/>
            </c:ext>
          </c:extLst>
        </c:ser>
        <c:ser>
          <c:idx val="90"/>
          <c:order val="90"/>
          <c:spPr>
            <a:ln w="3175">
              <a:solidFill>
                <a:srgbClr val="000000"/>
              </a:solidFill>
              <a:prstDash val="solid"/>
            </a:ln>
          </c:spPr>
          <c:marker>
            <c:symbol val="none"/>
          </c:marker>
          <c:dLbls>
            <c:dLbl>
              <c:idx val="0"/>
              <c:tx>
                <c:rich>
                  <a:bodyPr rot="14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B-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-6.8505822788899158</c:v>
              </c:pt>
            </c:numLit>
          </c:xVal>
          <c:yVal>
            <c:numLit>
              <c:formatCode>General</c:formatCode>
              <c:ptCount val="1"/>
              <c:pt idx="0">
                <c:v>2.5603179629141326E-2</c:v>
              </c:pt>
            </c:numLit>
          </c:yVal>
          <c:smooth val="0"/>
          <c:extLst>
            <c:ext xmlns:c16="http://schemas.microsoft.com/office/drawing/2014/chart" uri="{C3380CC4-5D6E-409C-BE32-E72D297353CC}">
              <c16:uniqueId val="{0000006C-D994-475D-8D6A-2553892D8F00}"/>
            </c:ext>
          </c:extLst>
        </c:ser>
        <c:ser>
          <c:idx val="91"/>
          <c:order val="91"/>
          <c:spPr>
            <a:ln w="3175">
              <a:solidFill>
                <a:srgbClr val="000000"/>
              </a:solidFill>
              <a:prstDash val="solid"/>
            </a:ln>
          </c:spPr>
          <c:marker>
            <c:symbol val="none"/>
          </c:marker>
          <c:xVal>
            <c:numLit>
              <c:formatCode>General</c:formatCode>
              <c:ptCount val="2"/>
              <c:pt idx="0">
                <c:v>-5.358765163744196</c:v>
              </c:pt>
              <c:pt idx="1">
                <c:v>-5.6347815601101443</c:v>
              </c:pt>
            </c:numLit>
          </c:xVal>
          <c:yVal>
            <c:numLit>
              <c:formatCode>General</c:formatCode>
              <c:ptCount val="2"/>
              <c:pt idx="0">
                <c:v>2.4986997418511792E-2</c:v>
              </c:pt>
              <c:pt idx="1">
                <c:v>2.5073933077479904E-2</c:v>
              </c:pt>
            </c:numLit>
          </c:yVal>
          <c:smooth val="0"/>
          <c:extLst>
            <c:ext xmlns:c16="http://schemas.microsoft.com/office/drawing/2014/chart" uri="{C3380CC4-5D6E-409C-BE32-E72D297353CC}">
              <c16:uniqueId val="{0000006D-D994-475D-8D6A-2553892D8F00}"/>
            </c:ext>
          </c:extLst>
        </c:ser>
        <c:ser>
          <c:idx val="92"/>
          <c:order val="92"/>
          <c:spPr>
            <a:ln w="3175">
              <a:solidFill>
                <a:srgbClr val="000000"/>
              </a:solidFill>
              <a:prstDash val="solid"/>
            </a:ln>
          </c:spPr>
          <c:marker>
            <c:symbol val="none"/>
          </c:marker>
          <c:xVal>
            <c:numLit>
              <c:formatCode>General</c:formatCode>
              <c:ptCount val="2"/>
              <c:pt idx="0">
                <c:v>-5.4182881023183391</c:v>
              </c:pt>
              <c:pt idx="1">
                <c:v>-5.6955799902251618</c:v>
              </c:pt>
            </c:numLit>
          </c:xVal>
          <c:yVal>
            <c:numLit>
              <c:formatCode>General</c:formatCode>
              <c:ptCount val="2"/>
              <c:pt idx="0">
                <c:v>2.4882012699129402E-2</c:v>
              </c:pt>
              <c:pt idx="1">
                <c:v>2.4966698685539319E-2</c:v>
              </c:pt>
            </c:numLit>
          </c:yVal>
          <c:smooth val="0"/>
          <c:extLst>
            <c:ext xmlns:c16="http://schemas.microsoft.com/office/drawing/2014/chart" uri="{C3380CC4-5D6E-409C-BE32-E72D297353CC}">
              <c16:uniqueId val="{0000006E-D994-475D-8D6A-2553892D8F00}"/>
            </c:ext>
          </c:extLst>
        </c:ser>
        <c:ser>
          <c:idx val="93"/>
          <c:order val="93"/>
          <c:spPr>
            <a:ln w="3175">
              <a:solidFill>
                <a:srgbClr val="000000"/>
              </a:solidFill>
              <a:prstDash val="solid"/>
            </a:ln>
          </c:spPr>
          <c:marker>
            <c:symbol val="none"/>
          </c:marker>
          <c:xVal>
            <c:numLit>
              <c:formatCode>General</c:formatCode>
              <c:ptCount val="2"/>
              <c:pt idx="0">
                <c:v>-5.4733543909858673</c:v>
              </c:pt>
              <c:pt idx="1">
                <c:v>-5.7518262707927077</c:v>
              </c:pt>
            </c:numLit>
          </c:xVal>
          <c:yVal>
            <c:numLit>
              <c:formatCode>General</c:formatCode>
              <c:ptCount val="2"/>
              <c:pt idx="0">
                <c:v>2.4781893493615731E-2</c:v>
              </c:pt>
              <c:pt idx="1">
                <c:v>2.4864434068478925E-2</c:v>
              </c:pt>
            </c:numLit>
          </c:yVal>
          <c:smooth val="0"/>
          <c:extLst>
            <c:ext xmlns:c16="http://schemas.microsoft.com/office/drawing/2014/chart" uri="{C3380CC4-5D6E-409C-BE32-E72D297353CC}">
              <c16:uniqueId val="{0000006F-D994-475D-8D6A-2553892D8F00}"/>
            </c:ext>
          </c:extLst>
        </c:ser>
        <c:ser>
          <c:idx val="94"/>
          <c:order val="94"/>
          <c:spPr>
            <a:ln w="3175">
              <a:solidFill>
                <a:srgbClr val="000000"/>
              </a:solidFill>
              <a:prstDash val="solid"/>
            </a:ln>
          </c:spPr>
          <c:marker>
            <c:symbol val="none"/>
          </c:marker>
          <c:xVal>
            <c:numLit>
              <c:formatCode>General</c:formatCode>
              <c:ptCount val="2"/>
              <c:pt idx="0">
                <c:v>-5.5243817887928159</c:v>
              </c:pt>
              <c:pt idx="1">
                <c:v>-5.8039471128383777</c:v>
              </c:pt>
            </c:numLit>
          </c:xVal>
          <c:yVal>
            <c:numLit>
              <c:formatCode>General</c:formatCode>
              <c:ptCount val="2"/>
              <c:pt idx="0">
                <c:v>2.4686342323848191E-2</c:v>
              </c:pt>
              <c:pt idx="1">
                <c:v>2.4766835373644939E-2</c:v>
              </c:pt>
            </c:numLit>
          </c:yVal>
          <c:smooth val="0"/>
          <c:extLst>
            <c:ext xmlns:c16="http://schemas.microsoft.com/office/drawing/2014/chart" uri="{C3380CC4-5D6E-409C-BE32-E72D297353CC}">
              <c16:uniqueId val="{00000070-D994-475D-8D6A-2553892D8F00}"/>
            </c:ext>
          </c:extLst>
        </c:ser>
        <c:ser>
          <c:idx val="95"/>
          <c:order val="95"/>
          <c:spPr>
            <a:ln w="3175">
              <a:solidFill>
                <a:srgbClr val="000000"/>
              </a:solidFill>
              <a:prstDash val="solid"/>
            </a:ln>
          </c:spPr>
          <c:marker>
            <c:symbol val="none"/>
          </c:marker>
          <c:xVal>
            <c:numLit>
              <c:formatCode>General</c:formatCode>
              <c:ptCount val="2"/>
              <c:pt idx="0">
                <c:v>-5.571742163443429</c:v>
              </c:pt>
              <c:pt idx="1">
                <c:v>-5.8523223526600745</c:v>
              </c:pt>
            </c:numLit>
          </c:xVal>
          <c:yVal>
            <c:numLit>
              <c:formatCode>General</c:formatCode>
              <c:ptCount val="2"/>
              <c:pt idx="0">
                <c:v>2.4595081974519786E-2</c:v>
              </c:pt>
              <c:pt idx="1">
                <c:v>2.4673619445402351E-2</c:v>
              </c:pt>
            </c:numLit>
          </c:yVal>
          <c:smooth val="0"/>
          <c:extLst>
            <c:ext xmlns:c16="http://schemas.microsoft.com/office/drawing/2014/chart" uri="{C3380CC4-5D6E-409C-BE32-E72D297353CC}">
              <c16:uniqueId val="{00000071-D994-475D-8D6A-2553892D8F00}"/>
            </c:ext>
          </c:extLst>
        </c:ser>
        <c:ser>
          <c:idx val="96"/>
          <c:order val="96"/>
          <c:spPr>
            <a:ln w="3175">
              <a:solidFill>
                <a:srgbClr val="000000"/>
              </a:solidFill>
              <a:prstDash val="solid"/>
            </a:ln>
          </c:spPr>
          <c:marker>
            <c:symbol val="none"/>
          </c:marker>
          <c:dLbls>
            <c:dLbl>
              <c:idx val="0"/>
              <c:tx>
                <c:rich>
                  <a:bodyPr rot="12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2-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-7.1616965690044161</c:v>
              </c:pt>
            </c:numLit>
          </c:xVal>
          <c:yVal>
            <c:numLit>
              <c:formatCode>General</c:formatCode>
              <c:ptCount val="1"/>
              <c:pt idx="0">
                <c:v>2.5040127642854328E-2</c:v>
              </c:pt>
            </c:numLit>
          </c:yVal>
          <c:smooth val="0"/>
          <c:extLst>
            <c:ext xmlns:c16="http://schemas.microsoft.com/office/drawing/2014/chart" uri="{C3380CC4-5D6E-409C-BE32-E72D297353CC}">
              <c16:uniqueId val="{00000073-D994-475D-8D6A-2553892D8F00}"/>
            </c:ext>
          </c:extLst>
        </c:ser>
        <c:ser>
          <c:idx val="97"/>
          <c:order val="97"/>
          <c:spPr>
            <a:ln w="3175">
              <a:solidFill>
                <a:srgbClr val="000000"/>
              </a:solidFill>
              <a:prstDash val="solid"/>
            </a:ln>
          </c:spPr>
          <c:marker>
            <c:symbol val="none"/>
          </c:marker>
          <c:xVal>
            <c:numLit>
              <c:formatCode>General</c:formatCode>
              <c:ptCount val="2"/>
              <c:pt idx="0">
                <c:v>-5.6567529906365968</c:v>
              </c:pt>
              <c:pt idx="1">
                <c:v>-5.9391548404359531</c:v>
              </c:pt>
            </c:numLit>
          </c:xVal>
          <c:yVal>
            <c:numLit>
              <c:formatCode>General</c:formatCode>
              <c:ptCount val="2"/>
              <c:pt idx="0">
                <c:v>2.4424418953236802E-2</c:v>
              </c:pt>
              <c:pt idx="1">
                <c:v>2.4499299359377589E-2</c:v>
              </c:pt>
            </c:numLit>
          </c:yVal>
          <c:smooth val="0"/>
          <c:extLst>
            <c:ext xmlns:c16="http://schemas.microsoft.com/office/drawing/2014/chart" uri="{C3380CC4-5D6E-409C-BE32-E72D297353CC}">
              <c16:uniqueId val="{00000074-D994-475D-8D6A-2553892D8F00}"/>
            </c:ext>
          </c:extLst>
        </c:ser>
        <c:ser>
          <c:idx val="98"/>
          <c:order val="98"/>
          <c:spPr>
            <a:ln w="3175">
              <a:solidFill>
                <a:srgbClr val="000000"/>
              </a:solidFill>
              <a:prstDash val="solid"/>
            </a:ln>
          </c:spPr>
          <c:marker>
            <c:symbol val="none"/>
          </c:marker>
          <c:xVal>
            <c:numLit>
              <c:formatCode>General</c:formatCode>
              <c:ptCount val="2"/>
              <c:pt idx="0">
                <c:v>-5.7306406407761212</c:v>
              </c:pt>
              <c:pt idx="1">
                <c:v>-6.0146257973641815</c:v>
              </c:pt>
            </c:numLit>
          </c:xVal>
          <c:yVal>
            <c:numLit>
              <c:formatCode>General</c:formatCode>
              <c:ptCount val="2"/>
              <c:pt idx="0">
                <c:v>2.4268046190440859E-2</c:v>
              </c:pt>
              <c:pt idx="1">
                <c:v>2.433957575166459E-2</c:v>
              </c:pt>
            </c:numLit>
          </c:yVal>
          <c:smooth val="0"/>
          <c:extLst>
            <c:ext xmlns:c16="http://schemas.microsoft.com/office/drawing/2014/chart" uri="{C3380CC4-5D6E-409C-BE32-E72D297353CC}">
              <c16:uniqueId val="{00000075-D994-475D-8D6A-2553892D8F00}"/>
            </c:ext>
          </c:extLst>
        </c:ser>
        <c:ser>
          <c:idx val="99"/>
          <c:order val="99"/>
          <c:spPr>
            <a:ln w="3175">
              <a:solidFill>
                <a:srgbClr val="000000"/>
              </a:solidFill>
              <a:prstDash val="solid"/>
            </a:ln>
          </c:spPr>
          <c:marker>
            <c:symbol val="none"/>
          </c:marker>
          <c:xVal>
            <c:numLit>
              <c:formatCode>General</c:formatCode>
              <c:ptCount val="2"/>
              <c:pt idx="0">
                <c:v>-5.7952165720117108</c:v>
              </c:pt>
              <c:pt idx="1">
                <c:v>-6.0805854985548189</c:v>
              </c:pt>
            </c:numLit>
          </c:xVal>
          <c:yVal>
            <c:numLit>
              <c:formatCode>General</c:formatCode>
              <c:ptCount val="2"/>
              <c:pt idx="0">
                <c:v>2.4124353808164946E-2</c:v>
              </c:pt>
              <c:pt idx="1">
                <c:v>2.4192804246911337E-2</c:v>
              </c:pt>
            </c:numLit>
          </c:yVal>
          <c:smooth val="0"/>
          <c:extLst>
            <c:ext xmlns:c16="http://schemas.microsoft.com/office/drawing/2014/chart" uri="{C3380CC4-5D6E-409C-BE32-E72D297353CC}">
              <c16:uniqueId val="{00000076-D994-475D-8D6A-2553892D8F00}"/>
            </c:ext>
          </c:extLst>
        </c:ser>
        <c:ser>
          <c:idx val="100"/>
          <c:order val="100"/>
          <c:spPr>
            <a:ln w="3175">
              <a:solidFill>
                <a:srgbClr val="000000"/>
              </a:solidFill>
              <a:prstDash val="solid"/>
            </a:ln>
          </c:spPr>
          <c:marker>
            <c:symbol val="none"/>
          </c:marker>
          <c:xVal>
            <c:numLit>
              <c:formatCode>General</c:formatCode>
              <c:ptCount val="2"/>
              <c:pt idx="0">
                <c:v>-5.851947118469381</c:v>
              </c:pt>
              <c:pt idx="1">
                <c:v>-6.1385316995794392</c:v>
              </c:pt>
            </c:numLit>
          </c:xVal>
          <c:yVal>
            <c:numLit>
              <c:formatCode>General</c:formatCode>
              <c:ptCount val="2"/>
              <c:pt idx="0">
                <c:v>2.3991946017564908E-2</c:v>
              </c:pt>
              <c:pt idx="1">
                <c:v>2.4057559146512728E-2</c:v>
              </c:pt>
            </c:numLit>
          </c:yVal>
          <c:smooth val="0"/>
          <c:extLst>
            <c:ext xmlns:c16="http://schemas.microsoft.com/office/drawing/2014/chart" uri="{C3380CC4-5D6E-409C-BE32-E72D297353CC}">
              <c16:uniqueId val="{00000077-D994-475D-8D6A-2553892D8F00}"/>
            </c:ext>
          </c:extLst>
        </c:ser>
        <c:ser>
          <c:idx val="101"/>
          <c:order val="101"/>
          <c:spPr>
            <a:ln w="3175">
              <a:solidFill>
                <a:srgbClr val="000000"/>
              </a:solidFill>
              <a:prstDash val="solid"/>
            </a:ln>
          </c:spPr>
          <c:marker>
            <c:symbol val="none"/>
          </c:marker>
          <c:xVal>
            <c:numLit>
              <c:formatCode>General</c:formatCode>
              <c:ptCount val="2"/>
              <c:pt idx="0">
                <c:v>-5.9020274437754896</c:v>
              </c:pt>
              <c:pt idx="1">
                <c:v>-6.4773429056515814</c:v>
              </c:pt>
            </c:numLit>
          </c:xVal>
          <c:yVal>
            <c:numLit>
              <c:formatCode>General</c:formatCode>
              <c:ptCount val="2"/>
              <c:pt idx="0">
                <c:v>2.3869610711458024E-2</c:v>
              </c:pt>
              <c:pt idx="1">
                <c:v>2.3995594027663367E-2</c:v>
              </c:pt>
            </c:numLit>
          </c:yVal>
          <c:smooth val="0"/>
          <c:extLst>
            <c:ext xmlns:c16="http://schemas.microsoft.com/office/drawing/2014/chart" uri="{C3380CC4-5D6E-409C-BE32-E72D297353CC}">
              <c16:uniqueId val="{00000078-D994-475D-8D6A-2553892D8F00}"/>
            </c:ext>
          </c:extLst>
        </c:ser>
        <c:ser>
          <c:idx val="102"/>
          <c:order val="102"/>
          <c:spPr>
            <a:ln w="3175">
              <a:solidFill>
                <a:srgbClr val="000000"/>
              </a:solidFill>
              <a:prstDash val="solid"/>
            </a:ln>
          </c:spPr>
          <c:marker>
            <c:symbol val="none"/>
          </c:marker>
          <c:dLbls>
            <c:dLbl>
              <c:idx val="0"/>
              <c:tx>
                <c:rich>
                  <a:bodyPr rot="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9-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-7.5320879190910839</c:v>
              </c:pt>
            </c:numLit>
          </c:xVal>
          <c:yVal>
            <c:numLit>
              <c:formatCode>General</c:formatCode>
              <c:ptCount val="1"/>
              <c:pt idx="0">
                <c:v>2.4226563440706499E-2</c:v>
              </c:pt>
            </c:numLit>
          </c:yVal>
          <c:smooth val="0"/>
          <c:extLst>
            <c:ext xmlns:c16="http://schemas.microsoft.com/office/drawing/2014/chart" uri="{C3380CC4-5D6E-409C-BE32-E72D297353CC}">
              <c16:uniqueId val="{0000007A-D994-475D-8D6A-2553892D8F00}"/>
            </c:ext>
          </c:extLst>
        </c:ser>
        <c:ser>
          <c:idx val="103"/>
          <c:order val="103"/>
          <c:spPr>
            <a:ln w="3175">
              <a:solidFill>
                <a:srgbClr val="000000"/>
              </a:solidFill>
              <a:prstDash val="solid"/>
            </a:ln>
          </c:spPr>
          <c:marker>
            <c:symbol val="none"/>
          </c:marker>
          <c:xVal>
            <c:numLit>
              <c:formatCode>General</c:formatCode>
              <c:ptCount val="2"/>
              <c:pt idx="0">
                <c:v>-6.0041567309797621</c:v>
              </c:pt>
              <c:pt idx="1">
                <c:v>-6.2940029466436149</c:v>
              </c:pt>
            </c:numLit>
          </c:xVal>
          <c:yVal>
            <c:numLit>
              <c:formatCode>General</c:formatCode>
              <c:ptCount val="2"/>
              <c:pt idx="0">
                <c:v>2.3601243359121643E-2</c:v>
              </c:pt>
              <c:pt idx="1">
                <c:v>2.3658484288245678E-2</c:v>
              </c:pt>
            </c:numLit>
          </c:yVal>
          <c:smooth val="0"/>
          <c:extLst>
            <c:ext xmlns:c16="http://schemas.microsoft.com/office/drawing/2014/chart" uri="{C3380CC4-5D6E-409C-BE32-E72D297353CC}">
              <c16:uniqueId val="{0000007B-D994-475D-8D6A-2553892D8F00}"/>
            </c:ext>
          </c:extLst>
        </c:ser>
        <c:ser>
          <c:idx val="104"/>
          <c:order val="104"/>
          <c:spPr>
            <a:ln w="3175">
              <a:solidFill>
                <a:srgbClr val="000000"/>
              </a:solidFill>
              <a:prstDash val="solid"/>
            </a:ln>
          </c:spPr>
          <c:marker>
            <c:symbol val="none"/>
          </c:marker>
          <c:xVal>
            <c:numLit>
              <c:formatCode>General</c:formatCode>
              <c:ptCount val="2"/>
              <c:pt idx="0">
                <c:v>-6.0816762741522021</c:v>
              </c:pt>
              <c:pt idx="1">
                <c:v>-6.664690971615868</c:v>
              </c:pt>
            </c:numLit>
          </c:xVal>
          <c:yVal>
            <c:numLit>
              <c:formatCode>General</c:formatCode>
              <c:ptCount val="2"/>
              <c:pt idx="0">
                <c:v>2.3376424442580822E-2</c:v>
              </c:pt>
              <c:pt idx="1">
                <c:v>2.3481271204405716E-2</c:v>
              </c:pt>
            </c:numLit>
          </c:yVal>
          <c:smooth val="0"/>
          <c:extLst>
            <c:ext xmlns:c16="http://schemas.microsoft.com/office/drawing/2014/chart" uri="{C3380CC4-5D6E-409C-BE32-E72D297353CC}">
              <c16:uniqueId val="{0000007C-D994-475D-8D6A-2553892D8F00}"/>
            </c:ext>
          </c:extLst>
        </c:ser>
        <c:ser>
          <c:idx val="105"/>
          <c:order val="105"/>
          <c:spPr>
            <a:ln w="3175">
              <a:solidFill>
                <a:srgbClr val="000000"/>
              </a:solidFill>
              <a:prstDash val="solid"/>
            </a:ln>
          </c:spPr>
          <c:marker>
            <c:symbol val="none"/>
          </c:marker>
          <c:dLbls>
            <c:dLbl>
              <c:idx val="0"/>
              <c:tx>
                <c:rich>
                  <a:bodyPr rot="8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D-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-7.7335512502992545</c:v>
              </c:pt>
            </c:numLit>
          </c:xVal>
          <c:yVal>
            <c:numLit>
              <c:formatCode>General</c:formatCode>
              <c:ptCount val="1"/>
              <c:pt idx="0">
                <c:v>2.3673490267751351E-2</c:v>
              </c:pt>
            </c:numLit>
          </c:yVal>
          <c:smooth val="0"/>
          <c:extLst>
            <c:ext xmlns:c16="http://schemas.microsoft.com/office/drawing/2014/chart" uri="{C3380CC4-5D6E-409C-BE32-E72D297353CC}">
              <c16:uniqueId val="{0000007E-D994-475D-8D6A-2553892D8F00}"/>
            </c:ext>
          </c:extLst>
        </c:ser>
        <c:ser>
          <c:idx val="106"/>
          <c:order val="106"/>
          <c:spPr>
            <a:ln w="3175">
              <a:solidFill>
                <a:srgbClr val="000000"/>
              </a:solidFill>
              <a:prstDash val="solid"/>
            </a:ln>
          </c:spPr>
          <c:marker>
            <c:symbol val="none"/>
          </c:marker>
          <c:xVal>
            <c:numLit>
              <c:formatCode>General</c:formatCode>
              <c:ptCount val="2"/>
              <c:pt idx="0">
                <c:v>-6.1418165019856463</c:v>
              </c:pt>
              <c:pt idx="1">
                <c:v>-6.4346125698853394</c:v>
              </c:pt>
            </c:numLit>
          </c:xVal>
          <c:yVal>
            <c:numLit>
              <c:formatCode>General</c:formatCode>
              <c:ptCount val="2"/>
              <c:pt idx="0">
                <c:v>2.3185628388742628E-2</c:v>
              </c:pt>
              <c:pt idx="1">
                <c:v>2.3233963282787113E-2</c:v>
              </c:pt>
            </c:numLit>
          </c:yVal>
          <c:smooth val="0"/>
          <c:extLst>
            <c:ext xmlns:c16="http://schemas.microsoft.com/office/drawing/2014/chart" uri="{C3380CC4-5D6E-409C-BE32-E72D297353CC}">
              <c16:uniqueId val="{0000007F-D994-475D-8D6A-2553892D8F00}"/>
            </c:ext>
          </c:extLst>
        </c:ser>
        <c:ser>
          <c:idx val="107"/>
          <c:order val="107"/>
          <c:spPr>
            <a:ln w="3175">
              <a:solidFill>
                <a:srgbClr val="000000"/>
              </a:solidFill>
              <a:prstDash val="solid"/>
            </a:ln>
          </c:spPr>
          <c:marker>
            <c:symbol val="none"/>
          </c:marker>
          <c:xVal>
            <c:numLit>
              <c:formatCode>General</c:formatCode>
              <c:ptCount val="2"/>
              <c:pt idx="0">
                <c:v>-6.1893611787955249</c:v>
              </c:pt>
              <c:pt idx="1">
                <c:v>-6.7769909436010467</c:v>
              </c:pt>
            </c:numLit>
          </c:xVal>
          <c:yVal>
            <c:numLit>
              <c:formatCode>General</c:formatCode>
              <c:ptCount val="2"/>
              <c:pt idx="0">
                <c:v>2.3021845518026735E-2</c:v>
              </c:pt>
              <c:pt idx="1">
                <c:v>2.3111496040227882E-2</c:v>
              </c:pt>
            </c:numLit>
          </c:yVal>
          <c:smooth val="0"/>
          <c:extLst>
            <c:ext xmlns:c16="http://schemas.microsoft.com/office/drawing/2014/chart" uri="{C3380CC4-5D6E-409C-BE32-E72D297353CC}">
              <c16:uniqueId val="{00000080-D994-475D-8D6A-2553892D8F00}"/>
            </c:ext>
          </c:extLst>
        </c:ser>
        <c:ser>
          <c:idx val="108"/>
          <c:order val="108"/>
          <c:spPr>
            <a:ln w="3175">
              <a:solidFill>
                <a:srgbClr val="000000"/>
              </a:solidFill>
              <a:prstDash val="solid"/>
            </a:ln>
          </c:spPr>
          <c:marker>
            <c:symbol val="none"/>
          </c:marker>
          <c:dLbls>
            <c:dLbl>
              <c:idx val="0"/>
              <c:tx>
                <c:rich>
                  <a:bodyPr rot="7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1-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-7.8543121790778381</c:v>
              </c:pt>
            </c:numLit>
          </c:xVal>
          <c:yVal>
            <c:numLit>
              <c:formatCode>General</c:formatCode>
              <c:ptCount val="1"/>
              <c:pt idx="0">
                <c:v>2.3275855330929983E-2</c:v>
              </c:pt>
            </c:numLit>
          </c:yVal>
          <c:smooth val="0"/>
          <c:extLst>
            <c:ext xmlns:c16="http://schemas.microsoft.com/office/drawing/2014/chart" uri="{C3380CC4-5D6E-409C-BE32-E72D297353CC}">
              <c16:uniqueId val="{00000082-D994-475D-8D6A-2553892D8F00}"/>
            </c:ext>
          </c:extLst>
        </c:ser>
        <c:ser>
          <c:idx val="109"/>
          <c:order val="109"/>
          <c:spPr>
            <a:ln w="3175">
              <a:solidFill>
                <a:srgbClr val="000000"/>
              </a:solidFill>
              <a:prstDash val="solid"/>
            </a:ln>
          </c:spPr>
          <c:marker>
            <c:symbol val="none"/>
          </c:marker>
          <c:xVal>
            <c:numLit>
              <c:formatCode>General</c:formatCode>
              <c:ptCount val="2"/>
              <c:pt idx="0">
                <c:v>-6.2275685419443816</c:v>
              </c:pt>
              <c:pt idx="1">
                <c:v>-6.5222021535574761</c:v>
              </c:pt>
            </c:numLit>
          </c:xVal>
          <c:yVal>
            <c:numLit>
              <c:formatCode>General</c:formatCode>
              <c:ptCount val="2"/>
              <c:pt idx="0">
                <c:v>2.2879826043585575E-2</c:v>
              </c:pt>
              <c:pt idx="1">
                <c:v>2.2921608030233839E-2</c:v>
              </c:pt>
            </c:numLit>
          </c:yVal>
          <c:smooth val="0"/>
          <c:extLst>
            <c:ext xmlns:c16="http://schemas.microsoft.com/office/drawing/2014/chart" uri="{C3380CC4-5D6E-409C-BE32-E72D297353CC}">
              <c16:uniqueId val="{00000083-D994-475D-8D6A-2553892D8F00}"/>
            </c:ext>
          </c:extLst>
        </c:ser>
        <c:ser>
          <c:idx val="110"/>
          <c:order val="110"/>
          <c:spPr>
            <a:ln w="3175">
              <a:solidFill>
                <a:srgbClr val="000000"/>
              </a:solidFill>
              <a:prstDash val="solid"/>
            </a:ln>
          </c:spPr>
          <c:marker>
            <c:symbol val="none"/>
          </c:marker>
          <c:xVal>
            <c:numLit>
              <c:formatCode>General</c:formatCode>
              <c:ptCount val="2"/>
              <c:pt idx="0">
                <c:v>-6.2587153367755777</c:v>
              </c:pt>
              <c:pt idx="1">
                <c:v>-6.8493174226373874</c:v>
              </c:pt>
            </c:numLit>
          </c:xVal>
          <c:yVal>
            <c:numLit>
              <c:formatCode>General</c:formatCode>
              <c:ptCount val="2"/>
              <c:pt idx="0">
                <c:v>2.2755572771766694E-2</c:v>
              </c:pt>
              <c:pt idx="1">
                <c:v>2.2833811604842408E-2</c:v>
              </c:pt>
            </c:numLit>
          </c:yVal>
          <c:smooth val="0"/>
          <c:extLst>
            <c:ext xmlns:c16="http://schemas.microsoft.com/office/drawing/2014/chart" uri="{C3380CC4-5D6E-409C-BE32-E72D297353CC}">
              <c16:uniqueId val="{00000084-D994-475D-8D6A-2553892D8F00}"/>
            </c:ext>
          </c:extLst>
        </c:ser>
        <c:ser>
          <c:idx val="111"/>
          <c:order val="111"/>
          <c:spPr>
            <a:ln w="3175">
              <a:solidFill>
                <a:srgbClr val="000000"/>
              </a:solidFill>
              <a:prstDash val="solid"/>
            </a:ln>
          </c:spPr>
          <c:marker>
            <c:symbol val="none"/>
          </c:marker>
          <c:dLbls>
            <c:dLbl>
              <c:idx val="0"/>
              <c:tx>
                <c:rich>
                  <a:bodyPr rot="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5-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-7.9320879133840396</c:v>
              </c:pt>
            </c:numLit>
          </c:xVal>
          <c:yVal>
            <c:numLit>
              <c:formatCode>General</c:formatCode>
              <c:ptCount val="1"/>
              <c:pt idx="0">
                <c:v>2.2977249465481218E-2</c:v>
              </c:pt>
            </c:numLit>
          </c:yVal>
          <c:smooth val="0"/>
          <c:extLst>
            <c:ext xmlns:c16="http://schemas.microsoft.com/office/drawing/2014/chart" uri="{C3380CC4-5D6E-409C-BE32-E72D297353CC}">
              <c16:uniqueId val="{00000086-D994-475D-8D6A-2553892D8F00}"/>
            </c:ext>
          </c:extLst>
        </c:ser>
        <c:ser>
          <c:idx val="112"/>
          <c:order val="112"/>
          <c:spPr>
            <a:ln w="3175">
              <a:solidFill>
                <a:srgbClr val="000000"/>
              </a:solidFill>
              <a:prstDash val="solid"/>
            </a:ln>
          </c:spPr>
          <c:marker>
            <c:symbol val="none"/>
          </c:marker>
          <c:xVal>
            <c:numLit>
              <c:formatCode>General</c:formatCode>
              <c:ptCount val="2"/>
              <c:pt idx="0">
                <c:v>-6.3058961870318369</c:v>
              </c:pt>
              <c:pt idx="1">
                <c:v>-6.6022082481825199</c:v>
              </c:pt>
            </c:numLit>
          </c:xVal>
          <c:yVal>
            <c:numLit>
              <c:formatCode>General</c:formatCode>
              <c:ptCount val="2"/>
              <c:pt idx="0">
                <c:v>2.2548671580655582E-2</c:v>
              </c:pt>
              <c:pt idx="1">
                <c:v>2.2583357400241057E-2</c:v>
              </c:pt>
            </c:numLit>
          </c:yVal>
          <c:smooth val="0"/>
          <c:extLst>
            <c:ext xmlns:c16="http://schemas.microsoft.com/office/drawing/2014/chart" uri="{C3380CC4-5D6E-409C-BE32-E72D297353CC}">
              <c16:uniqueId val="{00000087-D994-475D-8D6A-2553892D8F00}"/>
            </c:ext>
          </c:extLst>
        </c:ser>
        <c:ser>
          <c:idx val="113"/>
          <c:order val="113"/>
          <c:spPr>
            <a:ln w="3175">
              <a:solidFill>
                <a:srgbClr val="000000"/>
              </a:solidFill>
              <a:prstDash val="solid"/>
            </a:ln>
          </c:spPr>
          <c:marker>
            <c:symbol val="none"/>
          </c:marker>
          <c:xVal>
            <c:numLit>
              <c:formatCode>General</c:formatCode>
              <c:ptCount val="2"/>
              <c:pt idx="0">
                <c:v>-6.3394006467143074</c:v>
              </c:pt>
              <c:pt idx="1">
                <c:v>-6.6364306605724712</c:v>
              </c:pt>
            </c:numLit>
          </c:xVal>
          <c:yVal>
            <c:numLit>
              <c:formatCode>General</c:formatCode>
              <c:ptCount val="2"/>
              <c:pt idx="0">
                <c:v>2.2383467693411988E-2</c:v>
              </c:pt>
              <c:pt idx="1">
                <c:v>2.2414613429699387E-2</c:v>
              </c:pt>
            </c:numLit>
          </c:yVal>
          <c:smooth val="0"/>
          <c:extLst>
            <c:ext xmlns:c16="http://schemas.microsoft.com/office/drawing/2014/chart" uri="{C3380CC4-5D6E-409C-BE32-E72D297353CC}">
              <c16:uniqueId val="{00000088-D994-475D-8D6A-2553892D8F00}"/>
            </c:ext>
          </c:extLst>
        </c:ser>
        <c:ser>
          <c:idx val="114"/>
          <c:order val="114"/>
          <c:spPr>
            <a:ln w="3175">
              <a:solidFill>
                <a:srgbClr val="000000"/>
              </a:solidFill>
              <a:prstDash val="solid"/>
            </a:ln>
          </c:spPr>
          <c:marker>
            <c:symbol val="none"/>
          </c:marker>
          <c:xVal>
            <c:numLit>
              <c:formatCode>General</c:formatCode>
              <c:ptCount val="2"/>
              <c:pt idx="0">
                <c:v>-6.3640278309235088</c:v>
              </c:pt>
              <c:pt idx="1">
                <c:v>-6.6615855701575848</c:v>
              </c:pt>
            </c:numLit>
          </c:xVal>
          <c:yVal>
            <c:numLit>
              <c:formatCode>General</c:formatCode>
              <c:ptCount val="2"/>
              <c:pt idx="0">
                <c:v>2.2248609023778468E-2</c:v>
              </c:pt>
              <c:pt idx="1">
                <c:v>2.2276864931430863E-2</c:v>
              </c:pt>
            </c:numLit>
          </c:yVal>
          <c:smooth val="0"/>
          <c:extLst>
            <c:ext xmlns:c16="http://schemas.microsoft.com/office/drawing/2014/chart" uri="{C3380CC4-5D6E-409C-BE32-E72D297353CC}">
              <c16:uniqueId val="{00000089-D994-475D-8D6A-2553892D8F00}"/>
            </c:ext>
          </c:extLst>
        </c:ser>
        <c:ser>
          <c:idx val="115"/>
          <c:order val="115"/>
          <c:spPr>
            <a:ln w="3175">
              <a:solidFill>
                <a:srgbClr val="000000"/>
              </a:solidFill>
              <a:prstDash val="solid"/>
            </a:ln>
          </c:spPr>
          <c:marker>
            <c:symbol val="none"/>
          </c:marker>
          <c:xVal>
            <c:numLit>
              <c:formatCode>General</c:formatCode>
              <c:ptCount val="2"/>
              <c:pt idx="0">
                <c:v>-6.382648783342864</c:v>
              </c:pt>
              <c:pt idx="1">
                <c:v>-6.6806055429859255</c:v>
              </c:pt>
            </c:numLit>
          </c:xVal>
          <c:yVal>
            <c:numLit>
              <c:formatCode>General</c:formatCode>
              <c:ptCount val="2"/>
              <c:pt idx="0">
                <c:v>2.2136492726931425E-2</c:v>
              </c:pt>
              <c:pt idx="1">
                <c:v>2.2162346142508529E-2</c:v>
              </c:pt>
            </c:numLit>
          </c:yVal>
          <c:smooth val="0"/>
          <c:extLst>
            <c:ext xmlns:c16="http://schemas.microsoft.com/office/drawing/2014/chart" uri="{C3380CC4-5D6E-409C-BE32-E72D297353CC}">
              <c16:uniqueId val="{0000008A-D994-475D-8D6A-2553892D8F00}"/>
            </c:ext>
          </c:extLst>
        </c:ser>
        <c:ser>
          <c:idx val="116"/>
          <c:order val="116"/>
          <c:spPr>
            <a:ln w="3175">
              <a:solidFill>
                <a:srgbClr val="000000"/>
              </a:solidFill>
              <a:prstDash val="solid"/>
            </a:ln>
          </c:spPr>
          <c:marker>
            <c:symbol val="none"/>
          </c:marker>
          <c:xVal>
            <c:numLit>
              <c:formatCode>General</c:formatCode>
              <c:ptCount val="2"/>
              <c:pt idx="0">
                <c:v>-6.3970641036563771</c:v>
              </c:pt>
              <c:pt idx="1">
                <c:v>-6.9935954223845069</c:v>
              </c:pt>
            </c:numLit>
          </c:xVal>
          <c:yVal>
            <c:numLit>
              <c:formatCode>General</c:formatCode>
              <c:ptCount val="2"/>
              <c:pt idx="0">
                <c:v>2.2041845203134694E-2</c:v>
              </c:pt>
              <c:pt idx="1">
                <c:v>2.2089495711840466E-2</c:v>
              </c:pt>
            </c:numLit>
          </c:yVal>
          <c:smooth val="0"/>
          <c:extLst>
            <c:ext xmlns:c16="http://schemas.microsoft.com/office/drawing/2014/chart" uri="{C3380CC4-5D6E-409C-BE32-E72D297353CC}">
              <c16:uniqueId val="{0000008B-D994-475D-8D6A-2553892D8F00}"/>
            </c:ext>
          </c:extLst>
        </c:ser>
        <c:ser>
          <c:idx val="117"/>
          <c:order val="117"/>
          <c:spPr>
            <a:ln w="3175">
              <a:solidFill>
                <a:srgbClr val="000000"/>
              </a:solidFill>
              <a:prstDash val="solid"/>
            </a:ln>
          </c:spPr>
          <c:marker>
            <c:symbol val="none"/>
          </c:marker>
          <c:dLbls>
            <c:dLbl>
              <c:idx val="0"/>
              <c:tx>
                <c:rich>
                  <a:bodyPr rot="3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C-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-8.0872361733860796</c:v>
              </c:pt>
            </c:numLit>
          </c:xVal>
          <c:yVal>
            <c:numLit>
              <c:formatCode>General</c:formatCode>
              <c:ptCount val="1"/>
              <c:pt idx="0">
                <c:v>2.2176854977801051E-2</c:v>
              </c:pt>
            </c:numLit>
          </c:yVal>
          <c:smooth val="0"/>
          <c:extLst>
            <c:ext xmlns:c16="http://schemas.microsoft.com/office/drawing/2014/chart" uri="{C3380CC4-5D6E-409C-BE32-E72D297353CC}">
              <c16:uniqueId val="{0000008D-D994-475D-8D6A-2553892D8F00}"/>
            </c:ext>
          </c:extLst>
        </c:ser>
        <c:ser>
          <c:idx val="118"/>
          <c:order val="118"/>
          <c:spPr>
            <a:ln w="3175">
              <a:solidFill>
                <a:srgbClr val="000000"/>
              </a:solidFill>
              <a:prstDash val="solid"/>
            </a:ln>
          </c:spPr>
          <c:marker>
            <c:symbol val="none"/>
          </c:marker>
          <c:xVal>
            <c:numLit>
              <c:formatCode>General</c:formatCode>
              <c:ptCount val="2"/>
              <c:pt idx="0">
                <c:v>-6.436353647558132</c:v>
              </c:pt>
              <c:pt idx="1">
                <c:v>-6.7354612257200923</c:v>
              </c:pt>
            </c:numLit>
          </c:xVal>
          <c:yVal>
            <c:numLit>
              <c:formatCode>General</c:formatCode>
              <c:ptCount val="2"/>
              <c:pt idx="0">
                <c:v>2.172811889106761E-2</c:v>
              </c:pt>
              <c:pt idx="1">
                <c:v>2.1745221438733343E-2</c:v>
              </c:pt>
            </c:numLit>
          </c:yVal>
          <c:smooth val="0"/>
          <c:extLst>
            <c:ext xmlns:c16="http://schemas.microsoft.com/office/drawing/2014/chart" uri="{C3380CC4-5D6E-409C-BE32-E72D297353CC}">
              <c16:uniqueId val="{0000008E-D994-475D-8D6A-2553892D8F00}"/>
            </c:ext>
          </c:extLst>
        </c:ser>
        <c:ser>
          <c:idx val="119"/>
          <c:order val="119"/>
          <c:spPr>
            <a:ln w="3175">
              <a:solidFill>
                <a:srgbClr val="000000"/>
              </a:solidFill>
              <a:prstDash val="solid"/>
            </a:ln>
          </c:spPr>
          <c:marker>
            <c:symbol val="none"/>
          </c:marker>
          <c:xVal>
            <c:numLit>
              <c:formatCode>General</c:formatCode>
              <c:ptCount val="2"/>
              <c:pt idx="0">
                <c:v>-6.4527022004217862</c:v>
              </c:pt>
              <c:pt idx="1">
                <c:v>-7.0516180090112908</c:v>
              </c:pt>
            </c:numLit>
          </c:xVal>
          <c:yVal>
            <c:numLit>
              <c:formatCode>General</c:formatCode>
              <c:ptCount val="2"/>
              <c:pt idx="0">
                <c:v>2.1552224945278583E-2</c:v>
              </c:pt>
              <c:pt idx="1">
                <c:v>2.1578891728647666E-2</c:v>
              </c:pt>
            </c:numLit>
          </c:yVal>
          <c:smooth val="0"/>
          <c:extLst>
            <c:ext xmlns:c16="http://schemas.microsoft.com/office/drawing/2014/chart" uri="{C3380CC4-5D6E-409C-BE32-E72D297353CC}">
              <c16:uniqueId val="{0000008F-D994-475D-8D6A-2553892D8F00}"/>
            </c:ext>
          </c:extLst>
        </c:ser>
        <c:ser>
          <c:idx val="120"/>
          <c:order val="120"/>
          <c:spPr>
            <a:ln w="3175">
              <a:solidFill>
                <a:srgbClr val="000000"/>
              </a:solidFill>
              <a:prstDash val="solid"/>
            </a:ln>
          </c:spPr>
          <c:marker>
            <c:symbol val="none"/>
          </c:marker>
          <c:dLbls>
            <c:dLbl>
              <c:idx val="0"/>
              <c:tx>
                <c:rich>
                  <a:bodyPr rot="1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0-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-8.1496303247587161</c:v>
              </c:pt>
            </c:numLit>
          </c:xVal>
          <c:yVal>
            <c:numLit>
              <c:formatCode>General</c:formatCode>
              <c:ptCount val="1"/>
              <c:pt idx="0">
                <c:v>2.1627780831490983E-2</c:v>
              </c:pt>
            </c:numLit>
          </c:yVal>
          <c:smooth val="0"/>
          <c:extLst>
            <c:ext xmlns:c16="http://schemas.microsoft.com/office/drawing/2014/chart" uri="{C3380CC4-5D6E-409C-BE32-E72D297353CC}">
              <c16:uniqueId val="{00000091-D994-475D-8D6A-2553892D8F00}"/>
            </c:ext>
          </c:extLst>
        </c:ser>
        <c:ser>
          <c:idx val="121"/>
          <c:order val="121"/>
          <c:spPr>
            <a:ln w="3175">
              <a:solidFill>
                <a:srgbClr val="000000"/>
              </a:solidFill>
              <a:prstDash val="solid"/>
            </a:ln>
          </c:spPr>
          <c:marker>
            <c:symbol val="none"/>
          </c:marker>
          <c:xVal>
            <c:numLit>
              <c:formatCode>General</c:formatCode>
              <c:ptCount val="2"/>
              <c:pt idx="0">
                <c:v>-6.4658267837767367</c:v>
              </c:pt>
              <c:pt idx="1">
                <c:v>-6.7655659291433814</c:v>
              </c:pt>
            </c:numLit>
          </c:xVal>
          <c:yVal>
            <c:numLit>
              <c:formatCode>General</c:formatCode>
              <c:ptCount val="2"/>
              <c:pt idx="0">
                <c:v>2.1361728347072451E-2</c:v>
              </c:pt>
              <c:pt idx="1">
                <c:v>2.1370979668795431E-2</c:v>
              </c:pt>
            </c:numLit>
          </c:yVal>
          <c:smooth val="0"/>
          <c:extLst>
            <c:ext xmlns:c16="http://schemas.microsoft.com/office/drawing/2014/chart" uri="{C3380CC4-5D6E-409C-BE32-E72D297353CC}">
              <c16:uniqueId val="{00000092-D994-475D-8D6A-2553892D8F00}"/>
            </c:ext>
          </c:extLst>
        </c:ser>
        <c:ser>
          <c:idx val="122"/>
          <c:order val="122"/>
          <c:spPr>
            <a:ln w="3175">
              <a:solidFill>
                <a:srgbClr val="000000"/>
              </a:solidFill>
              <a:prstDash val="solid"/>
            </a:ln>
          </c:spPr>
          <c:marker>
            <c:symbol val="none"/>
          </c:marker>
          <c:xVal>
            <c:numLit>
              <c:formatCode>General</c:formatCode>
              <c:ptCount val="2"/>
              <c:pt idx="0">
                <c:v>-6.4708678812703511</c:v>
              </c:pt>
              <c:pt idx="1">
                <c:v>-7.07056221903908</c:v>
              </c:pt>
            </c:numLit>
          </c:xVal>
          <c:yVal>
            <c:numLit>
              <c:formatCode>General</c:formatCode>
              <c:ptCount val="2"/>
              <c:pt idx="0">
                <c:v>2.1260488451156453E-2</c:v>
              </c:pt>
              <c:pt idx="1">
                <c:v>2.1274652241920301E-2</c:v>
              </c:pt>
            </c:numLit>
          </c:yVal>
          <c:smooth val="0"/>
          <c:extLst>
            <c:ext xmlns:c16="http://schemas.microsoft.com/office/drawing/2014/chart" uri="{C3380CC4-5D6E-409C-BE32-E72D297353CC}">
              <c16:uniqueId val="{00000093-D994-475D-8D6A-2553892D8F00}"/>
            </c:ext>
          </c:extLst>
        </c:ser>
        <c:ser>
          <c:idx val="123"/>
          <c:order val="123"/>
          <c:spPr>
            <a:ln w="3175">
              <a:solidFill>
                <a:srgbClr val="000000"/>
              </a:solidFill>
              <a:prstDash val="solid"/>
            </a:ln>
          </c:spPr>
          <c:marker>
            <c:symbol val="none"/>
          </c:marker>
          <c:dLbls>
            <c:dLbl>
              <c:idx val="0"/>
              <c:tx>
                <c:rich>
                  <a:bodyPr rot="12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-40000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4-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-8.1700018382817508</c:v>
              </c:pt>
            </c:numLit>
          </c:xVal>
          <c:yVal>
            <c:numLit>
              <c:formatCode>General</c:formatCode>
              <c:ptCount val="1"/>
              <c:pt idx="0">
                <c:v>2.1300619191654022E-2</c:v>
              </c:pt>
            </c:numLit>
          </c:yVal>
          <c:smooth val="0"/>
          <c:extLst>
            <c:ext xmlns:c16="http://schemas.microsoft.com/office/drawing/2014/chart" uri="{C3380CC4-5D6E-409C-BE32-E72D297353CC}">
              <c16:uniqueId val="{00000095-D994-475D-8D6A-2553892D8F00}"/>
            </c:ext>
          </c:extLst>
        </c:ser>
        <c:ser>
          <c:idx val="124"/>
          <c:order val="124"/>
          <c:spPr>
            <a:ln w="3175">
              <a:solidFill>
                <a:srgbClr val="000000"/>
              </a:solidFill>
              <a:prstDash val="solid"/>
            </a:ln>
          </c:spPr>
          <c:marker>
            <c:symbol val="none"/>
          </c:marker>
          <c:xVal>
            <c:numLit>
              <c:formatCode>General</c:formatCode>
              <c:ptCount val="2"/>
              <c:pt idx="0">
                <c:v>-6.4780000000000006</c:v>
              </c:pt>
              <c:pt idx="1">
                <c:v>-7.0780000000000003</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96-D994-475D-8D6A-2553892D8F00}"/>
            </c:ext>
          </c:extLst>
        </c:ser>
        <c:ser>
          <c:idx val="125"/>
          <c:order val="125"/>
          <c:spPr>
            <a:ln w="3175">
              <a:solidFill>
                <a:srgbClr val="000000"/>
              </a:solidFill>
              <a:prstDash val="solid"/>
            </a:ln>
          </c:spPr>
          <c:marker>
            <c:symbol val="none"/>
          </c:marker>
          <c:dLbls>
            <c:dLbl>
              <c:idx val="0"/>
              <c:tx>
                <c:rich>
                  <a:bodyPr rot="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7-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-8.1780000000000008</c:v>
              </c:pt>
            </c:numLit>
          </c:xVal>
          <c:yVal>
            <c:numLit>
              <c:formatCode>General</c:formatCode>
              <c:ptCount val="1"/>
              <c:pt idx="0">
                <c:v>2.0930000000000001E-2</c:v>
              </c:pt>
            </c:numLit>
          </c:yVal>
          <c:smooth val="0"/>
          <c:extLst>
            <c:ext xmlns:c16="http://schemas.microsoft.com/office/drawing/2014/chart" uri="{C3380CC4-5D6E-409C-BE32-E72D297353CC}">
              <c16:uniqueId val="{00000098-D994-475D-8D6A-2553892D8F00}"/>
            </c:ext>
          </c:extLst>
        </c:ser>
        <c:ser>
          <c:idx val="126"/>
          <c:order val="126"/>
          <c:spPr>
            <a:ln w="3175">
              <a:solidFill>
                <a:srgbClr val="000000"/>
              </a:solidFill>
              <a:prstDash val="solid"/>
            </a:ln>
          </c:spPr>
          <c:marker>
            <c:symbol val="none"/>
          </c:marker>
          <c:xVal>
            <c:numLit>
              <c:formatCode>General</c:formatCode>
              <c:ptCount val="2"/>
              <c:pt idx="0">
                <c:v>-6.4687544134534143</c:v>
              </c:pt>
              <c:pt idx="1">
                <c:v>-7.0683581740299886</c:v>
              </c:pt>
            </c:numLit>
          </c:xVal>
          <c:yVal>
            <c:numLit>
              <c:formatCode>General</c:formatCode>
              <c:ptCount val="2"/>
              <c:pt idx="0">
                <c:v>2.0553731515266696E-2</c:v>
              </c:pt>
              <c:pt idx="1">
                <c:v>2.0537605723063838E-2</c:v>
              </c:pt>
            </c:numLit>
          </c:yVal>
          <c:smooth val="0"/>
          <c:extLst>
            <c:ext xmlns:c16="http://schemas.microsoft.com/office/drawing/2014/chart" uri="{C3380CC4-5D6E-409C-BE32-E72D297353CC}">
              <c16:uniqueId val="{00000099-D994-475D-8D6A-2553892D8F00}"/>
            </c:ext>
          </c:extLst>
        </c:ser>
        <c:ser>
          <c:idx val="127"/>
          <c:order val="127"/>
          <c:spPr>
            <a:ln w="3175">
              <a:solidFill>
                <a:srgbClr val="000000"/>
              </a:solidFill>
              <a:prstDash val="solid"/>
            </a:ln>
          </c:spPr>
          <c:marker>
            <c:symbol val="none"/>
          </c:marker>
          <c:dLbls>
            <c:dLbl>
              <c:idx val="0"/>
              <c:tx>
                <c:rich>
                  <a:bodyPr rot="-12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40000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A-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-8.167631735087042</c:v>
              </c:pt>
            </c:numLit>
          </c:xVal>
          <c:yVal>
            <c:numLit>
              <c:formatCode>General</c:formatCode>
              <c:ptCount val="1"/>
              <c:pt idx="0">
                <c:v>2.0508041770691935E-2</c:v>
              </c:pt>
            </c:numLit>
          </c:yVal>
          <c:smooth val="0"/>
          <c:extLst>
            <c:ext xmlns:c16="http://schemas.microsoft.com/office/drawing/2014/chart" uri="{C3380CC4-5D6E-409C-BE32-E72D297353CC}">
              <c16:uniqueId val="{0000009B-D994-475D-8D6A-2553892D8F00}"/>
            </c:ext>
          </c:extLst>
        </c:ser>
        <c:ser>
          <c:idx val="128"/>
          <c:order val="128"/>
          <c:spPr>
            <a:ln w="3175">
              <a:solidFill>
                <a:srgbClr val="000000"/>
              </a:solidFill>
              <a:prstDash val="solid"/>
            </a:ln>
          </c:spPr>
          <c:marker>
            <c:symbol val="none"/>
          </c:marker>
          <c:xVal>
            <c:numLit>
              <c:formatCode>General</c:formatCode>
              <c:ptCount val="2"/>
              <c:pt idx="0">
                <c:v>-6.4607910353144655</c:v>
              </c:pt>
              <c:pt idx="1">
                <c:v>-6.7604222717854903</c:v>
              </c:pt>
            </c:numLit>
          </c:xVal>
          <c:yVal>
            <c:numLit>
              <c:formatCode>General</c:formatCode>
              <c:ptCount val="2"/>
              <c:pt idx="0">
                <c:v>2.0416729629222568E-2</c:v>
              </c:pt>
              <c:pt idx="1">
                <c:v>2.0405730978420196E-2</c:v>
              </c:pt>
            </c:numLit>
          </c:yVal>
          <c:smooth val="0"/>
          <c:extLst>
            <c:ext xmlns:c16="http://schemas.microsoft.com/office/drawing/2014/chart" uri="{C3380CC4-5D6E-409C-BE32-E72D297353CC}">
              <c16:uniqueId val="{0000009C-D994-475D-8D6A-2553892D8F00}"/>
            </c:ext>
          </c:extLst>
        </c:ser>
        <c:ser>
          <c:idx val="129"/>
          <c:order val="129"/>
          <c:spPr>
            <a:ln w="3175">
              <a:solidFill>
                <a:srgbClr val="000000"/>
              </a:solidFill>
              <a:prstDash val="solid"/>
            </a:ln>
          </c:spPr>
          <c:marker>
            <c:symbol val="none"/>
          </c:marker>
          <c:xVal>
            <c:numLit>
              <c:formatCode>General</c:formatCode>
              <c:ptCount val="2"/>
              <c:pt idx="0">
                <c:v>-6.4354532742589932</c:v>
              </c:pt>
              <c:pt idx="1">
                <c:v>-7.0336298431558069</c:v>
              </c:pt>
            </c:numLit>
          </c:xVal>
          <c:yVal>
            <c:numLit>
              <c:formatCode>General</c:formatCode>
              <c:ptCount val="2"/>
              <c:pt idx="0">
                <c:v>2.0123312766063169E-2</c:v>
              </c:pt>
              <c:pt idx="1">
                <c:v>2.0088740456037306E-2</c:v>
              </c:pt>
            </c:numLit>
          </c:yVal>
          <c:smooth val="0"/>
          <c:extLst>
            <c:ext xmlns:c16="http://schemas.microsoft.com/office/drawing/2014/chart" uri="{C3380CC4-5D6E-409C-BE32-E72D297353CC}">
              <c16:uniqueId val="{0000009D-D994-475D-8D6A-2553892D8F00}"/>
            </c:ext>
          </c:extLst>
        </c:ser>
        <c:ser>
          <c:idx val="130"/>
          <c:order val="130"/>
          <c:spPr>
            <a:ln w="3175">
              <a:solidFill>
                <a:srgbClr val="000000"/>
              </a:solidFill>
              <a:prstDash val="solid"/>
            </a:ln>
          </c:spPr>
          <c:marker>
            <c:symbol val="none"/>
          </c:marker>
          <c:dLbls>
            <c:dLbl>
              <c:idx val="0"/>
              <c:tx>
                <c:rich>
                  <a:bodyPr rot="-24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20000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E-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-8.1302868861332982</c:v>
              </c:pt>
            </c:numLit>
          </c:xVal>
          <c:yVal>
            <c:numLit>
              <c:formatCode>General</c:formatCode>
              <c:ptCount val="1"/>
              <c:pt idx="0">
                <c:v>2.0025357887656553E-2</c:v>
              </c:pt>
            </c:numLit>
          </c:yVal>
          <c:smooth val="0"/>
          <c:extLst>
            <c:ext xmlns:c16="http://schemas.microsoft.com/office/drawing/2014/chart" uri="{C3380CC4-5D6E-409C-BE32-E72D297353CC}">
              <c16:uniqueId val="{0000009F-D994-475D-8D6A-2553892D8F00}"/>
            </c:ext>
          </c:extLst>
        </c:ser>
        <c:ser>
          <c:idx val="131"/>
          <c:order val="131"/>
          <c:spPr>
            <a:ln w="3175">
              <a:solidFill>
                <a:srgbClr val="000000"/>
              </a:solidFill>
              <a:prstDash val="solid"/>
            </a:ln>
          </c:spPr>
          <c:marker>
            <c:symbol val="none"/>
          </c:marker>
          <c:xVal>
            <c:numLit>
              <c:formatCode>General</c:formatCode>
              <c:ptCount val="2"/>
              <c:pt idx="0">
                <c:v>-6.3946145573537017</c:v>
              </c:pt>
              <c:pt idx="1">
                <c:v>-6.9910408955260026</c:v>
              </c:pt>
            </c:numLit>
          </c:xVal>
          <c:yVal>
            <c:numLit>
              <c:formatCode>General</c:formatCode>
              <c:ptCount val="2"/>
              <c:pt idx="0">
                <c:v>1.9801504574826875E-2</c:v>
              </c:pt>
              <c:pt idx="1">
                <c:v>1.9753140485176599E-2</c:v>
              </c:pt>
            </c:numLit>
          </c:yVal>
          <c:smooth val="0"/>
          <c:extLst>
            <c:ext xmlns:c16="http://schemas.microsoft.com/office/drawing/2014/chart" uri="{C3380CC4-5D6E-409C-BE32-E72D297353CC}">
              <c16:uniqueId val="{000000A0-D994-475D-8D6A-2553892D8F00}"/>
            </c:ext>
          </c:extLst>
        </c:ser>
        <c:ser>
          <c:idx val="132"/>
          <c:order val="132"/>
          <c:spPr>
            <a:ln w="3175">
              <a:solidFill>
                <a:srgbClr val="000000"/>
              </a:solidFill>
              <a:prstDash val="solid"/>
            </a:ln>
          </c:spPr>
          <c:marker>
            <c:symbol val="none"/>
          </c:marker>
          <c:dLbls>
            <c:dLbl>
              <c:idx val="0"/>
              <c:tx>
                <c:rich>
                  <a:bodyPr rot="-36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15000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1-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-8.0844891821752221</c:v>
              </c:pt>
            </c:numLit>
          </c:xVal>
          <c:yVal>
            <c:numLit>
              <c:formatCode>General</c:formatCode>
              <c:ptCount val="1"/>
              <c:pt idx="0">
                <c:v>1.9664472987484423E-2</c:v>
              </c:pt>
            </c:numLit>
          </c:yVal>
          <c:smooth val="0"/>
          <c:extLst>
            <c:ext xmlns:c16="http://schemas.microsoft.com/office/drawing/2014/chart" uri="{C3380CC4-5D6E-409C-BE32-E72D297353CC}">
              <c16:uniqueId val="{000000A2-D994-475D-8D6A-2553892D8F00}"/>
            </c:ext>
          </c:extLst>
        </c:ser>
        <c:ser>
          <c:idx val="133"/>
          <c:order val="133"/>
          <c:spPr>
            <a:ln w="3175">
              <a:solidFill>
                <a:srgbClr val="000000"/>
              </a:solidFill>
              <a:prstDash val="solid"/>
            </a:ln>
          </c:spPr>
          <c:marker>
            <c:symbol val="none"/>
          </c:marker>
          <c:xVal>
            <c:numLit>
              <c:formatCode>General</c:formatCode>
              <c:ptCount val="2"/>
              <c:pt idx="0">
                <c:v>-6.3795129803289274</c:v>
              </c:pt>
              <c:pt idx="1">
                <c:v>-6.6774025441931197</c:v>
              </c:pt>
            </c:numLit>
          </c:xVal>
          <c:yVal>
            <c:numLit>
              <c:formatCode>General</c:formatCode>
              <c:ptCount val="2"/>
              <c:pt idx="0">
                <c:v>1.9703897767998347E-2</c:v>
              </c:pt>
              <c:pt idx="1">
                <c:v>1.967762414874117E-2</c:v>
              </c:pt>
            </c:numLit>
          </c:yVal>
          <c:smooth val="0"/>
          <c:extLst>
            <c:ext xmlns:c16="http://schemas.microsoft.com/office/drawing/2014/chart" uri="{C3380CC4-5D6E-409C-BE32-E72D297353CC}">
              <c16:uniqueId val="{000000A3-D994-475D-8D6A-2553892D8F00}"/>
            </c:ext>
          </c:extLst>
        </c:ser>
        <c:ser>
          <c:idx val="134"/>
          <c:order val="134"/>
          <c:spPr>
            <a:ln w="3175">
              <a:solidFill>
                <a:srgbClr val="000000"/>
              </a:solidFill>
              <a:prstDash val="solid"/>
            </a:ln>
          </c:spPr>
          <c:marker>
            <c:symbol val="none"/>
          </c:marker>
          <c:xVal>
            <c:numLit>
              <c:formatCode>General</c:formatCode>
              <c:ptCount val="2"/>
              <c:pt idx="0">
                <c:v>-6.3599248979775851</c:v>
              </c:pt>
              <c:pt idx="1">
                <c:v>-6.6573947172199626</c:v>
              </c:pt>
            </c:numLit>
          </c:xVal>
          <c:yVal>
            <c:numLit>
              <c:formatCode>General</c:formatCode>
              <c:ptCount val="2"/>
              <c:pt idx="0">
                <c:v>1.9587964977189561E-2</c:v>
              </c:pt>
              <c:pt idx="1">
                <c:v>1.9559207083843622E-2</c:v>
              </c:pt>
            </c:numLit>
          </c:yVal>
          <c:smooth val="0"/>
          <c:extLst>
            <c:ext xmlns:c16="http://schemas.microsoft.com/office/drawing/2014/chart" uri="{C3380CC4-5D6E-409C-BE32-E72D297353CC}">
              <c16:uniqueId val="{000000A4-D994-475D-8D6A-2553892D8F00}"/>
            </c:ext>
          </c:extLst>
        </c:ser>
        <c:ser>
          <c:idx val="135"/>
          <c:order val="135"/>
          <c:spPr>
            <a:ln w="3175">
              <a:solidFill>
                <a:srgbClr val="000000"/>
              </a:solidFill>
              <a:prstDash val="solid"/>
            </a:ln>
          </c:spPr>
          <c:marker>
            <c:symbol val="none"/>
          </c:marker>
          <c:xVal>
            <c:numLit>
              <c:formatCode>General</c:formatCode>
              <c:ptCount val="2"/>
              <c:pt idx="0">
                <c:v>-6.3338909498930658</c:v>
              </c:pt>
              <c:pt idx="1">
                <c:v>-6.9277148477456256</c:v>
              </c:pt>
            </c:numLit>
          </c:xVal>
          <c:yVal>
            <c:numLit>
              <c:formatCode>General</c:formatCode>
              <c:ptCount val="2"/>
              <c:pt idx="0">
                <c:v>1.9448070774442654E-2</c:v>
              </c:pt>
              <c:pt idx="1">
                <c:v>1.9384559521918768E-2</c:v>
              </c:pt>
            </c:numLit>
          </c:yVal>
          <c:smooth val="0"/>
          <c:extLst>
            <c:ext xmlns:c16="http://schemas.microsoft.com/office/drawing/2014/chart" uri="{C3380CC4-5D6E-409C-BE32-E72D297353CC}">
              <c16:uniqueId val="{000000A5-D994-475D-8D6A-2553892D8F00}"/>
            </c:ext>
          </c:extLst>
        </c:ser>
        <c:ser>
          <c:idx val="136"/>
          <c:order val="136"/>
          <c:spPr>
            <a:ln w="3175">
              <a:solidFill>
                <a:srgbClr val="000000"/>
              </a:solidFill>
              <a:prstDash val="solid"/>
            </a:ln>
          </c:spPr>
          <c:marker>
            <c:symbol val="none"/>
          </c:marker>
          <c:xVal>
            <c:numLit>
              <c:formatCode>General</c:formatCode>
              <c:ptCount val="2"/>
              <c:pt idx="0">
                <c:v>-6.2982611859413211</c:v>
              </c:pt>
              <c:pt idx="1">
                <c:v>-6.5944096399257788</c:v>
              </c:pt>
            </c:numLit>
          </c:xVal>
          <c:yVal>
            <c:numLit>
              <c:formatCode>General</c:formatCode>
              <c:ptCount val="2"/>
              <c:pt idx="0">
                <c:v>1.9276040595639192E-2</c:v>
              </c:pt>
              <c:pt idx="1">
                <c:v>1.9240598608402888E-2</c:v>
              </c:pt>
            </c:numLit>
          </c:yVal>
          <c:smooth val="0"/>
          <c:extLst>
            <c:ext xmlns:c16="http://schemas.microsoft.com/office/drawing/2014/chart" uri="{C3380CC4-5D6E-409C-BE32-E72D297353CC}">
              <c16:uniqueId val="{000000A6-D994-475D-8D6A-2553892D8F00}"/>
            </c:ext>
          </c:extLst>
        </c:ser>
        <c:ser>
          <c:idx val="137"/>
          <c:order val="137"/>
          <c:spPr>
            <a:ln w="3175">
              <a:solidFill>
                <a:srgbClr val="000000"/>
              </a:solidFill>
              <a:prstDash val="solid"/>
            </a:ln>
          </c:spPr>
          <c:marker>
            <c:symbol val="none"/>
          </c:marker>
          <c:xVal>
            <c:numLit>
              <c:formatCode>General</c:formatCode>
              <c:ptCount val="2"/>
              <c:pt idx="0">
                <c:v>-6.2477177107241779</c:v>
              </c:pt>
              <c:pt idx="1">
                <c:v>-6.8378484697552135</c:v>
              </c:pt>
            </c:numLit>
          </c:xVal>
          <c:yVal>
            <c:numLit>
              <c:formatCode>General</c:formatCode>
              <c:ptCount val="2"/>
              <c:pt idx="0">
                <c:v>1.9059579257765528E-2</c:v>
              </c:pt>
              <c:pt idx="1">
                <c:v>1.8979418368812621E-2</c:v>
              </c:pt>
            </c:numLit>
          </c:yVal>
          <c:smooth val="0"/>
          <c:extLst>
            <c:ext xmlns:c16="http://schemas.microsoft.com/office/drawing/2014/chart" uri="{C3380CC4-5D6E-409C-BE32-E72D297353CC}">
              <c16:uniqueId val="{000000A7-D994-475D-8D6A-2553892D8F00}"/>
            </c:ext>
          </c:extLst>
        </c:ser>
        <c:ser>
          <c:idx val="138"/>
          <c:order val="138"/>
          <c:spPr>
            <a:ln w="3175">
              <a:solidFill>
                <a:srgbClr val="000000"/>
              </a:solidFill>
              <a:prstDash val="solid"/>
            </a:ln>
          </c:spPr>
          <c:marker>
            <c:symbol val="none"/>
          </c:marker>
          <c:dLbls>
            <c:dLbl>
              <c:idx val="0"/>
              <c:tx>
                <c:rich>
                  <a:bodyPr rot="-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8-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-7.9197548613121134</c:v>
              </c:pt>
            </c:numLit>
          </c:xVal>
          <c:yVal>
            <c:numLit>
              <c:formatCode>General</c:formatCode>
              <c:ptCount val="1"/>
              <c:pt idx="0">
                <c:v>1.8832456739065626E-2</c:v>
              </c:pt>
            </c:numLit>
          </c:yVal>
          <c:smooth val="0"/>
          <c:extLst>
            <c:ext xmlns:c16="http://schemas.microsoft.com/office/drawing/2014/chart" uri="{C3380CC4-5D6E-409C-BE32-E72D297353CC}">
              <c16:uniqueId val="{000000A9-D994-475D-8D6A-2553892D8F00}"/>
            </c:ext>
          </c:extLst>
        </c:ser>
        <c:ser>
          <c:idx val="139"/>
          <c:order val="139"/>
          <c:spPr>
            <a:ln w="3175">
              <a:solidFill>
                <a:srgbClr val="000000"/>
              </a:solidFill>
              <a:prstDash val="solid"/>
            </a:ln>
          </c:spPr>
          <c:marker>
            <c:symbol val="none"/>
          </c:marker>
          <c:xVal>
            <c:numLit>
              <c:formatCode>General</c:formatCode>
              <c:ptCount val="2"/>
              <c:pt idx="0">
                <c:v>-6.2141364364601657</c:v>
              </c:pt>
              <c:pt idx="1">
                <c:v>-6.5084822172414558</c:v>
              </c:pt>
            </c:numLit>
          </c:xVal>
          <c:yVal>
            <c:numLit>
              <c:formatCode>General</c:formatCode>
              <c:ptCount val="2"/>
              <c:pt idx="0">
                <c:v>1.8929051078036645E-2</c:v>
              </c:pt>
              <c:pt idx="1">
                <c:v>1.8886173601137431E-2</c:v>
              </c:pt>
            </c:numLit>
          </c:yVal>
          <c:smooth val="0"/>
          <c:extLst>
            <c:ext xmlns:c16="http://schemas.microsoft.com/office/drawing/2014/chart" uri="{C3380CC4-5D6E-409C-BE32-E72D297353CC}">
              <c16:uniqueId val="{000000AA-D994-475D-8D6A-2553892D8F00}"/>
            </c:ext>
          </c:extLst>
        </c:ser>
        <c:ser>
          <c:idx val="140"/>
          <c:order val="140"/>
          <c:spPr>
            <a:ln w="3175">
              <a:solidFill>
                <a:srgbClr val="000000"/>
              </a:solidFill>
              <a:prstDash val="solid"/>
            </a:ln>
          </c:spPr>
          <c:marker>
            <c:symbol val="none"/>
          </c:marker>
          <c:xVal>
            <c:numLit>
              <c:formatCode>General</c:formatCode>
              <c:ptCount val="2"/>
              <c:pt idx="0">
                <c:v>-6.1727292094729158</c:v>
              </c:pt>
              <c:pt idx="1">
                <c:v>-6.7596461755931836</c:v>
              </c:pt>
            </c:numLit>
          </c:xVal>
          <c:yVal>
            <c:numLit>
              <c:formatCode>General</c:formatCode>
              <c:ptCount val="2"/>
              <c:pt idx="0">
                <c:v>1.8779375962421206E-2</c:v>
              </c:pt>
              <c:pt idx="1">
                <c:v>1.8687206360810688E-2</c:v>
              </c:pt>
            </c:numLit>
          </c:yVal>
          <c:smooth val="0"/>
          <c:extLst>
            <c:ext xmlns:c16="http://schemas.microsoft.com/office/drawing/2014/chart" uri="{C3380CC4-5D6E-409C-BE32-E72D297353CC}">
              <c16:uniqueId val="{000000AB-D994-475D-8D6A-2553892D8F00}"/>
            </c:ext>
          </c:extLst>
        </c:ser>
        <c:ser>
          <c:idx val="141"/>
          <c:order val="141"/>
          <c:spPr>
            <a:ln w="3175">
              <a:solidFill>
                <a:srgbClr val="000000"/>
              </a:solidFill>
              <a:prstDash val="solid"/>
            </a:ln>
          </c:spPr>
          <c:marker>
            <c:symbol val="none"/>
          </c:marker>
          <c:xVal>
            <c:numLit>
              <c:formatCode>General</c:formatCode>
              <c:ptCount val="2"/>
              <c:pt idx="0">
                <c:v>-6.1208981028564446</c:v>
              </c:pt>
              <c:pt idx="1">
                <c:v>-6.4132459193462266</c:v>
              </c:pt>
            </c:numLit>
          </c:xVal>
          <c:yVal>
            <c:numLit>
              <c:formatCode>General</c:formatCode>
              <c:ptCount val="2"/>
              <c:pt idx="0">
                <c:v>1.8606133509740334E-2</c:v>
              </c:pt>
              <c:pt idx="1">
                <c:v>1.8556336370663343E-2</c:v>
              </c:pt>
            </c:numLit>
          </c:yVal>
          <c:smooth val="0"/>
          <c:extLst>
            <c:ext xmlns:c16="http://schemas.microsoft.com/office/drawing/2014/chart" uri="{C3380CC4-5D6E-409C-BE32-E72D297353CC}">
              <c16:uniqueId val="{000000AC-D994-475D-8D6A-2553892D8F00}"/>
            </c:ext>
          </c:extLst>
        </c:ser>
        <c:ser>
          <c:idx val="142"/>
          <c:order val="142"/>
          <c:spPr>
            <a:ln w="3175">
              <a:solidFill>
                <a:srgbClr val="000000"/>
              </a:solidFill>
              <a:prstDash val="solid"/>
            </a:ln>
          </c:spPr>
          <c:marker>
            <c:symbol val="none"/>
          </c:marker>
          <c:xVal>
            <c:numLit>
              <c:formatCode>General</c:formatCode>
              <c:ptCount val="2"/>
              <c:pt idx="0">
                <c:v>-6.0548906661909623</c:v>
              </c:pt>
              <c:pt idx="1">
                <c:v>-6.6367574090277168</c:v>
              </c:pt>
            </c:numLit>
          </c:xVal>
          <c:yVal>
            <c:numLit>
              <c:formatCode>General</c:formatCode>
              <c:ptCount val="2"/>
              <c:pt idx="0">
                <c:v>1.8403482795007753E-2</c:v>
              </c:pt>
              <c:pt idx="1">
                <c:v>1.8295203486222371E-2</c:v>
              </c:pt>
            </c:numLit>
          </c:yVal>
          <c:smooth val="0"/>
          <c:extLst>
            <c:ext xmlns:c16="http://schemas.microsoft.com/office/drawing/2014/chart" uri="{C3380CC4-5D6E-409C-BE32-E72D297353CC}">
              <c16:uniqueId val="{000000AD-D994-475D-8D6A-2553892D8F00}"/>
            </c:ext>
          </c:extLst>
        </c:ser>
        <c:ser>
          <c:idx val="143"/>
          <c:order val="143"/>
          <c:spPr>
            <a:ln w="3175">
              <a:solidFill>
                <a:srgbClr val="000000"/>
              </a:solidFill>
              <a:prstDash val="solid"/>
            </a:ln>
          </c:spPr>
          <c:marker>
            <c:symbol val="none"/>
          </c:marker>
          <c:xVal>
            <c:numLit>
              <c:formatCode>General</c:formatCode>
              <c:ptCount val="2"/>
              <c:pt idx="0">
                <c:v>-5.969139454636716</c:v>
              </c:pt>
              <c:pt idx="1">
                <c:v>-6.2582353000932178</c:v>
              </c:pt>
            </c:numLit>
          </c:xVal>
          <c:yVal>
            <c:numLit>
              <c:formatCode>General</c:formatCode>
              <c:ptCount val="2"/>
              <c:pt idx="0">
                <c:v>1.8163573931641964E-2</c:v>
              </c:pt>
              <c:pt idx="1">
                <c:v>1.8104293373034291E-2</c:v>
              </c:pt>
            </c:numLit>
          </c:yVal>
          <c:smooth val="0"/>
          <c:extLst>
            <c:ext xmlns:c16="http://schemas.microsoft.com/office/drawing/2014/chart" uri="{C3380CC4-5D6E-409C-BE32-E72D297353CC}">
              <c16:uniqueId val="{000000AE-D994-475D-8D6A-2553892D8F00}"/>
            </c:ext>
          </c:extLst>
        </c:ser>
        <c:ser>
          <c:idx val="144"/>
          <c:order val="144"/>
          <c:spPr>
            <a:ln w="3175">
              <a:solidFill>
                <a:srgbClr val="000000"/>
              </a:solidFill>
              <a:prstDash val="solid"/>
            </a:ln>
          </c:spPr>
          <c:marker>
            <c:symbol val="none"/>
          </c:marker>
          <c:xVal>
            <c:numLit>
              <c:formatCode>General</c:formatCode>
              <c:ptCount val="2"/>
              <c:pt idx="0">
                <c:v>-5.8551287645325596</c:v>
              </c:pt>
              <c:pt idx="1">
                <c:v>-6.4284342830125256</c:v>
              </c:pt>
            </c:numLit>
          </c:xVal>
          <c:yVal>
            <c:numLit>
              <c:formatCode>General</c:formatCode>
              <c:ptCount val="2"/>
              <c:pt idx="0">
                <c:v>1.7875666923032288E-2</c:v>
              </c:pt>
              <c:pt idx="1">
                <c:v>1.7744766934019388E-2</c:v>
              </c:pt>
            </c:numLit>
          </c:yVal>
          <c:smooth val="0"/>
          <c:extLst>
            <c:ext xmlns:c16="http://schemas.microsoft.com/office/drawing/2014/chart" uri="{C3380CC4-5D6E-409C-BE32-E72D297353CC}">
              <c16:uniqueId val="{000000AF-D994-475D-8D6A-2553892D8F00}"/>
            </c:ext>
          </c:extLst>
        </c:ser>
        <c:ser>
          <c:idx val="145"/>
          <c:order val="145"/>
          <c:spPr>
            <a:ln w="3175">
              <a:solidFill>
                <a:srgbClr val="000000"/>
              </a:solidFill>
              <a:prstDash val="solid"/>
            </a:ln>
          </c:spPr>
          <c:marker>
            <c:symbol val="none"/>
          </c:marker>
          <c:dLbls>
            <c:dLbl>
              <c:idx val="0"/>
              <c:tx>
                <c:rich>
                  <a:bodyPr rot="-10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7000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0-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-7.4794944002257981</c:v>
              </c:pt>
            </c:numLit>
          </c:xVal>
          <c:yVal>
            <c:numLit>
              <c:formatCode>General</c:formatCode>
              <c:ptCount val="1"/>
              <c:pt idx="0">
                <c:v>1.7504783620829068E-2</c:v>
              </c:pt>
            </c:numLit>
          </c:yVal>
          <c:smooth val="0"/>
          <c:extLst>
            <c:ext xmlns:c16="http://schemas.microsoft.com/office/drawing/2014/chart" uri="{C3380CC4-5D6E-409C-BE32-E72D297353CC}">
              <c16:uniqueId val="{000000B1-D994-475D-8D6A-2553892D8F00}"/>
            </c:ext>
          </c:extLst>
        </c:ser>
        <c:ser>
          <c:idx val="146"/>
          <c:order val="146"/>
          <c:spPr>
            <a:ln w="3175">
              <a:solidFill>
                <a:srgbClr val="000000"/>
              </a:solidFill>
              <a:prstDash val="solid"/>
            </a:ln>
          </c:spPr>
          <c:marker>
            <c:symbol val="none"/>
          </c:marker>
          <c:xVal>
            <c:numLit>
              <c:formatCode>General</c:formatCode>
              <c:ptCount val="2"/>
              <c:pt idx="0">
                <c:v>-5.7988285531075912</c:v>
              </c:pt>
              <c:pt idx="1">
                <c:v>-6.0842748792456121</c:v>
              </c:pt>
            </c:numLit>
          </c:xVal>
          <c:yVal>
            <c:numLit>
              <c:formatCode>General</c:formatCode>
              <c:ptCount val="2"/>
              <c:pt idx="0">
                <c:v>1.7743895976123102E-2</c:v>
              </c:pt>
              <c:pt idx="1">
                <c:v>1.7675622318468597E-2</c:v>
              </c:pt>
            </c:numLit>
          </c:yVal>
          <c:smooth val="0"/>
          <c:extLst>
            <c:ext xmlns:c16="http://schemas.microsoft.com/office/drawing/2014/chart" uri="{C3380CC4-5D6E-409C-BE32-E72D297353CC}">
              <c16:uniqueId val="{000000B2-D994-475D-8D6A-2553892D8F00}"/>
            </c:ext>
          </c:extLst>
        </c:ser>
        <c:ser>
          <c:idx val="147"/>
          <c:order val="147"/>
          <c:spPr>
            <a:ln w="3175">
              <a:solidFill>
                <a:srgbClr val="000000"/>
              </a:solidFill>
              <a:prstDash val="solid"/>
            </a:ln>
          </c:spPr>
          <c:marker>
            <c:symbol val="none"/>
          </c:marker>
          <c:xVal>
            <c:numLit>
              <c:formatCode>General</c:formatCode>
              <c:ptCount val="2"/>
              <c:pt idx="0">
                <c:v>-5.7347616757504305</c:v>
              </c:pt>
              <c:pt idx="1">
                <c:v>-6.0188351402307969</c:v>
              </c:pt>
            </c:numLit>
          </c:xVal>
          <c:yVal>
            <c:numLit>
              <c:formatCode>General</c:formatCode>
              <c:ptCount val="2"/>
              <c:pt idx="0">
                <c:v>1.7600918061456586E-2</c:v>
              </c:pt>
              <c:pt idx="1">
                <c:v>1.7529580591344941E-2</c:v>
              </c:pt>
            </c:numLit>
          </c:yVal>
          <c:smooth val="0"/>
          <c:extLst>
            <c:ext xmlns:c16="http://schemas.microsoft.com/office/drawing/2014/chart" uri="{C3380CC4-5D6E-409C-BE32-E72D297353CC}">
              <c16:uniqueId val="{000000B3-D994-475D-8D6A-2553892D8F00}"/>
            </c:ext>
          </c:extLst>
        </c:ser>
        <c:ser>
          <c:idx val="148"/>
          <c:order val="148"/>
          <c:spPr>
            <a:ln w="3175">
              <a:solidFill>
                <a:srgbClr val="000000"/>
              </a:solidFill>
              <a:prstDash val="solid"/>
            </a:ln>
          </c:spPr>
          <c:marker>
            <c:symbol val="none"/>
          </c:marker>
          <c:xVal>
            <c:numLit>
              <c:formatCode>General</c:formatCode>
              <c:ptCount val="2"/>
              <c:pt idx="0">
                <c:v>-5.6614799564344587</c:v>
              </c:pt>
              <c:pt idx="1">
                <c:v>-5.9439830983580544</c:v>
              </c:pt>
            </c:numLit>
          </c:xVal>
          <c:yVal>
            <c:numLit>
              <c:formatCode>General</c:formatCode>
              <c:ptCount val="2"/>
              <c:pt idx="0">
                <c:v>1.7445349228540973E-2</c:v>
              </c:pt>
              <c:pt idx="1">
                <c:v>1.7370678140581138E-2</c:v>
              </c:pt>
            </c:numLit>
          </c:yVal>
          <c:smooth val="0"/>
          <c:extLst>
            <c:ext xmlns:c16="http://schemas.microsoft.com/office/drawing/2014/chart" uri="{C3380CC4-5D6E-409C-BE32-E72D297353CC}">
              <c16:uniqueId val="{000000B4-D994-475D-8D6A-2553892D8F00}"/>
            </c:ext>
          </c:extLst>
        </c:ser>
        <c:ser>
          <c:idx val="149"/>
          <c:order val="149"/>
          <c:spPr>
            <a:ln w="3175">
              <a:solidFill>
                <a:srgbClr val="000000"/>
              </a:solidFill>
              <a:prstDash val="solid"/>
            </a:ln>
          </c:spPr>
          <c:marker>
            <c:symbol val="none"/>
          </c:marker>
          <c:xVal>
            <c:numLit>
              <c:formatCode>General</c:formatCode>
              <c:ptCount val="2"/>
              <c:pt idx="0">
                <c:v>-5.5771951197065643</c:v>
              </c:pt>
              <c:pt idx="1">
                <c:v>-5.8578921579859919</c:v>
              </c:pt>
            </c:numLit>
          </c:xVal>
          <c:yVal>
            <c:numLit>
              <c:formatCode>General</c:formatCode>
              <c:ptCount val="2"/>
              <c:pt idx="0">
                <c:v>1.7275593374812867E-2</c:v>
              </c:pt>
              <c:pt idx="1">
                <c:v>1.7197284661415999E-2</c:v>
              </c:pt>
            </c:numLit>
          </c:yVal>
          <c:smooth val="0"/>
          <c:extLst>
            <c:ext xmlns:c16="http://schemas.microsoft.com/office/drawing/2014/chart" uri="{C3380CC4-5D6E-409C-BE32-E72D297353CC}">
              <c16:uniqueId val="{000000B5-D994-475D-8D6A-2553892D8F00}"/>
            </c:ext>
          </c:extLst>
        </c:ser>
        <c:ser>
          <c:idx val="150"/>
          <c:order val="150"/>
          <c:spPr>
            <a:ln w="3175">
              <a:solidFill>
                <a:srgbClr val="000000"/>
              </a:solidFill>
              <a:prstDash val="solid"/>
            </a:ln>
          </c:spPr>
          <c:marker>
            <c:symbol val="none"/>
          </c:marker>
          <c:xVal>
            <c:numLit>
              <c:formatCode>General</c:formatCode>
              <c:ptCount val="2"/>
              <c:pt idx="0">
                <c:v>-5.4796832004534721</c:v>
              </c:pt>
              <c:pt idx="1">
                <c:v>-6.0368981947586198</c:v>
              </c:pt>
            </c:numLit>
          </c:xVal>
          <c:yVal>
            <c:numLit>
              <c:formatCode>General</c:formatCode>
              <c:ptCount val="2"/>
              <c:pt idx="0">
                <c:v>1.7089808191527837E-2</c:v>
              </c:pt>
              <c:pt idx="1">
                <c:v>1.6925228542593318E-2</c:v>
              </c:pt>
            </c:numLit>
          </c:yVal>
          <c:smooth val="0"/>
          <c:extLst>
            <c:ext xmlns:c16="http://schemas.microsoft.com/office/drawing/2014/chart" uri="{C3380CC4-5D6E-409C-BE32-E72D297353CC}">
              <c16:uniqueId val="{000000B6-D994-475D-8D6A-2553892D8F00}"/>
            </c:ext>
          </c:extLst>
        </c:ser>
        <c:ser>
          <c:idx val="151"/>
          <c:order val="151"/>
          <c:spPr>
            <a:ln w="3175">
              <a:solidFill>
                <a:srgbClr val="000000"/>
              </a:solidFill>
              <a:prstDash val="solid"/>
            </a:ln>
          </c:spPr>
          <c:marker>
            <c:symbol val="none"/>
          </c:marker>
          <c:dLbls>
            <c:dLbl>
              <c:idx val="0"/>
              <c:tx>
                <c:rich>
                  <a:bodyPr rot="-13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6000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7-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-7.0584590176513924</c:v>
              </c:pt>
            </c:numLit>
          </c:xVal>
          <c:yVal>
            <c:numLit>
              <c:formatCode>General</c:formatCode>
              <c:ptCount val="1"/>
              <c:pt idx="0">
                <c:v>1.6623499186213361E-2</c:v>
              </c:pt>
            </c:numLit>
          </c:yVal>
          <c:smooth val="0"/>
          <c:extLst>
            <c:ext xmlns:c16="http://schemas.microsoft.com/office/drawing/2014/chart" uri="{C3380CC4-5D6E-409C-BE32-E72D297353CC}">
              <c16:uniqueId val="{000000B8-D994-475D-8D6A-2553892D8F00}"/>
            </c:ext>
          </c:extLst>
        </c:ser>
        <c:ser>
          <c:idx val="152"/>
          <c:order val="152"/>
          <c:spPr>
            <a:ln w="3175">
              <a:solidFill>
                <a:srgbClr val="000000"/>
              </a:solidFill>
              <a:prstDash val="solid"/>
            </a:ln>
          </c:spPr>
          <c:marker>
            <c:symbol val="none"/>
          </c:marker>
          <c:xVal>
            <c:numLit>
              <c:formatCode>General</c:formatCode>
              <c:ptCount val="2"/>
              <c:pt idx="0">
                <c:v>-5.4251226750385708</c:v>
              </c:pt>
              <c:pt idx="1">
                <c:v>-5.7025610180751114</c:v>
              </c:pt>
            </c:numLit>
          </c:xVal>
          <c:yVal>
            <c:numLit>
              <c:formatCode>General</c:formatCode>
              <c:ptCount val="2"/>
              <c:pt idx="0">
                <c:v>1.6990252446736603E-2</c:v>
              </c:pt>
              <c:pt idx="1">
                <c:v>1.6905829284880956E-2</c:v>
              </c:pt>
            </c:numLit>
          </c:yVal>
          <c:smooth val="0"/>
          <c:extLst>
            <c:ext xmlns:c16="http://schemas.microsoft.com/office/drawing/2014/chart" uri="{C3380CC4-5D6E-409C-BE32-E72D297353CC}">
              <c16:uniqueId val="{000000B9-D994-475D-8D6A-2553892D8F00}"/>
            </c:ext>
          </c:extLst>
        </c:ser>
        <c:ser>
          <c:idx val="153"/>
          <c:order val="153"/>
          <c:spPr>
            <a:ln w="3175">
              <a:solidFill>
                <a:srgbClr val="000000"/>
              </a:solidFill>
              <a:prstDash val="solid"/>
            </a:ln>
          </c:spPr>
          <c:marker>
            <c:symbol val="none"/>
          </c:marker>
          <c:xVal>
            <c:numLit>
              <c:formatCode>General</c:formatCode>
              <c:ptCount val="2"/>
              <c:pt idx="0">
                <c:v>-5.3661582607451805</c:v>
              </c:pt>
              <c:pt idx="1">
                <c:v>-5.6423330806182914</c:v>
              </c:pt>
            </c:numLit>
          </c:xVal>
          <c:yVal>
            <c:numLit>
              <c:formatCode>General</c:formatCode>
              <c:ptCount val="2"/>
              <c:pt idx="0">
                <c:v>1.6885867994288942E-2</c:v>
              </c:pt>
              <c:pt idx="1">
                <c:v>1.6799208022737992E-2</c:v>
              </c:pt>
            </c:numLit>
          </c:yVal>
          <c:smooth val="0"/>
          <c:extLst>
            <c:ext xmlns:c16="http://schemas.microsoft.com/office/drawing/2014/chart" uri="{C3380CC4-5D6E-409C-BE32-E72D297353CC}">
              <c16:uniqueId val="{000000BA-D994-475D-8D6A-2553892D8F00}"/>
            </c:ext>
          </c:extLst>
        </c:ser>
        <c:ser>
          <c:idx val="154"/>
          <c:order val="154"/>
          <c:spPr>
            <a:ln w="3175">
              <a:solidFill>
                <a:srgbClr val="000000"/>
              </a:solidFill>
              <a:prstDash val="solid"/>
            </a:ln>
          </c:spPr>
          <c:marker>
            <c:symbol val="none"/>
          </c:marker>
          <c:xVal>
            <c:numLit>
              <c:formatCode>General</c:formatCode>
              <c:ptCount val="2"/>
              <c:pt idx="0">
                <c:v>-5.3023264552641391</c:v>
              </c:pt>
              <c:pt idx="1">
                <c:v>-5.5771334507340855</c:v>
              </c:pt>
            </c:numLit>
          </c:xVal>
          <c:yVal>
            <c:numLit>
              <c:formatCode>General</c:formatCode>
              <c:ptCount val="2"/>
              <c:pt idx="0">
                <c:v>1.677633856600267E-2</c:v>
              </c:pt>
              <c:pt idx="1">
                <c:v>1.6687331535274155E-2</c:v>
              </c:pt>
            </c:numLit>
          </c:yVal>
          <c:smooth val="0"/>
          <c:extLst>
            <c:ext xmlns:c16="http://schemas.microsoft.com/office/drawing/2014/chart" uri="{C3380CC4-5D6E-409C-BE32-E72D297353CC}">
              <c16:uniqueId val="{000000BB-D994-475D-8D6A-2553892D8F00}"/>
            </c:ext>
          </c:extLst>
        </c:ser>
        <c:ser>
          <c:idx val="155"/>
          <c:order val="155"/>
          <c:spPr>
            <a:ln w="3175">
              <a:solidFill>
                <a:srgbClr val="000000"/>
              </a:solidFill>
              <a:prstDash val="solid"/>
            </a:ln>
          </c:spPr>
          <c:marker>
            <c:symbol val="none"/>
          </c:marker>
          <c:xVal>
            <c:numLit>
              <c:formatCode>General</c:formatCode>
              <c:ptCount val="2"/>
              <c:pt idx="0">
                <c:v>-5.2331047854998651</c:v>
              </c:pt>
              <c:pt idx="1">
                <c:v>-5.5064284594748631</c:v>
              </c:pt>
            </c:numLit>
          </c:xVal>
          <c:yVal>
            <c:numLit>
              <c:formatCode>General</c:formatCode>
              <c:ptCount val="2"/>
              <c:pt idx="0">
                <c:v>1.6661325544174033E-2</c:v>
              </c:pt>
              <c:pt idx="1">
                <c:v>1.6569853948692048E-2</c:v>
              </c:pt>
            </c:numLit>
          </c:yVal>
          <c:smooth val="0"/>
          <c:extLst>
            <c:ext xmlns:c16="http://schemas.microsoft.com/office/drawing/2014/chart" uri="{C3380CC4-5D6E-409C-BE32-E72D297353CC}">
              <c16:uniqueId val="{000000BC-D994-475D-8D6A-2553892D8F00}"/>
            </c:ext>
          </c:extLst>
        </c:ser>
        <c:ser>
          <c:idx val="156"/>
          <c:order val="156"/>
          <c:spPr>
            <a:ln w="3175">
              <a:solidFill>
                <a:srgbClr val="000000"/>
              </a:solidFill>
              <a:prstDash val="solid"/>
            </a:ln>
          </c:spPr>
          <c:marker>
            <c:symbol val="none"/>
          </c:marker>
          <c:xVal>
            <c:numLit>
              <c:formatCode>General</c:formatCode>
              <c:ptCount val="2"/>
              <c:pt idx="0">
                <c:v>-5.1579032706065853</c:v>
              </c:pt>
              <c:pt idx="1">
                <c:v>-5.7013276964897246</c:v>
              </c:pt>
            </c:numLit>
          </c:xVal>
          <c:yVal>
            <c:numLit>
              <c:formatCode>General</c:formatCode>
              <c:ptCount val="2"/>
              <c:pt idx="0">
                <c:v>1.6540467071496829E-2</c:v>
              </c:pt>
              <c:pt idx="1">
                <c:v>1.6352344231703834E-2</c:v>
              </c:pt>
            </c:numLit>
          </c:yVal>
          <c:smooth val="0"/>
          <c:extLst>
            <c:ext xmlns:c16="http://schemas.microsoft.com/office/drawing/2014/chart" uri="{C3380CC4-5D6E-409C-BE32-E72D297353CC}">
              <c16:uniqueId val="{000000BD-D994-475D-8D6A-2553892D8F00}"/>
            </c:ext>
          </c:extLst>
        </c:ser>
        <c:ser>
          <c:idx val="157"/>
          <c:order val="157"/>
          <c:spPr>
            <a:ln w="3175">
              <a:solidFill>
                <a:srgbClr val="000000"/>
              </a:solidFill>
              <a:prstDash val="solid"/>
            </a:ln>
          </c:spPr>
          <c:marker>
            <c:symbol val="none"/>
          </c:marker>
          <c:dLbls>
            <c:dLbl>
              <c:idx val="0"/>
              <c:tx>
                <c:rich>
                  <a:bodyPr rot="-15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E-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-6.6976058106088132</c:v>
              </c:pt>
            </c:numLit>
          </c:xVal>
          <c:yVal>
            <c:numLit>
              <c:formatCode>General</c:formatCode>
              <c:ptCount val="1"/>
              <c:pt idx="0">
                <c:v>1.6007452358750014E-2</c:v>
              </c:pt>
            </c:numLit>
          </c:yVal>
          <c:smooth val="0"/>
          <c:extLst>
            <c:ext xmlns:c16="http://schemas.microsoft.com/office/drawing/2014/chart" uri="{C3380CC4-5D6E-409C-BE32-E72D297353CC}">
              <c16:uniqueId val="{000000BF-D994-475D-8D6A-2553892D8F00}"/>
            </c:ext>
          </c:extLst>
        </c:ser>
        <c:ser>
          <c:idx val="158"/>
          <c:order val="158"/>
          <c:spPr>
            <a:ln w="3175">
              <a:solidFill>
                <a:srgbClr val="000000"/>
              </a:solidFill>
              <a:prstDash val="solid"/>
            </a:ln>
          </c:spPr>
          <c:marker>
            <c:symbol val="none"/>
          </c:marker>
          <c:xVal>
            <c:numLit>
              <c:formatCode>General</c:formatCode>
              <c:ptCount val="2"/>
              <c:pt idx="0">
                <c:v>-5.0760545707644287</c:v>
              </c:pt>
              <c:pt idx="1">
                <c:v>-5.3460128829950957</c:v>
              </c:pt>
            </c:numLit>
          </c:xVal>
          <c:yVal>
            <c:numLit>
              <c:formatCode>General</c:formatCode>
              <c:ptCount val="2"/>
              <c:pt idx="0">
                <c:v>1.6413377441842833E-2</c:v>
              </c:pt>
              <c:pt idx="1">
                <c:v>1.6316592672739466E-2</c:v>
              </c:pt>
            </c:numLit>
          </c:yVal>
          <c:smooth val="0"/>
          <c:extLst>
            <c:ext xmlns:c16="http://schemas.microsoft.com/office/drawing/2014/chart" uri="{C3380CC4-5D6E-409C-BE32-E72D297353CC}">
              <c16:uniqueId val="{000000C0-D994-475D-8D6A-2553892D8F00}"/>
            </c:ext>
          </c:extLst>
        </c:ser>
        <c:ser>
          <c:idx val="159"/>
          <c:order val="159"/>
          <c:spPr>
            <a:ln w="3175">
              <a:solidFill>
                <a:srgbClr val="000000"/>
              </a:solidFill>
              <a:prstDash val="solid"/>
            </a:ln>
          </c:spPr>
          <c:marker>
            <c:symbol val="none"/>
          </c:marker>
          <c:xVal>
            <c:numLit>
              <c:formatCode>General</c:formatCode>
              <c:ptCount val="2"/>
              <c:pt idx="0">
                <c:v>-4.9868026312391578</c:v>
              </c:pt>
              <c:pt idx="1">
                <c:v>-5.2548484019085686</c:v>
              </c:pt>
            </c:numLit>
          </c:xVal>
          <c:yVal>
            <c:numLit>
              <c:formatCode>General</c:formatCode>
              <c:ptCount val="2"/>
              <c:pt idx="0">
                <c:v>1.6279646915363419E-2</c:v>
              </c:pt>
              <c:pt idx="1">
                <c:v>1.6179996492121203E-2</c:v>
              </c:pt>
            </c:numLit>
          </c:yVal>
          <c:smooth val="0"/>
          <c:extLst>
            <c:ext xmlns:c16="http://schemas.microsoft.com/office/drawing/2014/chart" uri="{C3380CC4-5D6E-409C-BE32-E72D297353CC}">
              <c16:uniqueId val="{000000C1-D994-475D-8D6A-2553892D8F00}"/>
            </c:ext>
          </c:extLst>
        </c:ser>
        <c:ser>
          <c:idx val="160"/>
          <c:order val="160"/>
          <c:spPr>
            <a:ln w="3175">
              <a:solidFill>
                <a:srgbClr val="000000"/>
              </a:solidFill>
              <a:prstDash val="solid"/>
            </a:ln>
          </c:spPr>
          <c:marker>
            <c:symbol val="none"/>
          </c:marker>
          <c:xVal>
            <c:numLit>
              <c:formatCode>General</c:formatCode>
              <c:ptCount val="2"/>
              <c:pt idx="0">
                <c:v>-4.889289615730835</c:v>
              </c:pt>
              <c:pt idx="1">
                <c:v>-5.155245821782211</c:v>
              </c:pt>
            </c:numLit>
          </c:xVal>
          <c:yVal>
            <c:numLit>
              <c:formatCode>General</c:formatCode>
              <c:ptCount val="2"/>
              <c:pt idx="0">
                <c:v>1.6138842151410121E-2</c:v>
              </c:pt>
              <c:pt idx="1">
                <c:v>1.6036174483226053E-2</c:v>
              </c:pt>
            </c:numLit>
          </c:yVal>
          <c:smooth val="0"/>
          <c:extLst>
            <c:ext xmlns:c16="http://schemas.microsoft.com/office/drawing/2014/chart" uri="{C3380CC4-5D6E-409C-BE32-E72D297353CC}">
              <c16:uniqueId val="{000000C2-D994-475D-8D6A-2553892D8F00}"/>
            </c:ext>
          </c:extLst>
        </c:ser>
        <c:ser>
          <c:idx val="161"/>
          <c:order val="161"/>
          <c:spPr>
            <a:ln w="3175">
              <a:solidFill>
                <a:srgbClr val="000000"/>
              </a:solidFill>
              <a:prstDash val="solid"/>
            </a:ln>
          </c:spPr>
          <c:marker>
            <c:symbol val="none"/>
          </c:marker>
          <c:xVal>
            <c:numLit>
              <c:formatCode>General</c:formatCode>
              <c:ptCount val="2"/>
              <c:pt idx="0">
                <c:v>-4.7825409137469856</c:v>
              </c:pt>
              <c:pt idx="1">
                <c:v>-5.0462096476129927</c:v>
              </c:pt>
            </c:numLit>
          </c:xVal>
          <c:yVal>
            <c:numLit>
              <c:formatCode>General</c:formatCode>
              <c:ptCount val="2"/>
              <c:pt idx="0">
                <c:v>1.599050751826438E-2</c:v>
              </c:pt>
              <c:pt idx="1">
                <c:v>1.5884661250798619E-2</c:v>
              </c:pt>
            </c:numLit>
          </c:yVal>
          <c:smooth val="0"/>
          <c:extLst>
            <c:ext xmlns:c16="http://schemas.microsoft.com/office/drawing/2014/chart" uri="{C3380CC4-5D6E-409C-BE32-E72D297353CC}">
              <c16:uniqueId val="{000000C3-D994-475D-8D6A-2553892D8F00}"/>
            </c:ext>
          </c:extLst>
        </c:ser>
        <c:ser>
          <c:idx val="162"/>
          <c:order val="162"/>
          <c:spPr>
            <a:ln w="3175">
              <a:solidFill>
                <a:srgbClr val="000000"/>
              </a:solidFill>
              <a:prstDash val="solid"/>
            </a:ln>
          </c:spPr>
          <c:marker>
            <c:symbol val="none"/>
          </c:marker>
          <c:xVal>
            <c:numLit>
              <c:formatCode>General</c:formatCode>
              <c:ptCount val="2"/>
              <c:pt idx="0">
                <c:v>-4.6654480091532298</c:v>
              </c:pt>
              <c:pt idx="1">
                <c:v>-5.1877672095455107</c:v>
              </c:pt>
            </c:numLit>
          </c:xVal>
          <c:yVal>
            <c:numLit>
              <c:formatCode>General</c:formatCode>
              <c:ptCount val="2"/>
              <c:pt idx="0">
                <c:v>1.5834167623770514E-2</c:v>
              </c:pt>
              <c:pt idx="1">
                <c:v>1.5615774807646391E-2</c:v>
              </c:pt>
            </c:numLit>
          </c:yVal>
          <c:smooth val="0"/>
          <c:extLst>
            <c:ext xmlns:c16="http://schemas.microsoft.com/office/drawing/2014/chart" uri="{C3380CC4-5D6E-409C-BE32-E72D297353CC}">
              <c16:uniqueId val="{000000C4-D994-475D-8D6A-2553892D8F00}"/>
            </c:ext>
          </c:extLst>
        </c:ser>
        <c:ser>
          <c:idx val="163"/>
          <c:order val="163"/>
          <c:spPr>
            <a:ln w="3175">
              <a:solidFill>
                <a:srgbClr val="000000"/>
              </a:solidFill>
              <a:prstDash val="solid"/>
            </a:ln>
          </c:spPr>
          <c:marker>
            <c:symbol val="none"/>
          </c:marker>
          <c:dLbls>
            <c:dLbl>
              <c:idx val="0"/>
              <c:tx>
                <c:rich>
                  <a:bodyPr rot="-17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5-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-6.1453524102646933</c:v>
              </c:pt>
            </c:numLit>
          </c:xVal>
          <c:yVal>
            <c:numLit>
              <c:formatCode>General</c:formatCode>
              <c:ptCount val="1"/>
              <c:pt idx="0">
                <c:v>1.5215387978085504E-2</c:v>
              </c:pt>
            </c:numLit>
          </c:yVal>
          <c:smooth val="0"/>
          <c:extLst>
            <c:ext xmlns:c16="http://schemas.microsoft.com/office/drawing/2014/chart" uri="{C3380CC4-5D6E-409C-BE32-E72D297353CC}">
              <c16:uniqueId val="{000000C6-D994-475D-8D6A-2553892D8F00}"/>
            </c:ext>
          </c:extLst>
        </c:ser>
        <c:ser>
          <c:idx val="164"/>
          <c:order val="164"/>
          <c:spPr>
            <a:ln w="3175">
              <a:solidFill>
                <a:srgbClr val="000000"/>
              </a:solidFill>
              <a:prstDash val="solid"/>
            </a:ln>
          </c:spPr>
          <c:marker>
            <c:symbol val="none"/>
          </c:marker>
          <c:xVal>
            <c:numLit>
              <c:formatCode>General</c:formatCode>
              <c:ptCount val="2"/>
              <c:pt idx="0">
                <c:v>-4.5367490194500562</c:v>
              </c:pt>
              <c:pt idx="1">
                <c:v>-4.7951507841525576</c:v>
              </c:pt>
            </c:numLit>
          </c:xVal>
          <c:yVal>
            <c:numLit>
              <c:formatCode>General</c:formatCode>
              <c:ptCount val="2"/>
              <c:pt idx="0">
                <c:v>1.5669331520569488E-2</c:v>
              </c:pt>
              <c:pt idx="1">
                <c:v>1.5556602910295978E-2</c:v>
              </c:pt>
            </c:numLit>
          </c:yVal>
          <c:smooth val="0"/>
          <c:extLst>
            <c:ext xmlns:c16="http://schemas.microsoft.com/office/drawing/2014/chart" uri="{C3380CC4-5D6E-409C-BE32-E72D297353CC}">
              <c16:uniqueId val="{000000C7-D994-475D-8D6A-2553892D8F00}"/>
            </c:ext>
          </c:extLst>
        </c:ser>
        <c:ser>
          <c:idx val="165"/>
          <c:order val="165"/>
          <c:spPr>
            <a:ln w="3175">
              <a:solidFill>
                <a:srgbClr val="000000"/>
              </a:solidFill>
              <a:prstDash val="solid"/>
            </a:ln>
          </c:spPr>
          <c:marker>
            <c:symbol val="none"/>
          </c:marker>
          <c:xVal>
            <c:numLit>
              <c:formatCode>General</c:formatCode>
              <c:ptCount val="2"/>
              <c:pt idx="0">
                <c:v>-4.3950067701211761</c:v>
              </c:pt>
              <c:pt idx="1">
                <c:v>-4.650371200909488</c:v>
              </c:pt>
            </c:numLit>
          </c:xVal>
          <c:yVal>
            <c:numLit>
              <c:formatCode>General</c:formatCode>
              <c:ptCount val="2"/>
              <c:pt idx="0">
                <c:v>1.5495499179174118E-2</c:v>
              </c:pt>
              <c:pt idx="1">
                <c:v>1.5379045590156421E-2</c:v>
              </c:pt>
            </c:numLit>
          </c:yVal>
          <c:smooth val="0"/>
          <c:extLst>
            <c:ext xmlns:c16="http://schemas.microsoft.com/office/drawing/2014/chart" uri="{C3380CC4-5D6E-409C-BE32-E72D297353CC}">
              <c16:uniqueId val="{000000C8-D994-475D-8D6A-2553892D8F00}"/>
            </c:ext>
          </c:extLst>
        </c:ser>
        <c:ser>
          <c:idx val="166"/>
          <c:order val="166"/>
          <c:spPr>
            <a:ln w="3175">
              <a:solidFill>
                <a:srgbClr val="000000"/>
              </a:solidFill>
              <a:prstDash val="solid"/>
            </a:ln>
          </c:spPr>
          <c:marker>
            <c:symbol val="none"/>
          </c:marker>
          <c:xVal>
            <c:numLit>
              <c:formatCode>General</c:formatCode>
              <c:ptCount val="2"/>
              <c:pt idx="0">
                <c:v>-4.2385843738412259</c:v>
              </c:pt>
              <c:pt idx="1">
                <c:v>-4.4905968961378235</c:v>
              </c:pt>
            </c:numLit>
          </c:xVal>
          <c:yVal>
            <c:numLit>
              <c:formatCode>General</c:formatCode>
              <c:ptCount val="2"/>
              <c:pt idx="0">
                <c:v>1.5312170997110987E-2</c:v>
              </c:pt>
              <c:pt idx="1">
                <c:v>1.5191788947049081E-2</c:v>
              </c:pt>
            </c:numLit>
          </c:yVal>
          <c:smooth val="0"/>
          <c:extLst>
            <c:ext xmlns:c16="http://schemas.microsoft.com/office/drawing/2014/chart" uri="{C3380CC4-5D6E-409C-BE32-E72D297353CC}">
              <c16:uniqueId val="{000000C9-D994-475D-8D6A-2553892D8F00}"/>
            </c:ext>
          </c:extLst>
        </c:ser>
        <c:ser>
          <c:idx val="167"/>
          <c:order val="167"/>
          <c:spPr>
            <a:ln w="3175">
              <a:solidFill>
                <a:srgbClr val="000000"/>
              </a:solidFill>
              <a:prstDash val="solid"/>
            </a:ln>
          </c:spPr>
          <c:marker>
            <c:symbol val="none"/>
          </c:marker>
          <c:xVal>
            <c:numLit>
              <c:formatCode>General</c:formatCode>
              <c:ptCount val="2"/>
              <c:pt idx="0">
                <c:v>-4.0656184666577015</c:v>
              </c:pt>
              <c:pt idx="1">
                <c:v>-4.3139245766575094</c:v>
              </c:pt>
            </c:numLit>
          </c:xVal>
          <c:yVal>
            <c:numLit>
              <c:formatCode>General</c:formatCode>
              <c:ptCount val="2"/>
              <c:pt idx="0">
                <c:v>1.5118861327289309E-2</c:v>
              </c:pt>
              <c:pt idx="1">
                <c:v>1.4994336927159794E-2</c:v>
              </c:pt>
            </c:numLit>
          </c:yVal>
          <c:smooth val="0"/>
          <c:extLst>
            <c:ext xmlns:c16="http://schemas.microsoft.com/office/drawing/2014/chart" uri="{C3380CC4-5D6E-409C-BE32-E72D297353CC}">
              <c16:uniqueId val="{000000CA-D994-475D-8D6A-2553892D8F00}"/>
            </c:ext>
          </c:extLst>
        </c:ser>
        <c:ser>
          <c:idx val="168"/>
          <c:order val="168"/>
          <c:spPr>
            <a:ln w="3175">
              <a:solidFill>
                <a:srgbClr val="000000"/>
              </a:solidFill>
              <a:prstDash val="solid"/>
            </a:ln>
          </c:spPr>
          <c:marker>
            <c:symbol val="none"/>
          </c:marker>
          <c:xVal>
            <c:numLit>
              <c:formatCode>General</c:formatCode>
              <c:ptCount val="2"/>
              <c:pt idx="0">
                <c:v>-3.8739905493226741</c:v>
              </c:pt>
              <c:pt idx="1">
                <c:v>-4.3623901442936459</c:v>
              </c:pt>
            </c:numLit>
          </c:xVal>
          <c:yVal>
            <c:numLit>
              <c:formatCode>General</c:formatCode>
              <c:ptCount val="2"/>
              <c:pt idx="0">
                <c:v>1.4915117265152884E-2</c:v>
              </c:pt>
              <c:pt idx="1">
                <c:v>1.4657336576516579E-2</c:v>
              </c:pt>
            </c:numLit>
          </c:yVal>
          <c:smooth val="0"/>
          <c:extLst>
            <c:ext xmlns:c16="http://schemas.microsoft.com/office/drawing/2014/chart" uri="{C3380CC4-5D6E-409C-BE32-E72D297353CC}">
              <c16:uniqueId val="{000000CB-D994-475D-8D6A-2553892D8F00}"/>
            </c:ext>
          </c:extLst>
        </c:ser>
        <c:ser>
          <c:idx val="169"/>
          <c:order val="169"/>
          <c:spPr>
            <a:ln w="3175">
              <a:solidFill>
                <a:srgbClr val="000000"/>
              </a:solidFill>
              <a:prstDash val="solid"/>
            </a:ln>
          </c:spPr>
          <c:marker>
            <c:symbol val="none"/>
          </c:marker>
          <c:dLbls>
            <c:dLbl>
              <c:idx val="0"/>
              <c:tx>
                <c:rich>
                  <a:bodyPr rot="-21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C-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-5.2577894017404265</c:v>
              </c:pt>
            </c:numLit>
          </c:xVal>
          <c:yVal>
            <c:numLit>
              <c:formatCode>General</c:formatCode>
              <c:ptCount val="1"/>
              <c:pt idx="0">
                <c:v>1.418473864735002E-2</c:v>
              </c:pt>
            </c:numLit>
          </c:yVal>
          <c:smooth val="0"/>
          <c:extLst>
            <c:ext xmlns:c16="http://schemas.microsoft.com/office/drawing/2014/chart" uri="{C3380CC4-5D6E-409C-BE32-E72D297353CC}">
              <c16:uniqueId val="{000000CD-D994-475D-8D6A-2553892D8F00}"/>
            </c:ext>
          </c:extLst>
        </c:ser>
        <c:ser>
          <c:idx val="170"/>
          <c:order val="170"/>
          <c:spPr>
            <a:ln w="3175">
              <a:solidFill>
                <a:srgbClr val="000000"/>
              </a:solidFill>
              <a:prstDash val="solid"/>
            </a:ln>
          </c:spPr>
          <c:marker>
            <c:symbol val="none"/>
          </c:marker>
          <c:xVal>
            <c:numLit>
              <c:formatCode>General</c:formatCode>
              <c:ptCount val="2"/>
              <c:pt idx="0">
                <c:v>-3.7704392439481627</c:v>
              </c:pt>
              <c:pt idx="1">
                <c:v>-4.0124200848899099</c:v>
              </c:pt>
            </c:numLit>
          </c:xVal>
          <c:yVal>
            <c:numLit>
              <c:formatCode>General</c:formatCode>
              <c:ptCount val="2"/>
              <c:pt idx="0">
                <c:v>1.4809205883937578E-2</c:v>
              </c:pt>
              <c:pt idx="1">
                <c:v>1.4678046010021956E-2</c:v>
              </c:pt>
            </c:numLit>
          </c:yVal>
          <c:smooth val="0"/>
          <c:extLst>
            <c:ext xmlns:c16="http://schemas.microsoft.com/office/drawing/2014/chart" uri="{C3380CC4-5D6E-409C-BE32-E72D297353CC}">
              <c16:uniqueId val="{000000CE-D994-475D-8D6A-2553892D8F00}"/>
            </c:ext>
          </c:extLst>
        </c:ser>
        <c:ser>
          <c:idx val="171"/>
          <c:order val="171"/>
          <c:spPr>
            <a:ln w="3175">
              <a:solidFill>
                <a:srgbClr val="000000"/>
              </a:solidFill>
              <a:prstDash val="solid"/>
            </a:ln>
          </c:spPr>
          <c:marker>
            <c:symbol val="none"/>
          </c:marker>
          <c:xVal>
            <c:numLit>
              <c:formatCode>General</c:formatCode>
              <c:ptCount val="2"/>
              <c:pt idx="0">
                <c:v>-3.6612973419810073</c:v>
              </c:pt>
              <c:pt idx="1">
                <c:v>-4.1405815137801936</c:v>
              </c:pt>
            </c:numLit>
          </c:xVal>
          <c:yVal>
            <c:numLit>
              <c:formatCode>General</c:formatCode>
              <c:ptCount val="2"/>
              <c:pt idx="0">
                <c:v>1.4700544227002829E-2</c:v>
              </c:pt>
              <c:pt idx="1">
                <c:v>1.4433567551017237E-2</c:v>
              </c:pt>
            </c:numLit>
          </c:yVal>
          <c:smooth val="0"/>
          <c:extLst>
            <c:ext xmlns:c16="http://schemas.microsoft.com/office/drawing/2014/chart" uri="{C3380CC4-5D6E-409C-BE32-E72D297353CC}">
              <c16:uniqueId val="{000000CF-D994-475D-8D6A-2553892D8F00}"/>
            </c:ext>
          </c:extLst>
        </c:ser>
        <c:ser>
          <c:idx val="172"/>
          <c:order val="172"/>
          <c:spPr>
            <a:ln w="3175">
              <a:solidFill>
                <a:srgbClr val="000000"/>
              </a:solidFill>
              <a:prstDash val="solid"/>
            </a:ln>
          </c:spPr>
          <c:marker>
            <c:symbol val="none"/>
          </c:marker>
          <c:xVal>
            <c:numLit>
              <c:formatCode>General</c:formatCode>
              <c:ptCount val="2"/>
              <c:pt idx="0">
                <c:v>-3.5462151642748525</c:v>
              </c:pt>
              <c:pt idx="1">
                <c:v>-3.7833912035093142</c:v>
              </c:pt>
            </c:numLit>
          </c:xVal>
          <c:yVal>
            <c:numLit>
              <c:formatCode>General</c:formatCode>
              <c:ptCount val="2"/>
              <c:pt idx="0">
                <c:v>1.4589097690626144E-2</c:v>
              </c:pt>
              <c:pt idx="1">
                <c:v>1.4453221212568132E-2</c:v>
              </c:pt>
            </c:numLit>
          </c:yVal>
          <c:smooth val="0"/>
          <c:extLst>
            <c:ext xmlns:c16="http://schemas.microsoft.com/office/drawing/2014/chart" uri="{C3380CC4-5D6E-409C-BE32-E72D297353CC}">
              <c16:uniqueId val="{000000D0-D994-475D-8D6A-2553892D8F00}"/>
            </c:ext>
          </c:extLst>
        </c:ser>
        <c:ser>
          <c:idx val="173"/>
          <c:order val="173"/>
          <c:spPr>
            <a:ln w="3175">
              <a:solidFill>
                <a:srgbClr val="000000"/>
              </a:solidFill>
              <a:prstDash val="solid"/>
            </a:ln>
          </c:spPr>
          <c:marker>
            <c:symbol val="none"/>
          </c:marker>
          <c:xVal>
            <c:numLit>
              <c:formatCode>General</c:formatCode>
              <c:ptCount val="2"/>
              <c:pt idx="0">
                <c:v>-3.4248217502543765</c:v>
              </c:pt>
              <c:pt idx="1">
                <c:v>-3.8939712538367064</c:v>
              </c:pt>
            </c:numLit>
          </c:xVal>
          <c:yVal>
            <c:numLit>
              <c:formatCode>General</c:formatCode>
              <c:ptCount val="2"/>
              <c:pt idx="0">
                <c:v>1.4474840163683531E-2</c:v>
              </c:pt>
              <c:pt idx="1">
                <c:v>1.4198190456412825E-2</c:v>
              </c:pt>
            </c:numLit>
          </c:yVal>
          <c:smooth val="0"/>
          <c:extLst>
            <c:ext xmlns:c16="http://schemas.microsoft.com/office/drawing/2014/chart" uri="{C3380CC4-5D6E-409C-BE32-E72D297353CC}">
              <c16:uniqueId val="{000000D1-D994-475D-8D6A-2553892D8F00}"/>
            </c:ext>
          </c:extLst>
        </c:ser>
        <c:ser>
          <c:idx val="174"/>
          <c:order val="174"/>
          <c:spPr>
            <a:ln w="3175">
              <a:solidFill>
                <a:srgbClr val="000000"/>
              </a:solidFill>
              <a:prstDash val="solid"/>
            </a:ln>
          </c:spPr>
          <c:marker>
            <c:symbol val="none"/>
          </c:marker>
          <c:xVal>
            <c:numLit>
              <c:formatCode>General</c:formatCode>
              <c:ptCount val="2"/>
              <c:pt idx="0">
                <c:v>-3.2967241795418643</c:v>
              </c:pt>
              <c:pt idx="1">
                <c:v>-3.5285539833891901</c:v>
              </c:pt>
            </c:numLit>
          </c:xVal>
          <c:yVal>
            <c:numLit>
              <c:formatCode>General</c:formatCode>
              <c:ptCount val="2"/>
              <c:pt idx="0">
                <c:v>1.4357755721848364E-2</c:v>
              </c:pt>
              <c:pt idx="1">
                <c:v>1.421692191588797E-2</c:v>
              </c:pt>
            </c:numLit>
          </c:yVal>
          <c:smooth val="0"/>
          <c:extLst>
            <c:ext xmlns:c16="http://schemas.microsoft.com/office/drawing/2014/chart" uri="{C3380CC4-5D6E-409C-BE32-E72D297353CC}">
              <c16:uniqueId val="{000000D2-D994-475D-8D6A-2553892D8F00}"/>
            </c:ext>
          </c:extLst>
        </c:ser>
        <c:ser>
          <c:idx val="175"/>
          <c:order val="175"/>
          <c:spPr>
            <a:ln w="3175">
              <a:solidFill>
                <a:srgbClr val="000000"/>
              </a:solidFill>
              <a:prstDash val="solid"/>
            </a:ln>
          </c:spPr>
          <c:marker>
            <c:symbol val="none"/>
          </c:marker>
          <c:xVal>
            <c:numLit>
              <c:formatCode>General</c:formatCode>
              <c:ptCount val="2"/>
              <c:pt idx="0">
                <c:v>-3.1615070418306956</c:v>
              </c:pt>
              <c:pt idx="1">
                <c:v>-3.6193716293377252</c:v>
              </c:pt>
            </c:numLit>
          </c:xVal>
          <c:yVal>
            <c:numLit>
              <c:formatCode>General</c:formatCode>
              <c:ptCount val="2"/>
              <c:pt idx="0">
                <c:v>1.4237840545403689E-2</c:v>
              </c:pt>
              <c:pt idx="1">
                <c:v>1.3951033711635275E-2</c:v>
              </c:pt>
            </c:numLit>
          </c:yVal>
          <c:smooth val="0"/>
          <c:extLst>
            <c:ext xmlns:c16="http://schemas.microsoft.com/office/drawing/2014/chart" uri="{C3380CC4-5D6E-409C-BE32-E72D297353CC}">
              <c16:uniqueId val="{000000D3-D994-475D-8D6A-2553892D8F00}"/>
            </c:ext>
          </c:extLst>
        </c:ser>
        <c:ser>
          <c:idx val="176"/>
          <c:order val="176"/>
          <c:spPr>
            <a:ln w="3175">
              <a:solidFill>
                <a:srgbClr val="000000"/>
              </a:solidFill>
              <a:prstDash val="solid"/>
            </a:ln>
          </c:spPr>
          <c:marker>
            <c:symbol val="none"/>
          </c:marker>
          <c:dLbls>
            <c:dLbl>
              <c:idx val="0"/>
              <c:tx>
                <c:rich>
                  <a:bodyPr rot="-2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D4-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-4.4587900397672797</c:v>
              </c:pt>
            </c:numLit>
          </c:xVal>
          <c:yVal>
            <c:numLit>
              <c:formatCode>General</c:formatCode>
              <c:ptCount val="1"/>
              <c:pt idx="0">
                <c:v>1.3425221183059851E-2</c:v>
              </c:pt>
            </c:numLit>
          </c:yVal>
          <c:smooth val="0"/>
          <c:extLst>
            <c:ext xmlns:c16="http://schemas.microsoft.com/office/drawing/2014/chart" uri="{C3380CC4-5D6E-409C-BE32-E72D297353CC}">
              <c16:uniqueId val="{000000D5-D994-475D-8D6A-2553892D8F00}"/>
            </c:ext>
          </c:extLst>
        </c:ser>
        <c:ser>
          <c:idx val="177"/>
          <c:order val="177"/>
          <c:spPr>
            <a:ln w="3175">
              <a:solidFill>
                <a:srgbClr val="000000"/>
              </a:solidFill>
              <a:prstDash val="solid"/>
            </a:ln>
          </c:spPr>
          <c:marker>
            <c:symbol val="none"/>
          </c:marker>
          <c:xVal>
            <c:numLit>
              <c:formatCode>General</c:formatCode>
              <c:ptCount val="2"/>
              <c:pt idx="0">
                <c:v>-3.0187321044678757</c:v>
              </c:pt>
              <c:pt idx="1">
                <c:v>-3.2446049352779021</c:v>
              </c:pt>
            </c:numLit>
          </c:xVal>
          <c:yVal>
            <c:numLit>
              <c:formatCode>General</c:formatCode>
              <c:ptCount val="2"/>
              <c:pt idx="0">
                <c:v>1.4115105078987998E-2</c:v>
              </c:pt>
              <c:pt idx="1">
                <c:v>1.3969071616394883E-2</c:v>
              </c:pt>
            </c:numLit>
          </c:yVal>
          <c:smooth val="0"/>
          <c:extLst>
            <c:ext xmlns:c16="http://schemas.microsoft.com/office/drawing/2014/chart" uri="{C3380CC4-5D6E-409C-BE32-E72D297353CC}">
              <c16:uniqueId val="{000000D6-D994-475D-8D6A-2553892D8F00}"/>
            </c:ext>
          </c:extLst>
        </c:ser>
        <c:ser>
          <c:idx val="178"/>
          <c:order val="178"/>
          <c:spPr>
            <a:ln w="3175">
              <a:solidFill>
                <a:srgbClr val="000000"/>
              </a:solidFill>
              <a:prstDash val="solid"/>
            </a:ln>
          </c:spPr>
          <c:marker>
            <c:symbol val="none"/>
          </c:marker>
          <c:xVal>
            <c:numLit>
              <c:formatCode>General</c:formatCode>
              <c:ptCount val="2"/>
              <c:pt idx="0">
                <c:v>-2.8679382367257746</c:v>
              </c:pt>
              <c:pt idx="1">
                <c:v>-3.3132213040140215</c:v>
              </c:pt>
            </c:numLit>
          </c:xVal>
          <c:yVal>
            <c:numLit>
              <c:formatCode>General</c:formatCode>
              <c:ptCount val="2"/>
              <c:pt idx="0">
                <c:v>1.3989576450102176E-2</c:v>
              </c:pt>
              <c:pt idx="1">
                <c:v>1.3692129726535128E-2</c:v>
              </c:pt>
            </c:numLit>
          </c:yVal>
          <c:smooth val="0"/>
          <c:extLst>
            <c:ext xmlns:c16="http://schemas.microsoft.com/office/drawing/2014/chart" uri="{C3380CC4-5D6E-409C-BE32-E72D297353CC}">
              <c16:uniqueId val="{000000D7-D994-475D-8D6A-2553892D8F00}"/>
            </c:ext>
          </c:extLst>
        </c:ser>
        <c:ser>
          <c:idx val="179"/>
          <c:order val="179"/>
          <c:spPr>
            <a:ln w="3175">
              <a:solidFill>
                <a:srgbClr val="000000"/>
              </a:solidFill>
              <a:prstDash val="solid"/>
            </a:ln>
          </c:spPr>
          <c:marker>
            <c:symbol val="none"/>
          </c:marker>
          <c:xVal>
            <c:numLit>
              <c:formatCode>General</c:formatCode>
              <c:ptCount val="2"/>
              <c:pt idx="0">
                <c:v>-2.7086416603368892</c:v>
              </c:pt>
              <c:pt idx="1">
                <c:v>-2.9278696959155375</c:v>
              </c:pt>
            </c:numLit>
          </c:xVal>
          <c:yVal>
            <c:numLit>
              <c:formatCode>General</c:formatCode>
              <c:ptCount val="2"/>
              <c:pt idx="0">
                <c:v>1.3861301160508996E-2</c:v>
              </c:pt>
              <c:pt idx="1">
                <c:v>1.3709829042519902E-2</c:v>
              </c:pt>
            </c:numLit>
          </c:yVal>
          <c:smooth val="0"/>
          <c:extLst>
            <c:ext xmlns:c16="http://schemas.microsoft.com/office/drawing/2014/chart" uri="{C3380CC4-5D6E-409C-BE32-E72D297353CC}">
              <c16:uniqueId val="{000000D8-D994-475D-8D6A-2553892D8F00}"/>
            </c:ext>
          </c:extLst>
        </c:ser>
        <c:ser>
          <c:idx val="180"/>
          <c:order val="180"/>
          <c:spPr>
            <a:ln w="3175">
              <a:solidFill>
                <a:srgbClr val="000000"/>
              </a:solidFill>
              <a:prstDash val="solid"/>
            </a:ln>
          </c:spPr>
          <c:marker>
            <c:symbol val="none"/>
          </c:marker>
          <c:xVal>
            <c:numLit>
              <c:formatCode>General</c:formatCode>
              <c:ptCount val="2"/>
              <c:pt idx="0">
                <c:v>-2.5403366074235816</c:v>
              </c:pt>
              <c:pt idx="1">
                <c:v>-2.9715796048845915</c:v>
              </c:pt>
            </c:numLit>
          </c:xVal>
          <c:yVal>
            <c:numLit>
              <c:formatCode>General</c:formatCode>
              <c:ptCount val="2"/>
              <c:pt idx="0">
                <c:v>1.3730348060406742E-2</c:v>
              </c:pt>
              <c:pt idx="1">
                <c:v>1.3421791548709889E-2</c:v>
              </c:pt>
            </c:numLit>
          </c:yVal>
          <c:smooth val="0"/>
          <c:extLst>
            <c:ext xmlns:c16="http://schemas.microsoft.com/office/drawing/2014/chart" uri="{C3380CC4-5D6E-409C-BE32-E72D297353CC}">
              <c16:uniqueId val="{000000D9-D994-475D-8D6A-2553892D8F00}"/>
            </c:ext>
          </c:extLst>
        </c:ser>
        <c:ser>
          <c:idx val="181"/>
          <c:order val="181"/>
          <c:spPr>
            <a:ln w="3175">
              <a:solidFill>
                <a:srgbClr val="000000"/>
              </a:solidFill>
              <a:prstDash val="solid"/>
            </a:ln>
          </c:spPr>
          <c:marker>
            <c:symbol val="none"/>
          </c:marker>
          <c:dLbls>
            <c:dLbl>
              <c:idx val="0"/>
              <c:tx>
                <c:rich>
                  <a:bodyPr rot="-26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DA-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-3.7621917668964442</c:v>
              </c:pt>
            </c:numLit>
          </c:xVal>
          <c:yVal>
            <c:numLit>
              <c:formatCode>General</c:formatCode>
              <c:ptCount val="1"/>
              <c:pt idx="0">
                <c:v>1.285610461059899E-2</c:v>
              </c:pt>
            </c:numLit>
          </c:yVal>
          <c:smooth val="0"/>
          <c:extLst>
            <c:ext xmlns:c16="http://schemas.microsoft.com/office/drawing/2014/chart" uri="{C3380CC4-5D6E-409C-BE32-E72D297353CC}">
              <c16:uniqueId val="{000000DB-D994-475D-8D6A-2553892D8F00}"/>
            </c:ext>
          </c:extLst>
        </c:ser>
        <c:ser>
          <c:idx val="182"/>
          <c:order val="182"/>
          <c:spPr>
            <a:ln w="3175">
              <a:solidFill>
                <a:srgbClr val="000000"/>
              </a:solidFill>
              <a:prstDash val="solid"/>
            </a:ln>
          </c:spPr>
          <c:marker>
            <c:symbol val="none"/>
          </c:marker>
          <c:xVal>
            <c:numLit>
              <c:formatCode>General</c:formatCode>
              <c:ptCount val="2"/>
              <c:pt idx="0">
                <c:v>-2.3624964792520693</c:v>
              </c:pt>
              <c:pt idx="1">
                <c:v>-2.5743071180931856</c:v>
              </c:pt>
            </c:numLit>
          </c:xVal>
          <c:yVal>
            <c:numLit>
              <c:formatCode>General</c:formatCode>
              <c:ptCount val="2"/>
              <c:pt idx="0">
                <c:v>1.3596811609050458E-2</c:v>
              </c:pt>
              <c:pt idx="1">
                <c:v>1.3439671857815824E-2</c:v>
              </c:pt>
            </c:numLit>
          </c:yVal>
          <c:smooth val="0"/>
          <c:extLst>
            <c:ext xmlns:c16="http://schemas.microsoft.com/office/drawing/2014/chart" uri="{C3380CC4-5D6E-409C-BE32-E72D297353CC}">
              <c16:uniqueId val="{000000DC-D994-475D-8D6A-2553892D8F00}"/>
            </c:ext>
          </c:extLst>
        </c:ser>
        <c:ser>
          <c:idx val="183"/>
          <c:order val="183"/>
          <c:spPr>
            <a:ln w="3175">
              <a:solidFill>
                <a:srgbClr val="000000"/>
              </a:solidFill>
              <a:prstDash val="solid"/>
            </a:ln>
          </c:spPr>
          <c:marker>
            <c:symbol val="none"/>
          </c:marker>
          <c:xVal>
            <c:numLit>
              <c:formatCode>General</c:formatCode>
              <c:ptCount val="2"/>
              <c:pt idx="0">
                <c:v>-2.1745756118950066</c:v>
              </c:pt>
              <c:pt idx="1">
                <c:v>-2.5901431381190783</c:v>
              </c:pt>
            </c:numLit>
          </c:xVal>
          <c:yVal>
            <c:numLit>
              <c:formatCode>General</c:formatCode>
              <c:ptCount val="2"/>
              <c:pt idx="0">
                <c:v>1.3460815416871075E-2</c:v>
              </c:pt>
              <c:pt idx="1">
                <c:v>1.314070750616555E-2</c:v>
              </c:pt>
            </c:numLit>
          </c:yVal>
          <c:smooth val="0"/>
          <c:extLst>
            <c:ext xmlns:c16="http://schemas.microsoft.com/office/drawing/2014/chart" uri="{C3380CC4-5D6E-409C-BE32-E72D297353CC}">
              <c16:uniqueId val="{000000DD-D994-475D-8D6A-2553892D8F00}"/>
            </c:ext>
          </c:extLst>
        </c:ser>
        <c:ser>
          <c:idx val="184"/>
          <c:order val="184"/>
          <c:spPr>
            <a:ln w="3175">
              <a:solidFill>
                <a:srgbClr val="000000"/>
              </a:solidFill>
              <a:prstDash val="solid"/>
            </a:ln>
          </c:spPr>
          <c:marker>
            <c:symbol val="none"/>
          </c:marker>
          <c:xVal>
            <c:numLit>
              <c:formatCode>General</c:formatCode>
              <c:ptCount val="2"/>
              <c:pt idx="0">
                <c:v>-1.9760117673163591</c:v>
              </c:pt>
              <c:pt idx="1">
                <c:v>-2.17954059090171</c:v>
              </c:pt>
            </c:numLit>
          </c:xVal>
          <c:yVal>
            <c:numLit>
              <c:formatCode>General</c:formatCode>
              <c:ptCount val="2"/>
              <c:pt idx="0">
                <c:v>1.3322516052611264E-2</c:v>
              </c:pt>
              <c:pt idx="1">
                <c:v>1.3159498539452934E-2</c:v>
              </c:pt>
            </c:numLit>
          </c:yVal>
          <c:smooth val="0"/>
          <c:extLst>
            <c:ext xmlns:c16="http://schemas.microsoft.com/office/drawing/2014/chart" uri="{C3380CC4-5D6E-409C-BE32-E72D297353CC}">
              <c16:uniqueId val="{000000DE-D994-475D-8D6A-2553892D8F00}"/>
            </c:ext>
          </c:extLst>
        </c:ser>
        <c:ser>
          <c:idx val="185"/>
          <c:order val="185"/>
          <c:spPr>
            <a:ln w="3175">
              <a:solidFill>
                <a:srgbClr val="000000"/>
              </a:solidFill>
              <a:prstDash val="solid"/>
            </a:ln>
          </c:spPr>
          <c:marker>
            <c:symbol val="none"/>
          </c:marker>
          <c:xVal>
            <c:numLit>
              <c:formatCode>General</c:formatCode>
              <c:ptCount val="2"/>
              <c:pt idx="0">
                <c:v>-1.7662294797563944</c:v>
              </c:pt>
              <c:pt idx="1">
                <c:v>-2.1642964574602397</c:v>
              </c:pt>
            </c:numLit>
          </c:xVal>
          <c:yVal>
            <c:numLit>
              <c:formatCode>General</c:formatCode>
              <c:ptCount val="2"/>
              <c:pt idx="0">
                <c:v>1.318210708405064E-2</c:v>
              </c:pt>
              <c:pt idx="1">
                <c:v>1.2850054530509953E-2</c:v>
              </c:pt>
            </c:numLit>
          </c:yVal>
          <c:smooth val="0"/>
          <c:extLst>
            <c:ext xmlns:c16="http://schemas.microsoft.com/office/drawing/2014/chart" uri="{C3380CC4-5D6E-409C-BE32-E72D297353CC}">
              <c16:uniqueId val="{000000DF-D994-475D-8D6A-2553892D8F00}"/>
            </c:ext>
          </c:extLst>
        </c:ser>
        <c:ser>
          <c:idx val="186"/>
          <c:order val="186"/>
          <c:spPr>
            <a:ln w="3175">
              <a:solidFill>
                <a:srgbClr val="000000"/>
              </a:solidFill>
              <a:prstDash val="solid"/>
            </a:ln>
          </c:spPr>
          <c:marker>
            <c:symbol val="none"/>
          </c:marker>
          <c:dLbls>
            <c:dLbl>
              <c:idx val="0"/>
              <c:tx>
                <c:rich>
                  <a:bodyPr rot="-28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E0-D994-475D-8D6A-2553892D8F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-2.8940859165839559</c:v>
              </c:pt>
            </c:numLit>
          </c:xVal>
          <c:yVal>
            <c:numLit>
              <c:formatCode>General</c:formatCode>
              <c:ptCount val="1"/>
              <c:pt idx="0">
                <c:v>1.2241291515685362E-2</c:v>
              </c:pt>
            </c:numLit>
          </c:yVal>
          <c:smooth val="0"/>
          <c:extLst>
            <c:ext xmlns:c16="http://schemas.microsoft.com/office/drawing/2014/chart" uri="{C3380CC4-5D6E-409C-BE32-E72D297353CC}">
              <c16:uniqueId val="{000000E1-D994-475D-8D6A-2553892D8F00}"/>
            </c:ext>
          </c:extLst>
        </c:ser>
        <c:ser>
          <c:idx val="187"/>
          <c:order val="187"/>
          <c:spPr>
            <a:ln w="3175">
              <a:solidFill>
                <a:srgbClr val="000000"/>
              </a:solidFill>
              <a:prstDash val="solid"/>
            </a:ln>
          </c:spPr>
          <c:marker>
            <c:symbol val="none"/>
          </c:marker>
          <c:xVal>
            <c:numLit>
              <c:formatCode>General</c:formatCode>
              <c:ptCount val="147"/>
              <c:pt idx="0">
                <c:v>16.810229479756391</c:v>
              </c:pt>
              <c:pt idx="1">
                <c:v>16.588644396444685</c:v>
              </c:pt>
              <c:pt idx="2">
                <c:v>16.354668757094764</c:v>
              </c:pt>
              <c:pt idx="3">
                <c:v>16.107718156429225</c:v>
              </c:pt>
              <c:pt idx="4">
                <c:v>15.847219725836448</c:v>
              </c:pt>
              <c:pt idx="5">
                <c:v>15.572621851491188</c:v>
              </c:pt>
              <c:pt idx="6">
                <c:v>15.283405513946459</c:v>
              </c:pt>
              <c:pt idx="7">
                <c:v>14.97909728533833</c:v>
              </c:pt>
              <c:pt idx="8">
                <c:v>14.659283952235356</c:v>
              </c:pt>
              <c:pt idx="9">
                <c:v>14.323628642858322</c:v>
              </c:pt>
              <c:pt idx="10">
                <c:v>13.971888226311023</c:v>
              </c:pt>
              <c:pt idx="11">
                <c:v>13.603931620112528</c:v>
              </c:pt>
              <c:pt idx="12">
                <c:v>13.2197584950931</c:v>
              </c:pt>
              <c:pt idx="13">
                <c:v>12.819517711563606</c:v>
              </c:pt>
              <c:pt idx="14">
                <c:v>12.403524669547116</c:v>
              </c:pt>
              <c:pt idx="15">
                <c:v>11.972276624673018</c:v>
              </c:pt>
              <c:pt idx="16">
                <c:v>11.526464929155814</c:v>
              </c:pt>
              <c:pt idx="17">
                <c:v>11.066983124686066</c:v>
              </c:pt>
              <c:pt idx="18">
                <c:v>10.594929860498169</c:v>
              </c:pt>
              <c:pt idx="19">
                <c:v>10.111605750259969</c:v>
              </c:pt>
              <c:pt idx="20">
                <c:v>9.6185035223870123</c:v>
              </c:pt>
              <c:pt idx="21">
                <c:v>9.1172911549090987</c:v>
              </c:pt>
              <c:pt idx="22">
                <c:v>8.6097880993478064</c:v>
              </c:pt>
              <c:pt idx="23">
                <c:v>8.0979351556909851</c:v>
              </c:pt>
              <c:pt idx="24">
                <c:v>7.5837590188694071</c:v>
              </c:pt>
              <c:pt idx="25">
                <c:v>7.069332926750965</c:v>
              </c:pt>
              <c:pt idx="26">
                <c:v>6.5567351526053601</c:v>
              </c:pt>
              <c:pt idx="27">
                <c:v>6.048007262567018</c:v>
              </c:pt>
              <c:pt idx="28">
                <c:v>5.5451140781737465</c:v>
              </c:pt>
              <c:pt idx="29">
                <c:v>5.0499071430589693</c:v>
              </c:pt>
              <c:pt idx="30">
                <c:v>4.5640932094034081</c:v>
              </c:pt>
              <c:pt idx="31">
                <c:v>4.0892088691906565</c:v>
              </c:pt>
              <c:pt idx="32">
                <c:v>3.6266020041010818</c:v>
              </c:pt>
              <c:pt idx="33">
                <c:v>3.1774202657841126</c:v>
              </c:pt>
              <c:pt idx="34">
                <c:v>2.7426063708388666</c:v>
              </c:pt>
              <c:pt idx="35">
                <c:v>2.3228996376269366</c:v>
              </c:pt>
              <c:pt idx="36">
                <c:v>1.9188429271939578</c:v>
              </c:pt>
              <c:pt idx="37">
                <c:v>1.5307939862731423</c:v>
              </c:pt>
              <c:pt idx="38">
                <c:v>1.1589401224706948</c:v>
              </c:pt>
              <c:pt idx="39">
                <c:v>0.80331515702341572</c:v>
              </c:pt>
              <c:pt idx="40">
                <c:v>0.4638176802814884</c:v>
              </c:pt>
              <c:pt idx="41">
                <c:v>0.14022975872621024</c:v>
              </c:pt>
              <c:pt idx="42">
                <c:v>-0.16776460974090424</c:v>
              </c:pt>
              <c:pt idx="43">
                <c:v>-0.46056184007219381</c:v>
              </c:pt>
              <c:pt idx="44">
                <c:v>-0.73862230174342836</c:v>
              </c:pt>
              <c:pt idx="45">
                <c:v>-1.002455319966258</c:v>
              </c:pt>
              <c:pt idx="46">
                <c:v>-1.2526057824083219</c:v>
              </c:pt>
              <c:pt idx="47">
                <c:v>-1.4896424028400646</c:v>
              </c:pt>
              <c:pt idx="48">
                <c:v>-1.7141476200677335</c:v>
              </c:pt>
              <c:pt idx="49">
                <c:v>-1.9267090572547372</c:v>
              </c:pt>
              <c:pt idx="50">
                <c:v>-2.1279124307072412</c:v>
              </c:pt>
              <c:pt idx="51">
                <c:v>-2.3183357754510565</c:v>
              </c:pt>
              <c:pt idx="52">
                <c:v>-2.4985448444866902</c:v>
              </c:pt>
              <c:pt idx="53">
                <c:v>-2.669089536724063</c:v>
              </c:pt>
              <c:pt idx="54">
                <c:v>-2.8305012128620142</c:v>
              </c:pt>
              <c:pt idx="55">
                <c:v>-2.9832907668862556</c:v>
              </c:pt>
              <c:pt idx="56">
                <c:v>-3.1279473318097732</c:v>
              </c:pt>
              <c:pt idx="57">
                <c:v>-3.3947050354255355</c:v>
              </c:pt>
              <c:pt idx="58">
                <c:v>-3.6342329977636059</c:v>
              </c:pt>
              <c:pt idx="59">
                <c:v>-3.8496301535387389</c:v>
              </c:pt>
              <c:pt idx="60">
                <c:v>-4.0436530888624631</c:v>
              </c:pt>
              <c:pt idx="61">
                <c:v>-4.2187412428710447</c:v>
              </c:pt>
              <c:pt idx="62">
                <c:v>-4.3770457171884622</c:v>
              </c:pt>
              <c:pt idx="63">
                <c:v>-4.5204589487479616</c:v>
              </c:pt>
              <c:pt idx="64">
                <c:v>-4.6506435459878448</c:v>
              </c:pt>
              <c:pt idx="65">
                <c:v>-4.7690593110363508</c:v>
              </c:pt>
              <c:pt idx="66">
                <c:v>-4.8769879543111792</c:v>
              </c:pt>
              <c:pt idx="67">
                <c:v>-4.97555532075208</c:v>
              </c:pt>
              <c:pt idx="68">
                <c:v>-5.0657511406962898</c:v>
              </c:pt>
              <c:pt idx="69">
                <c:v>-5.1484464315058194</c:v>
              </c:pt>
              <c:pt idx="70">
                <c:v>-5.2244087358312541</c:v>
              </c:pt>
              <c:pt idx="71">
                <c:v>-5.2943154079273143</c:v>
              </c:pt>
              <c:pt idx="72">
                <c:v>-5.358765163744196</c:v>
              </c:pt>
              <c:pt idx="73">
                <c:v>-5.4182881023183391</c:v>
              </c:pt>
              <c:pt idx="74">
                <c:v>-5.4733543909858673</c:v>
              </c:pt>
              <c:pt idx="75">
                <c:v>-5.5243817887928159</c:v>
              </c:pt>
              <c:pt idx="76">
                <c:v>-5.571742163443429</c:v>
              </c:pt>
              <c:pt idx="77">
                <c:v>-5.6567529906365968</c:v>
              </c:pt>
              <c:pt idx="78">
                <c:v>-5.7306406407761212</c:v>
              </c:pt>
              <c:pt idx="79">
                <c:v>-5.7952165720117108</c:v>
              </c:pt>
              <c:pt idx="80">
                <c:v>-5.851947118469381</c:v>
              </c:pt>
              <c:pt idx="81">
                <c:v>-5.9020274437754896</c:v>
              </c:pt>
              <c:pt idx="82">
                <c:v>-6.0041567309797621</c:v>
              </c:pt>
              <c:pt idx="83">
                <c:v>-6.0816762741522021</c:v>
              </c:pt>
              <c:pt idx="84">
                <c:v>-6.1418165019856463</c:v>
              </c:pt>
              <c:pt idx="85">
                <c:v>-6.1893611787955249</c:v>
              </c:pt>
              <c:pt idx="86">
                <c:v>-6.2275685419443816</c:v>
              </c:pt>
              <c:pt idx="87">
                <c:v>-6.2587153367755777</c:v>
              </c:pt>
              <c:pt idx="88">
                <c:v>-6.3058961870318369</c:v>
              </c:pt>
              <c:pt idx="89">
                <c:v>-6.3394006467143074</c:v>
              </c:pt>
              <c:pt idx="90">
                <c:v>-6.3640278309235088</c:v>
              </c:pt>
              <c:pt idx="91">
                <c:v>-6.382648783342864</c:v>
              </c:pt>
              <c:pt idx="92">
                <c:v>-6.3970641036563771</c:v>
              </c:pt>
              <c:pt idx="93">
                <c:v>-6.436353647558132</c:v>
              </c:pt>
              <c:pt idx="94">
                <c:v>-6.4527022004217862</c:v>
              </c:pt>
              <c:pt idx="95">
                <c:v>-6.4658267837767367</c:v>
              </c:pt>
              <c:pt idx="96">
                <c:v>-6.4708678812703511</c:v>
              </c:pt>
              <c:pt idx="97">
                <c:v>-6.4780000000000006</c:v>
              </c:pt>
              <c:pt idx="98">
                <c:v>-6.4687544134534143</c:v>
              </c:pt>
              <c:pt idx="99">
                <c:v>-6.4607910353144655</c:v>
              </c:pt>
              <c:pt idx="100">
                <c:v>-6.4354532742589932</c:v>
              </c:pt>
              <c:pt idx="101">
                <c:v>-6.3946145573537017</c:v>
              </c:pt>
              <c:pt idx="102">
                <c:v>-6.3795129803289274</c:v>
              </c:pt>
              <c:pt idx="103">
                <c:v>-6.3599248979775851</c:v>
              </c:pt>
              <c:pt idx="104">
                <c:v>-6.3338909498930658</c:v>
              </c:pt>
              <c:pt idx="105">
                <c:v>-6.2982611859413211</c:v>
              </c:pt>
              <c:pt idx="106">
                <c:v>-6.2477177107241779</c:v>
              </c:pt>
              <c:pt idx="107">
                <c:v>-6.2141364364601657</c:v>
              </c:pt>
              <c:pt idx="108">
                <c:v>-6.1727292094729158</c:v>
              </c:pt>
              <c:pt idx="109">
                <c:v>-6.1208981028564446</c:v>
              </c:pt>
              <c:pt idx="110">
                <c:v>-6.0548906661909623</c:v>
              </c:pt>
              <c:pt idx="111">
                <c:v>-5.969139454636716</c:v>
              </c:pt>
              <c:pt idx="112">
                <c:v>-5.8551287645325596</c:v>
              </c:pt>
              <c:pt idx="113">
                <c:v>-5.7988285531075912</c:v>
              </c:pt>
              <c:pt idx="114">
                <c:v>-5.7347616757504305</c:v>
              </c:pt>
              <c:pt idx="115">
                <c:v>-5.6614799564344587</c:v>
              </c:pt>
              <c:pt idx="116">
                <c:v>-5.5771951197065643</c:v>
              </c:pt>
              <c:pt idx="117">
                <c:v>-5.4796832004534721</c:v>
              </c:pt>
              <c:pt idx="118">
                <c:v>-5.4251226750385708</c:v>
              </c:pt>
              <c:pt idx="119">
                <c:v>-5.3661582607451805</c:v>
              </c:pt>
              <c:pt idx="120">
                <c:v>-5.3023264552641391</c:v>
              </c:pt>
              <c:pt idx="121">
                <c:v>-5.2331047854998651</c:v>
              </c:pt>
              <c:pt idx="122">
                <c:v>-5.1579032706065853</c:v>
              </c:pt>
              <c:pt idx="123">
                <c:v>-5.0760545707644287</c:v>
              </c:pt>
              <c:pt idx="124">
                <c:v>-4.9868026312391578</c:v>
              </c:pt>
              <c:pt idx="125">
                <c:v>-4.889289615730835</c:v>
              </c:pt>
              <c:pt idx="126">
                <c:v>-4.7825409137469856</c:v>
              </c:pt>
              <c:pt idx="127">
                <c:v>-4.6654480091532298</c:v>
              </c:pt>
              <c:pt idx="128">
                <c:v>-4.5367490194500562</c:v>
              </c:pt>
              <c:pt idx="129">
                <c:v>-4.3950067701211761</c:v>
              </c:pt>
              <c:pt idx="130">
                <c:v>-4.2385843738412259</c:v>
              </c:pt>
              <c:pt idx="131">
                <c:v>-4.0656184666577015</c:v>
              </c:pt>
              <c:pt idx="132">
                <c:v>-3.8739905493226741</c:v>
              </c:pt>
              <c:pt idx="133">
                <c:v>-3.7704392439481627</c:v>
              </c:pt>
              <c:pt idx="134">
                <c:v>-3.6612973419810073</c:v>
              </c:pt>
              <c:pt idx="135">
                <c:v>-3.5462151642748525</c:v>
              </c:pt>
              <c:pt idx="136">
                <c:v>-3.4248217502543765</c:v>
              </c:pt>
              <c:pt idx="137">
                <c:v>-3.2967241795418643</c:v>
              </c:pt>
              <c:pt idx="138">
                <c:v>-3.1615070418306956</c:v>
              </c:pt>
              <c:pt idx="139">
                <c:v>-3.0187321044678757</c:v>
              </c:pt>
              <c:pt idx="140">
                <c:v>-2.8679382367257746</c:v>
              </c:pt>
              <c:pt idx="141">
                <c:v>-2.7086416603368892</c:v>
              </c:pt>
              <c:pt idx="142">
                <c:v>-2.5403366074235816</c:v>
              </c:pt>
              <c:pt idx="143">
                <c:v>-2.3624964792520693</c:v>
              </c:pt>
              <c:pt idx="144">
                <c:v>-2.1745756118950066</c:v>
              </c:pt>
              <c:pt idx="145">
                <c:v>-1.9760117673163591</c:v>
              </c:pt>
              <c:pt idx="146">
                <c:v>-1.7662294797563944</c:v>
              </c:pt>
            </c:numLit>
          </c:xVal>
          <c:yVal>
            <c:numLit>
              <c:formatCode>General</c:formatCode>
              <c:ptCount val="147"/>
              <c:pt idx="0">
                <c:v>2.8677892915949361E-2</c:v>
              </c:pt>
              <c:pt idx="1">
                <c:v>2.882017669794408E-2</c:v>
              </c:pt>
              <c:pt idx="2">
                <c:v>2.8964054945422545E-2</c:v>
              </c:pt>
              <c:pt idx="3">
                <c:v>2.9109197410386176E-2</c:v>
              </c:pt>
              <c:pt idx="4">
                <c:v>2.9255219725836449E-2</c:v>
              </c:pt>
              <c:pt idx="5">
                <c:v>2.9401679479707257E-2</c:v>
              </c:pt>
              <c:pt idx="6">
                <c:v>2.9548072789216489E-2</c:v>
              </c:pt>
              <c:pt idx="7">
                <c:v>2.9693831622722384E-2</c:v>
              </c:pt>
              <c:pt idx="8">
                <c:v>2.9838322153782595E-2</c:v>
              </c:pt>
              <c:pt idx="9">
                <c:v>2.9980844463909358E-2</c:v>
              </c:pt>
              <c:pt idx="10">
                <c:v>3.0120633931542337E-2</c:v>
              </c:pt>
              <c:pt idx="11">
                <c:v>3.0256864649135986E-2</c:v>
              </c:pt>
              <c:pt idx="12">
                <c:v>3.0388655191524186E-2</c:v>
              </c:pt>
              <c:pt idx="13">
                <c:v>3.0515077010490988E-2</c:v>
              </c:pt>
              <c:pt idx="14">
                <c:v>3.0635165647360473E-2</c:v>
              </c:pt>
              <c:pt idx="15">
                <c:v>3.0747934834256706E-2</c:v>
              </c:pt>
              <c:pt idx="16">
                <c:v>3.085239339588855E-2</c:v>
              </c:pt>
              <c:pt idx="17">
                <c:v>3.0947564672567929E-2</c:v>
              </c:pt>
              <c:pt idx="18">
                <c:v>3.1032507972748882E-2</c:v>
              </c:pt>
              <c:pt idx="19">
                <c:v>3.1106341346724724E-2</c:v>
              </c:pt>
              <c:pt idx="20">
                <c:v>3.1168264774375409E-2</c:v>
              </c:pt>
              <c:pt idx="21">
                <c:v>3.1217582704093288E-2</c:v>
              </c:pt>
              <c:pt idx="22">
                <c:v>3.1253724791923544E-2</c:v>
              </c:pt>
              <c:pt idx="23">
                <c:v>3.127626368973449E-2</c:v>
              </c:pt>
              <c:pt idx="24">
                <c:v>3.1284928830437236E-2</c:v>
              </c:pt>
              <c:pt idx="25">
                <c:v>3.1279615356557502E-2</c:v>
              </c:pt>
              <c:pt idx="26">
                <c:v>3.1260387622117129E-2</c:v>
              </c:pt>
              <c:pt idx="27">
                <c:v>3.1227477040677638E-2</c:v>
              </c:pt>
              <c:pt idx="28">
                <c:v>3.1181274419367078E-2</c:v>
              </c:pt>
              <c:pt idx="29">
                <c:v>3.1122317270830653E-2</c:v>
              </c:pt>
              <c:pt idx="30">
                <c:v>3.1051272895714872E-2</c:v>
              </c:pt>
              <c:pt idx="31">
                <c:v>3.0968918248820355E-2</c:v>
              </c:pt>
              <c:pt idx="32">
                <c:v>3.0876117725569325E-2</c:v>
              </c:pt>
              <c:pt idx="33">
                <c:v>3.0773800028426088E-2</c:v>
              </c:pt>
              <c:pt idx="34">
                <c:v>3.0662935204324095E-2</c:v>
              </c:pt>
              <c:pt idx="35">
                <c:v>3.0544512802476664E-2</c:v>
              </c:pt>
              <c:pt idx="36">
                <c:v>3.04195219111833E-2</c:v>
              </c:pt>
              <c:pt idx="37">
                <c:v>3.0288933617716181E-2</c:v>
              </c:pt>
              <c:pt idx="38">
                <c:v>3.0153686220164965E-2</c:v>
              </c:pt>
              <c:pt idx="39">
                <c:v>3.0014673322626941E-2</c:v>
              </c:pt>
              <c:pt idx="40">
                <c:v>2.9872734777880133E-2</c:v>
              </c:pt>
              <c:pt idx="41">
                <c:v>2.9728650311281322E-2</c:v>
              </c:pt>
              <c:pt idx="42">
                <c:v>2.95831355675608E-2</c:v>
              </c:pt>
              <c:pt idx="43">
                <c:v>2.9436840266009144E-2</c:v>
              </c:pt>
              <c:pt idx="44">
                <c:v>2.9290348124299693E-2</c:v>
              </c:pt>
              <c:pt idx="45">
                <c:v>2.9144178210618831E-2</c:v>
              </c:pt>
              <c:pt idx="46">
                <c:v>2.8998787401373648E-2</c:v>
              </c:pt>
              <c:pt idx="47">
                <c:v>2.8854573651448525E-2</c:v>
              </c:pt>
              <c:pt idx="48">
                <c:v>2.8711879820593082E-2</c:v>
              </c:pt>
              <c:pt idx="49">
                <c:v>2.8570997838905359E-2</c:v>
              </c:pt>
              <c:pt idx="50">
                <c:v>2.8432173033455556E-2</c:v>
              </c:pt>
              <c:pt idx="51">
                <c:v>2.8295608474779587E-2</c:v>
              </c:pt>
              <c:pt idx="52">
                <c:v>2.8161469234973899E-2</c:v>
              </c:pt>
              <c:pt idx="53">
                <c:v>2.8029886477800841E-2</c:v>
              </c:pt>
              <c:pt idx="54">
                <c:v>2.7900961325394373E-2</c:v>
              </c:pt>
              <c:pt idx="55">
                <c:v>2.777476846598936E-2</c:v>
              </c:pt>
              <c:pt idx="56">
                <c:v>2.765135948293641E-2</c:v>
              </c:pt>
              <c:pt idx="57">
                <c:v>2.741300192776747E-2</c:v>
              </c:pt>
              <c:pt idx="58">
                <c:v>2.7185947823718054E-2</c:v>
              </c:pt>
              <c:pt idx="59">
                <c:v>2.6970052763706429E-2</c:v>
              </c:pt>
              <c:pt idx="60">
                <c:v>2.6765028589466222E-2</c:v>
              </c:pt>
              <c:pt idx="61">
                <c:v>2.6570489823461451E-2</c:v>
              </c:pt>
              <c:pt idx="62">
                <c:v>2.6385989057197627E-2</c:v>
              </c:pt>
              <c:pt idx="63">
                <c:v>2.6211043462266981E-2</c:v>
              </c:pt>
              <c:pt idx="64">
                <c:v>2.6045154305456879E-2</c:v>
              </c:pt>
              <c:pt idx="65">
                <c:v>2.5887821037250434E-2</c:v>
              </c:pt>
              <c:pt idx="66">
                <c:v>2.573855122669123E-2</c:v>
              </c:pt>
              <c:pt idx="67">
                <c:v>2.5596867354371416E-2</c:v>
              </c:pt>
              <c:pt idx="68">
                <c:v>2.5462311255383133E-2</c:v>
              </c:pt>
              <c:pt idx="69">
                <c:v>2.5334446824497189E-2</c:v>
              </c:pt>
              <c:pt idx="70">
                <c:v>2.5212861452320056E-2</c:v>
              </c:pt>
              <c:pt idx="71">
                <c:v>2.5097166548278888E-2</c:v>
              </c:pt>
              <c:pt idx="72">
                <c:v>2.4986997418511792E-2</c:v>
              </c:pt>
              <c:pt idx="73">
                <c:v>2.4882012699129402E-2</c:v>
              </c:pt>
              <c:pt idx="74">
                <c:v>2.4781893493615731E-2</c:v>
              </c:pt>
              <c:pt idx="75">
                <c:v>2.4686342323848191E-2</c:v>
              </c:pt>
              <c:pt idx="76">
                <c:v>2.4595081974519786E-2</c:v>
              </c:pt>
              <c:pt idx="77">
                <c:v>2.4424418953236802E-2</c:v>
              </c:pt>
              <c:pt idx="78">
                <c:v>2.4268046190440859E-2</c:v>
              </c:pt>
              <c:pt idx="79">
                <c:v>2.4124353808164946E-2</c:v>
              </c:pt>
              <c:pt idx="80">
                <c:v>2.3991946017564908E-2</c:v>
              </c:pt>
              <c:pt idx="81">
                <c:v>2.3869610711458024E-2</c:v>
              </c:pt>
              <c:pt idx="82">
                <c:v>2.3601243359121643E-2</c:v>
              </c:pt>
              <c:pt idx="83">
                <c:v>2.3376424442580822E-2</c:v>
              </c:pt>
              <c:pt idx="84">
                <c:v>2.3185628388742628E-2</c:v>
              </c:pt>
              <c:pt idx="85">
                <c:v>2.3021845518026735E-2</c:v>
              </c:pt>
              <c:pt idx="86">
                <c:v>2.2879826043585575E-2</c:v>
              </c:pt>
              <c:pt idx="87">
                <c:v>2.2755572771766694E-2</c:v>
              </c:pt>
              <c:pt idx="88">
                <c:v>2.2548671580655582E-2</c:v>
              </c:pt>
              <c:pt idx="89">
                <c:v>2.2383467693411988E-2</c:v>
              </c:pt>
              <c:pt idx="90">
                <c:v>2.2248609023778468E-2</c:v>
              </c:pt>
              <c:pt idx="91">
                <c:v>2.2136492726931425E-2</c:v>
              </c:pt>
              <c:pt idx="92">
                <c:v>2.2041845203134694E-2</c:v>
              </c:pt>
              <c:pt idx="93">
                <c:v>2.172811889106761E-2</c:v>
              </c:pt>
              <c:pt idx="94">
                <c:v>2.1552224945278583E-2</c:v>
              </c:pt>
              <c:pt idx="95">
                <c:v>2.1361728347072451E-2</c:v>
              </c:pt>
              <c:pt idx="96">
                <c:v>2.1260488451156453E-2</c:v>
              </c:pt>
              <c:pt idx="97">
                <c:v>2.0930000000000001E-2</c:v>
              </c:pt>
              <c:pt idx="98">
                <c:v>2.0553731515266696E-2</c:v>
              </c:pt>
              <c:pt idx="99">
                <c:v>2.0416729629222568E-2</c:v>
              </c:pt>
              <c:pt idx="100">
                <c:v>2.0123312766063169E-2</c:v>
              </c:pt>
              <c:pt idx="101">
                <c:v>1.9801504574826875E-2</c:v>
              </c:pt>
              <c:pt idx="102">
                <c:v>1.9703897767998347E-2</c:v>
              </c:pt>
              <c:pt idx="103">
                <c:v>1.9587964977189561E-2</c:v>
              </c:pt>
              <c:pt idx="104">
                <c:v>1.9448070774442654E-2</c:v>
              </c:pt>
              <c:pt idx="105">
                <c:v>1.9276040595639192E-2</c:v>
              </c:pt>
              <c:pt idx="106">
                <c:v>1.9059579257765528E-2</c:v>
              </c:pt>
              <c:pt idx="107">
                <c:v>1.8929051078036645E-2</c:v>
              </c:pt>
              <c:pt idx="108">
                <c:v>1.8779375962421206E-2</c:v>
              </c:pt>
              <c:pt idx="109">
                <c:v>1.8606133509740334E-2</c:v>
              </c:pt>
              <c:pt idx="110">
                <c:v>1.8403482795007753E-2</c:v>
              </c:pt>
              <c:pt idx="111">
                <c:v>1.8163573931641964E-2</c:v>
              </c:pt>
              <c:pt idx="112">
                <c:v>1.7875666923032288E-2</c:v>
              </c:pt>
              <c:pt idx="113">
                <c:v>1.7743895976123102E-2</c:v>
              </c:pt>
              <c:pt idx="114">
                <c:v>1.7600918061456586E-2</c:v>
              </c:pt>
              <c:pt idx="115">
                <c:v>1.7445349228540973E-2</c:v>
              </c:pt>
              <c:pt idx="116">
                <c:v>1.7275593374812867E-2</c:v>
              </c:pt>
              <c:pt idx="117">
                <c:v>1.7089808191527837E-2</c:v>
              </c:pt>
              <c:pt idx="118">
                <c:v>1.6990252446736603E-2</c:v>
              </c:pt>
              <c:pt idx="119">
                <c:v>1.6885867994288942E-2</c:v>
              </c:pt>
              <c:pt idx="120">
                <c:v>1.677633856600267E-2</c:v>
              </c:pt>
              <c:pt idx="121">
                <c:v>1.6661325544174033E-2</c:v>
              </c:pt>
              <c:pt idx="122">
                <c:v>1.6540467071496829E-2</c:v>
              </c:pt>
              <c:pt idx="123">
                <c:v>1.6413377441842833E-2</c:v>
              </c:pt>
              <c:pt idx="124">
                <c:v>1.6279646915363419E-2</c:v>
              </c:pt>
              <c:pt idx="125">
                <c:v>1.6138842151410121E-2</c:v>
              </c:pt>
              <c:pt idx="126">
                <c:v>1.599050751826438E-2</c:v>
              </c:pt>
              <c:pt idx="127">
                <c:v>1.5834167623770514E-2</c:v>
              </c:pt>
              <c:pt idx="128">
                <c:v>1.5669331520569488E-2</c:v>
              </c:pt>
              <c:pt idx="129">
                <c:v>1.5495499179174118E-2</c:v>
              </c:pt>
              <c:pt idx="130">
                <c:v>1.5312170997110987E-2</c:v>
              </c:pt>
              <c:pt idx="131">
                <c:v>1.5118861327289309E-2</c:v>
              </c:pt>
              <c:pt idx="132">
                <c:v>1.4915117265152884E-2</c:v>
              </c:pt>
              <c:pt idx="133">
                <c:v>1.4809205883937578E-2</c:v>
              </c:pt>
              <c:pt idx="134">
                <c:v>1.4700544227002829E-2</c:v>
              </c:pt>
              <c:pt idx="135">
                <c:v>1.4589097690626144E-2</c:v>
              </c:pt>
              <c:pt idx="136">
                <c:v>1.4474840163683531E-2</c:v>
              </c:pt>
              <c:pt idx="137">
                <c:v>1.4357755721848364E-2</c:v>
              </c:pt>
              <c:pt idx="138">
                <c:v>1.4237840545403689E-2</c:v>
              </c:pt>
              <c:pt idx="139">
                <c:v>1.4115105078987998E-2</c:v>
              </c:pt>
              <c:pt idx="140">
                <c:v>1.3989576450102176E-2</c:v>
              </c:pt>
              <c:pt idx="141">
                <c:v>1.3861301160508996E-2</c:v>
              </c:pt>
              <c:pt idx="142">
                <c:v>1.3730348060406742E-2</c:v>
              </c:pt>
              <c:pt idx="143">
                <c:v>1.3596811609050458E-2</c:v>
              </c:pt>
              <c:pt idx="144">
                <c:v>1.3460815416871075E-2</c:v>
              </c:pt>
              <c:pt idx="145">
                <c:v>1.3322516052611264E-2</c:v>
              </c:pt>
              <c:pt idx="146">
                <c:v>1.318210708405064E-2</c:v>
              </c:pt>
            </c:numLit>
          </c:yVal>
          <c:smooth val="1"/>
          <c:extLst>
            <c:ext xmlns:c16="http://schemas.microsoft.com/office/drawing/2014/chart" uri="{C3380CC4-5D6E-409C-BE32-E72D297353CC}">
              <c16:uniqueId val="{000000E2-D994-475D-8D6A-2553892D8F00}"/>
            </c:ext>
          </c:extLst>
        </c:ser>
        <c:ser>
          <c:idx val="188"/>
          <c:order val="188"/>
          <c:tx>
            <c:v>熱水分比基点</c:v>
          </c:tx>
          <c:spPr>
            <a:ln w="3175">
              <a:solidFill>
                <a:srgbClr val="000000"/>
              </a:solidFill>
              <a:prstDash val="solid"/>
            </a:ln>
          </c:spPr>
          <c:marker>
            <c:symbol val="circle"/>
            <c:size val="10"/>
            <c:spPr>
              <a:noFill/>
              <a:ln>
                <a:solidFill>
                  <a:srgbClr val="808080"/>
                </a:solidFill>
                <a:prstDash val="solid"/>
              </a:ln>
              <a:extLst>
                <a:ext uri="{909E8E84-426E-40DD-AFC4-6F175D3DCCD1}">
                  <a14:hiddenFill xmlns:a14="http://schemas.microsoft.com/office/drawing/2010/main">
                    <a:solidFill>
                      <a:srgbClr val="A5A5A5">
                        <a:tint val="35000"/>
                      </a:srgbClr>
                    </a:solidFill>
                  </a14:hiddenFill>
                </a:ext>
              </a:extLst>
            </c:spPr>
          </c:marker>
          <c:xVal>
            <c:numLit>
              <c:formatCode>General</c:formatCode>
              <c:ptCount val="1"/>
              <c:pt idx="0">
                <c:v>7.5219999999999994</c:v>
              </c:pt>
            </c:numLit>
          </c:xVal>
          <c:yVal>
            <c:numLit>
              <c:formatCode>General</c:formatCode>
              <c:ptCount val="1"/>
              <c:pt idx="0">
                <c:v>2.0930000000000001E-2</c:v>
              </c:pt>
            </c:numLit>
          </c:yVal>
          <c:smooth val="0"/>
          <c:extLst>
            <c:ext xmlns:c16="http://schemas.microsoft.com/office/drawing/2014/chart" uri="{C3380CC4-5D6E-409C-BE32-E72D297353CC}">
              <c16:uniqueId val="{000000E3-D994-475D-8D6A-2553892D8F00}"/>
            </c:ext>
          </c:extLst>
        </c:ser>
        <c:ser>
          <c:idx val="189"/>
          <c:order val="189"/>
          <c:tx>
            <c:v>熱水分比基点</c:v>
          </c:tx>
          <c:spPr>
            <a:ln w="3175">
              <a:solidFill>
                <a:srgbClr val="000000"/>
              </a:solidFill>
              <a:prstDash val="solid"/>
            </a:ln>
          </c:spPr>
          <c:marker>
            <c:symbol val="plus"/>
            <c:size val="10"/>
            <c:spPr>
              <a:noFill/>
              <a:ln>
                <a:solidFill>
                  <a:srgbClr val="808080"/>
                </a:solidFill>
                <a:prstDash val="solid"/>
              </a:ln>
              <a:extLst>
                <a:ext uri="{909E8E84-426E-40DD-AFC4-6F175D3DCCD1}">
                  <a14:hiddenFill xmlns:a14="http://schemas.microsoft.com/office/drawing/2010/main">
                    <a:solidFill>
                      <a:srgbClr val="FFC000">
                        <a:tint val="35000"/>
                      </a:srgbClr>
                    </a:solidFill>
                  </a14:hiddenFill>
                </a:ext>
              </a:extLst>
            </c:spPr>
          </c:marker>
          <c:xVal>
            <c:numLit>
              <c:formatCode>General</c:formatCode>
              <c:ptCount val="1"/>
              <c:pt idx="0">
                <c:v>7.5219999999999994</c:v>
              </c:pt>
            </c:numLit>
          </c:xVal>
          <c:yVal>
            <c:numLit>
              <c:formatCode>General</c:formatCode>
              <c:ptCount val="1"/>
              <c:pt idx="0">
                <c:v>2.0930000000000001E-2</c:v>
              </c:pt>
            </c:numLit>
          </c:yVal>
          <c:smooth val="0"/>
          <c:extLst>
            <c:ext xmlns:c16="http://schemas.microsoft.com/office/drawing/2014/chart" uri="{C3380CC4-5D6E-409C-BE32-E72D297353CC}">
              <c16:uniqueId val="{000000E4-D994-475D-8D6A-2553892D8F00}"/>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FF6C-4F20-B756-3A255FA271B4}"/>
            </c:ext>
          </c:extLst>
        </c:ser>
        <c:ser>
          <c:idx val="1"/>
          <c:order val="1"/>
          <c:tx>
            <c:v>RH=10_1</c:v>
          </c:tx>
          <c:spPr>
            <a:ln w="3175">
              <a:solidFill>
                <a:srgbClr val="0000FF"/>
              </a:solidFill>
              <a:prstDash val="solid"/>
            </a:ln>
          </c:spPr>
          <c:marker>
            <c:symbol val="none"/>
          </c:marker>
          <c:xVal>
            <c:numLit>
              <c:formatCode>General</c:formatCode>
              <c:ptCount val="38"/>
              <c:pt idx="0">
                <c:v>-10.0177756677797</c:v>
              </c:pt>
              <c:pt idx="1">
                <c:v>-9.0190959721921065</c:v>
              </c:pt>
              <c:pt idx="2">
                <c:v>-8.0204947203038497</c:v>
              </c:pt>
              <c:pt idx="3">
                <c:v>-7.0219748302109002</c:v>
              </c:pt>
              <c:pt idx="4">
                <c:v>-6.0235391639546627</c:v>
              </c:pt>
              <c:pt idx="5">
                <c:v>-5.0251905057455675</c:v>
              </c:pt>
              <c:pt idx="6">
                <c:v>-4.0269315379580988</c:v>
              </c:pt>
              <c:pt idx="7">
                <c:v>-3.0287648147507311</c:v>
              </c:pt>
              <c:pt idx="8">
                <c:v>-2.0306927331577049</c:v>
              </c:pt>
              <c:pt idx="9">
                <c:v>-1.0327175014929011</c:v>
              </c:pt>
              <c:pt idx="10">
                <c:v>-3.484110489918895E-2</c:v>
              </c:pt>
              <c:pt idx="11">
                <c:v>0.96328939591528173</c:v>
              </c:pt>
              <c:pt idx="12">
                <c:v>1.9613621474223808</c:v>
              </c:pt>
              <c:pt idx="13">
                <c:v>2.9593749622169305</c:v>
              </c:pt>
              <c:pt idx="14">
                <c:v>3.9573294009540501</c:v>
              </c:pt>
              <c:pt idx="15">
                <c:v>4.9552274207672413</c:v>
              </c:pt>
              <c:pt idx="16">
                <c:v>5.9530704719223664</c:v>
              </c:pt>
              <c:pt idx="17">
                <c:v>6.9508622511413787</c:v>
              </c:pt>
              <c:pt idx="18">
                <c:v>7.9486061034176085</c:v>
              </c:pt>
              <c:pt idx="19">
                <c:v>8.946305910300195</c:v>
              </c:pt>
              <c:pt idx="20">
                <c:v>9.9439661291778094</c:v>
              </c:pt>
              <c:pt idx="21">
                <c:v>10.941590669234015</c:v>
              </c:pt>
              <c:pt idx="22">
                <c:v>11.939186333734822</c:v>
              </c:pt>
              <c:pt idx="23">
                <c:v>12.936759560270477</c:v>
              </c:pt>
              <c:pt idx="24">
                <c:v>13.934317538581611</c:v>
              </c:pt>
              <c:pt idx="25">
                <c:v>14.931868259472157</c:v>
              </c:pt>
              <c:pt idx="26">
                <c:v>15.929420565788638</c:v>
              </c:pt>
              <c:pt idx="27">
                <c:v>16.926984205518398</c:v>
              </c:pt>
              <c:pt idx="28">
                <c:v>17.9245698870604</c:v>
              </c:pt>
              <c:pt idx="29">
                <c:v>18.922189336723491</c:v>
              </c:pt>
              <c:pt idx="30">
                <c:v>19.919855358508599</c:v>
              </c:pt>
              <c:pt idx="31">
                <c:v>20.917581896232608</c:v>
              </c:pt>
              <c:pt idx="32">
                <c:v>21.915384098053682</c:v>
              </c:pt>
              <c:pt idx="33">
                <c:v>22.913278383459538</c:v>
              </c:pt>
              <c:pt idx="34">
                <c:v>23.911282512782485</c:v>
              </c:pt>
              <c:pt idx="35">
                <c:v>24.909415659307243</c:v>
              </c:pt>
              <c:pt idx="36">
                <c:v>25.907696639619608</c:v>
              </c:pt>
              <c:pt idx="37">
                <c:v>26.317040192907807</c:v>
              </c:pt>
            </c:numLit>
          </c:xVal>
          <c:yVal>
            <c:numLit>
              <c:formatCode>General</c:formatCode>
              <c:ptCount val="38"/>
              <c:pt idx="0">
                <c:v>1.6023585830088701E-4</c:v>
              </c:pt>
              <c:pt idx="1">
                <c:v>1.7505511231326874E-4</c:v>
              </c:pt>
              <c:pt idx="2">
                <c:v>1.911168763966824E-4</c:v>
              </c:pt>
              <c:pt idx="3">
                <c:v>2.0851423497609411E-4</c:v>
              </c:pt>
              <c:pt idx="4">
                <c:v>2.2734637997686826E-4</c:v>
              </c:pt>
              <c:pt idx="5">
                <c:v>2.4771895190655777E-4</c:v>
              </c:pt>
              <c:pt idx="6">
                <c:v>2.6974439651381417E-4</c:v>
              </c:pt>
              <c:pt idx="7">
                <c:v>2.9354233758607893E-4</c:v>
              </c:pt>
              <c:pt idx="8">
                <c:v>3.1923996646661596E-4</c:v>
              </c:pt>
              <c:pt idx="9">
                <c:v>3.4697244889161612E-4</c:v>
              </c:pt>
              <c:pt idx="10">
                <c:v>3.7688334976972127E-4</c:v>
              </c:pt>
              <c:pt idx="11">
                <c:v>4.0521031061253583E-4</c:v>
              </c:pt>
              <c:pt idx="12">
                <c:v>4.3536827613222564E-4</c:v>
              </c:pt>
              <c:pt idx="13">
                <c:v>4.6749929089188232E-4</c:v>
              </c:pt>
              <c:pt idx="14">
                <c:v>5.0171368209707661E-4</c:v>
              </c:pt>
              <c:pt idx="15">
                <c:v>5.3812681849648315E-4</c:v>
              </c:pt>
              <c:pt idx="16">
                <c:v>5.7687078746455054E-4</c:v>
              </c:pt>
              <c:pt idx="17">
                <c:v>6.1806170732398903E-4</c:v>
              </c:pt>
              <c:pt idx="18">
                <c:v>6.6183128471435158E-4</c:v>
              </c:pt>
              <c:pt idx="19">
                <c:v>7.0831699761347128E-4</c:v>
              </c:pt>
              <c:pt idx="20">
                <c:v>7.5766228557958958E-4</c:v>
              </c:pt>
              <c:pt idx="21">
                <c:v>8.100329025445516E-4</c:v>
              </c:pt>
              <c:pt idx="22">
                <c:v>8.6557085827349055E-4</c:v>
              </c:pt>
              <c:pt idx="23">
                <c:v>9.244388603298438E-4</c:v>
              </c:pt>
              <c:pt idx="24">
                <c:v>9.8680639466692979E-4</c:v>
              </c:pt>
              <c:pt idx="25">
                <c:v>1.0528499381107718E-3</c:v>
              </c:pt>
              <c:pt idx="26">
                <c:v>1.1227531754685466E-3</c:v>
              </c:pt>
              <c:pt idx="27">
                <c:v>1.196707221383005E-3</c:v>
              </c:pt>
              <c:pt idx="28">
                <c:v>1.2749108470638381E-3</c:v>
              </c:pt>
              <c:pt idx="29">
                <c:v>1.357570712039002E-3</c:v>
              </c:pt>
              <c:pt idx="30">
                <c:v>1.4449016010815252E-3</c:v>
              </c:pt>
              <c:pt idx="31">
                <c:v>1.5371266664811695E-3</c:v>
              </c:pt>
              <c:pt idx="32">
                <c:v>1.6344776758448051E-3</c:v>
              </c:pt>
              <c:pt idx="33">
                <c:v>1.7371952656253776E-3</c:v>
              </c:pt>
              <c:pt idx="34">
                <c:v>1.8455292005959472E-3</c:v>
              </c:pt>
              <c:pt idx="35">
                <c:v>1.9597386395035048E-3</c:v>
              </c:pt>
              <c:pt idx="36">
                <c:v>2.0801339727301582E-3</c:v>
              </c:pt>
              <c:pt idx="37">
                <c:v>2.1313379082339733E-3</c:v>
              </c:pt>
            </c:numLit>
          </c:yVal>
          <c:smooth val="1"/>
          <c:extLst>
            <c:ext xmlns:c16="http://schemas.microsoft.com/office/drawing/2014/chart" uri="{C3380CC4-5D6E-409C-BE32-E72D297353CC}">
              <c16:uniqueId val="{00000001-FF6C-4F20-B756-3A255FA271B4}"/>
            </c:ext>
          </c:extLst>
        </c:ser>
        <c:ser>
          <c:idx val="2"/>
          <c:order val="2"/>
          <c:tx>
            <c:v>RH=10_Label1</c:v>
          </c:tx>
          <c:spPr>
            <a:ln w="3175">
              <a:solidFill>
                <a:srgbClr val="0000FF"/>
              </a:solidFill>
              <a:prstDash val="solid"/>
            </a:ln>
          </c:spPr>
          <c:marker>
            <c:symbol val="none"/>
          </c:marker>
          <c:dLbls>
            <c:dLbl>
              <c:idx val="0"/>
              <c:tx>
                <c:rich>
                  <a:bodyPr rot="-6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27.065919432379985</c:v>
              </c:pt>
            </c:numLit>
          </c:xVal>
          <c:yVal>
            <c:numLit>
              <c:formatCode>General</c:formatCode>
              <c:ptCount val="1"/>
              <c:pt idx="0">
                <c:v>2.2278649752776442E-3</c:v>
              </c:pt>
            </c:numLit>
          </c:yVal>
          <c:smooth val="0"/>
          <c:extLst>
            <c:ext xmlns:c16="http://schemas.microsoft.com/office/drawing/2014/chart" uri="{C3380CC4-5D6E-409C-BE32-E72D297353CC}">
              <c16:uniqueId val="{00000003-FF6C-4F20-B756-3A255FA271B4}"/>
            </c:ext>
          </c:extLst>
        </c:ser>
        <c:ser>
          <c:idx val="3"/>
          <c:order val="3"/>
          <c:tx>
            <c:v>RH=10_2</c:v>
          </c:tx>
          <c:spPr>
            <a:ln w="3175">
              <a:solidFill>
                <a:srgbClr val="0000FF"/>
              </a:solidFill>
              <a:prstDash val="solid"/>
            </a:ln>
          </c:spPr>
          <c:marker>
            <c:symbol val="none"/>
          </c:marker>
          <c:xVal>
            <c:numLit>
              <c:formatCode>General</c:formatCode>
              <c:ptCount val="21"/>
              <c:pt idx="0">
                <c:v>27.804923631172404</c:v>
              </c:pt>
              <c:pt idx="1">
                <c:v>28.803770180784756</c:v>
              </c:pt>
              <c:pt idx="2">
                <c:v>29.802862673887123</c:v>
              </c:pt>
              <c:pt idx="3">
                <c:v>30.802230253577527</c:v>
              </c:pt>
              <c:pt idx="4">
                <c:v>31.801904052668917</c:v>
              </c:pt>
              <c:pt idx="5">
                <c:v>32.801917289185013</c:v>
              </c:pt>
              <c:pt idx="6">
                <c:v>33.802305365200944</c:v>
              </c:pt>
              <c:pt idx="7">
                <c:v>34.803105969135679</c:v>
              </c:pt>
              <c:pt idx="8">
                <c:v>35.804359181609868</c:v>
              </c:pt>
              <c:pt idx="9">
                <c:v>36.806107584989242</c:v>
              </c:pt>
              <c:pt idx="10">
                <c:v>37.808396376741563</c:v>
              </c:pt>
              <c:pt idx="11">
                <c:v>38.811273486743076</c:v>
              </c:pt>
              <c:pt idx="12">
                <c:v>39.81478969867927</c:v>
              </c:pt>
              <c:pt idx="13">
                <c:v>40.818998044575913</c:v>
              </c:pt>
              <c:pt idx="14">
                <c:v>41.823956140919336</c:v>
              </c:pt>
              <c:pt idx="15">
                <c:v>42.829724214366031</c:v>
              </c:pt>
              <c:pt idx="16">
                <c:v>43.836365792343038</c:v>
              </c:pt>
              <c:pt idx="17">
                <c:v>44.843947933065749</c:v>
              </c:pt>
              <c:pt idx="18">
                <c:v>45.852541375331619</c:v>
              </c:pt>
              <c:pt idx="19">
                <c:v>46.86222069374503</c:v>
              </c:pt>
              <c:pt idx="20">
                <c:v>47.165347874114275</c:v>
              </c:pt>
            </c:numLit>
          </c:xVal>
          <c:yVal>
            <c:numLit>
              <c:formatCode>General</c:formatCode>
              <c:ptCount val="21"/>
              <c:pt idx="0">
                <c:v>2.3268337235576001E-3</c:v>
              </c:pt>
              <c:pt idx="1">
                <c:v>2.466676811153637E-3</c:v>
              </c:pt>
              <c:pt idx="2">
                <c:v>2.6138166712018933E-3</c:v>
              </c:pt>
              <c:pt idx="3">
                <c:v>2.7685741400948331E-3</c:v>
              </c:pt>
              <c:pt idx="4">
                <c:v>2.9312815010714525E-3</c:v>
              </c:pt>
              <c:pt idx="5">
                <c:v>3.1022828107865022E-3</c:v>
              </c:pt>
              <c:pt idx="6">
                <c:v>3.2819342352185372E-3</c:v>
              </c:pt>
              <c:pt idx="7">
                <c:v>3.4706043954107185E-3</c:v>
              </c:pt>
              <c:pt idx="8">
                <c:v>3.6686747235745365E-3</c:v>
              </c:pt>
              <c:pt idx="9">
                <c:v>3.87653983012467E-3</c:v>
              </c:pt>
              <c:pt idx="10">
                <c:v>4.094607882253176E-3</c:v>
              </c:pt>
              <c:pt idx="11">
                <c:v>4.3233009946946083E-3</c:v>
              </c:pt>
              <c:pt idx="12">
                <c:v>4.5630556333788666E-3</c:v>
              </c:pt>
              <c:pt idx="13">
                <c:v>4.8143664868622081E-3</c:v>
              </c:pt>
              <c:pt idx="14">
                <c:v>5.0776664167760535E-3</c:v>
              </c:pt>
              <c:pt idx="15">
                <c:v>5.3534333142334486E-3</c:v>
              </c:pt>
              <c:pt idx="16">
                <c:v>5.6421657767406772E-3</c:v>
              </c:pt>
              <c:pt idx="17">
                <c:v>5.9443790149535658E-3</c:v>
              </c:pt>
              <c:pt idx="18">
                <c:v>6.2606053522673184E-3</c:v>
              </c:pt>
              <c:pt idx="19">
                <c:v>6.5913947437551716E-3</c:v>
              </c:pt>
              <c:pt idx="20">
                <c:v>6.693555806651999E-3</c:v>
              </c:pt>
            </c:numLit>
          </c:yVal>
          <c:smooth val="1"/>
          <c:extLst>
            <c:ext xmlns:c16="http://schemas.microsoft.com/office/drawing/2014/chart" uri="{C3380CC4-5D6E-409C-BE32-E72D297353CC}">
              <c16:uniqueId val="{00000004-FF6C-4F20-B756-3A255FA271B4}"/>
            </c:ext>
          </c:extLst>
        </c:ser>
        <c:ser>
          <c:idx val="4"/>
          <c:order val="4"/>
          <c:tx>
            <c:v>RH=10_Label2</c:v>
          </c:tx>
          <c:spPr>
            <a:ln w="3175">
              <a:solidFill>
                <a:srgbClr val="0000FF"/>
              </a:solidFill>
              <a:prstDash val="solid"/>
            </a:ln>
          </c:spPr>
          <c:marker>
            <c:symbol val="none"/>
          </c:marker>
          <c:dLbls>
            <c:dLbl>
              <c:idx val="0"/>
              <c:tx>
                <c:rich>
                  <a:bodyPr rot="-15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47.468582019792713</c:v>
              </c:pt>
            </c:numLit>
          </c:xVal>
          <c:yVal>
            <c:numLit>
              <c:formatCode>General</c:formatCode>
              <c:ptCount val="1"/>
              <c:pt idx="0">
                <c:v>6.7970942125870166E-3</c:v>
              </c:pt>
            </c:numLit>
          </c:yVal>
          <c:smooth val="0"/>
          <c:extLst>
            <c:ext xmlns:c16="http://schemas.microsoft.com/office/drawing/2014/chart" uri="{C3380CC4-5D6E-409C-BE32-E72D297353CC}">
              <c16:uniqueId val="{00000006-FF6C-4F20-B756-3A255FA271B4}"/>
            </c:ext>
          </c:extLst>
        </c:ser>
        <c:ser>
          <c:idx val="5"/>
          <c:order val="5"/>
          <c:tx>
            <c:v>RH=10_3</c:v>
          </c:tx>
          <c:spPr>
            <a:ln w="3175">
              <a:solidFill>
                <a:srgbClr val="0000FF"/>
              </a:solidFill>
              <a:prstDash val="solid"/>
            </a:ln>
          </c:spPr>
          <c:marker>
            <c:symbol val="none"/>
          </c:marker>
          <c:xVal>
            <c:numLit>
              <c:formatCode>General</c:formatCode>
              <c:ptCount val="4"/>
              <c:pt idx="0">
                <c:v>47.77192535836096</c:v>
              </c:pt>
              <c:pt idx="1">
                <c:v>48.783887743051473</c:v>
              </c:pt>
              <c:pt idx="2">
                <c:v>49.797175474186403</c:v>
              </c:pt>
              <c:pt idx="3">
                <c:v>50</c:v>
              </c:pt>
            </c:numLit>
          </c:xVal>
          <c:yVal>
            <c:numLit>
              <c:formatCode>General</c:formatCode>
              <c:ptCount val="4"/>
              <c:pt idx="0">
                <c:v>6.9020257792945907E-3</c:v>
              </c:pt>
              <c:pt idx="1">
                <c:v>7.262065631820038E-3</c:v>
              </c:pt>
              <c:pt idx="2">
                <c:v>7.6383681948431099E-3</c:v>
              </c:pt>
              <c:pt idx="3">
                <c:v>7.7156347951563434E-3</c:v>
              </c:pt>
            </c:numLit>
          </c:yVal>
          <c:smooth val="1"/>
          <c:extLst>
            <c:ext xmlns:c16="http://schemas.microsoft.com/office/drawing/2014/chart" uri="{C3380CC4-5D6E-409C-BE32-E72D297353CC}">
              <c16:uniqueId val="{00000007-FF6C-4F20-B756-3A255FA271B4}"/>
            </c:ext>
          </c:extLst>
        </c:ser>
        <c:ser>
          <c:idx val="6"/>
          <c:order val="6"/>
          <c:tx>
            <c:v>RH=20_1</c:v>
          </c:tx>
          <c:spPr>
            <a:ln w="3175">
              <a:solidFill>
                <a:srgbClr val="0000FF"/>
              </a:solidFill>
              <a:prstDash val="solid"/>
            </a:ln>
          </c:spPr>
          <c:marker>
            <c:symbol val="none"/>
          </c:marker>
          <c:xVal>
            <c:numLit>
              <c:formatCode>General</c:formatCode>
              <c:ptCount val="34"/>
              <c:pt idx="0">
                <c:v>-10.035560496732938</c:v>
              </c:pt>
              <c:pt idx="1">
                <c:v>-9.0382026964619619</c:v>
              </c:pt>
              <c:pt idx="2">
                <c:v>-8.0410020393756554</c:v>
              </c:pt>
              <c:pt idx="3">
                <c:v>-7.0439643991642971</c:v>
              </c:pt>
              <c:pt idx="4">
                <c:v>-6.0470955422909016</c:v>
              </c:pt>
              <c:pt idx="5">
                <c:v>-5.0504010849725072</c:v>
              </c:pt>
              <c:pt idx="6">
                <c:v>-4.0538864457460759</c:v>
              </c:pt>
              <c:pt idx="7">
                <c:v>-3.0575567933261141</c:v>
              </c:pt>
              <c:pt idx="8">
                <c:v>-2.0614169894474266</c:v>
              </c:pt>
              <c:pt idx="9">
                <c:v>-1.0654715263721464</c:v>
              </c:pt>
              <c:pt idx="10">
                <c:v>-6.97244587252972E-2</c:v>
              </c:pt>
              <c:pt idx="11">
                <c:v>0.92653092787105074</c:v>
              </c:pt>
              <c:pt idx="12">
                <c:v>1.9226701661646581</c:v>
              </c:pt>
              <c:pt idx="13">
                <c:v>2.9186888084423579</c:v>
              </c:pt>
              <c:pt idx="14">
                <c:v>3.9145899067468815</c:v>
              </c:pt>
              <c:pt idx="15">
                <c:v>4.9103773014566139</c:v>
              </c:pt>
              <c:pt idx="16">
                <c:v>5.9060538111202767</c:v>
              </c:pt>
              <c:pt idx="17">
                <c:v>6.9016267487543175</c:v>
              </c:pt>
              <c:pt idx="18">
                <c:v>7.8971027167532792</c:v>
              </c:pt>
              <c:pt idx="19">
                <c:v>8.8924893864465524</c:v>
              </c:pt>
              <c:pt idx="20">
                <c:v>9.8877955770160781</c:v>
              </c:pt>
              <c:pt idx="21">
                <c:v>10.883029001805786</c:v>
              </c:pt>
              <c:pt idx="22">
                <c:v>11.878203170401681</c:v>
              </c:pt>
              <c:pt idx="23">
                <c:v>12.873330854228927</c:v>
              </c:pt>
              <c:pt idx="24">
                <c:v>13.868426328102487</c:v>
              </c:pt>
              <c:pt idx="25">
                <c:v>14.863505469299307</c:v>
              </c:pt>
              <c:pt idx="26">
                <c:v>15.858585861032267</c:v>
              </c:pt>
              <c:pt idx="27">
                <c:v>16.853686900469274</c:v>
              </c:pt>
              <c:pt idx="28">
                <c:v>17.848829911447321</c:v>
              </c:pt>
              <c:pt idx="29">
                <c:v>18.844038262038808</c:v>
              </c:pt>
              <c:pt idx="30">
                <c:v>19.839337487135094</c:v>
              </c:pt>
              <c:pt idx="31">
                <c:v>20.83475541622126</c:v>
              </c:pt>
              <c:pt idx="32">
                <c:v>21.830322306525588</c:v>
              </c:pt>
              <c:pt idx="33">
                <c:v>22.826070981737747</c:v>
              </c:pt>
            </c:numLit>
          </c:xVal>
          <c:yVal>
            <c:numLit>
              <c:formatCode>General</c:formatCode>
              <c:ptCount val="34"/>
              <c:pt idx="0">
                <c:v>3.2055429850658324E-4</c:v>
              </c:pt>
              <c:pt idx="1">
                <c:v>3.5020879023814594E-4</c:v>
              </c:pt>
              <c:pt idx="2">
                <c:v>3.8235123852344135E-4</c:v>
              </c:pt>
              <c:pt idx="3">
                <c:v>4.1716832257387661E-4</c:v>
              </c:pt>
              <c:pt idx="4">
                <c:v>4.5485902020590482E-4</c:v>
              </c:pt>
              <c:pt idx="5">
                <c:v>4.9563530285770194E-4</c:v>
              </c:pt>
              <c:pt idx="6">
                <c:v>5.3972286360566622E-4</c:v>
              </c:pt>
              <c:pt idx="7">
                <c:v>5.873618795503245E-4</c:v>
              </c:pt>
              <c:pt idx="8">
                <c:v>6.3880781000941775E-4</c:v>
              </c:pt>
              <c:pt idx="9">
                <c:v>6.9433223203014031E-4</c:v>
              </c:pt>
              <c:pt idx="10">
                <c:v>7.5422371481342985E-4</c:v>
              </c:pt>
              <c:pt idx="11">
                <c:v>8.1094894186661099E-4</c:v>
              </c:pt>
              <c:pt idx="12">
                <c:v>8.7134646996364098E-4</c:v>
              </c:pt>
              <c:pt idx="13">
                <c:v>9.3570188408817544E-4</c:v>
              </c:pt>
              <c:pt idx="14">
                <c:v>1.0042374218400759E-3</c:v>
              </c:pt>
              <c:pt idx="15">
                <c:v>1.0771856001749857E-3</c:v>
              </c:pt>
              <c:pt idx="16">
                <c:v>1.154812634567477E-3</c:v>
              </c:pt>
              <c:pt idx="17">
                <c:v>1.2373529726576297E-3</c:v>
              </c:pt>
              <c:pt idx="18">
                <c:v>1.3250725415540391E-3</c:v>
              </c:pt>
              <c:pt idx="19">
                <c:v>1.4182491113921719E-3</c:v>
              </c:pt>
              <c:pt idx="20">
                <c:v>1.5171727086266814E-3</c:v>
              </c:pt>
              <c:pt idx="21">
                <c:v>1.622178442009625E-3</c:v>
              </c:pt>
              <c:pt idx="22">
                <c:v>1.7335541960372019E-3</c:v>
              </c:pt>
              <c:pt idx="23">
                <c:v>1.8516297681735034E-3</c:v>
              </c:pt>
              <c:pt idx="24">
                <c:v>1.9767490132750658E-3</c:v>
              </c:pt>
              <c:pt idx="25">
                <c:v>2.10927032081257E-3</c:v>
              </c:pt>
              <c:pt idx="26">
                <c:v>2.2495671062861596E-3</c:v>
              </c:pt>
              <c:pt idx="27">
                <c:v>2.3980283174961114E-3</c:v>
              </c:pt>
              <c:pt idx="28">
                <c:v>2.5550589563843114E-3</c:v>
              </c:pt>
              <c:pt idx="29">
                <c:v>2.7210806172209283E-3</c:v>
              </c:pt>
              <c:pt idx="30">
                <c:v>2.8965320419730616E-3</c:v>
              </c:pt>
              <c:pt idx="31">
                <c:v>3.0818696937599506E-3</c:v>
              </c:pt>
              <c:pt idx="32">
                <c:v>3.2775683493713736E-3</c:v>
              </c:pt>
              <c:pt idx="33">
                <c:v>3.4841217119041239E-3</c:v>
              </c:pt>
            </c:numLit>
          </c:yVal>
          <c:smooth val="1"/>
          <c:extLst>
            <c:ext xmlns:c16="http://schemas.microsoft.com/office/drawing/2014/chart" uri="{C3380CC4-5D6E-409C-BE32-E72D297353CC}">
              <c16:uniqueId val="{00000008-FF6C-4F20-B756-3A255FA271B4}"/>
            </c:ext>
          </c:extLst>
        </c:ser>
        <c:ser>
          <c:idx val="7"/>
          <c:order val="7"/>
          <c:tx>
            <c:v>RH=20_Label1</c:v>
          </c:tx>
          <c:spPr>
            <a:ln w="3175">
              <a:solidFill>
                <a:srgbClr val="0000FF"/>
              </a:solidFill>
              <a:prstDash val="solid"/>
            </a:ln>
          </c:spPr>
          <c:marker>
            <c:symbol val="none"/>
          </c:marker>
          <c:dLbls>
            <c:dLbl>
              <c:idx val="0"/>
              <c:tx>
                <c:rich>
                  <a:bodyPr rot="-9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20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23.4634618281546</c:v>
              </c:pt>
            </c:numLit>
          </c:xVal>
          <c:yVal>
            <c:numLit>
              <c:formatCode>General</c:formatCode>
              <c:ptCount val="1"/>
              <c:pt idx="0">
                <c:v>3.6222486187216128E-3</c:v>
              </c:pt>
            </c:numLit>
          </c:yVal>
          <c:smooth val="0"/>
          <c:extLst>
            <c:ext xmlns:c16="http://schemas.microsoft.com/office/drawing/2014/chart" uri="{C3380CC4-5D6E-409C-BE32-E72D297353CC}">
              <c16:uniqueId val="{0000000A-FF6C-4F20-B756-3A255FA271B4}"/>
            </c:ext>
          </c:extLst>
        </c:ser>
        <c:ser>
          <c:idx val="8"/>
          <c:order val="8"/>
          <c:tx>
            <c:v>RH=20_2</c:v>
          </c:tx>
          <c:spPr>
            <a:ln w="3175">
              <a:solidFill>
                <a:srgbClr val="0000FF"/>
              </a:solidFill>
              <a:prstDash val="solid"/>
            </a:ln>
          </c:spPr>
          <c:marker>
            <c:symbol val="none"/>
          </c:marker>
          <c:xVal>
            <c:numLit>
              <c:formatCode>General</c:formatCode>
              <c:ptCount val="21"/>
              <c:pt idx="0">
                <c:v>24.090989965522958</c:v>
              </c:pt>
              <c:pt idx="1">
                <c:v>25.08728670106132</c:v>
              </c:pt>
              <c:pt idx="2">
                <c:v>26.083889525140563</c:v>
              </c:pt>
              <c:pt idx="3">
                <c:v>27.080846559796672</c:v>
              </c:pt>
              <c:pt idx="4">
                <c:v>28.078206710864933</c:v>
              </c:pt>
              <c:pt idx="5">
                <c:v>29.07602246563086</c:v>
              </c:pt>
              <c:pt idx="6">
                <c:v>30.074350079513291</c:v>
              </c:pt>
              <c:pt idx="7">
                <c:v>31.073249770509715</c:v>
              </c:pt>
              <c:pt idx="8">
                <c:v>32.072785921759255</c:v>
              </c:pt>
              <c:pt idx="9">
                <c:v>33.073027292605012</c:v>
              </c:pt>
              <c:pt idx="10">
                <c:v>34.074047238566301</c:v>
              </c:pt>
              <c:pt idx="11">
                <c:v>35.075923940662001</c:v>
              </c:pt>
              <c:pt idx="12">
                <c:v>36.078740644560909</c:v>
              </c:pt>
              <c:pt idx="13">
                <c:v>37.082585910071032</c:v>
              </c:pt>
              <c:pt idx="14">
                <c:v>38.087553871520392</c:v>
              </c:pt>
              <c:pt idx="15">
                <c:v>39.093744509625317</c:v>
              </c:pt>
              <c:pt idx="16">
                <c:v>40.101263475245702</c:v>
              </c:pt>
              <c:pt idx="17">
                <c:v>41.110222635937923</c:v>
              </c:pt>
              <c:pt idx="18">
                <c:v>42.120742613179722</c:v>
              </c:pt>
              <c:pt idx="19">
                <c:v>43.132949797257567</c:v>
              </c:pt>
              <c:pt idx="20">
                <c:v>43.143080835819099</c:v>
              </c:pt>
            </c:numLit>
          </c:xVal>
          <c:yVal>
            <c:numLit>
              <c:formatCode>General</c:formatCode>
              <c:ptCount val="21"/>
              <c:pt idx="0">
                <c:v>3.762899562535327E-3</c:v>
              </c:pt>
              <c:pt idx="1">
                <c:v>3.9960515227318218E-3</c:v>
              </c:pt>
              <c:pt idx="2">
                <c:v>4.2418774317838923E-3</c:v>
              </c:pt>
              <c:pt idx="3">
                <c:v>4.5009049866489162E-3</c:v>
              </c:pt>
              <c:pt idx="4">
                <c:v>4.7737395125384907E-3</c:v>
              </c:pt>
              <c:pt idx="5">
                <c:v>5.0610096938973562E-3</c:v>
              </c:pt>
              <c:pt idx="6">
                <c:v>5.3633683765682734E-3</c:v>
              </c:pt>
              <c:pt idx="7">
                <c:v>5.6814934027757868E-3</c:v>
              </c:pt>
              <c:pt idx="8">
                <c:v>6.0160884810445394E-3</c:v>
              </c:pt>
              <c:pt idx="9">
                <c:v>6.3678840933275062E-3</c:v>
              </c:pt>
              <c:pt idx="10">
                <c:v>6.7376384417931747E-3</c:v>
              </c:pt>
              <c:pt idx="11">
                <c:v>7.1261384379044338E-3</c:v>
              </c:pt>
              <c:pt idx="12">
                <c:v>7.5342007366225091E-3</c:v>
              </c:pt>
              <c:pt idx="13">
                <c:v>7.9626728187814425E-3</c:v>
              </c:pt>
              <c:pt idx="14">
                <c:v>8.4124341249109912E-3</c:v>
              </c:pt>
              <c:pt idx="15">
                <c:v>8.8843972440316565E-3</c:v>
              </c:pt>
              <c:pt idx="16">
                <c:v>9.3795347447102571E-3</c:v>
              </c:pt>
              <c:pt idx="17">
                <c:v>9.8988796663613213E-3</c:v>
              </c:pt>
              <c:pt idx="18">
                <c:v>1.0443387106594744E-2</c:v>
              </c:pt>
              <c:pt idx="19">
                <c:v>1.1014116215220278E-2</c:v>
              </c:pt>
              <c:pt idx="20">
                <c:v>1.1019959610694009E-2</c:v>
              </c:pt>
            </c:numLit>
          </c:yVal>
          <c:smooth val="1"/>
          <c:extLst>
            <c:ext xmlns:c16="http://schemas.microsoft.com/office/drawing/2014/chart" uri="{C3380CC4-5D6E-409C-BE32-E72D297353CC}">
              <c16:uniqueId val="{0000000B-FF6C-4F20-B756-3A255FA271B4}"/>
            </c:ext>
          </c:extLst>
        </c:ser>
        <c:ser>
          <c:idx val="9"/>
          <c:order val="9"/>
          <c:tx>
            <c:v>RH=20_Label2</c:v>
          </c:tx>
          <c:spPr>
            <a:ln w="3175">
              <a:solidFill>
                <a:srgbClr val="0000FF"/>
              </a:solidFill>
              <a:prstDash val="solid"/>
            </a:ln>
          </c:spPr>
          <c:marker>
            <c:symbol val="none"/>
          </c:marker>
          <c:dLbls>
            <c:dLbl>
              <c:idx val="0"/>
              <c:tx>
                <c:rich>
                  <a:bodyPr rot="-22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20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43.447097324768826</c:v>
              </c:pt>
            </c:numLit>
          </c:xVal>
          <c:yVal>
            <c:numLit>
              <c:formatCode>General</c:formatCode>
              <c:ptCount val="1"/>
              <c:pt idx="0">
                <c:v>1.1196537306347976E-2</c:v>
              </c:pt>
            </c:numLit>
          </c:yVal>
          <c:smooth val="0"/>
          <c:extLst>
            <c:ext xmlns:c16="http://schemas.microsoft.com/office/drawing/2014/chart" uri="{C3380CC4-5D6E-409C-BE32-E72D297353CC}">
              <c16:uniqueId val="{0000000D-FF6C-4F20-B756-3A255FA271B4}"/>
            </c:ext>
          </c:extLst>
        </c:ser>
        <c:ser>
          <c:idx val="10"/>
          <c:order val="10"/>
          <c:tx>
            <c:v>RH=20_3</c:v>
          </c:tx>
          <c:spPr>
            <a:ln w="3175">
              <a:solidFill>
                <a:srgbClr val="0000FF"/>
              </a:solidFill>
              <a:prstDash val="solid"/>
            </a:ln>
          </c:spPr>
          <c:marker>
            <c:symbol val="none"/>
          </c:marker>
          <c:dLbls>
            <c:dLbl>
              <c:idx val="3"/>
              <c:tx>
                <c:rich>
                  <a:bodyPr rot="-2520000" vert="horz" wrap="square" lIns="0" tIns="0" rIns="0" bIns="0" anchor="ctr">
                    <a:spAutoFit/>
                  </a:bodyPr>
                  <a:lstStyle/>
                  <a:p>
                    <a:pPr algn="ctr">
                      <a:defRPr altLang="en-US" sz="700" i="1" u="none" strike="noStrike" baseline="0">
                        <a:latin typeface="ＭＳ Ｐ明朝"/>
                        <a:ea typeface="ＭＳ Ｐ明朝"/>
                        <a:cs typeface="ＭＳ Ｐ明朝"/>
                      </a:defRPr>
                    </a:pPr>
                    <a:r>
                      <a:rPr lang="ja-JP" altLang="en-US"/>
                      <a:t>相対湿度 </a:t>
                    </a:r>
                    <a:r>
                      <a:rPr lang="el-GR"/>
                      <a:t>φ[</a:t>
                    </a:r>
                    <a:r>
                      <a:rPr lang="ja-JP" altLang="el-GR"/>
                      <a:t>％</a:t>
                    </a:r>
                    <a:r>
                      <a:rPr lang="el-GR"/>
                      <a:t>]
</a:t>
                    </a:r>
                    <a:endParaRPr lang="el-GR" altLang="ja-JP"/>
                  </a:p>
                </c:rich>
              </c:tx>
              <c:spPr>
                <a:solidFill>
                  <a:srgbClr val="FFFFFF">
                    <a:alpha val="0"/>
                  </a:srgbClr>
                </a:solidFill>
                <a:ln>
                  <a:noFill/>
                </a:ln>
                <a:effectLst/>
              </c:sp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8"/>
              <c:pt idx="0">
                <c:v>43.751281523767183</c:v>
              </c:pt>
              <c:pt idx="1">
                <c:v>44.766489529880268</c:v>
              </c:pt>
              <c:pt idx="2">
                <c:v>45.783750430022089</c:v>
              </c:pt>
              <c:pt idx="3">
                <c:v>46.803219082404993</c:v>
              </c:pt>
              <c:pt idx="4">
                <c:v>47.825059125327186</c:v>
              </c:pt>
              <c:pt idx="5">
                <c:v>48.849443401728202</c:v>
              </c:pt>
              <c:pt idx="6">
                <c:v>49.876554405498752</c:v>
              </c:pt>
              <c:pt idx="7">
                <c:v>50.000000000000007</c:v>
              </c:pt>
            </c:numLit>
          </c:xVal>
          <c:yVal>
            <c:numLit>
              <c:formatCode>General</c:formatCode>
              <c:ptCount val="8"/>
              <c:pt idx="0">
                <c:v>1.1375605022333236E-2</c:v>
              </c:pt>
              <c:pt idx="1">
                <c:v>1.199087837496329E-2</c:v>
              </c:pt>
              <c:pt idx="2">
                <c:v>1.2635330853661442E-2</c:v>
              </c:pt>
              <c:pt idx="3">
                <c:v>1.3310174231557656E-2</c:v>
              </c:pt>
              <c:pt idx="4">
                <c:v>1.4016666646594227E-2</c:v>
              </c:pt>
              <c:pt idx="5">
                <c:v>1.475611456481781E-2</c:v>
              </c:pt>
              <c:pt idx="6">
                <c:v>1.5529874857761593E-2</c:v>
              </c:pt>
              <c:pt idx="7">
                <c:v>1.5625098253228449E-2</c:v>
              </c:pt>
            </c:numLit>
          </c:yVal>
          <c:smooth val="1"/>
          <c:extLst>
            <c:ext xmlns:c16="http://schemas.microsoft.com/office/drawing/2014/chart" uri="{C3380CC4-5D6E-409C-BE32-E72D297353CC}">
              <c16:uniqueId val="{0000000F-FF6C-4F20-B756-3A255FA271B4}"/>
            </c:ext>
          </c:extLst>
        </c:ser>
        <c:ser>
          <c:idx val="11"/>
          <c:order val="11"/>
          <c:tx>
            <c:v>RH=30_1</c:v>
          </c:tx>
          <c:spPr>
            <a:ln w="3175">
              <a:solidFill>
                <a:srgbClr val="0000FF"/>
              </a:solidFill>
              <a:prstDash val="solid"/>
            </a:ln>
          </c:spPr>
          <c:marker>
            <c:symbol val="none"/>
          </c:marker>
          <c:xVal>
            <c:numLit>
              <c:formatCode>General</c:formatCode>
              <c:ptCount val="32"/>
              <c:pt idx="0">
                <c:v>-10.053354493943724</c:v>
              </c:pt>
              <c:pt idx="1">
                <c:v>-9.0573201818931413</c:v>
              </c:pt>
              <c:pt idx="2">
                <c:v>-8.0615219688362885</c:v>
              </c:pt>
              <c:pt idx="3">
                <c:v>-7.0659687216933014</c:v>
              </c:pt>
              <c:pt idx="4">
                <c:v>-6.0706691538991491</c:v>
              </c:pt>
              <c:pt idx="5">
                <c:v>-5.0756317616842264</c:v>
              </c:pt>
              <c:pt idx="6">
                <c:v>-4.0808647537958755</c:v>
              </c:pt>
              <c:pt idx="7">
                <c:v>-3.0863759742222392</c:v>
              </c:pt>
              <c:pt idx="8">
                <c:v>-2.0921728174581125</c:v>
              </c:pt>
              <c:pt idx="9">
                <c:v>-1.0982621358298799</c:v>
              </c:pt>
              <c:pt idx="10">
                <c:v>-0.10465013837261665</c:v>
              </c:pt>
              <c:pt idx="11">
                <c:v>0.88972450219737909</c:v>
              </c:pt>
              <c:pt idx="12">
                <c:v>1.8839239424018834</c:v>
              </c:pt>
              <c:pt idx="13">
                <c:v>2.8779414006588313</c:v>
              </c:pt>
              <c:pt idx="14">
                <c:v>3.871781350388404</c:v>
              </c:pt>
              <c:pt idx="15">
                <c:v>4.8654494404600808</c:v>
              </c:pt>
              <c:pt idx="16">
                <c:v>5.8589497747029542</c:v>
              </c:pt>
              <c:pt idx="17">
                <c:v>6.8522932008453763</c:v>
              </c:pt>
              <c:pt idx="18">
                <c:v>7.8454894897457255</c:v>
              </c:pt>
              <c:pt idx="19">
                <c:v>8.8385500091965099</c:v>
              </c:pt>
              <c:pt idx="20">
                <c:v>9.8314878428015433</c:v>
              </c:pt>
              <c:pt idx="21">
                <c:v>10.824314400976062</c:v>
              </c:pt>
              <c:pt idx="22">
                <c:v>11.817049800389974</c:v>
              </c:pt>
              <c:pt idx="23">
                <c:v>12.809713039921014</c:v>
              </c:pt>
              <c:pt idx="24">
                <c:v>13.802325371823336</c:v>
              </c:pt>
              <c:pt idx="25">
                <c:v>14.794910452175319</c:v>
              </c:pt>
              <c:pt idx="26">
                <c:v>15.787494498334434</c:v>
              </c:pt>
              <c:pt idx="27">
                <c:v>16.780106453672715</c:v>
              </c:pt>
              <c:pt idx="28">
                <c:v>17.772778159883224</c:v>
              </c:pt>
              <c:pt idx="29">
                <c:v>18.765544537166129</c:v>
              </c:pt>
              <c:pt idx="30">
                <c:v>19.758443772623167</c:v>
              </c:pt>
              <c:pt idx="31">
                <c:v>20.24502537845661</c:v>
              </c:pt>
            </c:numLit>
          </c:xVal>
          <c:yVal>
            <c:numLit>
              <c:formatCode>General</c:formatCode>
              <c:ptCount val="32"/>
              <c:pt idx="0">
                <c:v>4.8095538447478798E-4</c:v>
              </c:pt>
              <c:pt idx="1">
                <c:v>5.2546111704482746E-4</c:v>
              </c:pt>
              <c:pt idx="2">
                <c:v>5.7370319474700678E-4</c:v>
              </c:pt>
              <c:pt idx="3">
                <c:v>6.2596240354141543E-4</c:v>
              </c:pt>
              <c:pt idx="4">
                <c:v>6.8253810313502938E-4</c:v>
              </c:pt>
              <c:pt idx="5">
                <c:v>7.4374928889864127E-4</c:v>
              </c:pt>
              <c:pt idx="6">
                <c:v>8.0993570607976032E-4</c:v>
              </c:pt>
              <c:pt idx="7">
                <c:v>8.8145901874186257E-4</c:v>
              </c:pt>
              <c:pt idx="8">
                <c:v>9.5870403600972981E-4</c:v>
              </c:pt>
              <c:pt idx="9">
                <c:v>1.042079998364528E-3</c:v>
              </c:pt>
              <c:pt idx="10">
                <c:v>1.1320219269123908E-3</c:v>
              </c:pt>
              <c:pt idx="11">
                <c:v>1.2172169276874775E-3</c:v>
              </c:pt>
              <c:pt idx="12">
                <c:v>1.3079358640647994E-3</c:v>
              </c:pt>
              <c:pt idx="13">
                <c:v>1.4046093678473526E-3</c:v>
              </c:pt>
              <c:pt idx="14">
                <c:v>1.5075731826702395E-3</c:v>
              </c:pt>
              <c:pt idx="15">
                <c:v>1.6171787681858833E-3</c:v>
              </c:pt>
              <c:pt idx="16">
                <c:v>1.7338285269895967E-3</c:v>
              </c:pt>
              <c:pt idx="17">
                <c:v>1.8578774687365771E-3</c:v>
              </c:pt>
              <c:pt idx="18">
                <c:v>1.9897282810522198E-3</c:v>
              </c:pt>
              <c:pt idx="19">
                <c:v>2.1298018718635013E-3</c:v>
              </c:pt>
              <c:pt idx="20">
                <c:v>2.278538039538269E-3</c:v>
              </c:pt>
              <c:pt idx="21">
                <c:v>2.4364448941009312E-3</c:v>
              </c:pt>
              <c:pt idx="22">
                <c:v>2.6039601132949388E-3</c:v>
              </c:pt>
              <c:pt idx="23">
                <c:v>2.7815850310877644E-3</c:v>
              </c:pt>
              <c:pt idx="24">
                <c:v>2.9698428307306547E-3</c:v>
              </c:pt>
              <c:pt idx="25">
                <c:v>3.1692793411924403E-3</c:v>
              </c:pt>
              <c:pt idx="26">
                <c:v>3.3804638626748922E-3</c:v>
              </c:pt>
              <c:pt idx="27">
                <c:v>3.6039900228942794E-3</c:v>
              </c:pt>
              <c:pt idx="28">
                <c:v>3.840476665952176E-3</c:v>
              </c:pt>
              <c:pt idx="29">
                <c:v>4.0905687757696188E-3</c:v>
              </c:pt>
              <c:pt idx="30">
                <c:v>4.3549384362202544E-3</c:v>
              </c:pt>
              <c:pt idx="31">
                <c:v>4.4899026259122817E-3</c:v>
              </c:pt>
            </c:numLit>
          </c:yVal>
          <c:smooth val="1"/>
          <c:extLst>
            <c:ext xmlns:c16="http://schemas.microsoft.com/office/drawing/2014/chart" uri="{C3380CC4-5D6E-409C-BE32-E72D297353CC}">
              <c16:uniqueId val="{00000010-FF6C-4F20-B756-3A255FA271B4}"/>
            </c:ext>
          </c:extLst>
        </c:ser>
        <c:ser>
          <c:idx val="12"/>
          <c:order val="12"/>
          <c:tx>
            <c:v>RH=30_Label1</c:v>
          </c:tx>
          <c:spPr>
            <a:ln w="3175">
              <a:solidFill>
                <a:srgbClr val="0000FF"/>
              </a:solidFill>
              <a:prstDash val="solid"/>
            </a:ln>
          </c:spPr>
          <c:marker>
            <c:symbol val="none"/>
          </c:marker>
          <c:dLbls>
            <c:dLbl>
              <c:idx val="0"/>
              <c:tx>
                <c:rich>
                  <a:bodyPr rot="-12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20.811108461403002</c:v>
              </c:pt>
            </c:numLit>
          </c:xVal>
          <c:yVal>
            <c:numLit>
              <c:formatCode>General</c:formatCode>
              <c:ptCount val="1"/>
              <c:pt idx="0">
                <c:v>4.6515387384462158E-3</c:v>
              </c:pt>
            </c:numLit>
          </c:yVal>
          <c:smooth val="0"/>
          <c:extLst>
            <c:ext xmlns:c16="http://schemas.microsoft.com/office/drawing/2014/chart" uri="{C3380CC4-5D6E-409C-BE32-E72D297353CC}">
              <c16:uniqueId val="{00000012-FF6C-4F20-B756-3A255FA271B4}"/>
            </c:ext>
          </c:extLst>
        </c:ser>
        <c:ser>
          <c:idx val="13"/>
          <c:order val="13"/>
          <c:tx>
            <c:v>RH=30_2</c:v>
          </c:tx>
          <c:spPr>
            <a:ln w="3175">
              <a:solidFill>
                <a:srgbClr val="0000FF"/>
              </a:solidFill>
              <a:prstDash val="solid"/>
            </a:ln>
          </c:spPr>
          <c:marker>
            <c:symbol val="none"/>
          </c:marker>
          <c:xVal>
            <c:numLit>
              <c:formatCode>General</c:formatCode>
              <c:ptCount val="18"/>
              <c:pt idx="0">
                <c:v>21.377263818739706</c:v>
              </c:pt>
              <c:pt idx="1">
                <c:v>22.370720895339069</c:v>
              </c:pt>
              <c:pt idx="2">
                <c:v>23.364480102613534</c:v>
              </c:pt>
              <c:pt idx="3">
                <c:v>24.35859746559164</c:v>
              </c:pt>
              <c:pt idx="4">
                <c:v>25.353129999964821</c:v>
              </c:pt>
              <c:pt idx="5">
                <c:v>26.348144260675021</c:v>
              </c:pt>
              <c:pt idx="6">
                <c:v>27.343712590614235</c:v>
              </c:pt>
              <c:pt idx="7">
                <c:v>28.339910613496379</c:v>
              </c:pt>
              <c:pt idx="8">
                <c:v>29.336819542810858</c:v>
              </c:pt>
              <c:pt idx="9">
                <c:v>30.334526485832559</c:v>
              </c:pt>
              <c:pt idx="10">
                <c:v>31.333124762061246</c:v>
              </c:pt>
              <c:pt idx="11">
                <c:v>32.332714236929732</c:v>
              </c:pt>
              <c:pt idx="12">
                <c:v>33.333401671690773</c:v>
              </c:pt>
              <c:pt idx="13">
                <c:v>34.335301090470558</c:v>
              </c:pt>
              <c:pt idx="14">
                <c:v>35.338534165561015</c:v>
              </c:pt>
              <c:pt idx="15">
                <c:v>36.343230622116273</c:v>
              </c:pt>
              <c:pt idx="16">
                <c:v>37.349528663520069</c:v>
              </c:pt>
              <c:pt idx="17">
                <c:v>38.286952001805297</c:v>
              </c:pt>
            </c:numLit>
          </c:xVal>
          <c:yVal>
            <c:numLit>
              <c:formatCode>General</c:formatCode>
              <c:ptCount val="18"/>
              <c:pt idx="0">
                <c:v>4.8182920461159124E-3</c:v>
              </c:pt>
              <c:pt idx="1">
                <c:v>5.1236299709849099E-3</c:v>
              </c:pt>
              <c:pt idx="2">
                <c:v>5.445929040633163E-3</c:v>
              </c:pt>
              <c:pt idx="3">
                <c:v>5.7860005173922934E-3</c:v>
              </c:pt>
              <c:pt idx="4">
                <c:v>6.1447668346722162E-3</c:v>
              </c:pt>
              <c:pt idx="5">
                <c:v>6.5230875389578839E-3</c:v>
              </c:pt>
              <c:pt idx="6">
                <c:v>6.9218359323902426E-3</c:v>
              </c:pt>
              <c:pt idx="7">
                <c:v>7.3419657449303828E-3</c:v>
              </c:pt>
              <c:pt idx="8">
                <c:v>7.7844695692135405E-3</c:v>
              </c:pt>
              <c:pt idx="9">
                <c:v>8.2503804034741533E-3</c:v>
              </c:pt>
              <c:pt idx="10">
                <c:v>8.7407732735813454E-3</c:v>
              </c:pt>
              <c:pt idx="11">
                <c:v>9.256766939931332E-3</c:v>
              </c:pt>
              <c:pt idx="12">
                <c:v>9.7995256954131298E-3</c:v>
              </c:pt>
              <c:pt idx="13">
                <c:v>1.0370261261171108E-2</c:v>
              </c:pt>
              <c:pt idx="14">
                <c:v>1.0970234787438431E-2</c:v>
              </c:pt>
              <c:pt idx="15">
                <c:v>1.1600758967316551E-2</c:v>
              </c:pt>
              <c:pt idx="16">
                <c:v>1.226320027202504E-2</c:v>
              </c:pt>
              <c:pt idx="17">
                <c:v>1.2909160753810515E-2</c:v>
              </c:pt>
            </c:numLit>
          </c:yVal>
          <c:smooth val="1"/>
          <c:extLst>
            <c:ext xmlns:c16="http://schemas.microsoft.com/office/drawing/2014/chart" uri="{C3380CC4-5D6E-409C-BE32-E72D297353CC}">
              <c16:uniqueId val="{00000013-FF6C-4F20-B756-3A255FA271B4}"/>
            </c:ext>
          </c:extLst>
        </c:ser>
        <c:ser>
          <c:idx val="14"/>
          <c:order val="14"/>
          <c:tx>
            <c:v>RH=30_Label2</c:v>
          </c:tx>
          <c:spPr>
            <a:ln w="3175">
              <a:solidFill>
                <a:srgbClr val="0000FF"/>
              </a:solidFill>
              <a:prstDash val="solid"/>
            </a:ln>
          </c:spPr>
          <c:marker>
            <c:symbol val="none"/>
          </c:marker>
          <c:dLbls>
            <c:dLbl>
              <c:idx val="0"/>
              <c:tx>
                <c:rich>
                  <a:bodyPr rot="-264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38.589689789328688</c:v>
              </c:pt>
            </c:numLit>
          </c:xVal>
          <c:yVal>
            <c:numLit>
              <c:formatCode>General</c:formatCode>
              <c:ptCount val="1"/>
              <c:pt idx="0">
                <c:v>1.3123881389130688E-2</c:v>
              </c:pt>
            </c:numLit>
          </c:yVal>
          <c:smooth val="0"/>
          <c:extLst>
            <c:ext xmlns:c16="http://schemas.microsoft.com/office/drawing/2014/chart" uri="{C3380CC4-5D6E-409C-BE32-E72D297353CC}">
              <c16:uniqueId val="{00000015-FF6C-4F20-B756-3A255FA271B4}"/>
            </c:ext>
          </c:extLst>
        </c:ser>
        <c:ser>
          <c:idx val="15"/>
          <c:order val="15"/>
          <c:tx>
            <c:v>RH=30_3</c:v>
          </c:tx>
          <c:spPr>
            <a:ln w="3175">
              <a:solidFill>
                <a:srgbClr val="0000FF"/>
              </a:solidFill>
              <a:prstDash val="solid"/>
            </a:ln>
          </c:spPr>
          <c:marker>
            <c:symbol val="none"/>
          </c:marker>
          <c:xVal>
            <c:numLit>
              <c:formatCode>General</c:formatCode>
              <c:ptCount val="12"/>
              <c:pt idx="0">
                <c:v>38.892602344462084</c:v>
              </c:pt>
              <c:pt idx="1">
                <c:v>39.903630523991851</c:v>
              </c:pt>
              <c:pt idx="2">
                <c:v>40.916820712497518</c:v>
              </c:pt>
              <c:pt idx="3">
                <c:v>41.932357840698131</c:v>
              </c:pt>
              <c:pt idx="4">
                <c:v>42.950435837011995</c:v>
              </c:pt>
              <c:pt idx="5">
                <c:v>43.971260512090304</c:v>
              </c:pt>
              <c:pt idx="6">
                <c:v>44.995050194605206</c:v>
              </c:pt>
              <c:pt idx="7">
                <c:v>46.022036404376692</c:v>
              </c:pt>
              <c:pt idx="8">
                <c:v>47.052464565732187</c:v>
              </c:pt>
              <c:pt idx="9">
                <c:v>48.086594764263893</c:v>
              </c:pt>
              <c:pt idx="10">
                <c:v>49.124702550447587</c:v>
              </c:pt>
              <c:pt idx="11">
                <c:v>50</c:v>
              </c:pt>
            </c:numLit>
          </c:xVal>
          <c:yVal>
            <c:numLit>
              <c:formatCode>General</c:formatCode>
              <c:ptCount val="12"/>
              <c:pt idx="0">
                <c:v>1.3341766926117184E-2</c:v>
              </c:pt>
              <c:pt idx="1">
                <c:v>1.4091468488515061E-2</c:v>
              </c:pt>
              <c:pt idx="2">
                <c:v>1.4878506983621821E-2</c:v>
              </c:pt>
              <c:pt idx="3">
                <c:v>1.5704411637157415E-2</c:v>
              </c:pt>
              <c:pt idx="4">
                <c:v>1.6570894482639917E-2</c:v>
              </c:pt>
              <c:pt idx="5">
                <c:v>1.7479739729448066E-2</c:v>
              </c:pt>
              <c:pt idx="6">
                <c:v>1.8432807276633257E-2</c:v>
              </c:pt>
              <c:pt idx="7">
                <c:v>1.9432036457920871E-2</c:v>
              </c:pt>
              <c:pt idx="8">
                <c:v>2.0479450036616827E-2</c:v>
              </c:pt>
              <c:pt idx="9">
                <c:v>2.1577158470815844E-2</c:v>
              </c:pt>
              <c:pt idx="10">
                <c:v>2.272736447115447E-2</c:v>
              </c:pt>
              <c:pt idx="11">
                <c:v>2.3735787197097544E-2</c:v>
              </c:pt>
            </c:numLit>
          </c:yVal>
          <c:smooth val="1"/>
          <c:extLst>
            <c:ext xmlns:c16="http://schemas.microsoft.com/office/drawing/2014/chart" uri="{C3380CC4-5D6E-409C-BE32-E72D297353CC}">
              <c16:uniqueId val="{00000016-FF6C-4F20-B756-3A255FA271B4}"/>
            </c:ext>
          </c:extLst>
        </c:ser>
        <c:ser>
          <c:idx val="16"/>
          <c:order val="16"/>
          <c:tx>
            <c:v>RH=40_1</c:v>
          </c:tx>
          <c:spPr>
            <a:ln w="3175">
              <a:solidFill>
                <a:srgbClr val="0000FF"/>
              </a:solidFill>
              <a:prstDash val="solid"/>
            </a:ln>
          </c:spPr>
          <c:marker>
            <c:symbol val="none"/>
          </c:marker>
          <c:xVal>
            <c:numLit>
              <c:formatCode>General</c:formatCode>
              <c:ptCount val="30"/>
              <c:pt idx="0">
                <c:v>-10.071157666503382</c:v>
              </c:pt>
              <c:pt idx="1">
                <c:v>-9.0764484375794456</c:v>
              </c:pt>
              <c:pt idx="2">
                <c:v>-8.0820545203209271</c:v>
              </c:pt>
              <c:pt idx="3">
                <c:v>-7.0879878126509359</c:v>
              </c:pt>
              <c:pt idx="4">
                <c:v>-6.094260017697489</c:v>
              </c:pt>
              <c:pt idx="5">
                <c:v>-5.1008825599224101</c:v>
              </c:pt>
              <c:pt idx="6">
                <c:v>-4.107866492592299</c:v>
              </c:pt>
              <c:pt idx="7">
                <c:v>-3.1152223960079723</c:v>
              </c:pt>
              <c:pt idx="8">
                <c:v>-2.1229602658786209</c:v>
              </c:pt>
              <c:pt idx="9">
                <c:v>-1.1310893911950206</c:v>
              </c:pt>
              <c:pt idx="10">
                <c:v>-0.1396182209221522</c:v>
              </c:pt>
              <c:pt idx="11">
                <c:v>0.85287002497976261</c:v>
              </c:pt>
              <c:pt idx="12">
                <c:v>1.8451233619897396</c:v>
              </c:pt>
              <c:pt idx="13">
                <c:v>2.8371326004330104</c:v>
              </c:pt>
              <c:pt idx="14">
                <c:v>3.8289035643484142</c:v>
              </c:pt>
              <c:pt idx="15">
                <c:v>4.8204436354700766</c:v>
              </c:pt>
              <c:pt idx="16">
                <c:v>5.8117581188760123</c:v>
              </c:pt>
              <c:pt idx="17">
                <c:v>6.8028613142570338</c:v>
              </c:pt>
              <c:pt idx="18">
                <c:v>7.7937660706380818</c:v>
              </c:pt>
              <c:pt idx="19">
                <c:v>8.784487357391205</c:v>
              </c:pt>
              <c:pt idx="20">
                <c:v>9.7750424233722342</c:v>
              </c:pt>
              <c:pt idx="21">
                <c:v>10.765446266884746</c:v>
              </c:pt>
              <c:pt idx="22">
                <c:v>11.755725510122451</c:v>
              </c:pt>
              <c:pt idx="23">
                <c:v>12.745905270364457</c:v>
              </c:pt>
              <c:pt idx="24">
                <c:v>13.736013666649088</c:v>
              </c:pt>
              <c:pt idx="25">
                <c:v>14.726082022781892</c:v>
              </c:pt>
              <c:pt idx="26">
                <c:v>15.71614508022641</c:v>
              </c:pt>
              <c:pt idx="27">
                <c:v>16.706241221322188</c:v>
              </c:pt>
              <c:pt idx="28">
                <c:v>17.696412703306457</c:v>
              </c:pt>
              <c:pt idx="29">
                <c:v>18.171735229623049</c:v>
              </c:pt>
            </c:numLit>
          </c:xVal>
          <c:yVal>
            <c:numLit>
              <c:formatCode>General</c:formatCode>
              <c:ptCount val="30"/>
              <c:pt idx="0">
                <c:v>6.4143918012905593E-4</c:v>
              </c:pt>
              <c:pt idx="1">
                <c:v>7.008121760973331E-4</c:v>
              </c:pt>
              <c:pt idx="2">
                <c:v>7.651728535674235E-4</c:v>
              </c:pt>
              <c:pt idx="3">
                <c:v>8.3489661881570713E-4</c:v>
              </c:pt>
              <c:pt idx="4">
                <c:v>9.1038381147920844E-4</c:v>
              </c:pt>
              <c:pt idx="5">
                <c:v>9.9206114645107807E-4</c:v>
              </c:pt>
              <c:pt idx="6">
                <c:v>1.0803832292697476E-3</c:v>
              </c:pt>
              <c:pt idx="7">
                <c:v>1.1758341487524879E-3</c:v>
              </c:pt>
              <c:pt idx="8">
                <c:v>1.2789291508880532E-3</c:v>
              </c:pt>
              <c:pt idx="9">
                <c:v>1.3902163982942313E-3</c:v>
              </c:pt>
              <c:pt idx="10">
                <c:v>1.5102788198675821E-3</c:v>
              </c:pt>
              <c:pt idx="11">
                <c:v>1.6240153047000082E-3</c:v>
              </c:pt>
              <c:pt idx="12">
                <c:v>1.7451377446048627E-3</c:v>
              </c:pt>
              <c:pt idx="13">
                <c:v>1.8742233352138143E-3</c:v>
              </c:pt>
              <c:pt idx="14">
                <c:v>2.0117229343793344E-3</c:v>
              </c:pt>
              <c:pt idx="15">
                <c:v>2.1581087540872529E-3</c:v>
              </c:pt>
              <c:pt idx="16">
                <c:v>2.3139214615192092E-3</c:v>
              </c:pt>
              <c:pt idx="17">
                <c:v>2.4796388829385293E-3</c:v>
              </c:pt>
              <c:pt idx="18">
                <c:v>2.6558030330016539E-3</c:v>
              </c:pt>
              <c:pt idx="19">
                <c:v>2.8429808348341017E-3</c:v>
              </c:pt>
              <c:pt idx="20">
                <c:v>3.0417650818216663E-3</c:v>
              </c:pt>
              <c:pt idx="21">
                <c:v>3.2528405778045949E-3</c:v>
              </c:pt>
              <c:pt idx="22">
                <c:v>3.4767987665084011E-3</c:v>
              </c:pt>
              <c:pt idx="23">
                <c:v>3.7143170301272206E-3</c:v>
              </c:pt>
              <c:pt idx="24">
                <c:v>3.9661029174285749E-3</c:v>
              </c:pt>
              <c:pt idx="25">
                <c:v>4.2328953161507891E-3</c:v>
              </c:pt>
              <c:pt idx="26">
                <c:v>4.5154656750827386E-3</c:v>
              </c:pt>
              <c:pt idx="27">
                <c:v>4.8146192790791617E-3</c:v>
              </c:pt>
              <c:pt idx="28">
                <c:v>5.1311965805394127E-3</c:v>
              </c:pt>
              <c:pt idx="29">
                <c:v>5.289598667499288E-3</c:v>
              </c:pt>
            </c:numLit>
          </c:yVal>
          <c:smooth val="1"/>
          <c:extLst>
            <c:ext xmlns:c16="http://schemas.microsoft.com/office/drawing/2014/chart" uri="{C3380CC4-5D6E-409C-BE32-E72D297353CC}">
              <c16:uniqueId val="{00000017-FF6C-4F20-B756-3A255FA271B4}"/>
            </c:ext>
          </c:extLst>
        </c:ser>
        <c:ser>
          <c:idx val="17"/>
          <c:order val="17"/>
          <c:tx>
            <c:v>RH=40_Label1</c:v>
          </c:tx>
          <c:spPr>
            <a:ln w="3175">
              <a:solidFill>
                <a:srgbClr val="0000FF"/>
              </a:solidFill>
              <a:prstDash val="solid"/>
            </a:ln>
          </c:spPr>
          <c:marker>
            <c:symbol val="none"/>
          </c:marker>
          <c:dLbls>
            <c:dLbl>
              <c:idx val="0"/>
              <c:tx>
                <c:rich>
                  <a:bodyPr rot="-15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18.696609618261668</c:v>
              </c:pt>
            </c:numLit>
          </c:xVal>
          <c:yVal>
            <c:numLit>
              <c:formatCode>General</c:formatCode>
              <c:ptCount val="1"/>
              <c:pt idx="0">
                <c:v>5.4695188532680209E-3</c:v>
              </c:pt>
            </c:numLit>
          </c:yVal>
          <c:smooth val="0"/>
          <c:extLst>
            <c:ext xmlns:c16="http://schemas.microsoft.com/office/drawing/2014/chart" uri="{C3380CC4-5D6E-409C-BE32-E72D297353CC}">
              <c16:uniqueId val="{00000019-FF6C-4F20-B756-3A255FA271B4}"/>
            </c:ext>
          </c:extLst>
        </c:ser>
        <c:ser>
          <c:idx val="18"/>
          <c:order val="18"/>
          <c:tx>
            <c:v>RH=40_2</c:v>
          </c:tx>
          <c:spPr>
            <a:ln w="3175">
              <a:solidFill>
                <a:srgbClr val="0000FF"/>
              </a:solidFill>
              <a:prstDash val="solid"/>
            </a:ln>
          </c:spPr>
          <c:marker>
            <c:symbol val="none"/>
          </c:marker>
          <c:xVal>
            <c:numLit>
              <c:formatCode>General</c:formatCode>
              <c:ptCount val="17"/>
              <c:pt idx="0">
                <c:v>19.211627821712195</c:v>
              </c:pt>
              <c:pt idx="1">
                <c:v>20.202207062511963</c:v>
              </c:pt>
              <c:pt idx="2">
                <c:v>21.193045521947305</c:v>
              </c:pt>
              <c:pt idx="3">
                <c:v>22.184206264025072</c:v>
              </c:pt>
              <c:pt idx="4">
                <c:v>23.175757742162592</c:v>
              </c:pt>
              <c:pt idx="5">
                <c:v>24.167774118297825</c:v>
              </c:pt>
              <c:pt idx="6">
                <c:v>25.1603316445307</c:v>
              </c:pt>
              <c:pt idx="7">
                <c:v>26.153517149618409</c:v>
              </c:pt>
              <c:pt idx="8">
                <c:v>27.14742747249446</c:v>
              </c:pt>
              <c:pt idx="9">
                <c:v>28.142163180108163</c:v>
              </c:pt>
              <c:pt idx="10">
                <c:v>29.137832409025819</c:v>
              </c:pt>
              <c:pt idx="11">
                <c:v>30.134551295721444</c:v>
              </c:pt>
              <c:pt idx="12">
                <c:v>31.132444429611024</c:v>
              </c:pt>
              <c:pt idx="13">
                <c:v>32.131645330365913</c:v>
              </c:pt>
              <c:pt idx="14">
                <c:v>33.132296951182454</c:v>
              </c:pt>
              <c:pt idx="15">
                <c:v>34.13455220983942</c:v>
              </c:pt>
              <c:pt idx="16">
                <c:v>34.726700730219605</c:v>
              </c:pt>
            </c:numLit>
          </c:xVal>
          <c:yVal>
            <c:numLit>
              <c:formatCode>General</c:formatCode>
              <c:ptCount val="17"/>
              <c:pt idx="0">
                <c:v>5.6512912640590517E-3</c:v>
              </c:pt>
              <c:pt idx="1">
                <c:v>6.0159538060022208E-3</c:v>
              </c:pt>
              <c:pt idx="2">
                <c:v>6.4013091486796996E-3</c:v>
              </c:pt>
              <c:pt idx="3">
                <c:v>6.8083754788367118E-3</c:v>
              </c:pt>
              <c:pt idx="4">
                <c:v>7.2382147244076525E-3</c:v>
              </c:pt>
              <c:pt idx="5">
                <c:v>7.6919343649579095E-3</c:v>
              </c:pt>
              <c:pt idx="6">
                <c:v>8.1707767158846062E-3</c:v>
              </c:pt>
              <c:pt idx="7">
                <c:v>8.6759520844244559E-3</c:v>
              </c:pt>
              <c:pt idx="8">
                <c:v>9.208645282612761E-3</c:v>
              </c:pt>
              <c:pt idx="9">
                <c:v>9.7701679465518245E-3</c:v>
              </c:pt>
              <c:pt idx="10">
                <c:v>1.0361888011305007E-2</c:v>
              </c:pt>
              <c:pt idx="11">
                <c:v>1.0985232215656456E-2</c:v>
              </c:pt>
              <c:pt idx="12">
                <c:v>1.1641688754542854E-2</c:v>
              </c:pt>
              <c:pt idx="13">
                <c:v>1.2332810090782168E-2</c:v>
              </c:pt>
              <c:pt idx="14">
                <c:v>1.3060215938736743E-2</c:v>
              </c:pt>
              <c:pt idx="15">
                <c:v>1.3825596433664258E-2</c:v>
              </c:pt>
              <c:pt idx="16">
                <c:v>1.4295694061418956E-2</c:v>
              </c:pt>
            </c:numLit>
          </c:yVal>
          <c:smooth val="1"/>
          <c:extLst>
            <c:ext xmlns:c16="http://schemas.microsoft.com/office/drawing/2014/chart" uri="{C3380CC4-5D6E-409C-BE32-E72D297353CC}">
              <c16:uniqueId val="{0000001A-FF6C-4F20-B756-3A255FA271B4}"/>
            </c:ext>
          </c:extLst>
        </c:ser>
        <c:ser>
          <c:idx val="19"/>
          <c:order val="19"/>
          <c:tx>
            <c:v>RH=40_Label2</c:v>
          </c:tx>
          <c:spPr>
            <a:ln w="3175">
              <a:solidFill>
                <a:srgbClr val="0000FF"/>
              </a:solidFill>
              <a:prstDash val="solid"/>
            </a:ln>
          </c:spPr>
          <c:marker>
            <c:symbol val="none"/>
          </c:marker>
          <c:dLbls>
            <c:dLbl>
              <c:idx val="0"/>
              <c:tx>
                <c:rich>
                  <a:bodyPr rot="-28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35.028040308533853</c:v>
              </c:pt>
            </c:numLit>
          </c:xVal>
          <c:yVal>
            <c:numLit>
              <c:formatCode>General</c:formatCode>
              <c:ptCount val="1"/>
              <c:pt idx="0">
                <c:v>1.4540151098681935E-2</c:v>
              </c:pt>
            </c:numLit>
          </c:yVal>
          <c:smooth val="0"/>
          <c:extLst>
            <c:ext xmlns:c16="http://schemas.microsoft.com/office/drawing/2014/chart" uri="{C3380CC4-5D6E-409C-BE32-E72D297353CC}">
              <c16:uniqueId val="{0000001C-FF6C-4F20-B756-3A255FA271B4}"/>
            </c:ext>
          </c:extLst>
        </c:ser>
        <c:ser>
          <c:idx val="20"/>
          <c:order val="20"/>
          <c:tx>
            <c:v>RH=40_3</c:v>
          </c:tx>
          <c:spPr>
            <a:ln w="3175">
              <a:solidFill>
                <a:srgbClr val="0000FF"/>
              </a:solidFill>
              <a:prstDash val="solid"/>
            </a:ln>
          </c:spPr>
          <c:marker>
            <c:symbol val="none"/>
          </c:marker>
          <c:xVal>
            <c:numLit>
              <c:formatCode>General</c:formatCode>
              <c:ptCount val="16"/>
              <c:pt idx="0">
                <c:v>35.329552776174317</c:v>
              </c:pt>
              <c:pt idx="1">
                <c:v>36.335906363098594</c:v>
              </c:pt>
              <c:pt idx="2">
                <c:v>37.344424679792851</c:v>
              </c:pt>
              <c:pt idx="3">
                <c:v>38.355308879053233</c:v>
              </c:pt>
              <c:pt idx="4">
                <c:v>39.368773366008369</c:v>
              </c:pt>
              <c:pt idx="5">
                <c:v>40.385044078419881</c:v>
              </c:pt>
              <c:pt idx="6">
                <c:v>41.404366085039008</c:v>
              </c:pt>
              <c:pt idx="7">
                <c:v>42.426999385462096</c:v>
              </c:pt>
              <c:pt idx="8">
                <c:v>43.453219557967351</c:v>
              </c:pt>
              <c:pt idx="9">
                <c:v>44.483319737831081</c:v>
              </c:pt>
              <c:pt idx="10">
                <c:v>45.517611653111167</c:v>
              </c:pt>
              <c:pt idx="11">
                <c:v>46.556426731421674</c:v>
              </c:pt>
              <c:pt idx="12">
                <c:v>47.600117283983685</c:v>
              </c:pt>
              <c:pt idx="13">
                <c:v>48.64905777389</c:v>
              </c:pt>
              <c:pt idx="14">
                <c:v>49.703646176251077</c:v>
              </c:pt>
              <c:pt idx="15">
                <c:v>50.000000000000007</c:v>
              </c:pt>
            </c:numLit>
          </c:xVal>
          <c:yVal>
            <c:numLit>
              <c:formatCode>General</c:formatCode>
              <c:ptCount val="16"/>
              <c:pt idx="0">
                <c:v>1.478833119366236E-2</c:v>
              </c:pt>
              <c:pt idx="1">
                <c:v>1.5643145109583971E-2</c:v>
              </c:pt>
              <c:pt idx="2">
                <c:v>1.6541836193495318E-2</c:v>
              </c:pt>
              <c:pt idx="3">
                <c:v>1.7486428909881571E-2</c:v>
              </c:pt>
              <c:pt idx="4">
                <c:v>1.8479038209467172E-2</c:v>
              </c:pt>
              <c:pt idx="5">
                <c:v>1.9522018510706687E-2</c:v>
              </c:pt>
              <c:pt idx="6">
                <c:v>2.0617611971505051E-2</c:v>
              </c:pt>
              <c:pt idx="7">
                <c:v>2.1768183432671905E-2</c:v>
              </c:pt>
              <c:pt idx="8">
                <c:v>2.2976262300941908E-2</c:v>
              </c:pt>
              <c:pt idx="9">
                <c:v>2.424449573781436E-2</c:v>
              </c:pt>
              <c:pt idx="10">
                <c:v>2.5575655332400155E-2</c:v>
              </c:pt>
              <c:pt idx="11">
                <c:v>2.6972644274486847E-2</c:v>
              </c:pt>
              <c:pt idx="12">
                <c:v>2.8438505072725828E-2</c:v>
              </c:pt>
              <c:pt idx="13">
                <c:v>2.9976427867378353E-2</c:v>
              </c:pt>
              <c:pt idx="14">
                <c:v>3.1589759392127853E-2</c:v>
              </c:pt>
              <c:pt idx="15">
                <c:v>3.2055479665609135E-2</c:v>
              </c:pt>
            </c:numLit>
          </c:yVal>
          <c:smooth val="1"/>
          <c:extLst>
            <c:ext xmlns:c16="http://schemas.microsoft.com/office/drawing/2014/chart" uri="{C3380CC4-5D6E-409C-BE32-E72D297353CC}">
              <c16:uniqueId val="{0000001D-FF6C-4F20-B756-3A255FA271B4}"/>
            </c:ext>
          </c:extLst>
        </c:ser>
        <c:ser>
          <c:idx val="21"/>
          <c:order val="21"/>
          <c:tx>
            <c:v>RH=50_1</c:v>
          </c:tx>
          <c:spPr>
            <a:ln w="3175">
              <a:solidFill>
                <a:srgbClr val="FF6600"/>
              </a:solidFill>
              <a:prstDash val="solid"/>
            </a:ln>
          </c:spPr>
          <c:marker>
            <c:symbol val="none"/>
          </c:marker>
          <c:xVal>
            <c:numLit>
              <c:formatCode>General</c:formatCode>
              <c:ptCount val="28"/>
              <c:pt idx="0">
                <c:v>-10.08897002151055</c:v>
              </c:pt>
              <c:pt idx="1">
                <c:v>-9.0955874726249295</c:v>
              </c:pt>
              <c:pt idx="2">
                <c:v>-8.1025997054790633</c:v>
              </c:pt>
              <c:pt idx="3">
                <c:v>-7.1100216869101676</c:v>
              </c:pt>
              <c:pt idx="4">
                <c:v>-6.1178681526317034</c:v>
              </c:pt>
              <c:pt idx="5">
                <c:v>-5.1261535037671155</c:v>
              </c:pt>
              <c:pt idx="6">
                <c:v>-4.1348916926731265</c:v>
              </c:pt>
              <c:pt idx="7">
                <c:v>-3.1440960973251273</c:v>
              </c:pt>
              <c:pt idx="8">
                <c:v>-2.1537793834979757</c:v>
              </c:pt>
              <c:pt idx="9">
                <c:v>-1.1639533539336429</c:v>
              </c:pt>
              <c:pt idx="10">
                <c:v>-0.17462878364218917</c:v>
              </c:pt>
              <c:pt idx="11">
                <c:v>0.81596740205832308</c:v>
              </c:pt>
              <c:pt idx="12">
                <c:v>1.806268310463421</c:v>
              </c:pt>
              <c:pt idx="13">
                <c:v>2.7962622689140946</c:v>
              </c:pt>
              <c:pt idx="14">
                <c:v>3.785956380554413</c:v>
              </c:pt>
              <c:pt idx="15">
                <c:v>4.7753596834764709</c:v>
              </c:pt>
              <c:pt idx="16">
                <c:v>5.7644785989372425</c:v>
              </c:pt>
              <c:pt idx="17">
                <c:v>6.753330794661875</c:v>
              </c:pt>
              <c:pt idx="18">
                <c:v>7.7419321061698998</c:v>
              </c:pt>
              <c:pt idx="19">
                <c:v>8.7303010079445151</c:v>
              </c:pt>
              <c:pt idx="20">
                <c:v>9.7184588131024761</c:v>
              </c:pt>
              <c:pt idx="21">
                <c:v>10.706423996530482</c:v>
              </c:pt>
              <c:pt idx="22">
                <c:v>11.694229582027464</c:v>
              </c:pt>
              <c:pt idx="23">
                <c:v>12.681906693511435</c:v>
              </c:pt>
              <c:pt idx="24">
                <c:v>13.669490203078148</c:v>
              </c:pt>
              <c:pt idx="25">
                <c:v>14.657018987720264</c:v>
              </c:pt>
              <c:pt idx="26">
                <c:v>15.644536199075654</c:v>
              </c:pt>
              <c:pt idx="27">
                <c:v>16.444449259100793</c:v>
              </c:pt>
            </c:numLit>
          </c:xVal>
          <c:yVal>
            <c:numLit>
              <c:formatCode>General</c:formatCode>
              <c:ptCount val="28"/>
              <c:pt idx="0">
                <c:v>8.0200574945888238E-4</c:v>
              </c:pt>
              <c:pt idx="1">
                <c:v>8.7626205085363938E-4</c:v>
              </c:pt>
              <c:pt idx="2">
                <c:v>9.5676032361825683E-4</c:v>
              </c:pt>
              <c:pt idx="3">
                <c:v>1.0439711095229951E-3</c:v>
              </c:pt>
              <c:pt idx="4">
                <c:v>1.1383963282209435E-3</c:v>
              </c:pt>
              <c:pt idx="5">
                <c:v>1.2405711123139587E-3</c:v>
              </c:pt>
              <c:pt idx="6">
                <c:v>1.3510657390398758E-3</c:v>
              </c:pt>
              <c:pt idx="7">
                <c:v>1.4704876639184206E-3</c:v>
              </c:pt>
              <c:pt idx="8">
                <c:v>1.5994836621067371E-3</c:v>
              </c:pt>
              <c:pt idx="9">
                <c:v>1.7387420836732516E-3</c:v>
              </c:pt>
              <c:pt idx="10">
                <c:v>1.8889952295058313E-3</c:v>
              </c:pt>
              <c:pt idx="11">
                <c:v>2.0313451122375144E-3</c:v>
              </c:pt>
              <c:pt idx="12">
                <c:v>2.1829534013642305E-3</c:v>
              </c:pt>
              <c:pt idx="13">
                <c:v>2.3445453840359293E-3</c:v>
              </c:pt>
              <c:pt idx="14">
                <c:v>2.5166886531353488E-3</c:v>
              </c:pt>
              <c:pt idx="15">
                <c:v>2.6999779978813701E-3</c:v>
              </c:pt>
              <c:pt idx="16">
                <c:v>2.8950944461037949E-3</c:v>
              </c:pt>
              <c:pt idx="17">
                <c:v>3.1026409173562676E-3</c:v>
              </c:pt>
              <c:pt idx="18">
                <c:v>3.3233013465576106E-3</c:v>
              </c:pt>
              <c:pt idx="19">
                <c:v>3.5577915815344584E-3</c:v>
              </c:pt>
              <c:pt idx="20">
                <c:v>3.8068606722971615E-3</c:v>
              </c:pt>
              <c:pt idx="21">
                <c:v>4.0713738556704586E-3</c:v>
              </c:pt>
              <c:pt idx="22">
                <c:v>4.3520803689922234E-3</c:v>
              </c:pt>
              <c:pt idx="23">
                <c:v>4.6498382203937379E-3</c:v>
              </c:pt>
              <c:pt idx="24">
                <c:v>4.9655444400146668E-3</c:v>
              </c:pt>
              <c:pt idx="25">
                <c:v>5.300136687456442E-3</c:v>
              </c:pt>
              <c:pt idx="26">
                <c:v>5.654594935640289E-3</c:v>
              </c:pt>
              <c:pt idx="27">
                <c:v>5.9569705434108725E-3</c:v>
              </c:pt>
            </c:numLit>
          </c:yVal>
          <c:smooth val="1"/>
          <c:extLst>
            <c:ext xmlns:c16="http://schemas.microsoft.com/office/drawing/2014/chart" uri="{C3380CC4-5D6E-409C-BE32-E72D297353CC}">
              <c16:uniqueId val="{0000001E-FF6C-4F20-B756-3A255FA271B4}"/>
            </c:ext>
          </c:extLst>
        </c:ser>
        <c:ser>
          <c:idx val="22"/>
          <c:order val="22"/>
          <c:tx>
            <c:v>RH=50_Label1</c:v>
          </c:tx>
          <c:spPr>
            <a:ln w="3175">
              <a:solidFill>
                <a:srgbClr val="FF6600"/>
              </a:solidFill>
              <a:prstDash val="solid"/>
            </a:ln>
          </c:spPr>
          <c:marker>
            <c:symbol val="none"/>
          </c:marker>
          <c:dLbls>
            <c:dLbl>
              <c:idx val="0"/>
              <c:tx>
                <c:rich>
                  <a:bodyPr rot="-16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16.938246504261446</c:v>
              </c:pt>
            </c:numLit>
          </c:xVal>
          <c:yVal>
            <c:numLit>
              <c:formatCode>General</c:formatCode>
              <c:ptCount val="1"/>
              <c:pt idx="0">
                <c:v>6.1507089523445638E-3</c:v>
              </c:pt>
            </c:numLit>
          </c:yVal>
          <c:smooth val="0"/>
          <c:extLst>
            <c:ext xmlns:c16="http://schemas.microsoft.com/office/drawing/2014/chart" uri="{C3380CC4-5D6E-409C-BE32-E72D297353CC}">
              <c16:uniqueId val="{00000020-FF6C-4F20-B756-3A255FA271B4}"/>
            </c:ext>
          </c:extLst>
        </c:ser>
        <c:ser>
          <c:idx val="23"/>
          <c:order val="23"/>
          <c:tx>
            <c:v>RH=50_2</c:v>
          </c:tx>
          <c:spPr>
            <a:ln w="3175">
              <a:solidFill>
                <a:srgbClr val="FF6600"/>
              </a:solidFill>
              <a:prstDash val="solid"/>
            </a:ln>
          </c:spPr>
          <c:marker>
            <c:symbol val="none"/>
          </c:marker>
          <c:xVal>
            <c:numLit>
              <c:formatCode>General</c:formatCode>
              <c:ptCount val="16"/>
              <c:pt idx="0">
                <c:v>17.422193396353077</c:v>
              </c:pt>
              <c:pt idx="1">
                <c:v>18.409947717682584</c:v>
              </c:pt>
              <c:pt idx="2">
                <c:v>19.397898605362961</c:v>
              </c:pt>
              <c:pt idx="3">
                <c:v>20.386113938329231</c:v>
              </c:pt>
              <c:pt idx="4">
                <c:v>21.374667728823542</c:v>
              </c:pt>
              <c:pt idx="5">
                <c:v>22.363640501219667</c:v>
              </c:pt>
              <c:pt idx="6">
                <c:v>23.353119690709409</c:v>
              </c:pt>
              <c:pt idx="7">
                <c:v>24.343200063094248</c:v>
              </c:pt>
              <c:pt idx="8">
                <c:v>25.333976607753801</c:v>
              </c:pt>
              <c:pt idx="9">
                <c:v>26.32556544086038</c:v>
              </c:pt>
              <c:pt idx="10">
                <c:v>27.318087972919766</c:v>
              </c:pt>
              <c:pt idx="11">
                <c:v>28.311673026562932</c:v>
              </c:pt>
              <c:pt idx="12">
                <c:v>29.306459234239682</c:v>
              </c:pt>
              <c:pt idx="13">
                <c:v>30.302595619159391</c:v>
              </c:pt>
              <c:pt idx="14">
                <c:v>31.300242210065303</c:v>
              </c:pt>
              <c:pt idx="15">
                <c:v>31.909621057494508</c:v>
              </c:pt>
            </c:numLit>
          </c:xVal>
          <c:yVal>
            <c:numLit>
              <c:formatCode>General</c:formatCode>
              <c:ptCount val="16"/>
              <c:pt idx="0">
                <c:v>6.3459801520872189E-3</c:v>
              </c:pt>
              <c:pt idx="1">
                <c:v>6.7616590159105252E-3</c:v>
              </c:pt>
              <c:pt idx="2">
                <c:v>7.201345919761834E-3</c:v>
              </c:pt>
              <c:pt idx="3">
                <c:v>7.6662501480482086E-3</c:v>
              </c:pt>
              <c:pt idx="4">
                <c:v>8.1576348814824777E-3</c:v>
              </c:pt>
              <c:pt idx="5">
                <c:v>8.676819571731012E-3</c:v>
              </c:pt>
              <c:pt idx="6">
                <c:v>9.2251824498550249E-3</c:v>
              </c:pt>
              <c:pt idx="7">
                <c:v>9.8041631790234604E-3</c:v>
              </c:pt>
              <c:pt idx="8">
                <c:v>1.0415434386378618E-2</c:v>
              </c:pt>
              <c:pt idx="9">
                <c:v>1.1060464555396202E-2</c:v>
              </c:pt>
              <c:pt idx="10">
                <c:v>1.1740857774937448E-2</c:v>
              </c:pt>
              <c:pt idx="11">
                <c:v>1.2458331691968276E-2</c:v>
              </c:pt>
              <c:pt idx="12">
                <c:v>1.3214681421134968E-2</c:v>
              </c:pt>
              <c:pt idx="13">
                <c:v>1.4011783353652977E-2</c:v>
              </c:pt>
              <c:pt idx="14">
                <c:v>1.4851599216421624E-2</c:v>
              </c:pt>
              <c:pt idx="15">
                <c:v>1.5385734079129848E-2</c:v>
              </c:pt>
            </c:numLit>
          </c:yVal>
          <c:smooth val="1"/>
          <c:extLst>
            <c:ext xmlns:c16="http://schemas.microsoft.com/office/drawing/2014/chart" uri="{C3380CC4-5D6E-409C-BE32-E72D297353CC}">
              <c16:uniqueId val="{00000021-FF6C-4F20-B756-3A255FA271B4}"/>
            </c:ext>
          </c:extLst>
        </c:ser>
        <c:ser>
          <c:idx val="24"/>
          <c:order val="24"/>
          <c:tx>
            <c:v>RH=50_Label2</c:v>
          </c:tx>
          <c:spPr>
            <a:ln w="3175">
              <a:solidFill>
                <a:srgbClr val="FF6600"/>
              </a:solidFill>
              <a:prstDash val="solid"/>
            </a:ln>
          </c:spPr>
          <c:marker>
            <c:symbol val="none"/>
          </c:marker>
          <c:dLbls>
            <c:dLbl>
              <c:idx val="0"/>
              <c:tx>
                <c:rich>
                  <a:bodyPr rot="-30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32.209557548226279</c:v>
              </c:pt>
            </c:numLit>
          </c:xVal>
          <c:yVal>
            <c:numLit>
              <c:formatCode>General</c:formatCode>
              <c:ptCount val="1"/>
              <c:pt idx="0">
                <c:v>1.565467970435885E-2</c:v>
              </c:pt>
            </c:numLit>
          </c:yVal>
          <c:smooth val="0"/>
          <c:extLst>
            <c:ext xmlns:c16="http://schemas.microsoft.com/office/drawing/2014/chart" uri="{C3380CC4-5D6E-409C-BE32-E72D297353CC}">
              <c16:uniqueId val="{00000023-FF6C-4F20-B756-3A255FA271B4}"/>
            </c:ext>
          </c:extLst>
        </c:ser>
        <c:ser>
          <c:idx val="25"/>
          <c:order val="25"/>
          <c:tx>
            <c:v>RH=50_3</c:v>
          </c:tx>
          <c:spPr>
            <a:ln w="3175">
              <a:solidFill>
                <a:srgbClr val="FF6600"/>
              </a:solidFill>
              <a:prstDash val="solid"/>
            </a:ln>
          </c:spPr>
          <c:marker>
            <c:symbol val="none"/>
          </c:marker>
          <c:xVal>
            <c:numLit>
              <c:formatCode>General</c:formatCode>
              <c:ptCount val="18"/>
              <c:pt idx="0">
                <c:v>32.50966034549127</c:v>
              </c:pt>
              <c:pt idx="1">
                <c:v>33.511271187330614</c:v>
              </c:pt>
              <c:pt idx="2">
                <c:v>34.514988192934567</c:v>
              </c:pt>
              <c:pt idx="3">
                <c:v>35.521025346691431</c:v>
              </c:pt>
              <c:pt idx="4">
                <c:v>36.529611499761643</c:v>
              </c:pt>
              <c:pt idx="5">
                <c:v>37.540991263473543</c:v>
              </c:pt>
              <c:pt idx="6">
                <c:v>38.555425961918715</c:v>
              </c:pt>
              <c:pt idx="7">
                <c:v>39.573194603758857</c:v>
              </c:pt>
              <c:pt idx="8">
                <c:v>40.594590851639929</c:v>
              </c:pt>
              <c:pt idx="9">
                <c:v>41.619937316690823</c:v>
              </c:pt>
              <c:pt idx="10">
                <c:v>42.649573211420787</c:v>
              </c:pt>
              <c:pt idx="11">
                <c:v>43.683860328611424</c:v>
              </c:pt>
              <c:pt idx="12">
                <c:v>44.723184479726754</c:v>
              </c:pt>
              <c:pt idx="13">
                <c:v>45.767957042375727</c:v>
              </c:pt>
              <c:pt idx="14">
                <c:v>46.818616627355617</c:v>
              </c:pt>
              <c:pt idx="15">
                <c:v>47.87563087698836</c:v>
              </c:pt>
              <c:pt idx="16">
                <c:v>48.939498407794616</c:v>
              </c:pt>
              <c:pt idx="17">
                <c:v>50</c:v>
              </c:pt>
            </c:numLit>
          </c:xVal>
          <c:yVal>
            <c:numLit>
              <c:formatCode>General</c:formatCode>
              <c:ptCount val="18"/>
              <c:pt idx="0">
                <c:v>1.5927828907446664E-2</c:v>
              </c:pt>
              <c:pt idx="1">
                <c:v>1.6869454213500404E-2</c:v>
              </c:pt>
              <c:pt idx="2">
                <c:v>1.7860719974887418E-2</c:v>
              </c:pt>
              <c:pt idx="3">
                <c:v>1.8903998294804217E-2</c:v>
              </c:pt>
              <c:pt idx="4">
                <c:v>2.000177271349279E-2</c:v>
              </c:pt>
              <c:pt idx="5">
                <c:v>2.1156644378631805E-2</c:v>
              </c:pt>
              <c:pt idx="6">
                <c:v>2.2371338671019026E-2</c:v>
              </c:pt>
              <c:pt idx="7">
                <c:v>2.3648714769532078E-2</c:v>
              </c:pt>
              <c:pt idx="8">
                <c:v>2.4992022393473451E-2</c:v>
              </c:pt>
              <c:pt idx="9">
                <c:v>2.6404178570594451E-2</c:v>
              </c:pt>
              <c:pt idx="10">
                <c:v>2.7888485033202765E-2</c:v>
              </c:pt>
              <c:pt idx="11">
                <c:v>2.9448409483270498E-2</c:v>
              </c:pt>
              <c:pt idx="12">
                <c:v>3.1087595987123743E-2</c:v>
              </c:pt>
              <c:pt idx="13">
                <c:v>3.2809876218774625E-2</c:v>
              </c:pt>
              <c:pt idx="14">
                <c:v>3.4619281634166249E-2</c:v>
              </c:pt>
              <c:pt idx="15">
                <c:v>3.6520056667667937E-2</c:v>
              </c:pt>
              <c:pt idx="16">
                <c:v>3.8516673052359653E-2</c:v>
              </c:pt>
              <c:pt idx="17">
                <c:v>4.0592359792918926E-2</c:v>
              </c:pt>
            </c:numLit>
          </c:yVal>
          <c:smooth val="1"/>
          <c:extLst>
            <c:ext xmlns:c16="http://schemas.microsoft.com/office/drawing/2014/chart" uri="{C3380CC4-5D6E-409C-BE32-E72D297353CC}">
              <c16:uniqueId val="{00000024-FF6C-4F20-B756-3A255FA271B4}"/>
            </c:ext>
          </c:extLst>
        </c:ser>
        <c:ser>
          <c:idx val="26"/>
          <c:order val="26"/>
          <c:tx>
            <c:v>RH=60_1</c:v>
          </c:tx>
          <c:spPr>
            <a:ln w="3175">
              <a:solidFill>
                <a:srgbClr val="0000FF"/>
              </a:solidFill>
              <a:prstDash val="solid"/>
            </a:ln>
          </c:spPr>
          <c:marker>
            <c:symbol val="none"/>
          </c:marker>
          <c:xVal>
            <c:numLit>
              <c:formatCode>General</c:formatCode>
              <c:ptCount val="27"/>
              <c:pt idx="0">
                <c:v>-10.106791566071182</c:v>
              </c:pt>
              <c:pt idx="1">
                <c:v>-9.114737296143911</c:v>
              </c:pt>
              <c:pt idx="2">
                <c:v>-8.1231575359745278</c:v>
              </c:pt>
              <c:pt idx="3">
                <c:v>-7.1320703593639401</c:v>
              </c:pt>
              <c:pt idx="4">
                <c:v>-6.1414935776753259</c:v>
              </c:pt>
              <c:pt idx="5">
                <c:v>-5.1514446173368293</c:v>
              </c:pt>
              <c:pt idx="6">
                <c:v>-4.1619403846292249</c:v>
              </c:pt>
              <c:pt idx="7">
                <c:v>-3.1729971168886375</c:v>
              </c:pt>
              <c:pt idx="8">
                <c:v>-2.1846302192056264</c:v>
              </c:pt>
              <c:pt idx="9">
                <c:v>-1.1968540856493599</c:v>
              </c:pt>
              <c:pt idx="10">
                <c:v>-0.20968190398886188</c:v>
              </c:pt>
              <c:pt idx="11">
                <c:v>0.77901653902700452</c:v>
              </c:pt>
              <c:pt idx="12">
                <c:v>1.7673586730365087</c:v>
              </c:pt>
              <c:pt idx="13">
                <c:v>2.7553302668322517</c:v>
              </c:pt>
              <c:pt idx="14">
                <c:v>3.742939630389412</c:v>
              </c:pt>
              <c:pt idx="15">
                <c:v>4.7301973807635171</c:v>
              </c:pt>
              <c:pt idx="16">
                <c:v>5.7171109692723858</c:v>
              </c:pt>
              <c:pt idx="17">
                <c:v>6.7037013465567465</c:v>
              </c:pt>
              <c:pt idx="18">
                <c:v>7.6899872415691117</c:v>
              </c:pt>
              <c:pt idx="19">
                <c:v>8.6759905358320282</c:v>
              </c:pt>
              <c:pt idx="20">
                <c:v>9.6617365038877931</c:v>
              </c:pt>
              <c:pt idx="21">
                <c:v>10.647246983750058</c:v>
              </c:pt>
              <c:pt idx="22">
                <c:v>11.632561294510978</c:v>
              </c:pt>
              <c:pt idx="23">
                <c:v>12.617716452210654</c:v>
              </c:pt>
              <c:pt idx="24">
                <c:v>13.60275396515117</c:v>
              </c:pt>
              <c:pt idx="25">
                <c:v>14.587720145442251</c:v>
              </c:pt>
              <c:pt idx="26">
                <c:v>14.971848553064145</c:v>
              </c:pt>
            </c:numLit>
          </c:xVal>
          <c:yVal>
            <c:numLit>
              <c:formatCode>General</c:formatCode>
              <c:ptCount val="27"/>
              <c:pt idx="0">
                <c:v>9.6265515651978821E-4</c:v>
              </c:pt>
              <c:pt idx="1">
                <c:v>1.0518108248658113E-3</c:v>
              </c:pt>
              <c:pt idx="2">
                <c:v>1.1484657136667973E-3</c:v>
              </c:pt>
              <c:pt idx="3">
                <c:v>1.253186016979086E-3</c:v>
              </c:pt>
              <c:pt idx="4">
                <c:v>1.3665758366107619E-3</c:v>
              </c:pt>
              <c:pt idx="5">
                <c:v>1.4892794236642264E-3</c:v>
              </c:pt>
              <c:pt idx="6">
                <c:v>1.6219835417861427E-3</c:v>
              </c:pt>
              <c:pt idx="7">
                <c:v>1.7654199593220663E-3</c:v>
              </c:pt>
              <c:pt idx="8">
                <c:v>1.9203680781726613E-3</c:v>
              </c:pt>
              <c:pt idx="9">
                <c:v>2.087657707814211E-3</c:v>
              </c:pt>
              <c:pt idx="10">
                <c:v>2.2681719936859684E-3</c:v>
              </c:pt>
              <c:pt idx="11">
                <c:v>2.4392073923505966E-3</c:v>
              </c:pt>
              <c:pt idx="12">
                <c:v>2.6213841277472243E-3</c:v>
              </c:pt>
              <c:pt idx="13">
                <c:v>2.815577116984156E-3</c:v>
              </c:pt>
              <c:pt idx="14">
                <c:v>3.0224723215083122E-3</c:v>
              </c:pt>
              <c:pt idx="15">
                <c:v>3.2427889480513973E-3</c:v>
              </c:pt>
              <c:pt idx="16">
                <c:v>3.4773504999020071E-3</c:v>
              </c:pt>
              <c:pt idx="17">
                <c:v>3.7268872888711327E-3</c:v>
              </c:pt>
              <c:pt idx="18">
                <c:v>3.9922277903414322E-3</c:v>
              </c:pt>
              <c:pt idx="19">
                <c:v>4.2742397187644924E-3</c:v>
              </c:pt>
              <c:pt idx="20">
                <c:v>4.5738316813021601E-3</c:v>
              </c:pt>
              <c:pt idx="21">
                <c:v>4.8920531340976188E-3</c:v>
              </c:pt>
              <c:pt idx="22">
                <c:v>5.2298151913123467E-3</c:v>
              </c:pt>
              <c:pt idx="23">
                <c:v>5.5881611315908462E-3</c:v>
              </c:pt>
              <c:pt idx="24">
                <c:v>5.968182662155372E-3</c:v>
              </c:pt>
              <c:pt idx="25">
                <c:v>6.3710220228125171E-3</c:v>
              </c:pt>
              <c:pt idx="26">
                <c:v>6.5345703991554396E-3</c:v>
              </c:pt>
            </c:numLit>
          </c:yVal>
          <c:smooth val="1"/>
          <c:extLst>
            <c:ext xmlns:c16="http://schemas.microsoft.com/office/drawing/2014/chart" uri="{C3380CC4-5D6E-409C-BE32-E72D297353CC}">
              <c16:uniqueId val="{00000025-FF6C-4F20-B756-3A255FA271B4}"/>
            </c:ext>
          </c:extLst>
        </c:ser>
        <c:ser>
          <c:idx val="27"/>
          <c:order val="27"/>
          <c:tx>
            <c:v>RH=60_Label1</c:v>
          </c:tx>
          <c:spPr>
            <a:ln w="3175">
              <a:solidFill>
                <a:srgbClr val="0000FF"/>
              </a:solidFill>
              <a:prstDash val="solid"/>
            </a:ln>
          </c:spPr>
          <c:marker>
            <c:symbol val="none"/>
          </c:marker>
          <c:dLbls>
            <c:dLbl>
              <c:idx val="0"/>
              <c:tx>
                <c:rich>
                  <a:bodyPr rot="-18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15.434773089390811</c:v>
              </c:pt>
            </c:numLit>
          </c:xVal>
          <c:yVal>
            <c:numLit>
              <c:formatCode>General</c:formatCode>
              <c:ptCount val="1"/>
              <c:pt idx="0">
                <c:v>6.736623266512377E-3</c:v>
              </c:pt>
            </c:numLit>
          </c:yVal>
          <c:smooth val="0"/>
          <c:extLst>
            <c:ext xmlns:c16="http://schemas.microsoft.com/office/drawing/2014/chart" uri="{C3380CC4-5D6E-409C-BE32-E72D297353CC}">
              <c16:uniqueId val="{00000027-FF6C-4F20-B756-3A255FA271B4}"/>
            </c:ext>
          </c:extLst>
        </c:ser>
        <c:ser>
          <c:idx val="28"/>
          <c:order val="28"/>
          <c:tx>
            <c:v>RH=60_2</c:v>
          </c:tx>
          <c:spPr>
            <a:ln w="3175">
              <a:solidFill>
                <a:srgbClr val="0000FF"/>
              </a:solidFill>
              <a:prstDash val="solid"/>
            </a:ln>
          </c:spPr>
          <c:marker>
            <c:symbol val="none"/>
          </c:marker>
          <c:xVal>
            <c:numLit>
              <c:formatCode>General</c:formatCode>
              <c:ptCount val="15"/>
              <c:pt idx="0">
                <c:v>15.897703887038311</c:v>
              </c:pt>
              <c:pt idx="1">
                <c:v>16.882712907666683</c:v>
              </c:pt>
              <c:pt idx="2">
                <c:v>17.867843780457338</c:v>
              </c:pt>
              <c:pt idx="3">
                <c:v>18.853167632773957</c:v>
              </c:pt>
              <c:pt idx="4">
                <c:v>19.838762357666667</c:v>
              </c:pt>
              <c:pt idx="5">
                <c:v>20.824713047015294</c:v>
              </c:pt>
              <c:pt idx="6">
                <c:v>21.811112448447897</c:v>
              </c:pt>
              <c:pt idx="7">
                <c:v>22.798061447611477</c:v>
              </c:pt>
              <c:pt idx="8">
                <c:v>23.785669577521677</c:v>
              </c:pt>
              <c:pt idx="9">
                <c:v>24.774051831419158</c:v>
              </c:pt>
              <c:pt idx="10">
                <c:v>25.763332537489855</c:v>
              </c:pt>
              <c:pt idx="11">
                <c:v>26.753657982880188</c:v>
              </c:pt>
              <c:pt idx="12">
                <c:v>27.745178065536479</c:v>
              </c:pt>
              <c:pt idx="13">
                <c:v>28.738054370171888</c:v>
              </c:pt>
              <c:pt idx="14">
                <c:v>29.583195155694028</c:v>
              </c:pt>
            </c:numLit>
          </c:xVal>
          <c:yVal>
            <c:numLit>
              <c:formatCode>General</c:formatCode>
              <c:ptCount val="15"/>
              <c:pt idx="0">
                <c:v>6.9442164723304209E-3</c:v>
              </c:pt>
              <c:pt idx="1">
                <c:v>7.4049523400725346E-3</c:v>
              </c:pt>
              <c:pt idx="2">
                <c:v>7.8927032614548986E-3</c:v>
              </c:pt>
              <c:pt idx="3">
                <c:v>8.4088574073189169E-3</c:v>
              </c:pt>
              <c:pt idx="4">
                <c:v>8.9548667635628559E-3</c:v>
              </c:pt>
              <c:pt idx="5">
                <c:v>9.5322500891234421E-3</c:v>
              </c:pt>
              <c:pt idx="6">
                <c:v>1.0142596050639335E-2</c:v>
              </c:pt>
              <c:pt idx="7">
                <c:v>1.0787566548190554E-2</c:v>
              </c:pt>
              <c:pt idx="8">
                <c:v>1.1468900247835185E-2</c:v>
              </c:pt>
              <c:pt idx="9">
                <c:v>1.2188498014486378E-2</c:v>
              </c:pt>
              <c:pt idx="10">
                <c:v>1.2948368636975393E-2</c:v>
              </c:pt>
              <c:pt idx="11">
                <c:v>1.3750351447902053E-2</c:v>
              </c:pt>
              <c:pt idx="12">
                <c:v>1.4596535174992941E-2</c:v>
              </c:pt>
              <c:pt idx="13">
                <c:v>1.5489106949635579E-2</c:v>
              </c:pt>
              <c:pt idx="14">
                <c:v>1.6285973584079443E-2</c:v>
              </c:pt>
            </c:numLit>
          </c:yVal>
          <c:smooth val="1"/>
          <c:extLst>
            <c:ext xmlns:c16="http://schemas.microsoft.com/office/drawing/2014/chart" uri="{C3380CC4-5D6E-409C-BE32-E72D297353CC}">
              <c16:uniqueId val="{00000028-FF6C-4F20-B756-3A255FA271B4}"/>
            </c:ext>
          </c:extLst>
        </c:ser>
        <c:ser>
          <c:idx val="29"/>
          <c:order val="29"/>
          <c:tx>
            <c:v>RH=60_Label2</c:v>
          </c:tx>
          <c:spPr>
            <a:ln w="3175">
              <a:solidFill>
                <a:srgbClr val="0000FF"/>
              </a:solidFill>
              <a:prstDash val="solid"/>
            </a:ln>
          </c:spPr>
          <c:marker>
            <c:symbol val="none"/>
          </c:marker>
          <c:dLbls>
            <c:dLbl>
              <c:idx val="0"/>
              <c:tx>
                <c:rich>
                  <a:bodyPr rot="-31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29.881765236525613</c:v>
              </c:pt>
            </c:numLit>
          </c:xVal>
          <c:yVal>
            <c:numLit>
              <c:formatCode>General</c:formatCode>
              <c:ptCount val="1"/>
              <c:pt idx="0">
                <c:v>1.6575890513595995E-2</c:v>
              </c:pt>
            </c:numLit>
          </c:yVal>
          <c:smooth val="0"/>
          <c:extLst>
            <c:ext xmlns:c16="http://schemas.microsoft.com/office/drawing/2014/chart" uri="{C3380CC4-5D6E-409C-BE32-E72D297353CC}">
              <c16:uniqueId val="{0000002A-FF6C-4F20-B756-3A255FA271B4}"/>
            </c:ext>
          </c:extLst>
        </c:ser>
        <c:ser>
          <c:idx val="30"/>
          <c:order val="30"/>
          <c:tx>
            <c:v>RH=60_3</c:v>
          </c:tx>
          <c:spPr>
            <a:ln w="3175">
              <a:solidFill>
                <a:srgbClr val="0000FF"/>
              </a:solidFill>
              <a:prstDash val="solid"/>
            </a:ln>
          </c:spPr>
          <c:marker>
            <c:symbol val="none"/>
          </c:marker>
          <c:xVal>
            <c:numLit>
              <c:formatCode>General</c:formatCode>
              <c:ptCount val="19"/>
              <c:pt idx="0">
                <c:v>30.180492418482846</c:v>
              </c:pt>
              <c:pt idx="1">
                <c:v>31.177453891540974</c:v>
              </c:pt>
              <c:pt idx="2">
                <c:v>32.176429201565348</c:v>
              </c:pt>
              <c:pt idx="3">
                <c:v>33.177641333674551</c:v>
              </c:pt>
              <c:pt idx="4">
                <c:v>34.181329486483897</c:v>
              </c:pt>
              <c:pt idx="5">
                <c:v>35.18775008865876</c:v>
              </c:pt>
              <c:pt idx="6">
                <c:v>36.19717788603942</c:v>
              </c:pt>
              <c:pt idx="7">
                <c:v>37.209907105737216</c:v>
              </c:pt>
              <c:pt idx="8">
                <c:v>38.226252704299107</c:v>
              </c:pt>
              <c:pt idx="9">
                <c:v>39.246551707818924</c:v>
              </c:pt>
              <c:pt idx="10">
                <c:v>40.271160513360229</c:v>
              </c:pt>
              <c:pt idx="11">
                <c:v>41.300468212126702</c:v>
              </c:pt>
              <c:pt idx="12">
                <c:v>42.334888519870255</c:v>
              </c:pt>
              <c:pt idx="13">
                <c:v>43.374862492056081</c:v>
              </c:pt>
              <c:pt idx="14">
                <c:v>44.420861699804476</c:v>
              </c:pt>
              <c:pt idx="15">
                <c:v>45.473390347027014</c:v>
              </c:pt>
              <c:pt idx="16">
                <c:v>46.53298756667926</c:v>
              </c:pt>
              <c:pt idx="17">
                <c:v>47.600229915093209</c:v>
              </c:pt>
              <c:pt idx="18">
                <c:v>42.698224206857375</c:v>
              </c:pt>
            </c:numLit>
          </c:xVal>
          <c:yVal>
            <c:numLit>
              <c:formatCode>General</c:formatCode>
              <c:ptCount val="19"/>
              <c:pt idx="0">
                <c:v>1.6870437016947411E-2</c:v>
              </c:pt>
              <c:pt idx="1">
                <c:v>1.7886565192149154E-2</c:v>
              </c:pt>
              <c:pt idx="2">
                <c:v>1.8957458295095053E-2</c:v>
              </c:pt>
              <c:pt idx="3">
                <c:v>2.0085809975849678E-2</c:v>
              </c:pt>
              <c:pt idx="4">
                <c:v>2.127444564301351E-2</c:v>
              </c:pt>
              <c:pt idx="5">
                <c:v>2.2526330127538324E-2</c:v>
              </c:pt>
              <c:pt idx="6">
                <c:v>2.3844575937580107E-2</c:v>
              </c:pt>
              <c:pt idx="7">
                <c:v>2.5232452159705081E-2</c:v>
              </c:pt>
              <c:pt idx="8">
                <c:v>2.6693394067577716E-2</c:v>
              </c:pt>
              <c:pt idx="9">
                <c:v>2.8231013505784899E-2</c:v>
              </c:pt>
              <c:pt idx="10">
                <c:v>2.984935294705339E-2</c:v>
              </c:pt>
              <c:pt idx="11">
                <c:v>3.1552270792490095E-2</c:v>
              </c:pt>
              <c:pt idx="12">
                <c:v>3.3343918402475865E-2</c:v>
              </c:pt>
              <c:pt idx="13">
                <c:v>3.522873949724975E-2</c:v>
              </c:pt>
              <c:pt idx="14">
                <c:v>3.7211421126014395E-2</c:v>
              </c:pt>
              <c:pt idx="15">
                <c:v>3.9296910626666244E-2</c:v>
              </c:pt>
              <c:pt idx="16">
                <c:v>4.1490434101493494E-2</c:v>
              </c:pt>
              <c:pt idx="17">
                <c:v>4.3797516568883268E-2</c:v>
              </c:pt>
              <c:pt idx="18">
                <c:v>3.4000000000000002E-2</c:v>
              </c:pt>
            </c:numLit>
          </c:yVal>
          <c:smooth val="1"/>
          <c:extLst>
            <c:ext xmlns:c16="http://schemas.microsoft.com/office/drawing/2014/chart" uri="{C3380CC4-5D6E-409C-BE32-E72D297353CC}">
              <c16:uniqueId val="{0000002B-FF6C-4F20-B756-3A255FA271B4}"/>
            </c:ext>
          </c:extLst>
        </c:ser>
        <c:ser>
          <c:idx val="31"/>
          <c:order val="31"/>
          <c:tx>
            <c:v>RH=70_1</c:v>
          </c:tx>
          <c:spPr>
            <a:ln w="3175">
              <a:solidFill>
                <a:srgbClr val="0000FF"/>
              </a:solidFill>
              <a:prstDash val="solid"/>
            </a:ln>
          </c:spPr>
          <c:marker>
            <c:symbol val="none"/>
          </c:marker>
          <c:xVal>
            <c:numLit>
              <c:formatCode>General</c:formatCode>
              <c:ptCount val="26"/>
              <c:pt idx="0">
                <c:v>-10.124622307298575</c:v>
              </c:pt>
              <c:pt idx="1">
                <c:v>-9.1338979172609864</c:v>
              </c:pt>
              <c:pt idx="2">
                <c:v>-8.1437280234855134</c:v>
              </c:pt>
              <c:pt idx="3">
                <c:v>-7.1541338449252079</c:v>
              </c:pt>
              <c:pt idx="4">
                <c:v>-6.1651363118296896</c:v>
              </c:pt>
              <c:pt idx="5">
                <c:v>-5.1767559247885586</c:v>
              </c:pt>
              <c:pt idx="6">
                <c:v>-4.1890125991046698</c:v>
              </c:pt>
              <c:pt idx="7">
                <c:v>-3.2019254934867307</c:v>
              </c:pt>
              <c:pt idx="8">
                <c:v>-2.2155128219917031</c:v>
              </c:pt>
              <c:pt idx="9">
                <c:v>-1.2297916480837099</c:v>
              </c:pt>
              <c:pt idx="10">
                <c:v>-0.24477765960672535</c:v>
              </c:pt>
              <c:pt idx="11">
                <c:v>0.7420173412327703</c:v>
              </c:pt>
              <c:pt idx="12">
                <c:v>1.7283943345998389</c:v>
              </c:pt>
              <c:pt idx="13">
                <c:v>2.7143364544970345</c:v>
              </c:pt>
              <c:pt idx="14">
                <c:v>3.6998531446897225</c:v>
              </c:pt>
              <c:pt idx="15">
                <c:v>4.6849565229067851</c:v>
              </c:pt>
              <c:pt idx="16">
                <c:v>5.6696549833508803</c:v>
              </c:pt>
              <c:pt idx="17">
                <c:v>6.653972673256888</c:v>
              </c:pt>
              <c:pt idx="18">
                <c:v>7.6379311205439393</c:v>
              </c:pt>
              <c:pt idx="19">
                <c:v>8.6215555140799189</c:v>
              </c:pt>
              <c:pt idx="20">
                <c:v>9.6048749851296975</c:v>
              </c:pt>
              <c:pt idx="21">
                <c:v>10.587914619197658</c:v>
              </c:pt>
              <c:pt idx="22">
                <c:v>11.57071992192834</c:v>
              </c:pt>
              <c:pt idx="23">
                <c:v>12.553333684169095</c:v>
              </c:pt>
              <c:pt idx="24">
                <c:v>13.535803930399325</c:v>
              </c:pt>
              <c:pt idx="25">
                <c:v>13.663517251468223</c:v>
              </c:pt>
            </c:numLit>
          </c:xVal>
          <c:yVal>
            <c:numLit>
              <c:formatCode>General</c:formatCode>
              <c:ptCount val="26"/>
              <c:pt idx="0">
                <c:v>1.1233874654334045E-3</c:v>
              </c:pt>
              <c:pt idx="1">
                <c:v>1.2274585817801354E-3</c:v>
              </c:pt>
              <c:pt idx="2">
                <c:v>1.3402891326142665E-3</c:v>
              </c:pt>
              <c:pt idx="3">
                <c:v>1.4625414826896688E-3</c:v>
              </c:pt>
              <c:pt idx="4">
                <c:v>1.5949225201677061E-3</c:v>
              </c:pt>
              <c:pt idx="5">
                <c:v>1.7381863180575758E-3</c:v>
              </c:pt>
              <c:pt idx="6">
                <c:v>1.8931369444374524E-3</c:v>
              </c:pt>
              <c:pt idx="7">
                <c:v>2.0606314307937824E-3</c:v>
              </c:pt>
              <c:pt idx="8">
                <c:v>2.2415829086399218E-3</c:v>
              </c:pt>
              <c:pt idx="9">
                <c:v>2.436963925492433E-3</c:v>
              </c:pt>
              <c:pt idx="10">
                <c:v>2.6478099523050075E-3</c:v>
              </c:pt>
              <c:pt idx="11">
                <c:v>2.8476031898160307E-3</c:v>
              </c:pt>
              <c:pt idx="12">
                <c:v>3.0604312207948227E-3</c:v>
              </c:pt>
              <c:pt idx="13">
                <c:v>3.2873201415692466E-3</c:v>
              </c:pt>
              <c:pt idx="14">
                <c:v>3.5290759284962439E-3</c:v>
              </c:pt>
              <c:pt idx="15">
                <c:v>3.7865440615982605E-3</c:v>
              </c:pt>
              <c:pt idx="16">
                <c:v>4.0606926533359542E-3</c:v>
              </c:pt>
              <c:pt idx="17">
                <c:v>4.3523817292269416E-3</c:v>
              </c:pt>
              <c:pt idx="18">
                <c:v>4.662586952544772E-3</c:v>
              </c:pt>
              <c:pt idx="19">
                <c:v>4.9923308790401572E-3</c:v>
              </c:pt>
              <c:pt idx="20">
                <c:v>5.3426850128968318E-3</c:v>
              </c:pt>
              <c:pt idx="21">
                <c:v>5.7148868636222108E-3</c:v>
              </c:pt>
              <c:pt idx="22">
                <c:v>6.110013561687732E-3</c:v>
              </c:pt>
              <c:pt idx="23">
                <c:v>6.529298368583126E-3</c:v>
              </c:pt>
              <c:pt idx="24">
                <c:v>6.9740329453147794E-3</c:v>
              </c:pt>
              <c:pt idx="25">
                <c:v>7.0337875575625384E-3</c:v>
              </c:pt>
            </c:numLit>
          </c:yVal>
          <c:smooth val="1"/>
          <c:extLst>
            <c:ext xmlns:c16="http://schemas.microsoft.com/office/drawing/2014/chart" uri="{C3380CC4-5D6E-409C-BE32-E72D297353CC}">
              <c16:uniqueId val="{0000002C-FF6C-4F20-B756-3A255FA271B4}"/>
            </c:ext>
          </c:extLst>
        </c:ser>
        <c:ser>
          <c:idx val="32"/>
          <c:order val="32"/>
          <c:tx>
            <c:v>RH=70_Label1</c:v>
          </c:tx>
          <c:spPr>
            <a:ln w="3175">
              <a:solidFill>
                <a:srgbClr val="0000FF"/>
              </a:solidFill>
              <a:prstDash val="solid"/>
            </a:ln>
          </c:spPr>
          <c:marker>
            <c:symbol val="none"/>
          </c:marker>
          <c:dLbls>
            <c:dLbl>
              <c:idx val="0"/>
              <c:tx>
                <c:rich>
                  <a:bodyPr rot="-19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D-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14.115415531085313</c:v>
              </c:pt>
            </c:numLit>
          </c:xVal>
          <c:yVal>
            <c:numLit>
              <c:formatCode>General</c:formatCode>
              <c:ptCount val="1"/>
              <c:pt idx="0">
                <c:v>7.248908724043295E-3</c:v>
              </c:pt>
            </c:numLit>
          </c:yVal>
          <c:smooth val="0"/>
          <c:extLst>
            <c:ext xmlns:c16="http://schemas.microsoft.com/office/drawing/2014/chart" uri="{C3380CC4-5D6E-409C-BE32-E72D297353CC}">
              <c16:uniqueId val="{0000002E-FF6C-4F20-B756-3A255FA271B4}"/>
            </c:ext>
          </c:extLst>
        </c:ser>
        <c:ser>
          <c:idx val="33"/>
          <c:order val="33"/>
          <c:tx>
            <c:v>RH=70_2</c:v>
          </c:tx>
          <c:spPr>
            <a:ln w="3175">
              <a:solidFill>
                <a:srgbClr val="0000FF"/>
              </a:solidFill>
              <a:prstDash val="solid"/>
            </a:ln>
          </c:spPr>
          <c:marker>
            <c:symbol val="none"/>
          </c:marker>
          <c:xVal>
            <c:numLit>
              <c:formatCode>General</c:formatCode>
              <c:ptCount val="15"/>
              <c:pt idx="0">
                <c:v>14.557478452716124</c:v>
              </c:pt>
              <c:pt idx="1">
                <c:v>15.539828650256451</c:v>
              </c:pt>
              <c:pt idx="2">
                <c:v>16.522217362965936</c:v>
              </c:pt>
              <c:pt idx="3">
                <c:v>17.504717714343734</c:v>
              </c:pt>
              <c:pt idx="4">
                <c:v>18.487410131551616</c:v>
              </c:pt>
              <c:pt idx="5">
                <c:v>19.470382827891875</c:v>
              </c:pt>
              <c:pt idx="6">
                <c:v>20.453732312792965</c:v>
              </c:pt>
              <c:pt idx="7">
                <c:v>21.437563931214026</c:v>
              </c:pt>
              <c:pt idx="8">
                <c:v>22.421992434567873</c:v>
              </c:pt>
              <c:pt idx="9">
                <c:v>23.407142585470929</c:v>
              </c:pt>
              <c:pt idx="10">
                <c:v>24.393149271932984</c:v>
              </c:pt>
              <c:pt idx="11">
                <c:v>25.380146828018695</c:v>
              </c:pt>
              <c:pt idx="12">
                <c:v>26.368306476005845</c:v>
              </c:pt>
              <c:pt idx="13">
                <c:v>27.357799918479614</c:v>
              </c:pt>
              <c:pt idx="14">
                <c:v>27.60540309392756</c:v>
              </c:pt>
            </c:numLit>
          </c:xVal>
          <c:yVal>
            <c:numLit>
              <c:formatCode>General</c:formatCode>
              <c:ptCount val="15"/>
              <c:pt idx="0">
                <c:v>7.4650088052640581E-3</c:v>
              </c:pt>
              <c:pt idx="1">
                <c:v>7.9659241397534303E-3</c:v>
              </c:pt>
              <c:pt idx="2">
                <c:v>8.4966028039244381E-3</c:v>
              </c:pt>
              <c:pt idx="3">
                <c:v>9.058601130616949E-3</c:v>
              </c:pt>
              <c:pt idx="4">
                <c:v>9.6535489368709364E-3</c:v>
              </c:pt>
              <c:pt idx="5">
                <c:v>1.0283153077594011E-2</c:v>
              </c:pt>
              <c:pt idx="6">
                <c:v>1.0949201221749659E-2</c:v>
              </c:pt>
              <c:pt idx="7">
                <c:v>1.1653565869804223E-2</c:v>
              </c:pt>
              <c:pt idx="8">
                <c:v>1.2398208632955276E-2</c:v>
              </c:pt>
              <c:pt idx="9">
                <c:v>1.318518479663176E-2</c:v>
              </c:pt>
              <c:pt idx="10">
                <c:v>1.4016659610978009E-2</c:v>
              </c:pt>
              <c:pt idx="11">
                <c:v>1.4895172308085002E-2</c:v>
              </c:pt>
              <c:pt idx="12">
                <c:v>1.5822835533000876E-2</c:v>
              </c:pt>
              <c:pt idx="13">
                <c:v>1.6802134918069693E-2</c:v>
              </c:pt>
              <c:pt idx="14">
                <c:v>1.7055330715959553E-2</c:v>
              </c:pt>
            </c:numLit>
          </c:yVal>
          <c:smooth val="1"/>
          <c:extLst>
            <c:ext xmlns:c16="http://schemas.microsoft.com/office/drawing/2014/chart" uri="{C3380CC4-5D6E-409C-BE32-E72D297353CC}">
              <c16:uniqueId val="{0000002F-FF6C-4F20-B756-3A255FA271B4}"/>
            </c:ext>
          </c:extLst>
        </c:ser>
        <c:ser>
          <c:idx val="34"/>
          <c:order val="34"/>
          <c:tx>
            <c:v>RH=70_Label2</c:v>
          </c:tx>
          <c:spPr>
            <a:ln w="3175">
              <a:solidFill>
                <a:srgbClr val="0000FF"/>
              </a:solidFill>
              <a:prstDash val="solid"/>
            </a:ln>
          </c:spPr>
          <c:marker>
            <c:symbol val="none"/>
          </c:marker>
          <c:dLbls>
            <c:dLbl>
              <c:idx val="0"/>
              <c:tx>
                <c:rich>
                  <a:bodyPr rot="-33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27.902656418060964</c:v>
              </c:pt>
            </c:numLit>
          </c:xVal>
          <c:yVal>
            <c:numLit>
              <c:formatCode>General</c:formatCode>
              <c:ptCount val="1"/>
              <c:pt idx="0">
                <c:v>1.7363699091236338E-2</c:v>
              </c:pt>
            </c:numLit>
          </c:yVal>
          <c:smooth val="0"/>
          <c:extLst>
            <c:ext xmlns:c16="http://schemas.microsoft.com/office/drawing/2014/chart" uri="{C3380CC4-5D6E-409C-BE32-E72D297353CC}">
              <c16:uniqueId val="{00000031-FF6C-4F20-B756-3A255FA271B4}"/>
            </c:ext>
          </c:extLst>
        </c:ser>
        <c:ser>
          <c:idx val="35"/>
          <c:order val="35"/>
          <c:tx>
            <c:v>RH=70_3</c:v>
          </c:tx>
          <c:spPr>
            <a:ln w="3175">
              <a:solidFill>
                <a:srgbClr val="0000FF"/>
              </a:solidFill>
              <a:prstDash val="solid"/>
            </a:ln>
          </c:spPr>
          <c:marker>
            <c:symbol val="none"/>
          </c:marker>
          <c:xVal>
            <c:numLit>
              <c:formatCode>General</c:formatCode>
              <c:ptCount val="18"/>
              <c:pt idx="0">
                <c:v>28.200056090842775</c:v>
              </c:pt>
              <c:pt idx="1">
                <c:v>29.192516531934622</c:v>
              </c:pt>
              <c:pt idx="2">
                <c:v>30.186878036299017</c:v>
              </c:pt>
              <c:pt idx="3">
                <c:v>31.183369872871133</c:v>
              </c:pt>
              <c:pt idx="4">
                <c:v>32.182238665200806</c:v>
              </c:pt>
              <c:pt idx="5">
                <c:v>33.183749518970501</c:v>
              </c:pt>
              <c:pt idx="6">
                <c:v>34.188187230843702</c:v>
              </c:pt>
              <c:pt idx="7">
                <c:v>35.195857586295595</c:v>
              </c:pt>
              <c:pt idx="8">
                <c:v>36.207088754941182</c:v>
              </c:pt>
              <c:pt idx="9">
                <c:v>37.222232792847343</c:v>
              </c:pt>
              <c:pt idx="10">
                <c:v>38.241667262409628</c:v>
              </c:pt>
              <c:pt idx="11">
                <c:v>39.265796981608062</c:v>
              </c:pt>
              <c:pt idx="12">
                <c:v>40.295050347074792</c:v>
              </c:pt>
              <c:pt idx="13">
                <c:v>41.329898060190359</c:v>
              </c:pt>
              <c:pt idx="14">
                <c:v>42.370839619643959</c:v>
              </c:pt>
              <c:pt idx="15">
                <c:v>43.418409665420448</c:v>
              </c:pt>
              <c:pt idx="16">
                <c:v>44.47318133087601</c:v>
              </c:pt>
              <c:pt idx="17">
                <c:v>39.594578804453931</c:v>
              </c:pt>
            </c:numLit>
          </c:xVal>
          <c:yVal>
            <c:numLit>
              <c:formatCode>General</c:formatCode>
              <c:ptCount val="18"/>
              <c:pt idx="0">
                <c:v>1.7677082476637275E-2</c:v>
              </c:pt>
              <c:pt idx="1">
                <c:v>1.8758879091709882E-2</c:v>
              </c:pt>
              <c:pt idx="2">
                <c:v>1.9900088775318587E-2</c:v>
              </c:pt>
              <c:pt idx="3">
                <c:v>2.1103706378928135E-2</c:v>
              </c:pt>
              <c:pt idx="4">
                <c:v>2.2372878301942182E-2</c:v>
              </c:pt>
              <c:pt idx="5">
                <c:v>2.3710911672963426E-2</c:v>
              </c:pt>
              <c:pt idx="6">
                <c:v>2.5121284265609178E-2</c:v>
              </c:pt>
              <c:pt idx="7">
                <c:v>2.6607655219993035E-2</c:v>
              </c:pt>
              <c:pt idx="8">
                <c:v>2.8173876648752687E-2</c:v>
              </c:pt>
              <c:pt idx="9">
                <c:v>2.9824006215230181E-2</c:v>
              </c:pt>
              <c:pt idx="10">
                <c:v>3.1562320781235269E-2</c:v>
              </c:pt>
              <c:pt idx="11">
                <c:v>3.339333123290554E-2</c:v>
              </c:pt>
              <c:pt idx="12">
                <c:v>3.5322129223631905E-2</c:v>
              </c:pt>
              <c:pt idx="13">
                <c:v>3.7353496377000327E-2</c:v>
              </c:pt>
              <c:pt idx="14">
                <c:v>3.949271377872883E-2</c:v>
              </c:pt>
              <c:pt idx="15">
                <c:v>4.1745409128964649E-2</c:v>
              </c:pt>
              <c:pt idx="16">
                <c:v>4.4117541099966587E-2</c:v>
              </c:pt>
              <c:pt idx="17">
                <c:v>3.4000000000000002E-2</c:v>
              </c:pt>
            </c:numLit>
          </c:yVal>
          <c:smooth val="1"/>
          <c:extLst>
            <c:ext xmlns:c16="http://schemas.microsoft.com/office/drawing/2014/chart" uri="{C3380CC4-5D6E-409C-BE32-E72D297353CC}">
              <c16:uniqueId val="{00000032-FF6C-4F20-B756-3A255FA271B4}"/>
            </c:ext>
          </c:extLst>
        </c:ser>
        <c:ser>
          <c:idx val="36"/>
          <c:order val="36"/>
          <c:tx>
            <c:v>RH=80_1</c:v>
          </c:tx>
          <c:spPr>
            <a:ln w="3175">
              <a:solidFill>
                <a:srgbClr val="0000FF"/>
              </a:solidFill>
              <a:prstDash val="solid"/>
            </a:ln>
          </c:spPr>
          <c:marker>
            <c:symbol val="none"/>
          </c:marker>
          <c:xVal>
            <c:numLit>
              <c:formatCode>General</c:formatCode>
              <c:ptCount val="25"/>
              <c:pt idx="0">
                <c:v>-10.142462252313372</c:v>
              </c:pt>
              <c:pt idx="1">
                <c:v>-9.1530693451110441</c:v>
              </c:pt>
              <c:pt idx="2">
                <c:v>-8.1643111797046028</c:v>
              </c:pt>
              <c:pt idx="3">
                <c:v>-7.1762121585269725</c:v>
              </c:pt>
              <c:pt idx="4">
                <c:v>-6.1887963741239869</c:v>
              </c:pt>
              <c:pt idx="5">
                <c:v>-5.2020874503179</c:v>
              </c:pt>
              <c:pt idx="6">
                <c:v>-4.216108366796858</c:v>
              </c:pt>
              <c:pt idx="7">
                <c:v>-3.2308812659811013</c:v>
              </c:pt>
              <c:pt idx="8">
                <c:v>-2.2464272409472805</c:v>
              </c:pt>
              <c:pt idx="9">
                <c:v>-1.2627661031165411</c:v>
              </c:pt>
              <c:pt idx="10">
                <c:v>-0.27991612832932827</c:v>
              </c:pt>
              <c:pt idx="11">
                <c:v>0.70496971377479312</c:v>
              </c:pt>
              <c:pt idx="12">
                <c:v>1.6893751797203689</c:v>
              </c:pt>
              <c:pt idx="13">
                <c:v>2.673280691795791</c:v>
              </c:pt>
              <c:pt idx="14">
                <c:v>3.6566967537427413</c:v>
              </c:pt>
              <c:pt idx="15">
                <c:v>4.6396369047700743</c:v>
              </c:pt>
              <c:pt idx="16">
                <c:v>5.6221103937215835</c:v>
              </c:pt>
              <c:pt idx="17">
                <c:v>6.6041444768900135</c:v>
              </c:pt>
              <c:pt idx="18">
                <c:v>7.5857633852747366</c:v>
              </c:pt>
              <c:pt idx="19">
                <c:v>8.5669955137537652</c:v>
              </c:pt>
              <c:pt idx="20">
                <c:v>9.5478737437203733</c:v>
              </c:pt>
              <c:pt idx="21">
                <c:v>10.528426290323946</c:v>
              </c:pt>
              <c:pt idx="22">
                <c:v>11.508704734555835</c:v>
              </c:pt>
              <c:pt idx="23">
                <c:v>12.488757521913389</c:v>
              </c:pt>
              <c:pt idx="24">
                <c:v>12.508356639226964</c:v>
              </c:pt>
            </c:numLit>
          </c:xVal>
          <c:yVal>
            <c:numLit>
              <c:formatCode>General</c:formatCode>
              <c:ptCount val="25"/>
              <c:pt idx="0">
                <c:v>1.2842027403875593E-3</c:v>
              </c:pt>
              <c:pt idx="1">
                <c:v>1.4032054053372527E-3</c:v>
              </c:pt>
              <c:pt idx="2">
                <c:v>1.5322306894960248E-3</c:v>
              </c:pt>
              <c:pt idx="3">
                <c:v>1.6720376483506344E-3</c:v>
              </c:pt>
              <c:pt idx="4">
                <c:v>1.8234365626798278E-3</c:v>
              </c:pt>
              <c:pt idx="5">
                <c:v>1.9872920334292098E-3</c:v>
              </c:pt>
              <c:pt idx="6">
                <c:v>2.1645262544567742E-3</c:v>
              </c:pt>
              <c:pt idx="7">
                <c:v>2.3561224749136492E-3</c:v>
              </c:pt>
              <c:pt idx="8">
                <c:v>2.5631286641125323E-3</c:v>
              </c:pt>
              <c:pt idx="9">
                <c:v>2.7866613929500377E-3</c:v>
              </c:pt>
              <c:pt idx="10">
                <c:v>3.027909947304347E-3</c:v>
              </c:pt>
              <c:pt idx="11">
                <c:v>3.2565335521456892E-3</c:v>
              </c:pt>
              <c:pt idx="12">
                <c:v>3.5000959811974544E-3</c:v>
              </c:pt>
              <c:pt idx="13">
                <c:v>3.7597760701605356E-3</c:v>
              </c:pt>
              <c:pt idx="14">
                <c:v>4.0365014695512222E-3</c:v>
              </c:pt>
              <c:pt idx="15">
                <c:v>4.3312458040777246E-3</c:v>
              </c:pt>
              <c:pt idx="16">
                <c:v>4.6451239481437702E-3</c:v>
              </c:pt>
              <c:pt idx="17">
                <c:v>4.9791279851043521E-3</c:v>
              </c:pt>
              <c:pt idx="18">
                <c:v>5.3343834410344883E-3</c:v>
              </c:pt>
              <c:pt idx="19">
                <c:v>5.7120707207410411E-3</c:v>
              </c:pt>
              <c:pt idx="20">
                <c:v>6.1134276050712729E-3</c:v>
              </c:pt>
              <c:pt idx="21">
                <c:v>6.5398835392074571E-3</c:v>
              </c:pt>
              <c:pt idx="22">
                <c:v>6.9926858663954712E-3</c:v>
              </c:pt>
              <c:pt idx="23">
                <c:v>7.4732626119606346E-3</c:v>
              </c:pt>
              <c:pt idx="24">
                <c:v>7.4831676078565192E-3</c:v>
              </c:pt>
            </c:numLit>
          </c:yVal>
          <c:smooth val="1"/>
          <c:extLst>
            <c:ext xmlns:c16="http://schemas.microsoft.com/office/drawing/2014/chart" uri="{C3380CC4-5D6E-409C-BE32-E72D297353CC}">
              <c16:uniqueId val="{00000033-FF6C-4F20-B756-3A255FA271B4}"/>
            </c:ext>
          </c:extLst>
        </c:ser>
        <c:ser>
          <c:idx val="37"/>
          <c:order val="37"/>
          <c:tx>
            <c:v>RH=80_Label1</c:v>
          </c:tx>
          <c:spPr>
            <a:ln w="3175">
              <a:solidFill>
                <a:srgbClr val="0000FF"/>
              </a:solidFill>
              <a:prstDash val="solid"/>
            </a:ln>
          </c:spPr>
          <c:marker>
            <c:symbol val="none"/>
          </c:marker>
          <c:dLbls>
            <c:dLbl>
              <c:idx val="0"/>
              <c:tx>
                <c:rich>
                  <a:bodyPr rot="-21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12.93952077992059</c:v>
              </c:pt>
            </c:numLit>
          </c:xVal>
          <c:yVal>
            <c:numLit>
              <c:formatCode>General</c:formatCode>
              <c:ptCount val="1"/>
              <c:pt idx="0">
                <c:v>7.7040641188605768E-3</c:v>
              </c:pt>
            </c:numLit>
          </c:yVal>
          <c:smooth val="0"/>
          <c:extLst>
            <c:ext xmlns:c16="http://schemas.microsoft.com/office/drawing/2014/chart" uri="{C3380CC4-5D6E-409C-BE32-E72D297353CC}">
              <c16:uniqueId val="{00000035-FF6C-4F20-B756-3A255FA271B4}"/>
            </c:ext>
          </c:extLst>
        </c:ser>
        <c:ser>
          <c:idx val="38"/>
          <c:order val="38"/>
          <c:tx>
            <c:v>RH=80_2</c:v>
          </c:tx>
          <c:spPr>
            <a:ln w="3175">
              <a:solidFill>
                <a:srgbClr val="0000FF"/>
              </a:solidFill>
              <a:prstDash val="solid"/>
            </a:ln>
          </c:spPr>
          <c:marker>
            <c:symbol val="none"/>
          </c:marker>
          <c:xVal>
            <c:numLit>
              <c:formatCode>General</c:formatCode>
              <c:ptCount val="14"/>
              <c:pt idx="0">
                <c:v>13.3608586632075</c:v>
              </c:pt>
              <c:pt idx="1">
                <c:v>14.340638748180433</c:v>
              </c:pt>
              <c:pt idx="2">
                <c:v>15.320368273945533</c:v>
              </c:pt>
              <c:pt idx="3">
                <c:v>16.300121388752697</c:v>
              </c:pt>
              <c:pt idx="4">
                <c:v>17.279980004684329</c:v>
              </c:pt>
              <c:pt idx="5">
                <c:v>18.260034325056761</c:v>
              </c:pt>
              <c:pt idx="6">
                <c:v>19.240383402872951</c:v>
              </c:pt>
              <c:pt idx="7">
                <c:v>20.221135732568783</c:v>
              </c:pt>
              <c:pt idx="8">
                <c:v>21.202409877522989</c:v>
              </c:pt>
              <c:pt idx="9">
                <c:v>22.184335136054546</c:v>
              </c:pt>
              <c:pt idx="10">
                <c:v>23.167052248913919</c:v>
              </c:pt>
              <c:pt idx="11">
                <c:v>24.150714151590211</c:v>
              </c:pt>
              <c:pt idx="12">
                <c:v>25.135473037228405</c:v>
              </c:pt>
              <c:pt idx="13">
                <c:v>25.874877054992844</c:v>
              </c:pt>
            </c:numLit>
          </c:xVal>
          <c:yVal>
            <c:numLit>
              <c:formatCode>General</c:formatCode>
              <c:ptCount val="14"/>
              <c:pt idx="0">
                <c:v>7.9255468626814787E-3</c:v>
              </c:pt>
              <c:pt idx="1">
                <c:v>8.4627640216843013E-3</c:v>
              </c:pt>
              <c:pt idx="2">
                <c:v>9.0322819658535669E-3</c:v>
              </c:pt>
              <c:pt idx="3">
                <c:v>9.6358161442111449E-3</c:v>
              </c:pt>
              <c:pt idx="4">
                <c:v>1.0275164928481188E-2</c:v>
              </c:pt>
              <c:pt idx="5">
                <c:v>1.0952213771336889E-2</c:v>
              </c:pt>
              <c:pt idx="6">
                <c:v>1.1668939635490804E-2</c:v>
              </c:pt>
              <c:pt idx="7">
                <c:v>1.2427415717094702E-2</c:v>
              </c:pt>
              <c:pt idx="8">
                <c:v>1.3229816489212421E-2</c:v>
              </c:pt>
              <c:pt idx="9">
                <c:v>1.4078423093671105E-2</c:v>
              </c:pt>
              <c:pt idx="10">
                <c:v>1.497562911241101E-2</c:v>
              </c:pt>
              <c:pt idx="11">
                <c:v>1.5923946752573682E-2</c:v>
              </c:pt>
              <c:pt idx="12">
                <c:v>1.6926321665222295E-2</c:v>
              </c:pt>
              <c:pt idx="13">
                <c:v>1.7715092490545425E-2</c:v>
              </c:pt>
            </c:numLit>
          </c:yVal>
          <c:smooth val="1"/>
          <c:extLst>
            <c:ext xmlns:c16="http://schemas.microsoft.com/office/drawing/2014/chart" uri="{C3380CC4-5D6E-409C-BE32-E72D297353CC}">
              <c16:uniqueId val="{00000036-FF6C-4F20-B756-3A255FA271B4}"/>
            </c:ext>
          </c:extLst>
        </c:ser>
        <c:ser>
          <c:idx val="39"/>
          <c:order val="39"/>
          <c:tx>
            <c:v>RH=80_Label2</c:v>
          </c:tx>
          <c:spPr>
            <a:ln w="3175">
              <a:solidFill>
                <a:srgbClr val="0000FF"/>
              </a:solidFill>
              <a:prstDash val="solid"/>
            </a:ln>
          </c:spPr>
          <c:marker>
            <c:symbol val="none"/>
          </c:marker>
          <c:dLbls>
            <c:dLbl>
              <c:idx val="0"/>
              <c:tx>
                <c:rich>
                  <a:bodyPr rot="-33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7-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26.170859778080111</c:v>
              </c:pt>
            </c:numLit>
          </c:xVal>
          <c:yVal>
            <c:numLit>
              <c:formatCode>General</c:formatCode>
              <c:ptCount val="1"/>
              <c:pt idx="0">
                <c:v>1.8039780825415901E-2</c:v>
              </c:pt>
            </c:numLit>
          </c:yVal>
          <c:smooth val="0"/>
          <c:extLst>
            <c:ext xmlns:c16="http://schemas.microsoft.com/office/drawing/2014/chart" uri="{C3380CC4-5D6E-409C-BE32-E72D297353CC}">
              <c16:uniqueId val="{00000038-FF6C-4F20-B756-3A255FA271B4}"/>
            </c:ext>
          </c:extLst>
        </c:ser>
        <c:ser>
          <c:idx val="40"/>
          <c:order val="40"/>
          <c:tx>
            <c:v>RH=80_3</c:v>
          </c:tx>
          <c:spPr>
            <a:ln w="3175">
              <a:solidFill>
                <a:srgbClr val="0000FF"/>
              </a:solidFill>
              <a:prstDash val="solid"/>
            </a:ln>
          </c:spPr>
          <c:marker>
            <c:symbol val="none"/>
          </c:marker>
          <c:xVal>
            <c:numLit>
              <c:formatCode>General</c:formatCode>
              <c:ptCount val="17"/>
              <c:pt idx="0">
                <c:v>26.466976910593637</c:v>
              </c:pt>
              <c:pt idx="1">
                <c:v>27.455076949237203</c:v>
              </c:pt>
              <c:pt idx="2">
                <c:v>28.444949400883822</c:v>
              </c:pt>
              <c:pt idx="3">
                <c:v>29.436827565234527</c:v>
              </c:pt>
              <c:pt idx="4">
                <c:v>30.430963058409187</c:v>
              </c:pt>
              <c:pt idx="5">
                <c:v>31.427627039849007</c:v>
              </c:pt>
              <c:pt idx="6">
                <c:v>32.427111530608649</c:v>
              </c:pt>
              <c:pt idx="7">
                <c:v>33.429730831909019</c:v>
              </c:pt>
              <c:pt idx="8">
                <c:v>34.435823053853696</c:v>
              </c:pt>
              <c:pt idx="9">
                <c:v>35.445751765376748</c:v>
              </c:pt>
              <c:pt idx="10">
                <c:v>36.45990777780662</c:v>
              </c:pt>
              <c:pt idx="11">
                <c:v>37.478711075921858</c:v>
              </c:pt>
              <c:pt idx="12">
                <c:v>38.50261291206558</c:v>
              </c:pt>
              <c:pt idx="13">
                <c:v>39.532096283331867</c:v>
              </c:pt>
              <c:pt idx="14">
                <c:v>40.567678543689389</c:v>
              </c:pt>
              <c:pt idx="15">
                <c:v>41.609925340912454</c:v>
              </c:pt>
              <c:pt idx="16">
                <c:v>36.958513469612221</c:v>
              </c:pt>
            </c:numLit>
          </c:xVal>
          <c:yVal>
            <c:numLit>
              <c:formatCode>General</c:formatCode>
              <c:ptCount val="17"/>
              <c:pt idx="0">
                <c:v>1.8369834550872179E-2</c:v>
              </c:pt>
              <c:pt idx="1">
                <c:v>1.9509818475929395E-2</c:v>
              </c:pt>
              <c:pt idx="2">
                <c:v>2.0713450771512626E-2</c:v>
              </c:pt>
              <c:pt idx="3">
                <c:v>2.1984008896382069E-2</c:v>
              </c:pt>
              <c:pt idx="4">
                <c:v>2.3324941056249882E-2</c:v>
              </c:pt>
              <c:pt idx="5">
                <c:v>2.4739876910536536E-2</c:v>
              </c:pt>
              <c:pt idx="6">
                <c:v>2.6232639162871791E-2</c:v>
              </c:pt>
              <c:pt idx="7">
                <c:v>2.780725612342148E-2</c:v>
              </c:pt>
              <c:pt idx="8">
                <c:v>2.9467975341054942E-2</c:v>
              </c:pt>
              <c:pt idx="9">
                <c:v>3.1219278414564438E-2</c:v>
              </c:pt>
              <c:pt idx="10">
                <c:v>3.3065897104802532E-2</c:v>
              </c:pt>
              <c:pt idx="11">
                <c:v>3.5012830883924491E-2</c:v>
              </c:pt>
              <c:pt idx="12">
                <c:v>3.7065366074171026E-2</c:v>
              </c:pt>
              <c:pt idx="13">
                <c:v>3.9229196355992167E-2</c:v>
              </c:pt>
              <c:pt idx="14">
                <c:v>4.1510494000618466E-2</c:v>
              </c:pt>
              <c:pt idx="15">
                <c:v>4.39152468574769E-2</c:v>
              </c:pt>
              <c:pt idx="16">
                <c:v>3.4000000000000002E-2</c:v>
              </c:pt>
            </c:numLit>
          </c:yVal>
          <c:smooth val="1"/>
          <c:extLst>
            <c:ext xmlns:c16="http://schemas.microsoft.com/office/drawing/2014/chart" uri="{C3380CC4-5D6E-409C-BE32-E72D297353CC}">
              <c16:uniqueId val="{00000039-FF6C-4F20-B756-3A255FA271B4}"/>
            </c:ext>
          </c:extLst>
        </c:ser>
        <c:ser>
          <c:idx val="41"/>
          <c:order val="41"/>
          <c:tx>
            <c:v>RH=90_1</c:v>
          </c:tx>
          <c:spPr>
            <a:ln w="3175">
              <a:solidFill>
                <a:srgbClr val="0000FF"/>
              </a:solidFill>
              <a:prstDash val="solid"/>
            </a:ln>
          </c:spPr>
          <c:marker>
            <c:symbol val="none"/>
          </c:marker>
          <c:xVal>
            <c:numLit>
              <c:formatCode>General</c:formatCode>
              <c:ptCount val="24"/>
              <c:pt idx="0">
                <c:v>-10.160311408243556</c:v>
              </c:pt>
              <c:pt idx="1">
                <c:v>-9.1722515888392806</c:v>
              </c:pt>
              <c:pt idx="2">
                <c:v>-8.1849070163387818</c:v>
              </c:pt>
              <c:pt idx="3">
                <c:v>-7.1983053151223135</c:v>
              </c:pt>
              <c:pt idx="4">
                <c:v>-6.2124737836153079</c:v>
              </c:pt>
              <c:pt idx="5">
                <c:v>-5.2274392181591223</c:v>
              </c:pt>
              <c:pt idx="6">
                <c:v>-4.2432277184566214</c:v>
              </c:pt>
              <c:pt idx="7">
                <c:v>-3.2598644733070836</c:v>
              </c:pt>
              <c:pt idx="8">
                <c:v>-2.2773735252646343</c:v>
              </c:pt>
              <c:pt idx="9">
                <c:v>-1.2957775127664004</c:v>
              </c:pt>
              <c:pt idx="10">
                <c:v>-0.31509738817978866</c:v>
              </c:pt>
              <c:pt idx="11">
                <c:v>0.66787356150364452</c:v>
              </c:pt>
              <c:pt idx="12">
                <c:v>1.6503010926400361</c:v>
              </c:pt>
              <c:pt idx="13">
                <c:v>2.632162838192071</c:v>
              </c:pt>
              <c:pt idx="14">
                <c:v>3.6134702872847182</c:v>
              </c:pt>
              <c:pt idx="15">
                <c:v>4.5942383205023143</c:v>
              </c:pt>
              <c:pt idx="16">
                <c:v>5.5744769520084745</c:v>
              </c:pt>
              <c:pt idx="17">
                <c:v>6.5542164583903677</c:v>
              </c:pt>
              <c:pt idx="18">
                <c:v>7.5334836764058082</c:v>
              </c:pt>
              <c:pt idx="19">
                <c:v>8.5123101039472857</c:v>
              </c:pt>
              <c:pt idx="20">
                <c:v>9.490732264027244</c:v>
              </c:pt>
              <c:pt idx="21">
                <c:v>10.468781381354987</c:v>
              </c:pt>
              <c:pt idx="22">
                <c:v>11.446514998561955</c:v>
              </c:pt>
              <c:pt idx="23">
                <c:v>11.466066812546941</c:v>
              </c:pt>
            </c:numLit>
          </c:xVal>
          <c:yVal>
            <c:numLit>
              <c:formatCode>General</c:formatCode>
              <c:ptCount val="24"/>
              <c:pt idx="0">
                <c:v>1.4451010456363609E-3</c:v>
              </c:pt>
              <c:pt idx="1">
                <c:v>1.5790513793722909E-3</c:v>
              </c:pt>
              <c:pt idx="2">
                <c:v>1.7242904934817753E-3</c:v>
              </c:pt>
              <c:pt idx="3">
                <c:v>1.8816746558483943E-3</c:v>
              </c:pt>
              <c:pt idx="4">
                <c:v>2.0521181482046785E-3</c:v>
              </c:pt>
              <c:pt idx="5">
                <c:v>2.2365968080945969E-3</c:v>
              </c:pt>
              <c:pt idx="6">
                <c:v>2.4361517798423041E-3</c:v>
              </c:pt>
              <c:pt idx="7">
                <c:v>2.651893489013245E-3</c:v>
              </c:pt>
              <c:pt idx="8">
                <c:v>2.8850058562471248E-3</c:v>
              </c:pt>
              <c:pt idx="9">
                <c:v>3.1367507679000511E-3</c:v>
              </c:pt>
              <c:pt idx="10">
                <c:v>3.4084728226759938E-3</c:v>
              </c:pt>
              <c:pt idx="11">
                <c:v>3.6659995295954982E-3</c:v>
              </c:pt>
              <c:pt idx="12">
                <c:v>3.9403797133078381E-3</c:v>
              </c:pt>
              <c:pt idx="13">
                <c:v>4.2329465200043074E-3</c:v>
              </c:pt>
              <c:pt idx="14">
                <c:v>4.5447509466055858E-3</c:v>
              </c:pt>
              <c:pt idx="15">
                <c:v>4.8768966496376548E-3</c:v>
              </c:pt>
              <c:pt idx="16">
                <c:v>5.2306474374324884E-3</c:v>
              </c:pt>
              <c:pt idx="17">
                <c:v>5.6071298181956681E-3</c:v>
              </c:pt>
              <c:pt idx="18">
                <c:v>6.0076218834582296E-3</c:v>
              </c:pt>
              <c:pt idx="19">
                <c:v>6.4334649282589956E-3</c:v>
              </c:pt>
              <c:pt idx="20">
                <c:v>6.8860664299542004E-3</c:v>
              </c:pt>
              <c:pt idx="21">
                <c:v>7.3670517005360123E-3</c:v>
              </c:pt>
              <c:pt idx="22">
                <c:v>7.8778425501793113E-3</c:v>
              </c:pt>
              <c:pt idx="23">
                <c:v>7.8883734305233554E-3</c:v>
              </c:pt>
            </c:numLit>
          </c:yVal>
          <c:smooth val="1"/>
          <c:extLst>
            <c:ext xmlns:c16="http://schemas.microsoft.com/office/drawing/2014/chart" uri="{C3380CC4-5D6E-409C-BE32-E72D297353CC}">
              <c16:uniqueId val="{0000003A-FF6C-4F20-B756-3A255FA271B4}"/>
            </c:ext>
          </c:extLst>
        </c:ser>
        <c:ser>
          <c:idx val="42"/>
          <c:order val="42"/>
          <c:tx>
            <c:v>RH=90_Label1</c:v>
          </c:tx>
          <c:spPr>
            <a:ln w="3175">
              <a:solidFill>
                <a:srgbClr val="0000FF"/>
              </a:solidFill>
              <a:prstDash val="solid"/>
            </a:ln>
          </c:spPr>
          <c:marker>
            <c:symbol val="none"/>
          </c:marker>
          <c:dLbls>
            <c:dLbl>
              <c:idx val="0"/>
              <c:tx>
                <c:rich>
                  <a:bodyPr rot="-21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B-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11.886406335561087</c:v>
              </c:pt>
            </c:numLit>
          </c:xVal>
          <c:yVal>
            <c:numLit>
              <c:formatCode>General</c:formatCode>
              <c:ptCount val="1"/>
              <c:pt idx="0">
                <c:v>8.1178532770005106E-3</c:v>
              </c:pt>
            </c:numLit>
          </c:yVal>
          <c:smooth val="0"/>
          <c:extLst>
            <c:ext xmlns:c16="http://schemas.microsoft.com/office/drawing/2014/chart" uri="{C3380CC4-5D6E-409C-BE32-E72D297353CC}">
              <c16:uniqueId val="{0000003C-FF6C-4F20-B756-3A255FA271B4}"/>
            </c:ext>
          </c:extLst>
        </c:ser>
        <c:ser>
          <c:idx val="43"/>
          <c:order val="43"/>
          <c:tx>
            <c:v>RH=90_2</c:v>
          </c:tx>
          <c:spPr>
            <a:ln w="3175">
              <a:solidFill>
                <a:srgbClr val="0000FF"/>
              </a:solidFill>
              <a:prstDash val="solid"/>
            </a:ln>
          </c:spPr>
          <c:marker>
            <c:symbol val="none"/>
          </c:marker>
          <c:xVal>
            <c:numLit>
              <c:formatCode>General</c:formatCode>
              <c:ptCount val="14"/>
              <c:pt idx="0">
                <c:v>12.287154552505491</c:v>
              </c:pt>
              <c:pt idx="1">
                <c:v>13.264450008749437</c:v>
              </c:pt>
              <c:pt idx="2">
                <c:v>14.241602544783566</c:v>
              </c:pt>
              <c:pt idx="3">
                <c:v>15.218686623205453</c:v>
              </c:pt>
              <c:pt idx="4">
                <c:v>16.195784869538244</c:v>
              </c:pt>
              <c:pt idx="5">
                <c:v>17.172988640875836</c:v>
              </c:pt>
              <c:pt idx="6">
                <c:v>18.150398628951599</c:v>
              </c:pt>
              <c:pt idx="7">
                <c:v>19.128125500200142</c:v>
              </c:pt>
              <c:pt idx="8">
                <c:v>20.106290575649407</c:v>
              </c:pt>
              <c:pt idx="9">
                <c:v>21.085026553779926</c:v>
              </c:pt>
              <c:pt idx="10">
                <c:v>22.064478279822467</c:v>
              </c:pt>
              <c:pt idx="11">
                <c:v>23.044803565339887</c:v>
              </c:pt>
              <c:pt idx="12">
                <c:v>24.026174062357637</c:v>
              </c:pt>
              <c:pt idx="13">
                <c:v>24.350283760914369</c:v>
              </c:pt>
            </c:numLit>
          </c:xVal>
          <c:yVal>
            <c:numLit>
              <c:formatCode>General</c:formatCode>
              <c:ptCount val="14"/>
              <c:pt idx="0">
                <c:v>8.3422001056663829E-3</c:v>
              </c:pt>
              <c:pt idx="1">
                <c:v>8.9128194892929211E-3</c:v>
              </c:pt>
              <c:pt idx="2">
                <c:v>9.518115555408645E-3</c:v>
              </c:pt>
              <c:pt idx="3">
                <c:v>1.0159955796425158E-2</c:v>
              </c:pt>
              <c:pt idx="4">
                <c:v>1.0840299888458355E-2</c:v>
              </c:pt>
              <c:pt idx="5">
                <c:v>1.1561204462982987E-2</c:v>
              </c:pt>
              <c:pt idx="6">
                <c:v>1.2324828199989819E-2</c:v>
              </c:pt>
              <c:pt idx="7">
                <c:v>1.3133437271204971E-2</c:v>
              </c:pt>
              <c:pt idx="8">
                <c:v>1.3989411164801244E-2</c:v>
              </c:pt>
              <c:pt idx="9">
                <c:v>1.4895248926209768E-2</c:v>
              </c:pt>
              <c:pt idx="10">
                <c:v>1.5853575853174682E-2</c:v>
              </c:pt>
              <c:pt idx="11">
                <c:v>1.68671506871205E-2</c:v>
              </c:pt>
              <c:pt idx="12">
                <c:v>1.7938873347281416E-2</c:v>
              </c:pt>
              <c:pt idx="13">
                <c:v>1.830588898250678E-2</c:v>
              </c:pt>
            </c:numLit>
          </c:yVal>
          <c:smooth val="1"/>
          <c:extLst>
            <c:ext xmlns:c16="http://schemas.microsoft.com/office/drawing/2014/chart" uri="{C3380CC4-5D6E-409C-BE32-E72D297353CC}">
              <c16:uniqueId val="{0000003D-FF6C-4F20-B756-3A255FA271B4}"/>
            </c:ext>
          </c:extLst>
        </c:ser>
        <c:ser>
          <c:idx val="44"/>
          <c:order val="44"/>
          <c:tx>
            <c:v>RH=90_Label2</c:v>
          </c:tx>
          <c:spPr>
            <a:ln w="3175">
              <a:solidFill>
                <a:srgbClr val="0000FF"/>
              </a:solidFill>
              <a:prstDash val="solid"/>
            </a:ln>
          </c:spPr>
          <c:marker>
            <c:symbol val="none"/>
          </c:marker>
          <c:dLbls>
            <c:dLbl>
              <c:idx val="0"/>
              <c:tx>
                <c:rich>
                  <a:bodyPr rot="-342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24.645048916449817</c:v>
              </c:pt>
            </c:numLit>
          </c:xVal>
          <c:yVal>
            <c:numLit>
              <c:formatCode>General</c:formatCode>
              <c:ptCount val="1"/>
              <c:pt idx="0">
                <c:v>1.8645468166416327E-2</c:v>
              </c:pt>
            </c:numLit>
          </c:yVal>
          <c:smooth val="0"/>
          <c:extLst>
            <c:ext xmlns:c16="http://schemas.microsoft.com/office/drawing/2014/chart" uri="{C3380CC4-5D6E-409C-BE32-E72D297353CC}">
              <c16:uniqueId val="{0000003F-FF6C-4F20-B756-3A255FA271B4}"/>
            </c:ext>
          </c:extLst>
        </c:ser>
        <c:ser>
          <c:idx val="45"/>
          <c:order val="45"/>
          <c:tx>
            <c:v>RH=90_3</c:v>
          </c:tx>
          <c:spPr>
            <a:ln w="3175">
              <a:solidFill>
                <a:srgbClr val="0000FF"/>
              </a:solidFill>
              <a:prstDash val="solid"/>
            </a:ln>
          </c:spPr>
          <c:marker>
            <c:symbol val="none"/>
          </c:marker>
          <c:xVal>
            <c:numLit>
              <c:formatCode>General</c:formatCode>
              <c:ptCount val="16"/>
              <c:pt idx="0">
                <c:v>24.939936032452529</c:v>
              </c:pt>
              <c:pt idx="1">
                <c:v>25.92384661002826</c:v>
              </c:pt>
              <c:pt idx="2">
                <c:v>26.909393516522343</c:v>
              </c:pt>
              <c:pt idx="3">
                <c:v>27.896812587546918</c:v>
              </c:pt>
              <c:pt idx="4">
                <c:v>28.886358806211785</c:v>
              </c:pt>
              <c:pt idx="5">
                <c:v>29.87830762052651</c:v>
              </c:pt>
              <c:pt idx="6">
                <c:v>30.872956361702308</c:v>
              </c:pt>
              <c:pt idx="7">
                <c:v>31.870625773419732</c:v>
              </c:pt>
              <c:pt idx="8">
                <c:v>32.871661663330364</c:v>
              </c:pt>
              <c:pt idx="9">
                <c:v>33.876436689422889</c:v>
              </c:pt>
              <c:pt idx="10">
                <c:v>34.885352295428454</c:v>
              </c:pt>
              <c:pt idx="11">
                <c:v>35.898840811195406</c:v>
              </c:pt>
              <c:pt idx="12">
                <c:v>36.917367735961534</c:v>
              </c:pt>
              <c:pt idx="13">
                <c:v>37.941434224729875</c:v>
              </c:pt>
              <c:pt idx="14">
                <c:v>38.971579800557322</c:v>
              </c:pt>
              <c:pt idx="15">
                <c:v>34.663014089963724</c:v>
              </c:pt>
            </c:numLit>
          </c:xVal>
          <c:yVal>
            <c:numLit>
              <c:formatCode>General</c:formatCode>
              <c:ptCount val="16"/>
              <c:pt idx="0">
                <c:v>1.8990738550069466E-2</c:v>
              </c:pt>
              <c:pt idx="1">
                <c:v>2.0183882325276323E-2</c:v>
              </c:pt>
              <c:pt idx="2">
                <c:v>2.1444620082461376E-2</c:v>
              </c:pt>
              <c:pt idx="3">
                <c:v>2.2776498631904309E-2</c:v>
              </c:pt>
              <c:pt idx="4">
                <c:v>2.4183254349516771E-2</c:v>
              </c:pt>
              <c:pt idx="5">
                <c:v>2.5668825425554889E-2</c:v>
              </c:pt>
              <c:pt idx="6">
                <c:v>2.7237365152299648E-2</c:v>
              </c:pt>
              <c:pt idx="7">
                <c:v>2.8893256356949129E-2</c:v>
              </c:pt>
              <c:pt idx="8">
                <c:v>3.0641127098288597E-2</c:v>
              </c:pt>
              <c:pt idx="9">
                <c:v>3.2485867759629528E-2</c:v>
              </c:pt>
              <c:pt idx="10">
                <c:v>3.4432649686309907E-2</c:v>
              </c:pt>
              <c:pt idx="11">
                <c:v>3.6486945533989089E-2</c:v>
              </c:pt>
              <c:pt idx="12">
                <c:v>3.8654551514389603E-2</c:v>
              </c:pt>
              <c:pt idx="13">
                <c:v>4.0941611748426872E-2</c:v>
              </c:pt>
              <c:pt idx="14">
                <c:v>4.3354644963263043E-2</c:v>
              </c:pt>
              <c:pt idx="15">
                <c:v>3.4000000000000002E-2</c:v>
              </c:pt>
            </c:numLit>
          </c:yVal>
          <c:smooth val="1"/>
          <c:extLst>
            <c:ext xmlns:c16="http://schemas.microsoft.com/office/drawing/2014/chart" uri="{C3380CC4-5D6E-409C-BE32-E72D297353CC}">
              <c16:uniqueId val="{00000040-FF6C-4F20-B756-3A255FA271B4}"/>
            </c:ext>
          </c:extLst>
        </c:ser>
        <c:ser>
          <c:idx val="46"/>
          <c:order val="46"/>
          <c:tx>
            <c:v>RH=100_1</c:v>
          </c:tx>
          <c:spPr>
            <a:ln w="3175">
              <a:solidFill>
                <a:srgbClr val="0000FF"/>
              </a:solidFill>
              <a:prstDash val="solid"/>
            </a:ln>
          </c:spPr>
          <c:marker>
            <c:symbol val="none"/>
          </c:marker>
          <c:xVal>
            <c:numLit>
              <c:formatCode>General</c:formatCode>
              <c:ptCount val="23"/>
              <c:pt idx="0">
                <c:v>-10.178169782224485</c:v>
              </c:pt>
              <c:pt idx="1">
                <c:v>-9.1914446576012097</c:v>
              </c:pt>
              <c:pt idx="2">
                <c:v>-8.2055155451094635</c:v>
              </c:pt>
              <c:pt idx="3">
                <c:v>-7.22041332968442</c:v>
              </c:pt>
              <c:pt idx="4">
                <c:v>-6.2361685593886982</c:v>
              </c:pt>
              <c:pt idx="5">
                <c:v>-5.2528112525852375</c:v>
              </c:pt>
              <c:pt idx="6">
                <c:v>-4.2703706848883494</c:v>
              </c:pt>
              <c:pt idx="7">
                <c:v>-3.2888751544738279</c:v>
              </c:pt>
              <c:pt idx="8">
                <c:v>-2.3083517242375029</c:v>
              </c:pt>
              <c:pt idx="9">
                <c:v>-1.3288259391909207</c:v>
              </c:pt>
              <c:pt idx="10">
                <c:v>-0.35032151737137113</c:v>
              </c:pt>
              <c:pt idx="11">
                <c:v>0.63072878902048002</c:v>
              </c:pt>
              <c:pt idx="12">
                <c:v>1.6111719572746135</c:v>
              </c:pt>
              <c:pt idx="13">
                <c:v>2.5909827527240186</c:v>
              </c:pt>
              <c:pt idx="14">
                <c:v>3.5701735744985212</c:v>
              </c:pt>
              <c:pt idx="15">
                <c:v>4.5487605635344499</c:v>
              </c:pt>
              <c:pt idx="16">
                <c:v>5.5267544089063207</c:v>
              </c:pt>
              <c:pt idx="17">
                <c:v>6.5041883174927406</c:v>
              </c:pt>
              <c:pt idx="18">
                <c:v>7.481091633037142</c:v>
              </c:pt>
              <c:pt idx="19">
                <c:v>8.4574988517709855</c:v>
              </c:pt>
              <c:pt idx="20">
                <c:v>9.4334500278774112</c:v>
              </c:pt>
              <c:pt idx="21">
                <c:v>10.408979273270996</c:v>
              </c:pt>
              <c:pt idx="22">
                <c:v>10.516264586793987</c:v>
              </c:pt>
            </c:numLit>
          </c:xVal>
          <c:yVal>
            <c:numLit>
              <c:formatCode>General</c:formatCode>
              <c:ptCount val="23"/>
              <c:pt idx="0">
                <c:v>1.6060824455002855E-3</c:v>
              </c:pt>
              <c:pt idx="1">
                <c:v>1.7549965878149991E-3</c:v>
              </c:pt>
              <c:pt idx="2">
                <c:v>1.9164686538757729E-3</c:v>
              </c:pt>
              <c:pt idx="3">
                <c:v>2.0914526472602013E-3</c:v>
              </c:pt>
              <c:pt idx="4">
                <c:v>2.2809674610698065E-3</c:v>
              </c:pt>
              <c:pt idx="5">
                <c:v>2.4861008807502316E-3</c:v>
              </c:pt>
              <c:pt idx="6">
                <c:v>2.7080138291286308E-3</c:v>
              </c:pt>
              <c:pt idx="7">
                <c:v>2.9479448711774276E-3</c:v>
              </c:pt>
              <c:pt idx="8">
                <c:v>3.2072149977556683E-3</c:v>
              </c:pt>
              <c:pt idx="9">
                <c:v>3.4872327095305327E-3</c:v>
              </c:pt>
              <c:pt idx="10">
                <c:v>3.7894994244688104E-3</c:v>
              </c:pt>
              <c:pt idx="11">
                <c:v>4.076002175174424E-3</c:v>
              </c:pt>
              <c:pt idx="12">
                <c:v>4.3812837251538872E-3</c:v>
              </c:pt>
              <c:pt idx="13">
                <c:v>4.7068331132422495E-3</c:v>
              </c:pt>
              <c:pt idx="14">
                <c:v>5.0538263680982628E-3</c:v>
              </c:pt>
              <c:pt idx="15">
                <c:v>5.4234990810554818E-3</c:v>
              </c:pt>
              <c:pt idx="16">
                <c:v>5.8172661857312045E-3</c:v>
              </c:pt>
              <c:pt idx="17">
                <c:v>6.236391005280101E-3</c:v>
              </c:pt>
              <c:pt idx="18">
                <c:v>6.6823069273506883E-3</c:v>
              </c:pt>
              <c:pt idx="19">
                <c:v>7.156519212147776E-3</c:v>
              </c:pt>
              <c:pt idx="20">
                <c:v>7.6606084940231836E-3</c:v>
              </c:pt>
              <c:pt idx="21">
                <c:v>8.196399932304619E-3</c:v>
              </c:pt>
              <c:pt idx="22">
                <c:v>8.2573377030506299E-3</c:v>
              </c:pt>
            </c:numLit>
          </c:yVal>
          <c:smooth val="1"/>
          <c:extLst>
            <c:ext xmlns:c16="http://schemas.microsoft.com/office/drawing/2014/chart" uri="{C3380CC4-5D6E-409C-BE32-E72D297353CC}">
              <c16:uniqueId val="{00000041-FF6C-4F20-B756-3A255FA271B4}"/>
            </c:ext>
          </c:extLst>
        </c:ser>
        <c:ser>
          <c:idx val="47"/>
          <c:order val="47"/>
          <c:tx>
            <c:v>RH=100_Label1</c:v>
          </c:tx>
          <c:spPr>
            <a:ln w="3175">
              <a:solidFill>
                <a:srgbClr val="0000FF"/>
              </a:solidFill>
              <a:prstDash val="solid"/>
            </a:ln>
          </c:spPr>
          <c:marker>
            <c:symbol val="none"/>
          </c:marker>
          <c:dLbls>
            <c:dLbl>
              <c:idx val="0"/>
              <c:tx>
                <c:rich>
                  <a:bodyPr rot="-22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2-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10.916109197854718</c:v>
              </c:pt>
            </c:numLit>
          </c:xVal>
          <c:yVal>
            <c:numLit>
              <c:formatCode>General</c:formatCode>
              <c:ptCount val="1"/>
              <c:pt idx="0">
                <c:v>8.4880589687444351E-3</c:v>
              </c:pt>
            </c:numLit>
          </c:yVal>
          <c:smooth val="0"/>
          <c:extLst>
            <c:ext xmlns:c16="http://schemas.microsoft.com/office/drawing/2014/chart" uri="{C3380CC4-5D6E-409C-BE32-E72D297353CC}">
              <c16:uniqueId val="{00000043-FF6C-4F20-B756-3A255FA271B4}"/>
            </c:ext>
          </c:extLst>
        </c:ser>
        <c:ser>
          <c:idx val="48"/>
          <c:order val="48"/>
          <c:tx>
            <c:v>RH=100_2</c:v>
          </c:tx>
          <c:spPr>
            <a:ln w="3175">
              <a:solidFill>
                <a:srgbClr val="0000FF"/>
              </a:solidFill>
              <a:prstDash val="solid"/>
            </a:ln>
          </c:spPr>
          <c:marker>
            <c:symbol val="none"/>
          </c:marker>
          <c:xVal>
            <c:numLit>
              <c:formatCode>General</c:formatCode>
              <c:ptCount val="13"/>
              <c:pt idx="0">
                <c:v>11.306148161457124</c:v>
              </c:pt>
              <c:pt idx="1">
                <c:v>12.281041279910601</c:v>
              </c:pt>
              <c:pt idx="2">
                <c:v>13.255696426782698</c:v>
              </c:pt>
              <c:pt idx="3">
                <c:v>14.23018774206972</c:v>
              </c:pt>
              <c:pt idx="4">
                <c:v>15.204597871348779</c:v>
              </c:pt>
              <c:pt idx="5">
                <c:v>16.179018572095902</c:v>
              </c:pt>
              <c:pt idx="6">
                <c:v>17.153551357611043</c:v>
              </c:pt>
              <c:pt idx="7">
                <c:v>18.128308181438197</c:v>
              </c:pt>
              <c:pt idx="8">
                <c:v>19.103412165477447</c:v>
              </c:pt>
              <c:pt idx="9">
                <c:v>20.078998375331533</c:v>
              </c:pt>
              <c:pt idx="10">
                <c:v>21.055214646816154</c:v>
              </c:pt>
              <c:pt idx="11">
                <c:v>22.032222467998068</c:v>
              </c:pt>
              <c:pt idx="12">
                <c:v>22.980842787419583</c:v>
              </c:pt>
            </c:numLit>
          </c:xVal>
          <c:yVal>
            <c:numLit>
              <c:formatCode>General</c:formatCode>
              <c:ptCount val="13"/>
              <c:pt idx="0">
                <c:v>8.7186984612775478E-3</c:v>
              </c:pt>
              <c:pt idx="1">
                <c:v>9.3200472156966009E-3</c:v>
              </c:pt>
              <c:pt idx="2">
                <c:v>9.9582974908895144E-3</c:v>
              </c:pt>
              <c:pt idx="3">
                <c:v>1.0635461977505508E-2</c:v>
              </c:pt>
              <c:pt idx="4">
                <c:v>1.1353654611274092E-2</c:v>
              </c:pt>
              <c:pt idx="5">
                <c:v>1.2115095962728417E-2</c:v>
              </c:pt>
              <c:pt idx="6">
                <c:v>1.2922119000939997E-2</c:v>
              </c:pt>
              <c:pt idx="7">
                <c:v>1.377717526523955E-2</c:v>
              </c:pt>
              <c:pt idx="8">
                <c:v>1.46828414823855E-2</c:v>
              </c:pt>
              <c:pt idx="9">
                <c:v>1.5641826670521098E-2</c:v>
              </c:pt>
              <c:pt idx="10">
                <c:v>1.665697977558259E-2</c:v>
              </c:pt>
              <c:pt idx="11">
                <c:v>1.7731297890637539E-2</c:v>
              </c:pt>
              <c:pt idx="12">
                <c:v>1.8832897951509976E-2</c:v>
              </c:pt>
            </c:numLit>
          </c:yVal>
          <c:smooth val="1"/>
          <c:extLst>
            <c:ext xmlns:c16="http://schemas.microsoft.com/office/drawing/2014/chart" uri="{C3380CC4-5D6E-409C-BE32-E72D297353CC}">
              <c16:uniqueId val="{00000044-FF6C-4F20-B756-3A255FA271B4}"/>
            </c:ext>
          </c:extLst>
        </c:ser>
        <c:ser>
          <c:idx val="49"/>
          <c:order val="49"/>
          <c:tx>
            <c:v>RH=100_Label2</c:v>
          </c:tx>
          <c:spPr>
            <a:ln w="3175">
              <a:solidFill>
                <a:srgbClr val="0000FF"/>
              </a:solidFill>
              <a:prstDash val="solid"/>
            </a:ln>
          </c:spPr>
          <c:marker>
            <c:symbol val="none"/>
          </c:marker>
          <c:dLbls>
            <c:dLbl>
              <c:idx val="0"/>
              <c:tx>
                <c:rich>
                  <a:bodyPr rot="-34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5-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23.274441676340576</c:v>
              </c:pt>
            </c:numLit>
          </c:xVal>
          <c:yVal>
            <c:numLit>
              <c:formatCode>General</c:formatCode>
              <c:ptCount val="1"/>
              <c:pt idx="0">
                <c:v>1.9185938466822944E-2</c:v>
              </c:pt>
            </c:numLit>
          </c:yVal>
          <c:smooth val="0"/>
          <c:extLst>
            <c:ext xmlns:c16="http://schemas.microsoft.com/office/drawing/2014/chart" uri="{C3380CC4-5D6E-409C-BE32-E72D297353CC}">
              <c16:uniqueId val="{00000046-FF6C-4F20-B756-3A255FA271B4}"/>
            </c:ext>
          </c:extLst>
        </c:ser>
        <c:ser>
          <c:idx val="50"/>
          <c:order val="50"/>
          <c:tx>
            <c:v>RH=100_3</c:v>
          </c:tx>
          <c:spPr>
            <a:ln w="3175">
              <a:solidFill>
                <a:srgbClr val="0000FF"/>
              </a:solidFill>
              <a:prstDash val="solid"/>
            </a:ln>
          </c:spPr>
          <c:marker>
            <c:symbol val="none"/>
          </c:marker>
          <c:xVal>
            <c:numLit>
              <c:formatCode>General</c:formatCode>
              <c:ptCount val="15"/>
              <c:pt idx="0">
                <c:v>23.568149699182413</c:v>
              </c:pt>
              <c:pt idx="1">
                <c:v>24.548027900099004</c:v>
              </c:pt>
              <c:pt idx="2">
                <c:v>25.529389944809026</c:v>
              </c:pt>
              <c:pt idx="3">
                <c:v>26.512482514651783</c:v>
              </c:pt>
              <c:pt idx="4">
                <c:v>27.497562490796636</c:v>
              </c:pt>
              <c:pt idx="5">
                <c:v>28.484908011306281</c:v>
              </c:pt>
              <c:pt idx="6">
                <c:v>29.474819980120685</c:v>
              </c:pt>
              <c:pt idx="7">
                <c:v>30.467623697062518</c:v>
              </c:pt>
              <c:pt idx="8">
                <c:v>31.463670621458721</c:v>
              </c:pt>
              <c:pt idx="9">
                <c:v>32.463340283532261</c:v>
              </c:pt>
              <c:pt idx="10">
                <c:v>33.467042359491842</c:v>
              </c:pt>
              <c:pt idx="11">
                <c:v>34.475218928270039</c:v>
              </c:pt>
              <c:pt idx="12">
                <c:v>35.488346930168582</c:v>
              </c:pt>
              <c:pt idx="13">
                <c:v>36.506940850312191</c:v>
              </c:pt>
              <c:pt idx="14">
                <c:v>32.643696673944994</c:v>
              </c:pt>
            </c:numLit>
          </c:xVal>
          <c:yVal>
            <c:numLit>
              <c:formatCode>General</c:formatCode>
              <c:ptCount val="15"/>
              <c:pt idx="0">
                <c:v>1.9544968716094731E-2</c:v>
              </c:pt>
              <c:pt idx="1">
                <c:v>2.078642319572007E-2</c:v>
              </c:pt>
              <c:pt idx="2">
                <c:v>2.2099351809162063E-2</c:v>
              </c:pt>
              <c:pt idx="3">
                <c:v>2.3487353058385261E-2</c:v>
              </c:pt>
              <c:pt idx="4">
                <c:v>2.4954438152261969E-2</c:v>
              </c:pt>
              <c:pt idx="5">
                <c:v>2.6504840036747992E-2</c:v>
              </c:pt>
              <c:pt idx="6">
                <c:v>2.8143028389042056E-2</c:v>
              </c:pt>
              <c:pt idx="7">
                <c:v>2.9873725935853069E-2</c:v>
              </c:pt>
              <c:pt idx="8">
                <c:v>3.1701926236084019E-2</c:v>
              </c:pt>
              <c:pt idx="9">
                <c:v>3.3632913085147265E-2</c:v>
              </c:pt>
              <c:pt idx="10">
                <c:v>3.567228171735233E-2</c:v>
              </c:pt>
              <c:pt idx="11">
                <c:v>3.7825962004710931E-2</c:v>
              </c:pt>
              <c:pt idx="12">
                <c:v>4.0100243875520566E-2</c:v>
              </c:pt>
              <c:pt idx="13">
                <c:v>4.2501805204693884E-2</c:v>
              </c:pt>
              <c:pt idx="14">
                <c:v>3.4000000000000002E-2</c:v>
              </c:pt>
            </c:numLit>
          </c:yVal>
          <c:smooth val="1"/>
          <c:extLst>
            <c:ext xmlns:c16="http://schemas.microsoft.com/office/drawing/2014/chart" uri="{C3380CC4-5D6E-409C-BE32-E72D297353CC}">
              <c16:uniqueId val="{00000047-FF6C-4F20-B756-3A255FA271B4}"/>
            </c:ext>
          </c:extLst>
        </c:ser>
        <c:ser>
          <c:idx val="51"/>
          <c:order val="51"/>
          <c:tx>
            <c:v>RH=5_1</c:v>
          </c:tx>
          <c:spPr>
            <a:ln w="3175">
              <a:solidFill>
                <a:srgbClr val="0000FF"/>
              </a:solidFill>
              <a:prstDash val="solid"/>
            </a:ln>
          </c:spPr>
          <c:marker>
            <c:symbol val="none"/>
          </c:marker>
          <c:xVal>
            <c:numLit>
              <c:formatCode>General</c:formatCode>
              <c:ptCount val="44"/>
              <c:pt idx="0">
                <c:v>4.9776233903200948</c:v>
              </c:pt>
              <c:pt idx="1">
                <c:v>5.9765461124062504</c:v>
              </c:pt>
              <c:pt idx="2">
                <c:v>6.9754433265574693</c:v>
              </c:pt>
              <c:pt idx="3">
                <c:v>7.9743167161359203</c:v>
              </c:pt>
              <c:pt idx="4">
                <c:v>8.9731682332912257</c:v>
              </c:pt>
              <c:pt idx="5">
                <c:v>9.9720001185570162</c:v>
              </c:pt>
              <c:pt idx="6">
                <c:v>10.970814339524935</c:v>
              </c:pt>
              <c:pt idx="7">
                <c:v>11.969614309804435</c:v>
              </c:pt>
              <c:pt idx="8">
                <c:v>12.96840326099748</c:v>
              </c:pt>
              <c:pt idx="9">
                <c:v>13.967184800874087</c:v>
              </c:pt>
              <c:pt idx="10">
                <c:v>14.965962937671193</c:v>
              </c:pt>
              <c:pt idx="11">
                <c:v>15.96474210539113</c:v>
              </c:pt>
              <c:pt idx="12">
                <c:v>16.963527190121308</c:v>
              </c:pt>
              <c:pt idx="13">
                <c:v>17.962323557396687</c:v>
              </c:pt>
              <c:pt idx="14">
                <c:v>18.96113708062671</c:v>
              </c:pt>
              <c:pt idx="15">
                <c:v>19.959974170608504</c:v>
              </c:pt>
              <c:pt idx="16">
                <c:v>20.958841806148165</c:v>
              </c:pt>
              <c:pt idx="17">
                <c:v>21.957747565812291</c:v>
              </c:pt>
              <c:pt idx="18">
                <c:v>22.956699660831834</c:v>
              </c:pt>
              <c:pt idx="19">
                <c:v>23.955706969180849</c:v>
              </c:pt>
              <c:pt idx="20">
                <c:v>24.954779070852826</c:v>
              </c:pt>
              <c:pt idx="21">
                <c:v>25.953925365223707</c:v>
              </c:pt>
              <c:pt idx="22">
                <c:v>26.953157835456782</c:v>
              </c:pt>
              <c:pt idx="23">
                <c:v>27.952488397435463</c:v>
              </c:pt>
              <c:pt idx="24">
                <c:v>28.951929823629314</c:v>
              </c:pt>
              <c:pt idx="25">
                <c:v>29.951495784802255</c:v>
              </c:pt>
              <c:pt idx="26">
                <c:v>30.951200893068666</c:v>
              </c:pt>
              <c:pt idx="27">
                <c:v>31.951060746323797</c:v>
              </c:pt>
              <c:pt idx="28">
                <c:v>32.951091974075759</c:v>
              </c:pt>
              <c:pt idx="29">
                <c:v>33.9513122847072</c:v>
              </c:pt>
              <c:pt idx="30">
                <c:v>34.951740514195947</c:v>
              </c:pt>
              <c:pt idx="31">
                <c:v>35.952396676324661</c:v>
              </c:pt>
              <c:pt idx="32">
                <c:v>36.9533020144112</c:v>
              </c:pt>
              <c:pt idx="33">
                <c:v>37.954479054592419</c:v>
              </c:pt>
              <c:pt idx="34">
                <c:v>38.955951660695632</c:v>
              </c:pt>
              <c:pt idx="35">
                <c:v>39.957745090733781</c:v>
              </c:pt>
              <c:pt idx="36">
                <c:v>40.959885654307307</c:v>
              </c:pt>
              <c:pt idx="37">
                <c:v>41.962402024883296</c:v>
              </c:pt>
              <c:pt idx="38">
                <c:v>42.965324010989782</c:v>
              </c:pt>
              <c:pt idx="39">
                <c:v>43.968683059608644</c:v>
              </c:pt>
              <c:pt idx="40">
                <c:v>44.972512321482363</c:v>
              </c:pt>
              <c:pt idx="41">
                <c:v>45.976846718306781</c:v>
              </c:pt>
              <c:pt idx="42">
                <c:v>46.981723011861952</c:v>
              </c:pt>
              <c:pt idx="43">
                <c:v>47.182766666949178</c:v>
              </c:pt>
            </c:numLit>
          </c:xVal>
          <c:yVal>
            <c:numLit>
              <c:formatCode>General</c:formatCode>
              <c:ptCount val="44"/>
              <c:pt idx="0">
                <c:v>2.6894706496995591E-4</c:v>
              </c:pt>
              <c:pt idx="1">
                <c:v>2.883016974500513E-4</c:v>
              </c:pt>
              <c:pt idx="2">
                <c:v>3.0887738788679987E-4</c:v>
              </c:pt>
              <c:pt idx="3">
                <c:v>3.3073967700030329E-4</c:v>
              </c:pt>
              <c:pt idx="4">
                <c:v>3.539569539605077E-4</c:v>
              </c:pt>
              <c:pt idx="5">
                <c:v>3.7860054746830814E-4</c:v>
              </c:pt>
              <c:pt idx="6">
                <c:v>4.0475288720587759E-4</c:v>
              </c:pt>
              <c:pt idx="7">
                <c:v>4.324844982560534E-4</c:v>
              </c:pt>
              <c:pt idx="8">
                <c:v>4.6187619059190967E-4</c:v>
              </c:pt>
              <c:pt idx="9">
                <c:v>4.930121015631261E-4</c:v>
              </c:pt>
              <c:pt idx="10">
                <c:v>5.2597979574161853E-4</c:v>
              </c:pt>
              <c:pt idx="11">
                <c:v>5.6087036648519981E-4</c:v>
              </c:pt>
              <c:pt idx="12">
                <c:v>5.9777853923045476E-4</c:v>
              </c:pt>
              <c:pt idx="13">
                <c:v>6.3680277652780669E-4</c:v>
              </c:pt>
              <c:pt idx="14">
                <c:v>6.780453848340256E-4</c:v>
              </c:pt>
              <c:pt idx="15">
                <c:v>7.2161262307971201E-4</c:v>
              </c:pt>
              <c:pt idx="16">
                <c:v>7.6761481303197878E-4</c:v>
              </c:pt>
              <c:pt idx="17">
                <c:v>8.1616645147532241E-4</c:v>
              </c:pt>
              <c:pt idx="18">
                <c:v>8.6738632423690452E-4</c:v>
              </c:pt>
              <c:pt idx="19">
                <c:v>9.2139762208571683E-4</c:v>
              </c:pt>
              <c:pt idx="20">
                <c:v>9.783280585388284E-4</c:v>
              </c:pt>
              <c:pt idx="21">
                <c:v>1.0383307030678828E-3</c:v>
              </c:pt>
              <c:pt idx="22">
                <c:v>1.1015244864534207E-3</c:v>
              </c:pt>
              <c:pt idx="23">
                <c:v>1.1680516173001498E-3</c:v>
              </c:pt>
              <c:pt idx="24">
                <c:v>1.2380593299771872E-3</c:v>
              </c:pt>
              <c:pt idx="25">
                <c:v>1.3117000131433135E-3</c:v>
              </c:pt>
              <c:pt idx="26">
                <c:v>1.3891313404901472E-3</c:v>
              </c:pt>
              <c:pt idx="27">
                <c:v>1.4705164037711607E-3</c:v>
              </c:pt>
              <c:pt idx="28">
                <c:v>1.5560238481906713E-3</c:v>
              </c:pt>
              <c:pt idx="29">
                <c:v>1.6458280102336351E-3</c:v>
              </c:pt>
              <c:pt idx="30">
                <c:v>1.7401090580242489E-3</c:v>
              </c:pt>
              <c:pt idx="31">
                <c:v>1.8390531343085432E-3</c:v>
              </c:pt>
              <c:pt idx="32">
                <c:v>1.9428525021642465E-3</c:v>
              </c:pt>
              <c:pt idx="33">
                <c:v>2.0517056935495715E-3</c:v>
              </c:pt>
              <c:pt idx="34">
                <c:v>2.1658176608111267E-3</c:v>
              </c:pt>
              <c:pt idx="35">
                <c:v>2.2853999312806269E-3</c:v>
              </c:pt>
              <c:pt idx="36">
                <c:v>2.4106948486765866E-3</c:v>
              </c:pt>
              <c:pt idx="37">
                <c:v>2.5419061134005754E-3</c:v>
              </c:pt>
              <c:pt idx="38">
                <c:v>2.6792661247527954E-3</c:v>
              </c:pt>
              <c:pt idx="39">
                <c:v>2.8230145191489361E-3</c:v>
              </c:pt>
              <c:pt idx="40">
                <c:v>2.9733983428754376E-3</c:v>
              </c:pt>
              <c:pt idx="41">
                <c:v>3.1306722289495314E-3</c:v>
              </c:pt>
              <c:pt idx="42">
                <c:v>3.295098578294037E-3</c:v>
              </c:pt>
              <c:pt idx="43">
                <c:v>3.3288657928423463E-3</c:v>
              </c:pt>
            </c:numLit>
          </c:yVal>
          <c:smooth val="1"/>
          <c:extLst>
            <c:ext xmlns:c16="http://schemas.microsoft.com/office/drawing/2014/chart" uri="{C3380CC4-5D6E-409C-BE32-E72D297353CC}">
              <c16:uniqueId val="{00000048-FF6C-4F20-B756-3A255FA271B4}"/>
            </c:ext>
          </c:extLst>
        </c:ser>
        <c:ser>
          <c:idx val="52"/>
          <c:order val="52"/>
          <c:tx>
            <c:v>RH=5_Label</c:v>
          </c:tx>
          <c:spPr>
            <a:ln w="3175">
              <a:solidFill>
                <a:srgbClr val="0000FF"/>
              </a:solidFill>
              <a:prstDash val="solid"/>
            </a:ln>
          </c:spPr>
          <c:marker>
            <c:symbol val="none"/>
          </c:marker>
          <c:dLbls>
            <c:dLbl>
              <c:idx val="0"/>
              <c:tx>
                <c:rich>
                  <a:bodyPr rot="-78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9-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47.484376378579221</c:v>
              </c:pt>
            </c:numLit>
          </c:xVal>
          <c:yVal>
            <c:numLit>
              <c:formatCode>General</c:formatCode>
              <c:ptCount val="1"/>
              <c:pt idx="0">
                <c:v>3.3800780966238612E-3</c:v>
              </c:pt>
            </c:numLit>
          </c:yVal>
          <c:smooth val="0"/>
          <c:extLst>
            <c:ext xmlns:c16="http://schemas.microsoft.com/office/drawing/2014/chart" uri="{C3380CC4-5D6E-409C-BE32-E72D297353CC}">
              <c16:uniqueId val="{0000004A-FF6C-4F20-B756-3A255FA271B4}"/>
            </c:ext>
          </c:extLst>
        </c:ser>
        <c:ser>
          <c:idx val="53"/>
          <c:order val="53"/>
          <c:tx>
            <c:v>RH=5_2</c:v>
          </c:tx>
          <c:spPr>
            <a:ln w="3175">
              <a:solidFill>
                <a:srgbClr val="0000FF"/>
              </a:solidFill>
              <a:prstDash val="solid"/>
            </a:ln>
          </c:spPr>
          <c:marker>
            <c:symbol val="none"/>
          </c:marker>
          <c:xVal>
            <c:numLit>
              <c:formatCode>General</c:formatCode>
              <c:ptCount val="4"/>
              <c:pt idx="0">
                <c:v>47.78604013452582</c:v>
              </c:pt>
              <c:pt idx="1">
                <c:v>48.791990629120036</c:v>
              </c:pt>
              <c:pt idx="2">
                <c:v>49.798596355979541</c:v>
              </c:pt>
              <c:pt idx="3">
                <c:v>50.000000000000007</c:v>
              </c:pt>
            </c:numLit>
          </c:xVal>
          <c:yVal>
            <c:numLit>
              <c:formatCode>General</c:formatCode>
              <c:ptCount val="4"/>
              <c:pt idx="0">
                <c:v>3.4319708374959527E-3</c:v>
              </c:pt>
              <c:pt idx="1">
                <c:v>3.6099583804882654E-3</c:v>
              </c:pt>
              <c:pt idx="2">
                <c:v>3.7958760338435635E-3</c:v>
              </c:pt>
              <c:pt idx="3">
                <c:v>3.8340368674482672E-3</c:v>
              </c:pt>
            </c:numLit>
          </c:yVal>
          <c:smooth val="1"/>
          <c:extLst>
            <c:ext xmlns:c16="http://schemas.microsoft.com/office/drawing/2014/chart" uri="{C3380CC4-5D6E-409C-BE32-E72D297353CC}">
              <c16:uniqueId val="{0000004B-FF6C-4F20-B756-3A255FA271B4}"/>
            </c:ext>
          </c:extLst>
        </c:ser>
        <c:ser>
          <c:idx val="54"/>
          <c:order val="54"/>
          <c:tx>
            <c:v>RH=15_1</c:v>
          </c:tx>
          <c:spPr>
            <a:ln w="3175">
              <a:solidFill>
                <a:srgbClr val="0000FF"/>
              </a:solidFill>
              <a:prstDash val="solid"/>
            </a:ln>
          </c:spPr>
          <c:marker>
            <c:symbol val="none"/>
          </c:marker>
          <c:xVal>
            <c:numLit>
              <c:formatCode>General</c:formatCode>
              <c:ptCount val="43"/>
              <c:pt idx="0">
                <c:v>4.9328120662058037</c:v>
              </c:pt>
              <c:pt idx="1">
                <c:v>5.9295730482714228</c:v>
              </c:pt>
              <c:pt idx="2">
                <c:v>6.9262567373612773</c:v>
              </c:pt>
              <c:pt idx="3">
                <c:v>7.9228681182020555</c:v>
              </c:pt>
              <c:pt idx="4">
                <c:v>8.9194129788004801</c:v>
              </c:pt>
              <c:pt idx="5">
                <c:v>9.9158979695017493</c:v>
              </c:pt>
              <c:pt idx="6">
                <c:v>10.912328914825977</c:v>
              </c:pt>
              <c:pt idx="7">
                <c:v>11.908715983459764</c:v>
              </c:pt>
              <c:pt idx="8">
                <c:v>12.905068793043446</c:v>
              </c:pt>
              <c:pt idx="9">
                <c:v>13.901398089122475</c:v>
              </c:pt>
              <c:pt idx="10">
                <c:v>14.897715818985999</c:v>
              </c:pt>
              <c:pt idx="11">
                <c:v>15.894035208705857</c:v>
              </c:pt>
              <c:pt idx="12">
                <c:v>16.890370843469007</c:v>
              </c:pt>
              <c:pt idx="13">
                <c:v>17.886738751299848</c:v>
              </c:pt>
              <c:pt idx="14">
                <c:v>18.883156490272302</c:v>
              </c:pt>
              <c:pt idx="15">
                <c:v>19.879643239315833</c:v>
              </c:pt>
              <c:pt idx="16">
                <c:v>20.876219892723721</c:v>
              </c:pt>
              <c:pt idx="17">
                <c:v>21.872909158476965</c:v>
              </c:pt>
              <c:pt idx="18">
                <c:v>22.86973566050245</c:v>
              </c:pt>
              <c:pt idx="19">
                <c:v>23.866726044989953</c:v>
              </c:pt>
              <c:pt idx="20">
                <c:v>24.863909090898993</c:v>
              </c:pt>
              <c:pt idx="21">
                <c:v>25.861313048886803</c:v>
              </c:pt>
              <c:pt idx="22">
                <c:v>26.858973993203644</c:v>
              </c:pt>
              <c:pt idx="23">
                <c:v>27.856927825559083</c:v>
              </c:pt>
              <c:pt idx="24">
                <c:v>28.855213070331221</c:v>
              </c:pt>
              <c:pt idx="25">
                <c:v>29.853871008543511</c:v>
              </c:pt>
              <c:pt idx="26">
                <c:v>30.852945817009974</c:v>
              </c:pt>
              <c:pt idx="27">
                <c:v>31.852484712846547</c:v>
              </c:pt>
              <c:pt idx="28">
                <c:v>32.852538103559269</c:v>
              </c:pt>
              <c:pt idx="29">
                <c:v>33.853159742934409</c:v>
              </c:pt>
              <c:pt idx="30">
                <c:v>34.854406892971049</c:v>
              </c:pt>
              <c:pt idx="31">
                <c:v>35.856340492113461</c:v>
              </c:pt>
              <c:pt idx="32">
                <c:v>36.859025330058785</c:v>
              </c:pt>
              <c:pt idx="33">
                <c:v>37.86253022943545</c:v>
              </c:pt>
              <c:pt idx="34">
                <c:v>38.866928234668933</c:v>
              </c:pt>
              <c:pt idx="35">
                <c:v>39.872296808374962</c:v>
              </c:pt>
              <c:pt idx="36">
                <c:v>40.878716814523401</c:v>
              </c:pt>
              <c:pt idx="37">
                <c:v>41.886276545260401</c:v>
              </c:pt>
              <c:pt idx="38">
                <c:v>42.895068014466354</c:v>
              </c:pt>
              <c:pt idx="39">
                <c:v>43.90518852682635</c:v>
              </c:pt>
              <c:pt idx="40">
                <c:v>44.916740918221194</c:v>
              </c:pt>
              <c:pt idx="41">
                <c:v>45.929833806311073</c:v>
              </c:pt>
              <c:pt idx="42">
                <c:v>46.447141040472602</c:v>
              </c:pt>
            </c:numLit>
          </c:xVal>
          <c:yVal>
            <c:numLit>
              <c:formatCode>General</c:formatCode>
              <c:ptCount val="43"/>
              <c:pt idx="0">
                <c:v>8.0753956268771263E-4</c:v>
              </c:pt>
              <c:pt idx="1">
                <c:v>8.6570764221589327E-4</c:v>
              </c:pt>
              <c:pt idx="2">
                <c:v>9.2755341603594442E-4</c:v>
              </c:pt>
              <c:pt idx="3">
                <c:v>9.9327538516040146E-4</c:v>
              </c:pt>
              <c:pt idx="4">
                <c:v>1.0630808199149999E-3</c:v>
              </c:pt>
              <c:pt idx="5">
                <c:v>1.137186057543544E-3</c:v>
              </c:pt>
              <c:pt idx="6">
                <c:v>1.2158410764414958E-3</c:v>
              </c:pt>
              <c:pt idx="7">
                <c:v>1.2992603372874558E-3</c:v>
              </c:pt>
              <c:pt idx="8">
                <c:v>1.3876895408063471E-3</c:v>
              </c:pt>
              <c:pt idx="9">
                <c:v>1.4813847422758377E-3</c:v>
              </c:pt>
              <c:pt idx="10">
                <c:v>1.5806126897094368E-3</c:v>
              </c:pt>
              <c:pt idx="11">
                <c:v>1.6856511708081745E-3</c:v>
              </c:pt>
              <c:pt idx="12">
                <c:v>1.7967893690155705E-3</c:v>
              </c:pt>
              <c:pt idx="13">
                <c:v>1.9143282290381843E-3</c:v>
              </c:pt>
              <c:pt idx="14">
                <c:v>2.0385808322245149E-3</c:v>
              </c:pt>
              <c:pt idx="15">
                <c:v>2.1698727822271171E-3</c:v>
              </c:pt>
              <c:pt idx="16">
                <c:v>2.3085426014077663E-3</c:v>
              </c:pt>
              <c:pt idx="17">
                <c:v>2.4549421384825049E-3</c:v>
              </c:pt>
              <c:pt idx="18">
                <c:v>2.6094369879436801E-3</c:v>
              </c:pt>
              <c:pt idx="19">
                <c:v>2.7724069218384747E-3</c:v>
              </c:pt>
              <c:pt idx="20">
                <c:v>2.9442463345293766E-3</c:v>
              </c:pt>
              <c:pt idx="21">
                <c:v>3.1254272585097861E-3</c:v>
              </c:pt>
              <c:pt idx="22">
                <c:v>3.3163198419152674E-3</c:v>
              </c:pt>
              <c:pt idx="23">
                <c:v>3.517365774378339E-3</c:v>
              </c:pt>
              <c:pt idx="24">
                <c:v>3.729023329410901E-3</c:v>
              </c:pt>
              <c:pt idx="25">
                <c:v>3.9517678872373575E-3</c:v>
              </c:pt>
              <c:pt idx="26">
                <c:v>4.1860924756074117E-3</c:v>
              </c:pt>
              <c:pt idx="27">
                <c:v>4.4325083296407235E-3</c:v>
              </c:pt>
              <c:pt idx="28">
                <c:v>4.6915454718334821E-3</c:v>
              </c:pt>
              <c:pt idx="29">
                <c:v>4.9637533134403835E-3</c:v>
              </c:pt>
              <c:pt idx="30">
                <c:v>5.2497012785349493E-3</c:v>
              </c:pt>
              <c:pt idx="31">
                <c:v>5.5499794521452683E-3</c:v>
              </c:pt>
              <c:pt idx="32">
                <c:v>5.8651992539645445E-3</c:v>
              </c:pt>
              <c:pt idx="33">
                <c:v>6.1959941392444491E-3</c:v>
              </c:pt>
              <c:pt idx="34">
                <c:v>6.5430203285947253E-3</c:v>
              </c:pt>
              <c:pt idx="35">
                <c:v>6.906957568537187E-3</c:v>
              </c:pt>
              <c:pt idx="36">
                <c:v>7.2885833088089363E-3</c:v>
              </c:pt>
              <c:pt idx="37">
                <c:v>7.6885615233894828E-3</c:v>
              </c:pt>
              <c:pt idx="38">
                <c:v>8.1076480373922614E-3</c:v>
              </c:pt>
              <c:pt idx="39">
                <c:v>8.5466256283771892E-3</c:v>
              </c:pt>
              <c:pt idx="40">
                <c:v>9.0063049752121399E-3</c:v>
              </c:pt>
              <c:pt idx="41">
                <c:v>9.487525652025099E-3</c:v>
              </c:pt>
              <c:pt idx="42">
                <c:v>9.7415215954277639E-3</c:v>
              </c:pt>
            </c:numLit>
          </c:yVal>
          <c:smooth val="1"/>
          <c:extLst>
            <c:ext xmlns:c16="http://schemas.microsoft.com/office/drawing/2014/chart" uri="{C3380CC4-5D6E-409C-BE32-E72D297353CC}">
              <c16:uniqueId val="{0000004C-FF6C-4F20-B756-3A255FA271B4}"/>
            </c:ext>
          </c:extLst>
        </c:ser>
        <c:ser>
          <c:idx val="55"/>
          <c:order val="55"/>
          <c:tx>
            <c:v>RH=15_Label</c:v>
          </c:tx>
          <c:spPr>
            <a:ln w="3175">
              <a:solidFill>
                <a:srgbClr val="0000FF"/>
              </a:solidFill>
              <a:prstDash val="solid"/>
            </a:ln>
          </c:spPr>
          <c:marker>
            <c:symbol val="none"/>
          </c:marker>
          <c:dLbls>
            <c:dLbl>
              <c:idx val="0"/>
              <c:tx>
                <c:rich>
                  <a:bodyPr rot="-20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15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D-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46.751646831740644</c:v>
              </c:pt>
            </c:numLit>
          </c:xVal>
          <c:yVal>
            <c:numLit>
              <c:formatCode>General</c:formatCode>
              <c:ptCount val="1"/>
              <c:pt idx="0">
                <c:v>9.8937012958702358E-3</c:v>
              </c:pt>
            </c:numLit>
          </c:yVal>
          <c:smooth val="0"/>
          <c:extLst>
            <c:ext xmlns:c16="http://schemas.microsoft.com/office/drawing/2014/chart" uri="{C3380CC4-5D6E-409C-BE32-E72D297353CC}">
              <c16:uniqueId val="{0000004E-FF6C-4F20-B756-3A255FA271B4}"/>
            </c:ext>
          </c:extLst>
        </c:ser>
        <c:ser>
          <c:idx val="56"/>
          <c:order val="56"/>
          <c:tx>
            <c:v>RH=15_2</c:v>
          </c:tx>
          <c:spPr>
            <a:ln w="3175">
              <a:solidFill>
                <a:srgbClr val="0000FF"/>
              </a:solidFill>
              <a:prstDash val="solid"/>
            </a:ln>
          </c:spPr>
          <c:marker>
            <c:symbol val="none"/>
          </c:marker>
          <c:xVal>
            <c:numLit>
              <c:formatCode>General</c:formatCode>
              <c:ptCount val="4"/>
              <c:pt idx="0">
                <c:v>47.056310316800555</c:v>
              </c:pt>
              <c:pt idx="1">
                <c:v>48.073037537462</c:v>
              </c:pt>
              <c:pt idx="2">
                <c:v>49.091682918519822</c:v>
              </c:pt>
              <c:pt idx="3">
                <c:v>50</c:v>
              </c:pt>
            </c:numLit>
          </c:xVal>
          <c:yVal>
            <c:numLit>
              <c:formatCode>General</c:formatCode>
              <c:ptCount val="4"/>
              <c:pt idx="0">
                <c:v>1.0047963183881549E-2</c:v>
              </c:pt>
              <c:pt idx="1">
                <c:v>1.0577526686358711E-2</c:v>
              </c:pt>
              <c:pt idx="2">
                <c:v>1.1131438908453318E-2</c:v>
              </c:pt>
              <c:pt idx="3">
                <c:v>1.1645684295829718E-2</c:v>
              </c:pt>
            </c:numLit>
          </c:yVal>
          <c:smooth val="1"/>
          <c:extLst>
            <c:ext xmlns:c16="http://schemas.microsoft.com/office/drawing/2014/chart" uri="{C3380CC4-5D6E-409C-BE32-E72D297353CC}">
              <c16:uniqueId val="{0000004F-FF6C-4F20-B756-3A255FA271B4}"/>
            </c:ext>
          </c:extLst>
        </c:ser>
        <c:ser>
          <c:idx val="57"/>
          <c:order val="57"/>
          <c:tx>
            <c:v>RH=25_1</c:v>
          </c:tx>
          <c:spPr>
            <a:ln w="3175">
              <a:solidFill>
                <a:srgbClr val="0000FF"/>
              </a:solidFill>
              <a:prstDash val="solid"/>
            </a:ln>
          </c:spPr>
          <c:marker>
            <c:symbol val="none"/>
          </c:marker>
          <c:xVal>
            <c:numLit>
              <c:formatCode>General</c:formatCode>
              <c:ptCount val="37"/>
              <c:pt idx="0">
                <c:v>4.8879231012968791</c:v>
              </c:pt>
              <c:pt idx="1">
                <c:v>5.8825127300794398</c:v>
              </c:pt>
              <c:pt idx="2">
                <c:v>6.8769722487850746</c:v>
              </c:pt>
              <c:pt idx="3">
                <c:v>7.8713098552420631</c:v>
              </c:pt>
              <c:pt idx="4">
                <c:v>8.8655350807734692</c:v>
              </c:pt>
              <c:pt idx="5">
                <c:v>9.8596588890554671</c:v>
              </c:pt>
              <c:pt idx="6">
                <c:v>10.853690855483984</c:v>
              </c:pt>
              <c:pt idx="7">
                <c:v>11.847647805735933</c:v>
              </c:pt>
              <c:pt idx="8">
                <c:v>12.841545638426375</c:v>
              </c:pt>
              <c:pt idx="9">
                <c:v>13.835402130731799</c:v>
              </c:pt>
              <c:pt idx="10">
                <c:v>14.829237063000017</c:v>
              </c:pt>
              <c:pt idx="11">
                <c:v>15.823072349030694</c:v>
              </c:pt>
              <c:pt idx="12">
                <c:v>16.816932172229965</c:v>
              </c:pt>
              <c:pt idx="13">
                <c:v>17.810843127853662</c:v>
              </c:pt>
              <c:pt idx="14">
                <c:v>18.804834371565729</c:v>
              </c:pt>
              <c:pt idx="15">
                <c:v>19.798937774551831</c:v>
              </c:pt>
              <c:pt idx="16">
                <c:v>20.793188085442747</c:v>
              </c:pt>
              <c:pt idx="17">
                <c:v>21.787623099318349</c:v>
              </c:pt>
              <c:pt idx="18">
                <c:v>22.782283834080481</c:v>
              </c:pt>
              <c:pt idx="19">
                <c:v>23.777214714502644</c:v>
              </c:pt>
              <c:pt idx="20">
                <c:v>24.772463764285462</c:v>
              </c:pt>
              <c:pt idx="21">
                <c:v>25.768078148805394</c:v>
              </c:pt>
              <c:pt idx="22">
                <c:v>26.764118193744252</c:v>
              </c:pt>
              <c:pt idx="23">
                <c:v>27.760643986089452</c:v>
              </c:pt>
              <c:pt idx="24">
                <c:v>28.757720072682208</c:v>
              </c:pt>
              <c:pt idx="25">
                <c:v>29.755415698625718</c:v>
              </c:pt>
              <c:pt idx="26">
                <c:v>30.753805056280719</c:v>
              </c:pt>
              <c:pt idx="27">
                <c:v>31.752967545395908</c:v>
              </c:pt>
              <c:pt idx="28">
                <c:v>32.752988044964312</c:v>
              </c:pt>
              <c:pt idx="29">
                <c:v>33.753957197444102</c:v>
              </c:pt>
              <c:pt idx="30">
                <c:v>34.755971706033954</c:v>
              </c:pt>
              <c:pt idx="31">
                <c:v>35.75913464574959</c:v>
              </c:pt>
              <c:pt idx="32">
                <c:v>36.763555789109603</c:v>
              </c:pt>
              <c:pt idx="33">
                <c:v>37.76935194730585</c:v>
              </c:pt>
              <c:pt idx="34">
                <c:v>38.776647327806749</c:v>
              </c:pt>
              <c:pt idx="35">
                <c:v>39.785573909421991</c:v>
              </c:pt>
              <c:pt idx="36">
                <c:v>40.502977025632909</c:v>
              </c:pt>
            </c:numLit>
          </c:xVal>
          <c:yVal>
            <c:numLit>
              <c:formatCode>General</c:formatCode>
              <c:ptCount val="37"/>
              <c:pt idx="0">
                <c:v>1.3470652341139875E-3</c:v>
              </c:pt>
              <c:pt idx="1">
                <c:v>1.444186138075305E-3</c:v>
              </c:pt>
              <c:pt idx="2">
                <c:v>1.5474608367368606E-3</c:v>
              </c:pt>
              <c:pt idx="3">
                <c:v>1.6572233183113699E-3</c:v>
              </c:pt>
              <c:pt idx="4">
                <c:v>1.7738225641475147E-3</c:v>
              </c:pt>
              <c:pt idx="5">
                <c:v>1.8976230861585969E-3</c:v>
              </c:pt>
              <c:pt idx="6">
                <c:v>2.0290460350580602E-3</c:v>
              </c:pt>
              <c:pt idx="7">
                <c:v>2.1684536987783059E-3</c:v>
              </c:pt>
              <c:pt idx="8">
                <c:v>2.3162610831599165E-3</c:v>
              </c:pt>
              <c:pt idx="9">
                <c:v>2.4729010824941617E-3</c:v>
              </c:pt>
              <c:pt idx="10">
                <c:v>2.6388251094006578E-3</c:v>
              </c:pt>
              <c:pt idx="11">
                <c:v>2.8145037456534252E-3</c:v>
              </c:pt>
              <c:pt idx="12">
                <c:v>3.0004274150644203E-3</c:v>
              </c:pt>
              <c:pt idx="13">
                <c:v>3.1971070796238963E-3</c:v>
              </c:pt>
              <c:pt idx="14">
                <c:v>3.4050749601955599E-3</c:v>
              </c:pt>
              <c:pt idx="15">
                <c:v>3.6248852831695564E-3</c:v>
              </c:pt>
              <c:pt idx="16">
                <c:v>3.8571150545902433E-3</c:v>
              </c:pt>
              <c:pt idx="17">
                <c:v>4.1023648633974888E-3</c:v>
              </c:pt>
              <c:pt idx="18">
                <c:v>4.361259715552286E-3</c:v>
              </c:pt>
              <c:pt idx="19">
                <c:v>4.6344499009583016E-3</c:v>
              </c:pt>
              <c:pt idx="20">
                <c:v>4.9226118952435081E-3</c:v>
              </c:pt>
              <c:pt idx="21">
                <c:v>5.2265542630326326E-3</c:v>
              </c:pt>
              <c:pt idx="22">
                <c:v>5.5469167155980728E-3</c:v>
              </c:pt>
              <c:pt idx="23">
                <c:v>5.8844611435486405E-3</c:v>
              </c:pt>
              <c:pt idx="24">
                <c:v>6.2399796948719773E-3</c:v>
              </c:pt>
              <c:pt idx="25">
                <c:v>6.6142958920034235E-3</c:v>
              </c:pt>
              <c:pt idx="26">
                <c:v>7.0082658002715171E-3</c:v>
              </c:pt>
              <c:pt idx="27">
                <c:v>7.4227792512461021E-3</c:v>
              </c:pt>
              <c:pt idx="28">
                <c:v>7.8587611247914815E-3</c:v>
              </c:pt>
              <c:pt idx="29">
                <c:v>8.3171726939259092E-3</c:v>
              </c:pt>
              <c:pt idx="30">
                <c:v>8.7990130369118413E-3</c:v>
              </c:pt>
              <c:pt idx="31">
                <c:v>9.3053205213483765E-3</c:v>
              </c:pt>
              <c:pt idx="32">
                <c:v>9.8371743654150946E-3</c:v>
              </c:pt>
              <c:pt idx="33">
                <c:v>1.0395696281824395E-2</c:v>
              </c:pt>
              <c:pt idx="34">
                <c:v>1.0982052210479678E-2</c:v>
              </c:pt>
              <c:pt idx="35">
                <c:v>1.1597454146316129E-2</c:v>
              </c:pt>
              <c:pt idx="36">
                <c:v>1.2052797678929153E-2</c:v>
              </c:pt>
            </c:numLit>
          </c:yVal>
          <c:smooth val="1"/>
          <c:extLst>
            <c:ext xmlns:c16="http://schemas.microsoft.com/office/drawing/2014/chart" uri="{C3380CC4-5D6E-409C-BE32-E72D297353CC}">
              <c16:uniqueId val="{00000050-FF6C-4F20-B756-3A255FA271B4}"/>
            </c:ext>
          </c:extLst>
        </c:ser>
        <c:ser>
          <c:idx val="58"/>
          <c:order val="58"/>
          <c:tx>
            <c:v>RH=25_Label</c:v>
          </c:tx>
          <c:spPr>
            <a:ln w="3175">
              <a:solidFill>
                <a:srgbClr val="0000FF"/>
              </a:solidFill>
              <a:prstDash val="solid"/>
            </a:ln>
          </c:spPr>
          <c:marker>
            <c:symbol val="none"/>
          </c:marker>
          <c:dLbls>
            <c:dLbl>
              <c:idx val="0"/>
              <c:tx>
                <c:rich>
                  <a:bodyPr rot="-246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25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1-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40.806386169423767</c:v>
              </c:pt>
            </c:numLit>
          </c:xVal>
          <c:yVal>
            <c:numLit>
              <c:formatCode>General</c:formatCode>
              <c:ptCount val="1"/>
              <c:pt idx="0">
                <c:v>1.2249902134970242E-2</c:v>
              </c:pt>
            </c:numLit>
          </c:yVal>
          <c:smooth val="0"/>
          <c:extLst>
            <c:ext xmlns:c16="http://schemas.microsoft.com/office/drawing/2014/chart" uri="{C3380CC4-5D6E-409C-BE32-E72D297353CC}">
              <c16:uniqueId val="{00000052-FF6C-4F20-B756-3A255FA271B4}"/>
            </c:ext>
          </c:extLst>
        </c:ser>
        <c:ser>
          <c:idx val="59"/>
          <c:order val="59"/>
          <c:tx>
            <c:v>RH=25_2</c:v>
          </c:tx>
          <c:spPr>
            <a:ln w="3175">
              <a:solidFill>
                <a:srgbClr val="0000FF"/>
              </a:solidFill>
              <a:prstDash val="solid"/>
            </a:ln>
          </c:spPr>
          <c:marker>
            <c:symbol val="none"/>
          </c:marker>
          <c:xVal>
            <c:numLit>
              <c:formatCode>General</c:formatCode>
              <c:ptCount val="10"/>
              <c:pt idx="0">
                <c:v>41.109968218308687</c:v>
              </c:pt>
              <c:pt idx="1">
                <c:v>42.123211303357891</c:v>
              </c:pt>
              <c:pt idx="2">
                <c:v>43.138583326693805</c:v>
              </c:pt>
              <c:pt idx="3">
                <c:v>44.156254599087745</c:v>
              </c:pt>
              <c:pt idx="4">
                <c:v>45.176405544700636</c:v>
              </c:pt>
              <c:pt idx="5">
                <c:v>46.199227216995773</c:v>
              </c:pt>
              <c:pt idx="6">
                <c:v>47.224921842907413</c:v>
              </c:pt>
              <c:pt idx="7">
                <c:v>48.25370339732104</c:v>
              </c:pt>
              <c:pt idx="8">
                <c:v>49.28579821010468</c:v>
              </c:pt>
              <c:pt idx="9">
                <c:v>50.000000000000007</c:v>
              </c:pt>
            </c:numLit>
          </c:xVal>
          <c:yVal>
            <c:numLit>
              <c:formatCode>General</c:formatCode>
              <c:ptCount val="10"/>
              <c:pt idx="0">
                <c:v>1.2449854138452305E-2</c:v>
              </c:pt>
              <c:pt idx="1">
                <c:v>1.3137395921386881E-2</c:v>
              </c:pt>
              <c:pt idx="2">
                <c:v>1.3858364542330524E-2</c:v>
              </c:pt>
              <c:pt idx="3">
                <c:v>1.4614195184697873E-2</c:v>
              </c:pt>
              <c:pt idx="4">
                <c:v>1.5406380772538593E-2</c:v>
              </c:pt>
              <c:pt idx="5">
                <c:v>1.6236474590181415E-2</c:v>
              </c:pt>
              <c:pt idx="6">
                <c:v>1.710609306374512E-2</c:v>
              </c:pt>
              <c:pt idx="7">
                <c:v>1.801691871700566E-2</c:v>
              </c:pt>
              <c:pt idx="8">
                <c:v>1.8970703315174638E-2</c:v>
              </c:pt>
              <c:pt idx="9">
                <c:v>1.9654812629101279E-2</c:v>
              </c:pt>
            </c:numLit>
          </c:yVal>
          <c:smooth val="1"/>
          <c:extLst>
            <c:ext xmlns:c16="http://schemas.microsoft.com/office/drawing/2014/chart" uri="{C3380CC4-5D6E-409C-BE32-E72D297353CC}">
              <c16:uniqueId val="{00000053-FF6C-4F20-B756-3A255FA271B4}"/>
            </c:ext>
          </c:extLst>
        </c:ser>
        <c:ser>
          <c:idx val="60"/>
          <c:order val="60"/>
          <c:tx>
            <c:v>RH=35_1</c:v>
          </c:tx>
          <c:spPr>
            <a:ln w="3175">
              <a:solidFill>
                <a:srgbClr val="0000FF"/>
              </a:solidFill>
              <a:prstDash val="solid"/>
            </a:ln>
          </c:spPr>
          <c:marker>
            <c:symbol val="none"/>
          </c:marker>
          <c:xVal>
            <c:numLit>
              <c:formatCode>General</c:formatCode>
              <c:ptCount val="33"/>
              <c:pt idx="0">
                <c:v>4.8429562936358943</c:v>
              </c:pt>
              <c:pt idx="1">
                <c:v>5.8353649144882471</c:v>
              </c:pt>
              <c:pt idx="2">
                <c:v>6.8275895682541066</c:v>
              </c:pt>
              <c:pt idx="3">
                <c:v>7.8196415762478599</c:v>
              </c:pt>
              <c:pt idx="4">
                <c:v>8.8115341190108474</c:v>
              </c:pt>
              <c:pt idx="5">
                <c:v>9.8032823752824214</c:v>
              </c:pt>
              <c:pt idx="6">
                <c:v>10.794899563201826</c:v>
              </c:pt>
              <c:pt idx="7">
                <c:v>11.786409065042472</c:v>
              </c:pt>
              <c:pt idx="8">
                <c:v>12.77783295268264</c:v>
              </c:pt>
              <c:pt idx="9">
                <c:v>13.769195925791198</c:v>
              </c:pt>
              <c:pt idx="10">
                <c:v>14.760525488409519</c:v>
              </c:pt>
              <c:pt idx="11">
                <c:v>15.751852133944434</c:v>
              </c:pt>
              <c:pt idx="12">
                <c:v>16.74320953892617</c:v>
              </c:pt>
              <c:pt idx="13">
                <c:v>17.734634765908794</c:v>
              </c:pt>
              <c:pt idx="14">
                <c:v>18.726168475916662</c:v>
              </c:pt>
              <c:pt idx="15">
                <c:v>19.717855150869013</c:v>
              </c:pt>
              <c:pt idx="16">
                <c:v>20.709743326446262</c:v>
              </c:pt>
              <c:pt idx="17">
                <c:v>21.701885835896331</c:v>
              </c:pt>
              <c:pt idx="18">
                <c:v>22.694340065317235</c:v>
              </c:pt>
              <c:pt idx="19">
                <c:v>23.687168220994245</c:v>
              </c:pt>
              <c:pt idx="20">
                <c:v>24.680437609415605</c:v>
              </c:pt>
              <c:pt idx="21">
                <c:v>25.674214365853523</c:v>
              </c:pt>
              <c:pt idx="22">
                <c:v>26.668583220188367</c:v>
              </c:pt>
              <c:pt idx="23">
                <c:v>27.6636286365605</c:v>
              </c:pt>
              <c:pt idx="24">
                <c:v>28.659441447875434</c:v>
              </c:pt>
              <c:pt idx="25">
                <c:v>29.656119211242075</c:v>
              </c:pt>
              <c:pt idx="26">
                <c:v>30.653766581138218</c:v>
              </c:pt>
              <c:pt idx="27">
                <c:v>31.652495701406082</c:v>
              </c:pt>
              <c:pt idx="28">
                <c:v>32.652426617277726</c:v>
              </c:pt>
              <c:pt idx="29">
                <c:v>33.6536877087363</c:v>
              </c:pt>
              <c:pt idx="30">
                <c:v>34.656416146635898</c:v>
              </c:pt>
              <c:pt idx="31">
                <c:v>35.660758373130619</c:v>
              </c:pt>
              <c:pt idx="32">
                <c:v>36.384971337507565</c:v>
              </c:pt>
            </c:numLit>
          </c:xVal>
          <c:yVal>
            <c:numLit>
              <c:formatCode>General</c:formatCode>
              <c:ptCount val="33"/>
              <c:pt idx="0">
                <c:v>1.8875265065984568E-3</c:v>
              </c:pt>
              <c:pt idx="1">
                <c:v>2.0237401762564001E-3</c:v>
              </c:pt>
              <c:pt idx="2">
                <c:v>2.1686033300371225E-3</c:v>
              </c:pt>
              <c:pt idx="3">
                <c:v>2.3225879966033455E-3</c:v>
              </c:pt>
              <c:pt idx="4">
                <c:v>2.4861877298070602E-3</c:v>
              </c:pt>
              <c:pt idx="5">
                <c:v>2.6599184202403814E-3</c:v>
              </c:pt>
              <c:pt idx="6">
                <c:v>2.8443760603662129E-3</c:v>
              </c:pt>
              <c:pt idx="7">
                <c:v>3.0400747109121822E-3</c:v>
              </c:pt>
              <c:pt idx="8">
                <c:v>3.2476031618899315E-3</c:v>
              </c:pt>
              <c:pt idx="9">
                <c:v>3.467576144773824E-3</c:v>
              </c:pt>
              <c:pt idx="10">
                <c:v>3.7006353096777946E-3</c:v>
              </c:pt>
              <c:pt idx="11">
                <c:v>3.9474502411748786E-3</c:v>
              </c:pt>
              <c:pt idx="12">
                <c:v>4.2087195151559722E-3</c:v>
              </c:pt>
              <c:pt idx="13">
                <c:v>4.4851717993238342E-3</c:v>
              </c:pt>
              <c:pt idx="14">
                <c:v>4.7775670001359146E-3</c:v>
              </c:pt>
              <c:pt idx="15">
                <c:v>5.0866974592432227E-3</c:v>
              </c:pt>
              <c:pt idx="16">
                <c:v>5.4133892027263455E-3</c:v>
              </c:pt>
              <c:pt idx="17">
                <c:v>5.7585032467030641E-3</c:v>
              </c:pt>
              <c:pt idx="18">
                <c:v>6.1229369631792784E-3</c:v>
              </c:pt>
              <c:pt idx="19">
                <c:v>6.5076255103347367E-3</c:v>
              </c:pt>
              <c:pt idx="20">
                <c:v>6.9135433317828654E-3</c:v>
              </c:pt>
              <c:pt idx="21">
                <c:v>7.3418536727454121E-3</c:v>
              </c:pt>
              <c:pt idx="22">
                <c:v>7.7934848174498117E-3</c:v>
              </c:pt>
              <c:pt idx="23">
                <c:v>8.2695403621734203E-3</c:v>
              </c:pt>
              <c:pt idx="24">
                <c:v>8.771170082880541E-3</c:v>
              </c:pt>
              <c:pt idx="25">
                <c:v>9.299571868023453E-3</c:v>
              </c:pt>
              <c:pt idx="26">
                <c:v>9.8559937570728701E-3</c:v>
              </c:pt>
              <c:pt idx="27">
                <c:v>1.0441736092756343E-2</c:v>
              </c:pt>
              <c:pt idx="28">
                <c:v>1.1058153795654896E-2</c:v>
              </c:pt>
              <c:pt idx="29">
                <c:v>1.1706658770540258E-2</c:v>
              </c:pt>
              <c:pt idx="30">
                <c:v>1.2388722454634234E-2</c:v>
              </c:pt>
              <c:pt idx="31">
                <c:v>1.310587851884021E-2</c:v>
              </c:pt>
              <c:pt idx="32">
                <c:v>1.3644855003375554E-2</c:v>
              </c:pt>
            </c:numLit>
          </c:yVal>
          <c:smooth val="1"/>
          <c:extLst>
            <c:ext xmlns:c16="http://schemas.microsoft.com/office/drawing/2014/chart" uri="{C3380CC4-5D6E-409C-BE32-E72D297353CC}">
              <c16:uniqueId val="{00000054-FF6C-4F20-B756-3A255FA271B4}"/>
            </c:ext>
          </c:extLst>
        </c:ser>
        <c:ser>
          <c:idx val="61"/>
          <c:order val="61"/>
          <c:tx>
            <c:v>RH=35_Label</c:v>
          </c:tx>
          <c:spPr>
            <a:ln w="3175">
              <a:solidFill>
                <a:srgbClr val="0000FF"/>
              </a:solidFill>
              <a:prstDash val="solid"/>
            </a:ln>
          </c:spPr>
          <c:marker>
            <c:symbol val="none"/>
          </c:marker>
          <c:dLbls>
            <c:dLbl>
              <c:idx val="0"/>
              <c:tx>
                <c:rich>
                  <a:bodyPr rot="-276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35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5-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36.687012032716936</c:v>
              </c:pt>
            </c:numLit>
          </c:xVal>
          <c:yVal>
            <c:numLit>
              <c:formatCode>General</c:formatCode>
              <c:ptCount val="1"/>
              <c:pt idx="0">
                <c:v>1.3875188258477089E-2</c:v>
              </c:pt>
            </c:numLit>
          </c:yVal>
          <c:smooth val="0"/>
          <c:extLst>
            <c:ext xmlns:c16="http://schemas.microsoft.com/office/drawing/2014/chart" uri="{C3380CC4-5D6E-409C-BE32-E72D297353CC}">
              <c16:uniqueId val="{00000056-FF6C-4F20-B756-3A255FA271B4}"/>
            </c:ext>
          </c:extLst>
        </c:ser>
        <c:ser>
          <c:idx val="62"/>
          <c:order val="62"/>
          <c:tx>
            <c:v>RH=35_2</c:v>
          </c:tx>
          <c:spPr>
            <a:ln w="3175">
              <a:solidFill>
                <a:srgbClr val="0000FF"/>
              </a:solidFill>
              <a:prstDash val="solid"/>
            </a:ln>
          </c:spPr>
          <c:marker>
            <c:symbol val="none"/>
          </c:marker>
          <c:xVal>
            <c:numLit>
              <c:formatCode>General</c:formatCode>
              <c:ptCount val="14"/>
              <c:pt idx="0">
                <c:v>36.989227251847005</c:v>
              </c:pt>
              <c:pt idx="1">
                <c:v>37.997932651779394</c:v>
              </c:pt>
              <c:pt idx="2">
                <c:v>39.00881116417105</c:v>
              </c:pt>
              <c:pt idx="3">
                <c:v>40.02205449777933</c:v>
              </c:pt>
              <c:pt idx="4">
                <c:v>41.037866760035634</c:v>
              </c:pt>
              <c:pt idx="5">
                <c:v>42.056468183587832</c:v>
              </c:pt>
              <c:pt idx="6">
                <c:v>43.078090565743416</c:v>
              </c:pt>
              <c:pt idx="7">
                <c:v>44.102980194192732</c:v>
              </c:pt>
              <c:pt idx="8">
                <c:v>45.131398661199782</c:v>
              </c:pt>
              <c:pt idx="9">
                <c:v>46.163623729572627</c:v>
              </c:pt>
              <c:pt idx="10">
                <c:v>47.199950254715397</c:v>
              </c:pt>
              <c:pt idx="11">
                <c:v>48.240691167489317</c:v>
              </c:pt>
              <c:pt idx="12">
                <c:v>49.286178523080601</c:v>
              </c:pt>
              <c:pt idx="13">
                <c:v>50</c:v>
              </c:pt>
            </c:numLit>
          </c:xVal>
          <c:yVal>
            <c:numLit>
              <c:formatCode>General</c:formatCode>
              <c:ptCount val="14"/>
              <c:pt idx="0">
                <c:v>1.4108976317031181E-2</c:v>
              </c:pt>
              <c:pt idx="1">
                <c:v>1.491381979626661E-2</c:v>
              </c:pt>
              <c:pt idx="2">
                <c:v>1.5759331523293861E-2</c:v>
              </c:pt>
              <c:pt idx="3">
                <c:v>1.6647403760885849E-2</c:v>
              </c:pt>
              <c:pt idx="4">
                <c:v>1.7580028207482008E-2</c:v>
              </c:pt>
              <c:pt idx="5">
                <c:v>1.8559098294035549E-2</c:v>
              </c:pt>
              <c:pt idx="6">
                <c:v>1.9586704885560857E-2</c:v>
              </c:pt>
              <c:pt idx="7">
                <c:v>2.0665031485887941E-2</c:v>
              </c:pt>
              <c:pt idx="8">
                <c:v>2.1796359116006504E-2</c:v>
              </c:pt>
              <c:pt idx="9">
                <c:v>2.298307153604754E-2</c:v>
              </c:pt>
              <c:pt idx="10">
                <c:v>2.4227660840216245E-2</c:v>
              </c:pt>
              <c:pt idx="11">
                <c:v>2.5532733456782093E-2</c:v>
              </c:pt>
              <c:pt idx="12">
                <c:v>2.6901016588325579E-2</c:v>
              </c:pt>
              <c:pt idx="13">
                <c:v>2.7869006304865641E-2</c:v>
              </c:pt>
            </c:numLit>
          </c:yVal>
          <c:smooth val="1"/>
          <c:extLst>
            <c:ext xmlns:c16="http://schemas.microsoft.com/office/drawing/2014/chart" uri="{C3380CC4-5D6E-409C-BE32-E72D297353CC}">
              <c16:uniqueId val="{00000057-FF6C-4F20-B756-3A255FA271B4}"/>
            </c:ext>
          </c:extLst>
        </c:ser>
        <c:ser>
          <c:idx val="63"/>
          <c:order val="63"/>
          <c:tx>
            <c:v>RH=45_1</c:v>
          </c:tx>
          <c:spPr>
            <a:ln w="3175">
              <a:solidFill>
                <a:srgbClr val="0000FF"/>
              </a:solidFill>
              <a:prstDash val="solid"/>
            </a:ln>
          </c:spPr>
          <c:marker>
            <c:symbol val="none"/>
          </c:marker>
          <c:xVal>
            <c:numLit>
              <c:formatCode>General</c:formatCode>
              <c:ptCount val="30"/>
              <c:pt idx="0">
                <c:v>4.7979114405643841</c:v>
              </c:pt>
              <c:pt idx="1">
                <c:v>5.7881293572500709</c:v>
              </c:pt>
              <c:pt idx="2">
                <c:v>6.7781084020266285</c:v>
              </c:pt>
              <c:pt idx="3">
                <c:v>7.7678629287117902</c:v>
              </c:pt>
              <c:pt idx="4">
                <c:v>8.7574096713914997</c:v>
              </c:pt>
              <c:pt idx="5">
                <c:v>9.7467679237906673</c:v>
              </c:pt>
              <c:pt idx="6">
                <c:v>10.735954436551337</c:v>
              </c:pt>
              <c:pt idx="7">
                <c:v>11.724999045808413</c:v>
              </c:pt>
              <c:pt idx="8">
                <c:v>12.7139298863019</c:v>
              </c:pt>
              <c:pt idx="9">
                <c:v>13.702778468008708</c:v>
              </c:pt>
              <c:pt idx="10">
                <c:v>14.691579905864549</c:v>
              </c:pt>
              <c:pt idx="11">
                <c:v>15.680373160907957</c:v>
              </c:pt>
              <c:pt idx="12">
                <c:v>16.669201293391961</c:v>
              </c:pt>
              <c:pt idx="13">
                <c:v>17.658111728450482</c:v>
              </c:pt>
              <c:pt idx="14">
                <c:v>18.647156534952014</c:v>
              </c:pt>
              <c:pt idx="15">
                <c:v>19.636392718223561</c:v>
              </c:pt>
              <c:pt idx="16">
                <c:v>20.625882527383471</c:v>
              </c:pt>
              <c:pt idx="17">
                <c:v>21.615693778082875</c:v>
              </c:pt>
              <c:pt idx="18">
                <c:v>22.60590019152318</c:v>
              </c:pt>
              <c:pt idx="19">
                <c:v>23.596581750691325</c:v>
              </c:pt>
              <c:pt idx="20">
                <c:v>24.587825074836598</c:v>
              </c:pt>
              <c:pt idx="21">
                <c:v>25.579715315640659</c:v>
              </c:pt>
              <c:pt idx="22">
                <c:v>26.572361751927581</c:v>
              </c:pt>
              <c:pt idx="23">
                <c:v>27.565873408785404</c:v>
              </c:pt>
              <c:pt idx="24">
                <c:v>28.560367661273503</c:v>
              </c:pt>
              <c:pt idx="25">
                <c:v>29.555970719929455</c:v>
              </c:pt>
              <c:pt idx="26">
                <c:v>30.552818142991558</c:v>
              </c:pt>
              <c:pt idx="27">
                <c:v>31.551055377229062</c:v>
              </c:pt>
              <c:pt idx="28">
                <c:v>32.550838329451459</c:v>
              </c:pt>
              <c:pt idx="29">
                <c:v>33.241676623013277</c:v>
              </c:pt>
            </c:numLit>
          </c:xVal>
          <c:yVal>
            <c:numLit>
              <c:formatCode>General</c:formatCode>
              <c:ptCount val="30"/>
              <c:pt idx="0">
                <c:v>2.4289258159167224E-3</c:v>
              </c:pt>
              <c:pt idx="1">
                <c:v>2.6043727591205873E-3</c:v>
              </c:pt>
              <c:pt idx="2">
                <c:v>2.7909845906628123E-3</c:v>
              </c:pt>
              <c:pt idx="3">
                <c:v>2.9893739594974377E-3</c:v>
              </c:pt>
              <c:pt idx="4">
                <c:v>3.2001818853940622E-3</c:v>
              </c:pt>
              <c:pt idx="5">
                <c:v>3.4240788799272735E-3</c:v>
              </c:pt>
              <c:pt idx="6">
                <c:v>3.6618394930983864E-3</c:v>
              </c:pt>
              <c:pt idx="7">
                <c:v>3.9141335585276644E-3</c:v>
              </c:pt>
              <c:pt idx="8">
                <c:v>4.181728195005634E-3</c:v>
              </c:pt>
              <c:pt idx="9">
                <c:v>4.4654250475394362E-3</c:v>
              </c:pt>
              <c:pt idx="10">
                <c:v>4.7660616697429072E-3</c:v>
              </c:pt>
              <c:pt idx="11">
                <c:v>5.0845129684787566E-3</c:v>
              </c:pt>
              <c:pt idx="12">
                <c:v>5.4216927150161328E-3</c:v>
              </c:pt>
              <c:pt idx="13">
                <c:v>5.7785551273322622E-3</c:v>
              </c:pt>
              <c:pt idx="14">
                <c:v>6.1560965285861443E-3</c:v>
              </c:pt>
              <c:pt idx="15">
                <c:v>6.5553570872239637E-3</c:v>
              </c:pt>
              <c:pt idx="16">
                <c:v>6.9774226446464435E-3</c:v>
              </c:pt>
              <c:pt idx="17">
                <c:v>7.4234266368784479E-3</c:v>
              </c:pt>
              <c:pt idx="18">
                <c:v>7.8945521172378037E-3</c:v>
              </c:pt>
              <c:pt idx="19">
                <c:v>8.3920338876039037E-3</c:v>
              </c:pt>
              <c:pt idx="20">
                <c:v>8.9171607465458672E-3</c:v>
              </c:pt>
              <c:pt idx="21">
                <c:v>9.4714693652664696E-3</c:v>
              </c:pt>
              <c:pt idx="22">
                <c:v>1.0056196296420142E-2</c:v>
              </c:pt>
              <c:pt idx="23">
                <c:v>1.0672809158403808E-2</c:v>
              </c:pt>
              <c:pt idx="24">
                <c:v>1.1322840060390603E-2</c:v>
              </c:pt>
              <c:pt idx="25">
                <c:v>1.2007888595456073E-2</c:v>
              </c:pt>
              <c:pt idx="26">
                <c:v>1.272962501840671E-2</c:v>
              </c:pt>
              <c:pt idx="27">
                <c:v>1.3489793623284507E-2</c:v>
              </c:pt>
              <c:pt idx="28">
                <c:v>1.4290216336870146E-2</c:v>
              </c:pt>
              <c:pt idx="29">
                <c:v>1.4866969840016564E-2</c:v>
              </c:pt>
            </c:numLit>
          </c:yVal>
          <c:smooth val="1"/>
          <c:extLst>
            <c:ext xmlns:c16="http://schemas.microsoft.com/office/drawing/2014/chart" uri="{C3380CC4-5D6E-409C-BE32-E72D297353CC}">
              <c16:uniqueId val="{00000058-FF6C-4F20-B756-3A255FA271B4}"/>
            </c:ext>
          </c:extLst>
        </c:ser>
        <c:ser>
          <c:idx val="64"/>
          <c:order val="64"/>
          <c:tx>
            <c:v>RH=45_Label</c:v>
          </c:tx>
          <c:spPr>
            <a:ln w="3175">
              <a:solidFill>
                <a:srgbClr val="0000FF"/>
              </a:solidFill>
              <a:prstDash val="solid"/>
            </a:ln>
          </c:spPr>
          <c:marker>
            <c:symbol val="none"/>
          </c:marker>
          <c:dLbls>
            <c:dLbl>
              <c:idx val="0"/>
              <c:tx>
                <c:rich>
                  <a:bodyPr rot="-29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45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9-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33.542309960090257</c:v>
              </c:pt>
            </c:numLit>
          </c:xVal>
          <c:yVal>
            <c:numLit>
              <c:formatCode>General</c:formatCode>
              <c:ptCount val="1"/>
              <c:pt idx="0">
                <c:v>1.5124155606683983E-2</c:v>
              </c:pt>
            </c:numLit>
          </c:yVal>
          <c:smooth val="0"/>
          <c:extLst>
            <c:ext xmlns:c16="http://schemas.microsoft.com/office/drawing/2014/chart" uri="{C3380CC4-5D6E-409C-BE32-E72D297353CC}">
              <c16:uniqueId val="{0000005A-FF6C-4F20-B756-3A255FA271B4}"/>
            </c:ext>
          </c:extLst>
        </c:ser>
        <c:ser>
          <c:idx val="65"/>
          <c:order val="65"/>
          <c:tx>
            <c:v>RH=45_2</c:v>
          </c:tx>
          <c:spPr>
            <a:ln w="3175">
              <a:solidFill>
                <a:srgbClr val="0000FF"/>
              </a:solidFill>
              <a:prstDash val="solid"/>
            </a:ln>
          </c:spPr>
          <c:marker>
            <c:symbol val="none"/>
          </c:marker>
          <c:xVal>
            <c:numLit>
              <c:formatCode>General</c:formatCode>
              <c:ptCount val="17"/>
              <c:pt idx="0">
                <c:v>33.843113269370306</c:v>
              </c:pt>
              <c:pt idx="1">
                <c:v>34.847083943135722</c:v>
              </c:pt>
              <c:pt idx="2">
                <c:v>35.853194864619347</c:v>
              </c:pt>
              <c:pt idx="3">
                <c:v>36.861654133883768</c:v>
              </c:pt>
              <c:pt idx="4">
                <c:v>37.872683946588978</c:v>
              </c:pt>
              <c:pt idx="5">
                <c:v>38.886521420379061</c:v>
              </c:pt>
              <c:pt idx="6">
                <c:v>39.903418320194405</c:v>
              </c:pt>
              <c:pt idx="7">
                <c:v>40.923642892256069</c:v>
              </c:pt>
              <c:pt idx="8">
                <c:v>41.947485589808181</c:v>
              </c:pt>
              <c:pt idx="9">
                <c:v>42.975252742791277</c:v>
              </c:pt>
              <c:pt idx="10">
                <c:v>44.007270646239782</c:v>
              </c:pt>
              <c:pt idx="11">
                <c:v>45.043886785233312</c:v>
              </c:pt>
              <c:pt idx="12">
                <c:v>46.085471148292477</c:v>
              </c:pt>
              <c:pt idx="13">
                <c:v>47.132417637407976</c:v>
              </c:pt>
              <c:pt idx="14">
                <c:v>48.185145583777889</c:v>
              </c:pt>
              <c:pt idx="15">
                <c:v>49.244101379321037</c:v>
              </c:pt>
              <c:pt idx="16">
                <c:v>50.000000000000007</c:v>
              </c:pt>
            </c:numLit>
          </c:xVal>
          <c:yVal>
            <c:numLit>
              <c:formatCode>General</c:formatCode>
              <c:ptCount val="17"/>
              <c:pt idx="0">
                <c:v>1.5385312109042031E-2</c:v>
              </c:pt>
              <c:pt idx="1">
                <c:v>1.6285225952846927E-2</c:v>
              </c:pt>
              <c:pt idx="2">
                <c:v>1.7231985372616151E-2</c:v>
              </c:pt>
              <c:pt idx="3">
                <c:v>1.8227792074351917E-2</c:v>
              </c:pt>
              <c:pt idx="4">
                <c:v>1.9274948795326451E-2</c:v>
              </c:pt>
              <c:pt idx="5">
                <c:v>2.0375864737942648E-2</c:v>
              </c:pt>
              <c:pt idx="6">
                <c:v>2.1533125692636469E-2</c:v>
              </c:pt>
              <c:pt idx="7">
                <c:v>2.274948152478275E-2</c:v>
              </c:pt>
              <c:pt idx="8">
                <c:v>2.4027550915091813E-2</c:v>
              </c:pt>
              <c:pt idx="9">
                <c:v>2.5370233863113451E-2</c:v>
              </c:pt>
              <c:pt idx="10">
                <c:v>2.6780570766508603E-2</c:v>
              </c:pt>
              <c:pt idx="11">
                <c:v>2.8261750799635506E-2</c:v>
              </c:pt>
              <c:pt idx="12">
                <c:v>2.9817120948578829E-2</c:v>
              </c:pt>
              <c:pt idx="13">
                <c:v>3.1450195763913363E-2</c:v>
              </c:pt>
              <c:pt idx="14">
                <c:v>3.3164667898963343E-2</c:v>
              </c:pt>
              <c:pt idx="15">
                <c:v>3.4964419508579071E-2</c:v>
              </c:pt>
              <c:pt idx="16">
                <c:v>3.6296243180437608E-2</c:v>
              </c:pt>
            </c:numLit>
          </c:yVal>
          <c:smooth val="1"/>
          <c:extLst>
            <c:ext xmlns:c16="http://schemas.microsoft.com/office/drawing/2014/chart" uri="{C3380CC4-5D6E-409C-BE32-E72D297353CC}">
              <c16:uniqueId val="{0000005B-FF6C-4F20-B756-3A255FA271B4}"/>
            </c:ext>
          </c:extLst>
        </c:ser>
        <c:ser>
          <c:idx val="66"/>
          <c:order val="66"/>
          <c:tx>
            <c:v>RH=55_1</c:v>
          </c:tx>
          <c:spPr>
            <a:ln w="3175">
              <a:solidFill>
                <a:srgbClr val="0000FF"/>
              </a:solidFill>
              <a:prstDash val="solid"/>
            </a:ln>
          </c:spPr>
          <c:marker>
            <c:symbol val="none"/>
          </c:marker>
          <c:xVal>
            <c:numLit>
              <c:formatCode>General</c:formatCode>
              <c:ptCount val="28"/>
              <c:pt idx="0">
                <c:v>4.7527883387197933</c:v>
              </c:pt>
              <c:pt idx="1">
                <c:v>5.7408058132072091</c:v>
              </c:pt>
              <c:pt idx="2">
                <c:v>6.7285284551880915</c:v>
              </c:pt>
              <c:pt idx="3">
                <c:v>7.7159735586186047</c:v>
              </c:pt>
              <c:pt idx="4">
                <c:v>8.7031613138615409</c:v>
              </c:pt>
              <c:pt idx="5">
                <c:v>9.690115027717022</c:v>
              </c:pt>
              <c:pt idx="6">
                <c:v>10.676854870952818</c:v>
              </c:pt>
              <c:pt idx="7">
                <c:v>11.663417028454429</c:v>
              </c:pt>
              <c:pt idx="8">
                <c:v>12.649835584689367</c:v>
              </c:pt>
              <c:pt idx="9">
                <c:v>13.636148744660289</c:v>
              </c:pt>
              <c:pt idx="10">
                <c:v>14.622399117900304</c:v>
              </c:pt>
              <c:pt idx="11">
                <c:v>15.608634017172154</c:v>
              </c:pt>
              <c:pt idx="12">
                <c:v>16.59490577265089</c:v>
              </c:pt>
              <c:pt idx="13">
                <c:v>17.581272062434444</c:v>
              </c:pt>
              <c:pt idx="14">
                <c:v>18.567796260297889</c:v>
              </c:pt>
              <c:pt idx="15">
                <c:v>19.554547801686571</c:v>
              </c:pt>
              <c:pt idx="16">
                <c:v>20.541602569030708</c:v>
              </c:pt>
              <c:pt idx="17">
                <c:v>21.529043297560914</c:v>
              </c:pt>
              <c:pt idx="18">
                <c:v>22.516960002911134</c:v>
              </c:pt>
              <c:pt idx="19">
                <c:v>23.50545043191384</c:v>
              </c:pt>
              <c:pt idx="20">
                <c:v>24.494620538123129</c:v>
              </c:pt>
              <c:pt idx="21">
                <c:v>25.484574527064105</c:v>
              </c:pt>
              <c:pt idx="22">
                <c:v>26.475446362765325</c:v>
              </c:pt>
              <c:pt idx="23">
                <c:v>27.467369806450417</c:v>
              </c:pt>
              <c:pt idx="24">
                <c:v>28.460489023324861</c:v>
              </c:pt>
              <c:pt idx="25">
                <c:v>29.454959211633383</c:v>
              </c:pt>
              <c:pt idx="26">
                <c:v>30.450947269402214</c:v>
              </c:pt>
              <c:pt idx="27">
                <c:v>30.690229911761239</c:v>
              </c:pt>
            </c:numLit>
          </c:xVal>
          <c:yVal>
            <c:numLit>
              <c:formatCode>General</c:formatCode>
              <c:ptCount val="28"/>
              <c:pt idx="0">
                <c:v>2.9712656063069056E-3</c:v>
              </c:pt>
              <c:pt idx="1">
                <c:v>3.1860869002144176E-3</c:v>
              </c:pt>
              <c:pt idx="2">
                <c:v>3.414608328091779E-3</c:v>
              </c:pt>
              <c:pt idx="3">
                <c:v>3.6575857658689651E-3</c:v>
              </c:pt>
              <c:pt idx="4">
                <c:v>3.9158106249054629E-3</c:v>
              </c:pt>
              <c:pt idx="5">
                <c:v>4.19011131877251E-3</c:v>
              </c:pt>
              <c:pt idx="6">
                <c:v>4.4814447176932176E-3</c:v>
              </c:pt>
              <c:pt idx="7">
                <c:v>4.7906404835150358E-3</c:v>
              </c:pt>
              <c:pt idx="8">
                <c:v>5.1186486748401082E-3</c:v>
              </c:pt>
              <c:pt idx="9">
                <c:v>5.4664630058504768E-3</c:v>
              </c:pt>
              <c:pt idx="10">
                <c:v>5.8351226941980557E-3</c:v>
              </c:pt>
              <c:pt idx="11">
                <c:v>6.2257144010881621E-3</c:v>
              </c:pt>
              <c:pt idx="12">
                <c:v>6.6393742703356956E-3</c:v>
              </c:pt>
              <c:pt idx="13">
                <c:v>7.0772900737726746E-3</c:v>
              </c:pt>
              <c:pt idx="14">
                <c:v>7.5407034710427414E-3</c:v>
              </c:pt>
              <c:pt idx="15">
                <c:v>8.0309123925323949E-3</c:v>
              </c:pt>
              <c:pt idx="16">
                <c:v>8.5492735549704338E-3</c:v>
              </c:pt>
              <c:pt idx="17">
                <c:v>9.0972051200791226E-3</c:v>
              </c:pt>
              <c:pt idx="18">
                <c:v>9.6761895075946035E-3</c:v>
              </c:pt>
              <c:pt idx="19">
                <c:v>1.0287776374993248E-2</c:v>
              </c:pt>
              <c:pt idx="20">
                <c:v>1.0933585777379171E-2</c:v>
              </c:pt>
              <c:pt idx="21">
                <c:v>1.1615547172345699E-2</c:v>
              </c:pt>
              <c:pt idx="22">
                <c:v>1.2335225784433806E-2</c:v>
              </c:pt>
              <c:pt idx="23">
                <c:v>1.3094476410334279E-2</c:v>
              </c:pt>
              <c:pt idx="24">
                <c:v>1.3895239184208591E-2</c:v>
              </c:pt>
              <c:pt idx="25">
                <c:v>1.4739543900452028E-2</c:v>
              </c:pt>
              <c:pt idx="26">
                <c:v>1.5629514628788175E-2</c:v>
              </c:pt>
              <c:pt idx="27">
                <c:v>1.5850147556233648E-2</c:v>
              </c:pt>
            </c:numLit>
          </c:yVal>
          <c:smooth val="1"/>
          <c:extLst>
            <c:ext xmlns:c16="http://schemas.microsoft.com/office/drawing/2014/chart" uri="{C3380CC4-5D6E-409C-BE32-E72D297353CC}">
              <c16:uniqueId val="{0000005C-FF6C-4F20-B756-3A255FA271B4}"/>
            </c:ext>
          </c:extLst>
        </c:ser>
        <c:ser>
          <c:idx val="67"/>
          <c:order val="67"/>
          <c:tx>
            <c:v>RH=55_Label</c:v>
          </c:tx>
          <c:spPr>
            <a:ln w="3175">
              <a:solidFill>
                <a:srgbClr val="0000FF"/>
              </a:solidFill>
              <a:prstDash val="solid"/>
            </a:ln>
          </c:spPr>
          <c:marker>
            <c:symbol val="none"/>
          </c:marker>
          <c:dLbls>
            <c:dLbl>
              <c:idx val="0"/>
              <c:tx>
                <c:rich>
                  <a:bodyPr rot="-312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55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D-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30.989474550516114</c:v>
              </c:pt>
            </c:numLit>
          </c:xVal>
          <c:yVal>
            <c:numLit>
              <c:formatCode>General</c:formatCode>
              <c:ptCount val="1"/>
              <c:pt idx="0">
                <c:v>1.6129865276295948E-2</c:v>
              </c:pt>
            </c:numLit>
          </c:yVal>
          <c:smooth val="0"/>
          <c:extLst>
            <c:ext xmlns:c16="http://schemas.microsoft.com/office/drawing/2014/chart" uri="{C3380CC4-5D6E-409C-BE32-E72D297353CC}">
              <c16:uniqueId val="{0000005E-FF6C-4F20-B756-3A255FA271B4}"/>
            </c:ext>
          </c:extLst>
        </c:ser>
        <c:ser>
          <c:idx val="68"/>
          <c:order val="68"/>
          <c:tx>
            <c:v>RH=55_2</c:v>
          </c:tx>
          <c:spPr>
            <a:ln w="3175">
              <a:solidFill>
                <a:srgbClr val="0000FF"/>
              </a:solidFill>
              <a:prstDash val="solid"/>
            </a:ln>
          </c:spPr>
          <c:marker>
            <c:symbol val="none"/>
          </c:marker>
          <c:xVal>
            <c:numLit>
              <c:formatCode>General</c:formatCode>
              <c:ptCount val="18"/>
              <c:pt idx="0">
                <c:v>31.288881044490907</c:v>
              </c:pt>
              <c:pt idx="1">
                <c:v>32.28814007408657</c:v>
              </c:pt>
              <c:pt idx="2">
                <c:v>33.289461162964656</c:v>
              </c:pt>
              <c:pt idx="3">
                <c:v>34.293063110456032</c:v>
              </c:pt>
              <c:pt idx="4">
                <c:v>35.299180279992967</c:v>
              </c:pt>
              <c:pt idx="5">
                <c:v>36.308063555400999</c:v>
              </c:pt>
              <c:pt idx="6">
                <c:v>37.319981362124537</c:v>
              </c:pt>
              <c:pt idx="7">
                <c:v>38.335220759151703</c:v>
              </c:pt>
              <c:pt idx="8">
                <c:v>39.354088608020184</c:v>
              </c:pt>
              <c:pt idx="9">
                <c:v>40.376908784565998</c:v>
              </c:pt>
              <c:pt idx="10">
                <c:v>41.404035377551232</c:v>
              </c:pt>
              <c:pt idx="11">
                <c:v>42.435843506013669</c:v>
              </c:pt>
              <c:pt idx="12">
                <c:v>43.472732904478228</c:v>
              </c:pt>
              <c:pt idx="13">
                <c:v>44.515130408086179</c:v>
              </c:pt>
              <c:pt idx="14">
                <c:v>45.563491765100324</c:v>
              </c:pt>
              <c:pt idx="15">
                <c:v>46.618303596101995</c:v>
              </c:pt>
              <c:pt idx="16">
                <c:v>47.680085514829216</c:v>
              </c:pt>
              <c:pt idx="17">
                <c:v>44.483774059522453</c:v>
              </c:pt>
            </c:numLit>
          </c:xVal>
          <c:yVal>
            <c:numLit>
              <c:formatCode>General</c:formatCode>
              <c:ptCount val="18"/>
              <c:pt idx="0">
                <c:v>1.6414004228901657E-2</c:v>
              </c:pt>
              <c:pt idx="1">
                <c:v>1.7393885676520521E-2</c:v>
              </c:pt>
              <c:pt idx="2">
                <c:v>1.8426024368464747E-2</c:v>
              </c:pt>
              <c:pt idx="3">
                <c:v>1.9512955389155106E-2</c:v>
              </c:pt>
              <c:pt idx="4">
                <c:v>2.0657335456802466E-2</c:v>
              </c:pt>
              <c:pt idx="5">
                <c:v>2.18619498344035E-2</c:v>
              </c:pt>
              <c:pt idx="6">
                <c:v>2.3129719762606075E-2</c:v>
              </c:pt>
              <c:pt idx="7">
                <c:v>2.4463710462355535E-2</c:v>
              </c:pt>
              <c:pt idx="8">
                <c:v>2.586713976016505E-2</c:v>
              </c:pt>
              <c:pt idx="9">
                <c:v>2.7343626022832548E-2</c:v>
              </c:pt>
              <c:pt idx="10">
                <c:v>2.8896558756553385E-2</c:v>
              </c:pt>
              <c:pt idx="11">
                <c:v>3.0529632437545379E-2</c:v>
              </c:pt>
              <c:pt idx="12">
                <c:v>3.2246779263973561E-2</c:v>
              </c:pt>
              <c:pt idx="13">
                <c:v>3.4052139020724105E-2</c:v>
              </c:pt>
              <c:pt idx="14">
                <c:v>3.5950072930764715E-2</c:v>
              </c:pt>
              <c:pt idx="15">
                <c:v>3.7945178699027013E-2</c:v>
              </c:pt>
              <c:pt idx="16">
                <c:v>4.0042306870224254E-2</c:v>
              </c:pt>
              <c:pt idx="17">
                <c:v>3.4000000000000002E-2</c:v>
              </c:pt>
            </c:numLit>
          </c:yVal>
          <c:smooth val="1"/>
          <c:extLst>
            <c:ext xmlns:c16="http://schemas.microsoft.com/office/drawing/2014/chart" uri="{C3380CC4-5D6E-409C-BE32-E72D297353CC}">
              <c16:uniqueId val="{0000005F-FF6C-4F20-B756-3A255FA271B4}"/>
            </c:ext>
          </c:extLst>
        </c:ser>
        <c:ser>
          <c:idx val="69"/>
          <c:order val="69"/>
          <c:tx>
            <c:v>RH=65_1</c:v>
          </c:tx>
          <c:spPr>
            <a:ln w="3175">
              <a:solidFill>
                <a:srgbClr val="0000FF"/>
              </a:solidFill>
              <a:prstDash val="solid"/>
            </a:ln>
          </c:spPr>
          <c:marker>
            <c:symbol val="none"/>
          </c:marker>
          <c:xVal>
            <c:numLit>
              <c:formatCode>General</c:formatCode>
              <c:ptCount val="26"/>
              <c:pt idx="0">
                <c:v>4.7075867840324177</c:v>
              </c:pt>
              <c:pt idx="1">
                <c:v>5.693394036287784</c:v>
              </c:pt>
              <c:pt idx="2">
                <c:v>6.6788494316452747</c:v>
              </c:pt>
              <c:pt idx="3">
                <c:v>7.6639731104373956</c:v>
              </c:pt>
              <c:pt idx="4">
                <c:v>8.6487886204232431</c:v>
              </c:pt>
              <c:pt idx="5">
                <c:v>9.633323177711917</c:v>
              </c:pt>
              <c:pt idx="6">
                <c:v>10.61760025865436</c:v>
              </c:pt>
              <c:pt idx="7">
                <c:v>11.601662289364722</c:v>
              </c:pt>
              <c:pt idx="8">
                <c:v>12.585549188127688</c:v>
              </c:pt>
              <c:pt idx="9">
                <c:v>13.569305736538357</c:v>
              </c:pt>
              <c:pt idx="10">
                <c:v>14.5529819188678</c:v>
              </c:pt>
              <c:pt idx="11">
                <c:v>15.536633279684853</c:v>
              </c:pt>
              <c:pt idx="12">
                <c:v>16.520321300791181</c:v>
              </c:pt>
              <c:pt idx="13">
                <c:v>17.504113798620708</c:v>
              </c:pt>
              <c:pt idx="14">
                <c:v>18.488085343358691</c:v>
              </c:pt>
              <c:pt idx="15">
                <c:v>19.472317701151294</c:v>
              </c:pt>
              <c:pt idx="16">
                <c:v>20.456900300904735</c:v>
              </c:pt>
              <c:pt idx="17">
                <c:v>21.441930727315192</c:v>
              </c:pt>
              <c:pt idx="18">
                <c:v>22.427515241928276</c:v>
              </c:pt>
              <c:pt idx="19">
                <c:v>23.413769334201806</c:v>
              </c:pt>
              <c:pt idx="20">
                <c:v>24.400818304739552</c:v>
              </c:pt>
              <c:pt idx="21">
                <c:v>25.388785440831832</c:v>
              </c:pt>
              <c:pt idx="22">
                <c:v>26.37782951900634</c:v>
              </c:pt>
              <c:pt idx="23">
                <c:v>27.36810920265324</c:v>
              </c:pt>
              <c:pt idx="24">
                <c:v>28.35979568640477</c:v>
              </c:pt>
              <c:pt idx="25">
                <c:v>28.558317792615352</c:v>
              </c:pt>
            </c:numLit>
          </c:xVal>
          <c:yVal>
            <c:numLit>
              <c:formatCode>General</c:formatCode>
              <c:ptCount val="26"/>
              <c:pt idx="0">
                <c:v>3.5145483305064288E-3</c:v>
              </c:pt>
              <c:pt idx="1">
                <c:v>3.7688856243217176E-3</c:v>
              </c:pt>
              <c:pt idx="2">
                <c:v>4.0394782666273339E-3</c:v>
              </c:pt>
              <c:pt idx="3">
                <c:v>4.3272279941113561E-3</c:v>
              </c:pt>
              <c:pt idx="4">
                <c:v>4.6330795679808117E-3</c:v>
              </c:pt>
              <c:pt idx="5">
                <c:v>4.9580226239490759E-3</c:v>
              </c:pt>
              <c:pt idx="6">
                <c:v>5.3032001625822091E-3</c:v>
              </c:pt>
              <c:pt idx="7">
                <c:v>5.669605785216322E-3</c:v>
              </c:pt>
              <c:pt idx="8">
                <c:v>6.0583771686071762E-3</c:v>
              </c:pt>
              <c:pt idx="9">
                <c:v>6.4707053321746109E-3</c:v>
              </c:pt>
              <c:pt idx="10">
                <c:v>6.907837014116615E-3</c:v>
              </c:pt>
              <c:pt idx="11">
                <c:v>7.3710771764237074E-3</c:v>
              </c:pt>
              <c:pt idx="12">
                <c:v>7.861791648811841E-3</c:v>
              </c:pt>
              <c:pt idx="13">
                <c:v>8.3814099225061629E-3</c:v>
              </c:pt>
              <c:pt idx="14">
                <c:v>8.9314281058126502E-3</c:v>
              </c:pt>
              <c:pt idx="15">
                <c:v>9.513412054512508E-3</c:v>
              </c:pt>
              <c:pt idx="16">
                <c:v>1.0129000691320653E-2</c:v>
              </c:pt>
              <c:pt idx="17">
                <c:v>1.0779909529971536E-2</c:v>
              </c:pt>
              <c:pt idx="18">
                <c:v>1.1467934420950916E-2</c:v>
              </c:pt>
              <c:pt idx="19">
                <c:v>1.2194955537489258E-2</c:v>
              </c:pt>
              <c:pt idx="20">
                <c:v>1.2962941622193738E-2</c:v>
              </c:pt>
              <c:pt idx="21">
                <c:v>1.3774234913153584E-2</c:v>
              </c:pt>
              <c:pt idx="22">
                <c:v>1.4630750441318861E-2</c:v>
              </c:pt>
              <c:pt idx="23">
                <c:v>1.5534754206521045E-2</c:v>
              </c:pt>
              <c:pt idx="24">
                <c:v>1.6488621082355326E-2</c:v>
              </c:pt>
              <c:pt idx="25">
                <c:v>1.6685595032799646E-2</c:v>
              </c:pt>
            </c:numLit>
          </c:yVal>
          <c:smooth val="1"/>
          <c:extLst>
            <c:ext xmlns:c16="http://schemas.microsoft.com/office/drawing/2014/chart" uri="{C3380CC4-5D6E-409C-BE32-E72D297353CC}">
              <c16:uniqueId val="{00000060-FF6C-4F20-B756-3A255FA271B4}"/>
            </c:ext>
          </c:extLst>
        </c:ser>
        <c:ser>
          <c:idx val="70"/>
          <c:order val="70"/>
          <c:tx>
            <c:v>RH=65_Label</c:v>
          </c:tx>
          <c:spPr>
            <a:ln w="3175">
              <a:solidFill>
                <a:srgbClr val="0000FF"/>
              </a:solidFill>
              <a:prstDash val="solid"/>
            </a:ln>
          </c:spPr>
          <c:marker>
            <c:symbol val="none"/>
          </c:marker>
          <c:dLbls>
            <c:dLbl>
              <c:idx val="0"/>
              <c:tx>
                <c:rich>
                  <a:bodyPr rot="-32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65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1-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28.826426268543489</c:v>
              </c:pt>
            </c:numLit>
          </c:xVal>
          <c:yVal>
            <c:numLit>
              <c:formatCode>General</c:formatCode>
              <c:ptCount val="1"/>
              <c:pt idx="0">
                <c:v>1.69548673550181E-2</c:v>
              </c:pt>
            </c:numLit>
          </c:yVal>
          <c:smooth val="0"/>
          <c:extLst>
            <c:ext xmlns:c16="http://schemas.microsoft.com/office/drawing/2014/chart" uri="{C3380CC4-5D6E-409C-BE32-E72D297353CC}">
              <c16:uniqueId val="{00000062-FF6C-4F20-B756-3A255FA271B4}"/>
            </c:ext>
          </c:extLst>
        </c:ser>
        <c:ser>
          <c:idx val="71"/>
          <c:order val="71"/>
          <c:tx>
            <c:v>RH=65_2</c:v>
          </c:tx>
          <c:spPr>
            <a:ln w="3175">
              <a:solidFill>
                <a:srgbClr val="0000FF"/>
              </a:solidFill>
              <a:prstDash val="solid"/>
            </a:ln>
          </c:spPr>
          <c:marker>
            <c:symbol val="none"/>
          </c:marker>
          <c:xVal>
            <c:numLit>
              <c:formatCode>General</c:formatCode>
              <c:ptCount val="17"/>
              <c:pt idx="0">
                <c:v>29.154281293235872</c:v>
              </c:pt>
              <c:pt idx="1">
                <c:v>30.148974471149877</c:v>
              </c:pt>
              <c:pt idx="2">
                <c:v>31.14562735244127</c:v>
              </c:pt>
              <c:pt idx="3">
                <c:v>32.144466372583011</c:v>
              </c:pt>
              <c:pt idx="4">
                <c:v>33.145734775067154</c:v>
              </c:pt>
              <c:pt idx="5">
                <c:v>34.149693684929971</c:v>
              </c:pt>
              <c:pt idx="6">
                <c:v>35.156623258311356</c:v>
              </c:pt>
              <c:pt idx="7">
                <c:v>36.166823915077146</c:v>
              </c:pt>
              <c:pt idx="8">
                <c:v>37.180617662312947</c:v>
              </c:pt>
              <c:pt idx="9">
                <c:v>38.198349517373778</c:v>
              </c:pt>
              <c:pt idx="10">
                <c:v>39.220389040157556</c:v>
              </c:pt>
              <c:pt idx="11">
                <c:v>40.247127353684583</c:v>
              </c:pt>
              <c:pt idx="12">
                <c:v>41.278992238745232</c:v>
              </c:pt>
              <c:pt idx="13">
                <c:v>42.316438727336042</c:v>
              </c:pt>
              <c:pt idx="14">
                <c:v>43.359952662944558</c:v>
              </c:pt>
              <c:pt idx="15">
                <c:v>44.410054181301376</c:v>
              </c:pt>
              <c:pt idx="16">
                <c:v>41.082522687554388</c:v>
              </c:pt>
            </c:numLit>
          </c:xVal>
          <c:yVal>
            <c:numLit>
              <c:formatCode>General</c:formatCode>
              <c:ptCount val="17"/>
              <c:pt idx="0">
                <c:v>1.7289285079439821E-2</c:v>
              </c:pt>
              <c:pt idx="1">
                <c:v>1.8339260809342089E-2</c:v>
              </c:pt>
              <c:pt idx="2">
                <c:v>1.9446380817797437E-2</c:v>
              </c:pt>
              <c:pt idx="3">
                <c:v>2.0613491784867648E-2</c:v>
              </c:pt>
              <c:pt idx="4">
                <c:v>2.1843582114776178E-2</c:v>
              </c:pt>
              <c:pt idx="5">
                <c:v>2.3139790356552118E-2</c:v>
              </c:pt>
              <c:pt idx="6">
                <c:v>2.450541428664121E-2</c:v>
              </c:pt>
              <c:pt idx="7">
                <c:v>2.5943920716535944E-2</c:v>
              </c:pt>
              <c:pt idx="8">
                <c:v>2.7458956095239195E-2</c:v>
              </c:pt>
              <c:pt idx="9">
                <c:v>2.9054357983965853E-2</c:v>
              </c:pt>
              <c:pt idx="10">
                <c:v>3.0734167489009444E-2</c:v>
              </c:pt>
              <c:pt idx="11">
                <c:v>3.2502915041684302E-2</c:v>
              </c:pt>
              <c:pt idx="12">
                <c:v>3.4364923145966897E-2</c:v>
              </c:pt>
              <c:pt idx="13">
                <c:v>3.6324868600653211E-2</c:v>
              </c:pt>
              <c:pt idx="14">
                <c:v>3.838775763768433E-2</c:v>
              </c:pt>
              <c:pt idx="15">
                <c:v>4.05588806462788E-2</c:v>
              </c:pt>
              <c:pt idx="16">
                <c:v>3.4000000000000002E-2</c:v>
              </c:pt>
            </c:numLit>
          </c:yVal>
          <c:smooth val="1"/>
          <c:extLst>
            <c:ext xmlns:c16="http://schemas.microsoft.com/office/drawing/2014/chart" uri="{C3380CC4-5D6E-409C-BE32-E72D297353CC}">
              <c16:uniqueId val="{00000063-FF6C-4F20-B756-3A255FA271B4}"/>
            </c:ext>
          </c:extLst>
        </c:ser>
        <c:ser>
          <c:idx val="72"/>
          <c:order val="72"/>
          <c:tx>
            <c:v>RH=75_1</c:v>
          </c:tx>
          <c:spPr>
            <a:ln w="3175">
              <a:solidFill>
                <a:srgbClr val="0000FF"/>
              </a:solidFill>
              <a:prstDash val="solid"/>
            </a:ln>
          </c:spPr>
          <c:marker>
            <c:symbol val="none"/>
          </c:marker>
          <c:xVal>
            <c:numLit>
              <c:formatCode>General</c:formatCode>
              <c:ptCount val="24"/>
              <c:pt idx="0">
                <c:v>4.6623065717223273</c:v>
              </c:pt>
              <c:pt idx="1">
                <c:v>5.6458937795014803</c:v>
              </c:pt>
              <c:pt idx="2">
                <c:v>6.629071034120396</c:v>
              </c:pt>
              <c:pt idx="3">
                <c:v>7.6118612271134749</c:v>
              </c:pt>
              <c:pt idx="4">
                <c:v>8.5942911631238914</c:v>
              </c:pt>
              <c:pt idx="5">
                <c:v>9.5763918619241188</c:v>
              </c:pt>
              <c:pt idx="6">
                <c:v>10.558189988711014</c:v>
              </c:pt>
              <c:pt idx="7">
                <c:v>11.539734100858675</c:v>
              </c:pt>
              <c:pt idx="8">
                <c:v>12.521069831738515</c:v>
              </c:pt>
              <c:pt idx="9">
                <c:v>13.5022484178998</c:v>
              </c:pt>
              <c:pt idx="10">
                <c:v>14.48332709486384</c:v>
              </c:pt>
              <c:pt idx="11">
                <c:v>15.464369514996749</c:v>
              </c:pt>
              <c:pt idx="12">
                <c:v>16.4454461888397</c:v>
              </c:pt>
              <c:pt idx="13">
                <c:v>17.426634951405386</c:v>
              </c:pt>
              <c:pt idx="14">
                <c:v>18.40802145509323</c:v>
              </c:pt>
              <c:pt idx="15">
                <c:v>19.389699691036181</c:v>
              </c:pt>
              <c:pt idx="16">
                <c:v>20.371772540870129</c:v>
              </c:pt>
              <c:pt idx="17">
                <c:v>21.354352361114962</c:v>
              </c:pt>
              <c:pt idx="18">
                <c:v>22.33756160257677</c:v>
              </c:pt>
              <c:pt idx="19">
                <c:v>23.321533467426086</c:v>
              </c:pt>
              <c:pt idx="20">
                <c:v>24.306412606880112</c:v>
              </c:pt>
              <c:pt idx="21">
                <c:v>25.29234140795505</c:v>
              </c:pt>
              <c:pt idx="22">
                <c:v>26.279503577504428</c:v>
              </c:pt>
              <c:pt idx="23">
                <c:v>26.714292480798427</c:v>
              </c:pt>
            </c:numLit>
          </c:xVal>
          <c:yVal>
            <c:numLit>
              <c:formatCode>General</c:formatCode>
              <c:ptCount val="24"/>
              <c:pt idx="0">
                <c:v>4.0587764497889908E-3</c:v>
              </c:pt>
              <c:pt idx="1">
                <c:v>4.3527719675160188E-3</c:v>
              </c:pt>
              <c:pt idx="2">
                <c:v>4.6655981454723928E-3</c:v>
              </c:pt>
              <c:pt idx="3">
                <c:v>4.998305242240709E-3</c:v>
              </c:pt>
              <c:pt idx="4">
                <c:v>5.3519943600493667E-3</c:v>
              </c:pt>
              <c:pt idx="5">
                <c:v>5.727819716456117E-3</c:v>
              </c:pt>
              <c:pt idx="6">
                <c:v>6.1271143004786397E-3</c:v>
              </c:pt>
              <c:pt idx="7">
                <c:v>6.5510398208286965E-3</c:v>
              </c:pt>
              <c:pt idx="8">
                <c:v>7.0009263189632839E-3</c:v>
              </c:pt>
              <c:pt idx="9">
                <c:v>7.4781674371684767E-3</c:v>
              </c:pt>
              <c:pt idx="10">
                <c:v>7.9842233881256032E-3</c:v>
              </c:pt>
              <c:pt idx="11">
                <c:v>8.5206240973003389E-3</c:v>
              </c:pt>
              <c:pt idx="12">
                <c:v>9.0889725322134893E-3</c:v>
              </c:pt>
              <c:pt idx="13">
                <c:v>9.6909482339747766E-3</c:v>
              </c:pt>
              <c:pt idx="14">
                <c:v>1.032831106791901E-2</c:v>
              </c:pt>
              <c:pt idx="15">
                <c:v>1.1002905211784977E-2</c:v>
              </c:pt>
              <c:pt idx="16">
                <c:v>1.1716663401643478E-2</c:v>
              </c:pt>
              <c:pt idx="17">
                <c:v>1.2471611457725566E-2</c:v>
              </c:pt>
              <c:pt idx="18">
                <c:v>1.3269873114451802E-2</c:v>
              </c:pt>
              <c:pt idx="19">
                <c:v>1.411367518133497E-2</c:v>
              </c:pt>
              <c:pt idx="20">
                <c:v>1.5005353064056037E-2</c:v>
              </c:pt>
              <c:pt idx="21">
                <c:v>1.5947682428253101E-2</c:v>
              </c:pt>
              <c:pt idx="22">
                <c:v>1.6942950000713969E-2</c:v>
              </c:pt>
              <c:pt idx="23">
                <c:v>1.7398330004498919E-2</c:v>
              </c:pt>
            </c:numLit>
          </c:yVal>
          <c:smooth val="1"/>
          <c:extLst>
            <c:ext xmlns:c16="http://schemas.microsoft.com/office/drawing/2014/chart" uri="{C3380CC4-5D6E-409C-BE32-E72D297353CC}">
              <c16:uniqueId val="{00000064-FF6C-4F20-B756-3A255FA271B4}"/>
            </c:ext>
          </c:extLst>
        </c:ser>
        <c:ser>
          <c:idx val="73"/>
          <c:order val="73"/>
          <c:tx>
            <c:v>RH=75_Label</c:v>
          </c:tx>
          <c:spPr>
            <a:ln w="3175">
              <a:solidFill>
                <a:srgbClr val="0000FF"/>
              </a:solidFill>
              <a:prstDash val="solid"/>
            </a:ln>
          </c:spPr>
          <c:marker>
            <c:symbol val="none"/>
          </c:marker>
          <c:dLbls>
            <c:dLbl>
              <c:idx val="0"/>
              <c:tx>
                <c:rich>
                  <a:bodyPr rot="-330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75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5-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26.971348751559898</c:v>
              </c:pt>
            </c:numLit>
          </c:xVal>
          <c:yVal>
            <c:numLit>
              <c:formatCode>General</c:formatCode>
              <c:ptCount val="1"/>
              <c:pt idx="0">
                <c:v>1.7672577171771574E-2</c:v>
              </c:pt>
            </c:numLit>
          </c:yVal>
          <c:smooth val="0"/>
          <c:extLst>
            <c:ext xmlns:c16="http://schemas.microsoft.com/office/drawing/2014/chart" uri="{C3380CC4-5D6E-409C-BE32-E72D297353CC}">
              <c16:uniqueId val="{00000066-FF6C-4F20-B756-3A255FA271B4}"/>
            </c:ext>
          </c:extLst>
        </c:ser>
        <c:ser>
          <c:idx val="74"/>
          <c:order val="74"/>
          <c:tx>
            <c:v>RH=75_2</c:v>
          </c:tx>
          <c:spPr>
            <a:ln w="3175">
              <a:solidFill>
                <a:srgbClr val="0000FF"/>
              </a:solidFill>
              <a:prstDash val="solid"/>
            </a:ln>
          </c:spPr>
          <c:marker>
            <c:symbol val="none"/>
          </c:marker>
          <c:xVal>
            <c:numLit>
              <c:formatCode>General</c:formatCode>
              <c:ptCount val="16"/>
              <c:pt idx="0">
                <c:v>27.307658238247463</c:v>
              </c:pt>
              <c:pt idx="1">
                <c:v>28.297922010597887</c:v>
              </c:pt>
              <c:pt idx="2">
                <c:v>29.290024378160101</c:v>
              </c:pt>
              <c:pt idx="3">
                <c:v>30.284196891370367</c:v>
              </c:pt>
              <c:pt idx="4">
                <c:v>31.280688957760731</c:v>
              </c:pt>
              <c:pt idx="5">
                <c:v>32.279769020620691</c:v>
              </c:pt>
              <c:pt idx="6">
                <c:v>33.281725824114545</c:v>
              </c:pt>
              <c:pt idx="7">
                <c:v>34.286869773121346</c:v>
              </c:pt>
              <c:pt idx="8">
                <c:v>35.295534397012268</c:v>
              </c:pt>
              <c:pt idx="9">
                <c:v>36.3080779276481</c:v>
              </c:pt>
              <c:pt idx="10">
                <c:v>37.324885003084674</c:v>
              </c:pt>
              <c:pt idx="11">
                <c:v>38.346368509836374</c:v>
              </c:pt>
              <c:pt idx="12">
                <c:v>39.372971297089094</c:v>
              </c:pt>
              <c:pt idx="13">
                <c:v>40.40516277076739</c:v>
              </c:pt>
              <c:pt idx="14">
                <c:v>41.443460412028806</c:v>
              </c:pt>
              <c:pt idx="15">
                <c:v>38.22352920257061</c:v>
              </c:pt>
            </c:numLit>
          </c:xVal>
          <c:yVal>
            <c:numLit>
              <c:formatCode>General</c:formatCode>
              <c:ptCount val="16"/>
              <c:pt idx="0">
                <c:v>1.8037091200106173E-2</c:v>
              </c:pt>
              <c:pt idx="1">
                <c:v>1.9148876952991056E-2</c:v>
              </c:pt>
              <c:pt idx="2">
                <c:v>2.0322243292255012E-2</c:v>
              </c:pt>
              <c:pt idx="3">
                <c:v>2.1560328685217813E-2</c:v>
              </c:pt>
              <c:pt idx="4">
                <c:v>2.2866432828409361E-2</c:v>
              </c:pt>
              <c:pt idx="5">
                <c:v>2.4244026591841397E-2</c:v>
              </c:pt>
              <c:pt idx="6">
                <c:v>2.5696762771875013E-2</c:v>
              </c:pt>
              <c:pt idx="7">
                <c:v>2.7228487732157729E-2</c:v>
              </c:pt>
              <c:pt idx="8">
                <c:v>2.8843254020922502E-2</c:v>
              </c:pt>
              <c:pt idx="9">
                <c:v>3.0545334062874491E-2</c:v>
              </c:pt>
              <c:pt idx="10">
                <c:v>3.2339235035100056E-2</c:v>
              </c:pt>
              <c:pt idx="11">
                <c:v>3.4229715049084494E-2</c:v>
              </c:pt>
              <c:pt idx="12">
                <c:v>3.6221816034480936E-2</c:v>
              </c:pt>
              <c:pt idx="13">
                <c:v>3.8321227715054529E-2</c:v>
              </c:pt>
              <c:pt idx="14">
                <c:v>4.0533232391732191E-2</c:v>
              </c:pt>
              <c:pt idx="15">
                <c:v>3.4000000000000002E-2</c:v>
              </c:pt>
            </c:numLit>
          </c:yVal>
          <c:smooth val="1"/>
          <c:extLst>
            <c:ext xmlns:c16="http://schemas.microsoft.com/office/drawing/2014/chart" uri="{C3380CC4-5D6E-409C-BE32-E72D297353CC}">
              <c16:uniqueId val="{00000067-FF6C-4F20-B756-3A255FA271B4}"/>
            </c:ext>
          </c:extLst>
        </c:ser>
        <c:ser>
          <c:idx val="75"/>
          <c:order val="75"/>
          <c:tx>
            <c:v>RH=85_1</c:v>
          </c:tx>
          <c:spPr>
            <a:ln w="3175">
              <a:solidFill>
                <a:srgbClr val="0000FF"/>
              </a:solidFill>
              <a:prstDash val="solid"/>
            </a:ln>
          </c:spPr>
          <c:marker>
            <c:symbol val="none"/>
          </c:marker>
          <c:xVal>
            <c:numLit>
              <c:formatCode>General</c:formatCode>
              <c:ptCount val="22"/>
              <c:pt idx="0">
                <c:v>4.6169474962962767</c:v>
              </c:pt>
              <c:pt idx="1">
                <c:v>5.5983047949352542</c:v>
              </c:pt>
              <c:pt idx="2">
                <c:v>6.5791929641451805</c:v>
              </c:pt>
              <c:pt idx="3">
                <c:v>7.5596375500601978</c:v>
              </c:pt>
              <c:pt idx="4">
                <c:v>8.5396685120445444</c:v>
              </c:pt>
              <c:pt idx="5">
                <c:v>9.5193205659853692</c:v>
              </c:pt>
              <c:pt idx="6">
                <c:v>10.498623446963785</c:v>
              </c:pt>
              <c:pt idx="7">
                <c:v>11.477631731162283</c:v>
              </c:pt>
              <c:pt idx="8">
                <c:v>12.456396645443721</c:v>
              </c:pt>
              <c:pt idx="9">
                <c:v>13.434975756413518</c:v>
              </c:pt>
              <c:pt idx="10">
                <c:v>14.413433423660246</c:v>
              </c:pt>
              <c:pt idx="11">
                <c:v>15.391841279166217</c:v>
              </c:pt>
              <c:pt idx="12">
                <c:v>16.37027873463445</c:v>
              </c:pt>
              <c:pt idx="13">
                <c:v>17.348833518650352</c:v>
              </c:pt>
              <c:pt idx="14">
                <c:v>18.327602245787897</c:v>
              </c:pt>
              <c:pt idx="15">
                <c:v>19.306691019983756</c:v>
              </c:pt>
              <c:pt idx="16">
                <c:v>20.286216074740807</c:v>
              </c:pt>
              <c:pt idx="17">
                <c:v>21.266304452988376</c:v>
              </c:pt>
              <c:pt idx="18">
                <c:v>22.247094729722747</c:v>
              </c:pt>
              <c:pt idx="19">
                <c:v>23.228737780882987</c:v>
              </c:pt>
              <c:pt idx="20">
                <c:v>24.211397602286706</c:v>
              </c:pt>
              <c:pt idx="21">
                <c:v>25.096792770011287</c:v>
              </c:pt>
            </c:numLit>
          </c:xVal>
          <c:yVal>
            <c:numLit>
              <c:formatCode>General</c:formatCode>
              <c:ptCount val="22"/>
              <c:pt idx="0">
                <c:v>4.6039524340017379E-3</c:v>
              </c:pt>
              <c:pt idx="1">
                <c:v>4.9377489772132778E-3</c:v>
              </c:pt>
              <c:pt idx="2">
                <c:v>5.2929717188040567E-3</c:v>
              </c:pt>
              <c:pt idx="3">
                <c:v>5.6708221280010393E-3</c:v>
              </c:pt>
              <c:pt idx="4">
                <c:v>6.0725606724782053E-3</c:v>
              </c:pt>
              <c:pt idx="5">
                <c:v>6.4995095513268536E-3</c:v>
              </c:pt>
              <c:pt idx="6">
                <c:v>6.9531956486687616E-3</c:v>
              </c:pt>
              <c:pt idx="7">
                <c:v>7.4349530058112978E-3</c:v>
              </c:pt>
              <c:pt idx="8">
                <c:v>7.9463088445744789E-3</c:v>
              </c:pt>
              <c:pt idx="9">
                <c:v>8.4888648304659586E-3</c:v>
              </c:pt>
              <c:pt idx="10">
                <c:v>9.06430070349914E-3</c:v>
              </c:pt>
              <c:pt idx="11">
                <c:v>9.6743781334406344E-3</c:v>
              </c:pt>
              <c:pt idx="12">
                <c:v>1.0320944818470866E-2</c:v>
              </c:pt>
              <c:pt idx="13">
                <c:v>1.1005938848080411E-2</c:v>
              </c:pt>
              <c:pt idx="14">
                <c:v>1.1731393353058893E-2</c:v>
              </c:pt>
              <c:pt idx="15">
                <c:v>1.2499441467676403E-2</c:v>
              </c:pt>
              <c:pt idx="16">
                <c:v>1.3312321631641564E-2</c:v>
              </c:pt>
              <c:pt idx="17">
                <c:v>1.4172383262167699E-2</c:v>
              </c:pt>
              <c:pt idx="18">
                <c:v>1.5082092829528373E-2</c:v>
              </c:pt>
              <c:pt idx="19">
                <c:v>1.6044040372864291E-2</c:v>
              </c:pt>
              <c:pt idx="20">
                <c:v>1.7060946496765018E-2</c:v>
              </c:pt>
              <c:pt idx="21">
                <c:v>1.8025843781926617E-2</c:v>
              </c:pt>
            </c:numLit>
          </c:yVal>
          <c:smooth val="1"/>
          <c:extLst>
            <c:ext xmlns:c16="http://schemas.microsoft.com/office/drawing/2014/chart" uri="{C3380CC4-5D6E-409C-BE32-E72D297353CC}">
              <c16:uniqueId val="{00000068-FF6C-4F20-B756-3A255FA271B4}"/>
            </c:ext>
          </c:extLst>
        </c:ser>
        <c:ser>
          <c:idx val="76"/>
          <c:order val="76"/>
          <c:tx>
            <c:v>RH=85_Label</c:v>
          </c:tx>
          <c:spPr>
            <a:ln w="3175">
              <a:solidFill>
                <a:srgbClr val="0000FF"/>
              </a:solidFill>
              <a:prstDash val="solid"/>
            </a:ln>
          </c:spPr>
          <c:marker>
            <c:symbol val="none"/>
          </c:marker>
          <c:dLbls>
            <c:dLbl>
              <c:idx val="0"/>
              <c:tx>
                <c:rich>
                  <a:bodyPr rot="-342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85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25.352773263547515</c:v>
              </c:pt>
            </c:numLit>
          </c:xVal>
          <c:yVal>
            <c:numLit>
              <c:formatCode>General</c:formatCode>
              <c:ptCount val="1"/>
              <c:pt idx="0">
                <c:v>1.8313625263206273E-2</c:v>
              </c:pt>
            </c:numLit>
          </c:yVal>
          <c:smooth val="0"/>
          <c:extLst>
            <c:ext xmlns:c16="http://schemas.microsoft.com/office/drawing/2014/chart" uri="{C3380CC4-5D6E-409C-BE32-E72D297353CC}">
              <c16:uniqueId val="{0000006A-FF6C-4F20-B756-3A255FA271B4}"/>
            </c:ext>
          </c:extLst>
        </c:ser>
        <c:ser>
          <c:idx val="77"/>
          <c:order val="77"/>
          <c:tx>
            <c:v>RH=85_2</c:v>
          </c:tx>
          <c:spPr>
            <a:ln w="3175">
              <a:solidFill>
                <a:srgbClr val="0000FF"/>
              </a:solidFill>
              <a:prstDash val="solid"/>
            </a:ln>
          </c:spPr>
          <c:marker>
            <c:symbol val="none"/>
          </c:marker>
          <c:xVal>
            <c:numLit>
              <c:formatCode>General</c:formatCode>
              <c:ptCount val="15"/>
              <c:pt idx="0">
                <c:v>25.6876621875757</c:v>
              </c:pt>
              <c:pt idx="1">
                <c:v>26.673658098131735</c:v>
              </c:pt>
              <c:pt idx="2">
                <c:v>27.661360715570094</c:v>
              </c:pt>
              <c:pt idx="3">
                <c:v>28.651004900924384</c:v>
              </c:pt>
              <c:pt idx="4">
                <c:v>29.642844270739275</c:v>
              </c:pt>
              <c:pt idx="5">
                <c:v>30.637152470911296</c:v>
              </c:pt>
              <c:pt idx="6">
                <c:v>31.634224546804546</c:v>
              </c:pt>
              <c:pt idx="7">
                <c:v>32.634378419120495</c:v>
              </c:pt>
              <c:pt idx="8">
                <c:v>33.637956476119065</c:v>
              </c:pt>
              <c:pt idx="9">
                <c:v>34.645327294052166</c:v>
              </c:pt>
              <c:pt idx="10">
                <c:v>35.656887499102659</c:v>
              </c:pt>
              <c:pt idx="11">
                <c:v>36.673063785745285</c:v>
              </c:pt>
              <c:pt idx="12">
                <c:v>37.694315108291399</c:v>
              </c:pt>
              <c:pt idx="13">
                <c:v>38.721135064479967</c:v>
              </c:pt>
              <c:pt idx="14">
                <c:v>35.768432905416319</c:v>
              </c:pt>
            </c:numLit>
          </c:xVal>
          <c:yVal>
            <c:numLit>
              <c:formatCode>General</c:formatCode>
              <c:ptCount val="15"/>
              <c:pt idx="0">
                <c:v>1.8696221443579193E-2</c:v>
              </c:pt>
              <c:pt idx="1">
                <c:v>1.9863798166773625E-2</c:v>
              </c:pt>
              <c:pt idx="2">
                <c:v>2.1097052266478809E-2</c:v>
              </c:pt>
              <c:pt idx="3">
                <c:v>2.239939862759165E-2</c:v>
              </c:pt>
              <c:pt idx="4">
                <c:v>2.377443241346253E-2</c:v>
              </c:pt>
              <c:pt idx="5">
                <c:v>2.5225940548190579E-2</c:v>
              </c:pt>
              <c:pt idx="6">
                <c:v>2.6757914160203695E-2</c:v>
              </c:pt>
              <c:pt idx="7">
                <c:v>2.8374562084222253E-2</c:v>
              </c:pt>
              <c:pt idx="8">
                <c:v>3.008032552980296E-2</c:v>
              </c:pt>
              <c:pt idx="9">
                <c:v>3.1879894037208895E-2</c:v>
              </c:pt>
              <c:pt idx="10">
                <c:v>3.3778222855544576E-2</c:v>
              </c:pt>
              <c:pt idx="11">
                <c:v>3.5780551894204121E-2</c:v>
              </c:pt>
              <c:pt idx="12">
                <c:v>3.7892426416963755E-2</c:v>
              </c:pt>
              <c:pt idx="13">
                <c:v>4.0119719668876355E-2</c:v>
              </c:pt>
              <c:pt idx="14">
                <c:v>3.4000000000000002E-2</c:v>
              </c:pt>
            </c:numLit>
          </c:yVal>
          <c:smooth val="1"/>
          <c:extLst>
            <c:ext xmlns:c16="http://schemas.microsoft.com/office/drawing/2014/chart" uri="{C3380CC4-5D6E-409C-BE32-E72D297353CC}">
              <c16:uniqueId val="{0000006B-FF6C-4F20-B756-3A255FA271B4}"/>
            </c:ext>
          </c:extLst>
        </c:ser>
        <c:ser>
          <c:idx val="78"/>
          <c:order val="78"/>
          <c:tx>
            <c:v>RH=95_1</c:v>
          </c:tx>
          <c:spPr>
            <a:ln w="3175">
              <a:solidFill>
                <a:srgbClr val="0000FF"/>
              </a:solidFill>
              <a:prstDash val="solid"/>
            </a:ln>
          </c:spPr>
          <c:marker>
            <c:symbol val="none"/>
          </c:marker>
          <c:xVal>
            <c:numLit>
              <c:formatCode>General</c:formatCode>
              <c:ptCount val="21"/>
              <c:pt idx="0">
                <c:v>4.5715093515445933</c:v>
              </c:pt>
              <c:pt idx="1">
                <c:v>5.5506268337490203</c:v>
              </c:pt>
              <c:pt idx="2">
                <c:v>6.5292149220548952</c:v>
              </c:pt>
              <c:pt idx="3">
                <c:v>7.5073017191507443</c:v>
              </c:pt>
              <c:pt idx="4">
                <c:v>8.4849202352887367</c:v>
              </c:pt>
              <c:pt idx="5">
                <c:v>9.4621087729948794</c:v>
              </c:pt>
              <c:pt idx="6">
                <c:v>10.438900016018483</c:v>
              </c:pt>
              <c:pt idx="7">
                <c:v>11.415354444379318</c:v>
              </c:pt>
              <c:pt idx="8">
                <c:v>12.391528753926261</c:v>
              </c:pt>
              <c:pt idx="9">
                <c:v>13.36748671310745</c:v>
              </c:pt>
              <c:pt idx="10">
                <c:v>14.343299674632375</c:v>
              </c:pt>
              <c:pt idx="11">
                <c:v>15.319047117663203</c:v>
              </c:pt>
              <c:pt idx="12">
                <c:v>16.294817222695624</c:v>
              </c:pt>
              <c:pt idx="13">
                <c:v>17.270707481510758</c:v>
              </c:pt>
              <c:pt idx="14">
                <c:v>18.246825344826785</c:v>
              </c:pt>
              <c:pt idx="15">
                <c:v>19.223288910555173</c:v>
              </c:pt>
              <c:pt idx="16">
                <c:v>20.20022765587548</c:v>
              </c:pt>
              <c:pt idx="17">
                <c:v>21.177783216688368</c:v>
              </c:pt>
              <c:pt idx="18">
                <c:v>22.156110218393444</c:v>
              </c:pt>
              <c:pt idx="19">
                <c:v>23.135377162372347</c:v>
              </c:pt>
              <c:pt idx="20">
                <c:v>23.65483180251206</c:v>
              </c:pt>
            </c:numLit>
          </c:xVal>
          <c:yVal>
            <c:numLit>
              <c:formatCode>General</c:formatCode>
              <c:ptCount val="21"/>
              <c:pt idx="0">
                <c:v>5.1500787616026219E-3</c:v>
              </c:pt>
              <c:pt idx="1">
                <c:v>5.5238197122248938E-3</c:v>
              </c:pt>
              <c:pt idx="2">
                <c:v>5.9216027558486456E-3</c:v>
              </c:pt>
              <c:pt idx="3">
                <c:v>6.3447832889701929E-3</c:v>
              </c:pt>
              <c:pt idx="4">
                <c:v>6.7947842027213596E-3</c:v>
              </c:pt>
              <c:pt idx="5">
                <c:v>7.2730991178380543E-3</c:v>
              </c:pt>
              <c:pt idx="6">
                <c:v>7.781452769305296E-3</c:v>
              </c:pt>
              <c:pt idx="7">
                <c:v>8.3213558142954808E-3</c:v>
              </c:pt>
              <c:pt idx="8">
                <c:v>8.8945375406884828E-3</c:v>
              </c:pt>
              <c:pt idx="9">
                <c:v>9.5028131214741039E-3</c:v>
              </c:pt>
              <c:pt idx="10">
                <c:v>1.0148087977263168E-2</c:v>
              </c:pt>
              <c:pt idx="11">
                <c:v>1.0832362423004708E-2</c:v>
              </c:pt>
              <c:pt idx="12">
                <c:v>1.1557736623789566E-2</c:v>
              </c:pt>
              <c:pt idx="13">
                <c:v>1.2326415887099727E-2</c:v>
              </c:pt>
              <c:pt idx="14">
                <c:v>1.3140716321613845E-2</c:v>
              </c:pt>
              <c:pt idx="15">
                <c:v>1.4003070895725766E-2</c:v>
              </c:pt>
              <c:pt idx="16">
                <c:v>1.4916035932318635E-2</c:v>
              </c:pt>
              <c:pt idx="17">
                <c:v>1.5882298080097952E-2</c:v>
              </c:pt>
              <c:pt idx="18">
                <c:v>1.6904681805977675E-2</c:v>
              </c:pt>
              <c:pt idx="19">
                <c:v>1.7986157457680306E-2</c:v>
              </c:pt>
              <c:pt idx="20">
                <c:v>1.8584360404457909E-2</c:v>
              </c:pt>
            </c:numLit>
          </c:yVal>
          <c:smooth val="1"/>
          <c:extLst>
            <c:ext xmlns:c16="http://schemas.microsoft.com/office/drawing/2014/chart" uri="{C3380CC4-5D6E-409C-BE32-E72D297353CC}">
              <c16:uniqueId val="{0000006C-FF6C-4F20-B756-3A255FA271B4}"/>
            </c:ext>
          </c:extLst>
        </c:ser>
        <c:ser>
          <c:idx val="79"/>
          <c:order val="79"/>
          <c:tx>
            <c:v>RH=95_Label</c:v>
          </c:tx>
          <c:spPr>
            <a:ln w="3175">
              <a:solidFill>
                <a:srgbClr val="0000FF"/>
              </a:solidFill>
              <a:prstDash val="solid"/>
            </a:ln>
          </c:spPr>
          <c:marker>
            <c:symbol val="none"/>
          </c:marker>
          <c:dLbls>
            <c:dLbl>
              <c:idx val="0"/>
              <c:tx>
                <c:rich>
                  <a:bodyPr rot="-348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95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F6C-4F20-B756-3A255FA271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23.899975266563242</c:v>
              </c:pt>
            </c:numLit>
          </c:xVal>
          <c:yVal>
            <c:numLit>
              <c:formatCode>General</c:formatCode>
              <c:ptCount val="1"/>
              <c:pt idx="0">
                <c:v>1.887273459870089E-2</c:v>
              </c:pt>
            </c:numLit>
          </c:yVal>
          <c:smooth val="0"/>
          <c:extLst>
            <c:ext xmlns:c16="http://schemas.microsoft.com/office/drawing/2014/chart" uri="{C3380CC4-5D6E-409C-BE32-E72D297353CC}">
              <c16:uniqueId val="{0000006E-FF6C-4F20-B756-3A255FA271B4}"/>
            </c:ext>
          </c:extLst>
        </c:ser>
        <c:ser>
          <c:idx val="80"/>
          <c:order val="80"/>
          <c:tx>
            <c:v>RH=95_2</c:v>
          </c:tx>
          <c:spPr>
            <a:ln w="3175">
              <a:solidFill>
                <a:srgbClr val="0000FF"/>
              </a:solidFill>
              <a:prstDash val="solid"/>
            </a:ln>
          </c:spPr>
          <c:marker>
            <c:symbol val="none"/>
          </c:marker>
          <c:xVal>
            <c:numLit>
              <c:formatCode>General</c:formatCode>
              <c:ptCount val="15"/>
              <c:pt idx="0">
                <c:v>24.243308436413216</c:v>
              </c:pt>
              <c:pt idx="1">
                <c:v>25.225189821207071</c:v>
              </c:pt>
              <c:pt idx="2">
                <c:v>26.208638356334774</c:v>
              </c:pt>
              <c:pt idx="3">
                <c:v>27.193890751050116</c:v>
              </c:pt>
              <c:pt idx="4">
                <c:v>28.181203240062626</c:v>
              </c:pt>
              <c:pt idx="5">
                <c:v>29.170852943546347</c:v>
              </c:pt>
              <c:pt idx="6">
                <c:v>30.163139332641901</c:v>
              </c:pt>
              <c:pt idx="7">
                <c:v>31.158385811108786</c:v>
              </c:pt>
              <c:pt idx="8">
                <c:v>32.156941425074045</c:v>
              </c:pt>
              <c:pt idx="9">
                <c:v>33.159182714285301</c:v>
              </c:pt>
              <c:pt idx="10">
                <c:v>34.165515719936757</c:v>
              </c:pt>
              <c:pt idx="11">
                <c:v>35.176378166027028</c:v>
              </c:pt>
              <c:pt idx="12">
                <c:v>36.192241833362694</c:v>
              </c:pt>
              <c:pt idx="13">
                <c:v>37.213615147782654</c:v>
              </c:pt>
              <c:pt idx="14">
                <c:v>33.621562011400414</c:v>
              </c:pt>
            </c:numLit>
          </c:xVal>
          <c:yVal>
            <c:numLit>
              <c:formatCode>General</c:formatCode>
              <c:ptCount val="15"/>
              <c:pt idx="0">
                <c:v>1.9283320859184057E-2</c:v>
              </c:pt>
              <c:pt idx="1">
                <c:v>2.0501710426676936E-2</c:v>
              </c:pt>
              <c:pt idx="2">
                <c:v>2.1789587089421334E-2</c:v>
              </c:pt>
              <c:pt idx="3">
                <c:v>2.3150628701456469E-2</c:v>
              </c:pt>
              <c:pt idx="4">
                <c:v>2.4588712008722775E-2</c:v>
              </c:pt>
              <c:pt idx="5">
                <c:v>2.6107925677992385E-2</c:v>
              </c:pt>
              <c:pt idx="6">
                <c:v>2.7712584444850481E-2</c:v>
              </c:pt>
              <c:pt idx="7">
                <c:v>2.9407244496529976E-2</c:v>
              </c:pt>
              <c:pt idx="8">
                <c:v>3.1196720218989966E-2</c:v>
              </c:pt>
              <c:pt idx="9">
                <c:v>3.3086102453028524E-2</c:v>
              </c:pt>
              <c:pt idx="10">
                <c:v>3.5080778421720527E-2</c:v>
              </c:pt>
              <c:pt idx="11">
                <c:v>3.7186453511361871E-2</c:v>
              </c:pt>
              <c:pt idx="12">
                <c:v>3.9409175110790888E-2</c:v>
              </c:pt>
              <c:pt idx="13">
                <c:v>4.1755358739872586E-2</c:v>
              </c:pt>
              <c:pt idx="14">
                <c:v>3.4000000000000002E-2</c:v>
              </c:pt>
            </c:numLit>
          </c:yVal>
          <c:smooth val="1"/>
          <c:extLst>
            <c:ext xmlns:c16="http://schemas.microsoft.com/office/drawing/2014/chart" uri="{C3380CC4-5D6E-409C-BE32-E72D297353CC}">
              <c16:uniqueId val="{0000006F-FF6C-4F20-B756-3A255FA271B4}"/>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67A1-4D40-AEC6-2C3001124BF4}"/>
            </c:ext>
          </c:extLst>
        </c:ser>
        <c:ser>
          <c:idx val="1"/>
          <c:order val="1"/>
          <c:tx>
            <c:v>t=-10</c:v>
          </c:tx>
          <c:spPr>
            <a:ln w="3175">
              <a:solidFill>
                <a:srgbClr val="3366FF"/>
              </a:solidFill>
              <a:prstDash val="solid"/>
            </a:ln>
          </c:spPr>
          <c:marker>
            <c:symbol val="none"/>
          </c:marker>
          <c:dLbls>
            <c:dLbl>
              <c:idx val="0"/>
              <c:layout>
                <c:manualLayout>
                  <c:x val="-1.8663194444444444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c:v>
              </c:pt>
              <c:pt idx="1">
                <c:v>-10.178169782224485</c:v>
              </c:pt>
            </c:numLit>
          </c:xVal>
          <c:yVal>
            <c:numLit>
              <c:formatCode>General</c:formatCode>
              <c:ptCount val="2"/>
              <c:pt idx="0">
                <c:v>0</c:v>
              </c:pt>
              <c:pt idx="1">
                <c:v>1.6060824455002901E-3</c:v>
              </c:pt>
            </c:numLit>
          </c:yVal>
          <c:smooth val="0"/>
          <c:extLst>
            <c:ext xmlns:c16="http://schemas.microsoft.com/office/drawing/2014/chart" uri="{C3380CC4-5D6E-409C-BE32-E72D297353CC}">
              <c16:uniqueId val="{00000002-67A1-4D40-AEC6-2C3001124BF4}"/>
            </c:ext>
          </c:extLst>
        </c:ser>
        <c:ser>
          <c:idx val="2"/>
          <c:order val="2"/>
          <c:tx>
            <c:v>t=-9</c:v>
          </c:tx>
          <c:spPr>
            <a:ln w="3175">
              <a:solidFill>
                <a:srgbClr val="3366FF"/>
              </a:solidFill>
              <a:prstDash val="solid"/>
            </a:ln>
          </c:spPr>
          <c:marker>
            <c:symbol val="none"/>
          </c:marker>
          <c:xVal>
            <c:numLit>
              <c:formatCode>General</c:formatCode>
              <c:ptCount val="2"/>
              <c:pt idx="0">
                <c:v>-9</c:v>
              </c:pt>
              <c:pt idx="1">
                <c:v>-9.1914446576012097</c:v>
              </c:pt>
            </c:numLit>
          </c:xVal>
          <c:yVal>
            <c:numLit>
              <c:formatCode>General</c:formatCode>
              <c:ptCount val="2"/>
              <c:pt idx="0">
                <c:v>0</c:v>
              </c:pt>
              <c:pt idx="1">
                <c:v>1.754996587815E-3</c:v>
              </c:pt>
            </c:numLit>
          </c:yVal>
          <c:smooth val="0"/>
          <c:extLst>
            <c:ext xmlns:c16="http://schemas.microsoft.com/office/drawing/2014/chart" uri="{C3380CC4-5D6E-409C-BE32-E72D297353CC}">
              <c16:uniqueId val="{00000003-67A1-4D40-AEC6-2C3001124BF4}"/>
            </c:ext>
          </c:extLst>
        </c:ser>
        <c:ser>
          <c:idx val="3"/>
          <c:order val="3"/>
          <c:tx>
            <c:v>t=-8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c:v>
              </c:pt>
              <c:pt idx="1">
                <c:v>-8.2055155451094635</c:v>
              </c:pt>
            </c:numLit>
          </c:xVal>
          <c:yVal>
            <c:numLit>
              <c:formatCode>General</c:formatCode>
              <c:ptCount val="2"/>
              <c:pt idx="0">
                <c:v>0</c:v>
              </c:pt>
              <c:pt idx="1">
                <c:v>1.9164686538757701E-3</c:v>
              </c:pt>
            </c:numLit>
          </c:yVal>
          <c:smooth val="0"/>
          <c:extLst>
            <c:ext xmlns:c16="http://schemas.microsoft.com/office/drawing/2014/chart" uri="{C3380CC4-5D6E-409C-BE32-E72D297353CC}">
              <c16:uniqueId val="{00000005-67A1-4D40-AEC6-2C3001124BF4}"/>
            </c:ext>
          </c:extLst>
        </c:ser>
        <c:ser>
          <c:idx val="4"/>
          <c:order val="4"/>
          <c:tx>
            <c:v>t=-7</c:v>
          </c:tx>
          <c:spPr>
            <a:ln w="3175">
              <a:solidFill>
                <a:srgbClr val="3366FF"/>
              </a:solidFill>
              <a:prstDash val="solid"/>
            </a:ln>
          </c:spPr>
          <c:marker>
            <c:symbol val="none"/>
          </c:marker>
          <c:xVal>
            <c:numLit>
              <c:formatCode>General</c:formatCode>
              <c:ptCount val="2"/>
              <c:pt idx="0">
                <c:v>-7</c:v>
              </c:pt>
              <c:pt idx="1">
                <c:v>-7.22041332968442</c:v>
              </c:pt>
            </c:numLit>
          </c:xVal>
          <c:yVal>
            <c:numLit>
              <c:formatCode>General</c:formatCode>
              <c:ptCount val="2"/>
              <c:pt idx="0">
                <c:v>0</c:v>
              </c:pt>
              <c:pt idx="1">
                <c:v>2.0914526472602E-3</c:v>
              </c:pt>
            </c:numLit>
          </c:yVal>
          <c:smooth val="0"/>
          <c:extLst>
            <c:ext xmlns:c16="http://schemas.microsoft.com/office/drawing/2014/chart" uri="{C3380CC4-5D6E-409C-BE32-E72D297353CC}">
              <c16:uniqueId val="{00000006-67A1-4D40-AEC6-2C3001124BF4}"/>
            </c:ext>
          </c:extLst>
        </c:ser>
        <c:ser>
          <c:idx val="5"/>
          <c:order val="5"/>
          <c:tx>
            <c:v>t=-6</c:v>
          </c:tx>
          <c:spPr>
            <a:ln w="3175">
              <a:solidFill>
                <a:srgbClr val="3366FF"/>
              </a:solidFill>
              <a:prstDash val="solid"/>
            </a:ln>
          </c:spPr>
          <c:marker>
            <c:symbol val="none"/>
          </c:marker>
          <c:dLbls>
            <c:dLbl>
              <c:idx val="0"/>
              <c:layout>
                <c:manualLayout>
                  <c:x val="-1.5625000000000017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c:v>
              </c:pt>
              <c:pt idx="1">
                <c:v>-6.2361685593886991</c:v>
              </c:pt>
            </c:numLit>
          </c:xVal>
          <c:yVal>
            <c:numLit>
              <c:formatCode>General</c:formatCode>
              <c:ptCount val="2"/>
              <c:pt idx="0">
                <c:v>0</c:v>
              </c:pt>
              <c:pt idx="1">
                <c:v>2.28096746106981E-3</c:v>
              </c:pt>
            </c:numLit>
          </c:yVal>
          <c:smooth val="0"/>
          <c:extLst>
            <c:ext xmlns:c16="http://schemas.microsoft.com/office/drawing/2014/chart" uri="{C3380CC4-5D6E-409C-BE32-E72D297353CC}">
              <c16:uniqueId val="{00000008-67A1-4D40-AEC6-2C3001124BF4}"/>
            </c:ext>
          </c:extLst>
        </c:ser>
        <c:ser>
          <c:idx val="6"/>
          <c:order val="6"/>
          <c:tx>
            <c:v>t=-5</c:v>
          </c:tx>
          <c:spPr>
            <a:ln w="3175">
              <a:solidFill>
                <a:srgbClr val="3366FF"/>
              </a:solidFill>
              <a:prstDash val="solid"/>
            </a:ln>
          </c:spPr>
          <c:marker>
            <c:symbol val="none"/>
          </c:marker>
          <c:xVal>
            <c:numLit>
              <c:formatCode>General</c:formatCode>
              <c:ptCount val="2"/>
              <c:pt idx="0">
                <c:v>-5</c:v>
              </c:pt>
              <c:pt idx="1">
                <c:v>-5.2528112525852375</c:v>
              </c:pt>
            </c:numLit>
          </c:xVal>
          <c:yVal>
            <c:numLit>
              <c:formatCode>General</c:formatCode>
              <c:ptCount val="2"/>
              <c:pt idx="0">
                <c:v>0</c:v>
              </c:pt>
              <c:pt idx="1">
                <c:v>2.4861008807502299E-3</c:v>
              </c:pt>
            </c:numLit>
          </c:yVal>
          <c:smooth val="0"/>
          <c:extLst>
            <c:ext xmlns:c16="http://schemas.microsoft.com/office/drawing/2014/chart" uri="{C3380CC4-5D6E-409C-BE32-E72D297353CC}">
              <c16:uniqueId val="{00000009-67A1-4D40-AEC6-2C3001124BF4}"/>
            </c:ext>
          </c:extLst>
        </c:ser>
        <c:ser>
          <c:idx val="7"/>
          <c:order val="7"/>
          <c:tx>
            <c:v>t=-4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c:v>
              </c:pt>
              <c:pt idx="1">
                <c:v>-4.2703706848883494</c:v>
              </c:pt>
            </c:numLit>
          </c:xVal>
          <c:yVal>
            <c:numLit>
              <c:formatCode>General</c:formatCode>
              <c:ptCount val="2"/>
              <c:pt idx="0">
                <c:v>0</c:v>
              </c:pt>
              <c:pt idx="1">
                <c:v>2.7080138291286299E-3</c:v>
              </c:pt>
            </c:numLit>
          </c:yVal>
          <c:smooth val="0"/>
          <c:extLst>
            <c:ext xmlns:c16="http://schemas.microsoft.com/office/drawing/2014/chart" uri="{C3380CC4-5D6E-409C-BE32-E72D297353CC}">
              <c16:uniqueId val="{0000000B-67A1-4D40-AEC6-2C3001124BF4}"/>
            </c:ext>
          </c:extLst>
        </c:ser>
        <c:ser>
          <c:idx val="8"/>
          <c:order val="8"/>
          <c:tx>
            <c:v>t=-3</c:v>
          </c:tx>
          <c:spPr>
            <a:ln w="3175">
              <a:solidFill>
                <a:srgbClr val="3366FF"/>
              </a:solidFill>
              <a:prstDash val="solid"/>
            </a:ln>
          </c:spPr>
          <c:marker>
            <c:symbol val="none"/>
          </c:marker>
          <c:xVal>
            <c:numLit>
              <c:formatCode>General</c:formatCode>
              <c:ptCount val="2"/>
              <c:pt idx="0">
                <c:v>-3</c:v>
              </c:pt>
              <c:pt idx="1">
                <c:v>-3.2888751544738284</c:v>
              </c:pt>
            </c:numLit>
          </c:xVal>
          <c:yVal>
            <c:numLit>
              <c:formatCode>General</c:formatCode>
              <c:ptCount val="2"/>
              <c:pt idx="0">
                <c:v>0</c:v>
              </c:pt>
              <c:pt idx="1">
                <c:v>2.9479448711774302E-3</c:v>
              </c:pt>
            </c:numLit>
          </c:yVal>
          <c:smooth val="0"/>
          <c:extLst>
            <c:ext xmlns:c16="http://schemas.microsoft.com/office/drawing/2014/chart" uri="{C3380CC4-5D6E-409C-BE32-E72D297353CC}">
              <c16:uniqueId val="{0000000C-67A1-4D40-AEC6-2C3001124BF4}"/>
            </c:ext>
          </c:extLst>
        </c:ser>
        <c:ser>
          <c:idx val="9"/>
          <c:order val="9"/>
          <c:tx>
            <c:v>t=-2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c:v>
              </c:pt>
              <c:pt idx="1">
                <c:v>-2.3083517242375033</c:v>
              </c:pt>
            </c:numLit>
          </c:xVal>
          <c:yVal>
            <c:numLit>
              <c:formatCode>General</c:formatCode>
              <c:ptCount val="2"/>
              <c:pt idx="0">
                <c:v>0</c:v>
              </c:pt>
              <c:pt idx="1">
                <c:v>3.2072149977556701E-3</c:v>
              </c:pt>
            </c:numLit>
          </c:yVal>
          <c:smooth val="0"/>
          <c:extLst>
            <c:ext xmlns:c16="http://schemas.microsoft.com/office/drawing/2014/chart" uri="{C3380CC4-5D6E-409C-BE32-E72D297353CC}">
              <c16:uniqueId val="{0000000E-67A1-4D40-AEC6-2C3001124BF4}"/>
            </c:ext>
          </c:extLst>
        </c:ser>
        <c:ser>
          <c:idx val="10"/>
          <c:order val="10"/>
          <c:tx>
            <c:v>t=-1</c:v>
          </c:tx>
          <c:spPr>
            <a:ln w="3175">
              <a:solidFill>
                <a:srgbClr val="3366FF"/>
              </a:solidFill>
              <a:prstDash val="solid"/>
            </a:ln>
          </c:spPr>
          <c:marker>
            <c:symbol val="none"/>
          </c:marker>
          <c:xVal>
            <c:numLit>
              <c:formatCode>General</c:formatCode>
              <c:ptCount val="2"/>
              <c:pt idx="0">
                <c:v>-1</c:v>
              </c:pt>
              <c:pt idx="1">
                <c:v>-1.3288259391909205</c:v>
              </c:pt>
            </c:numLit>
          </c:xVal>
          <c:yVal>
            <c:numLit>
              <c:formatCode>General</c:formatCode>
              <c:ptCount val="2"/>
              <c:pt idx="0">
                <c:v>0</c:v>
              </c:pt>
              <c:pt idx="1">
                <c:v>3.4872327095305301E-3</c:v>
              </c:pt>
            </c:numLit>
          </c:yVal>
          <c:smooth val="0"/>
          <c:extLst>
            <c:ext xmlns:c16="http://schemas.microsoft.com/office/drawing/2014/chart" uri="{C3380CC4-5D6E-409C-BE32-E72D297353CC}">
              <c16:uniqueId val="{0000000F-67A1-4D40-AEC6-2C3001124BF4}"/>
            </c:ext>
          </c:extLst>
        </c:ser>
        <c:ser>
          <c:idx val="11"/>
          <c:order val="11"/>
          <c:tx>
            <c:v>t=0</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c:v>
              </c:pt>
              <c:pt idx="1">
                <c:v>-0.35032151737137107</c:v>
              </c:pt>
            </c:numLit>
          </c:xVal>
          <c:yVal>
            <c:numLit>
              <c:formatCode>General</c:formatCode>
              <c:ptCount val="2"/>
              <c:pt idx="0">
                <c:v>0</c:v>
              </c:pt>
              <c:pt idx="1">
                <c:v>3.7894994244688099E-3</c:v>
              </c:pt>
            </c:numLit>
          </c:yVal>
          <c:smooth val="0"/>
          <c:extLst>
            <c:ext xmlns:c16="http://schemas.microsoft.com/office/drawing/2014/chart" uri="{C3380CC4-5D6E-409C-BE32-E72D297353CC}">
              <c16:uniqueId val="{00000011-67A1-4D40-AEC6-2C3001124BF4}"/>
            </c:ext>
          </c:extLst>
        </c:ser>
        <c:ser>
          <c:idx val="12"/>
          <c:order val="12"/>
          <c:tx>
            <c:v>t=1</c:v>
          </c:tx>
          <c:spPr>
            <a:ln w="3175">
              <a:solidFill>
                <a:srgbClr val="3366FF"/>
              </a:solidFill>
              <a:prstDash val="solid"/>
            </a:ln>
          </c:spPr>
          <c:marker>
            <c:symbol val="none"/>
          </c:marker>
          <c:xVal>
            <c:numLit>
              <c:formatCode>General</c:formatCode>
              <c:ptCount val="2"/>
              <c:pt idx="0">
                <c:v>1</c:v>
              </c:pt>
              <c:pt idx="1">
                <c:v>0.63072878902048046</c:v>
              </c:pt>
            </c:numLit>
          </c:xVal>
          <c:yVal>
            <c:numLit>
              <c:formatCode>General</c:formatCode>
              <c:ptCount val="2"/>
              <c:pt idx="0">
                <c:v>0</c:v>
              </c:pt>
              <c:pt idx="1">
                <c:v>4.0760021751744197E-3</c:v>
              </c:pt>
            </c:numLit>
          </c:yVal>
          <c:smooth val="0"/>
          <c:extLst>
            <c:ext xmlns:c16="http://schemas.microsoft.com/office/drawing/2014/chart" uri="{C3380CC4-5D6E-409C-BE32-E72D297353CC}">
              <c16:uniqueId val="{00000012-67A1-4D40-AEC6-2C3001124BF4}"/>
            </c:ext>
          </c:extLst>
        </c:ser>
        <c:ser>
          <c:idx val="13"/>
          <c:order val="13"/>
          <c:tx>
            <c:v>t=2</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c:v>
              </c:pt>
              <c:pt idx="1">
                <c:v>1.6111719572746133</c:v>
              </c:pt>
            </c:numLit>
          </c:xVal>
          <c:yVal>
            <c:numLit>
              <c:formatCode>General</c:formatCode>
              <c:ptCount val="2"/>
              <c:pt idx="0">
                <c:v>0</c:v>
              </c:pt>
              <c:pt idx="1">
                <c:v>4.3812837251538898E-3</c:v>
              </c:pt>
            </c:numLit>
          </c:yVal>
          <c:smooth val="0"/>
          <c:extLst>
            <c:ext xmlns:c16="http://schemas.microsoft.com/office/drawing/2014/chart" uri="{C3380CC4-5D6E-409C-BE32-E72D297353CC}">
              <c16:uniqueId val="{00000014-67A1-4D40-AEC6-2C3001124BF4}"/>
            </c:ext>
          </c:extLst>
        </c:ser>
        <c:ser>
          <c:idx val="14"/>
          <c:order val="14"/>
          <c:tx>
            <c:v>t=3</c:v>
          </c:tx>
          <c:spPr>
            <a:ln w="3175">
              <a:solidFill>
                <a:srgbClr val="3366FF"/>
              </a:solidFill>
              <a:prstDash val="solid"/>
            </a:ln>
          </c:spPr>
          <c:marker>
            <c:symbol val="none"/>
          </c:marker>
          <c:xVal>
            <c:numLit>
              <c:formatCode>General</c:formatCode>
              <c:ptCount val="2"/>
              <c:pt idx="0">
                <c:v>3</c:v>
              </c:pt>
              <c:pt idx="1">
                <c:v>2.5909827527240186</c:v>
              </c:pt>
            </c:numLit>
          </c:xVal>
          <c:yVal>
            <c:numLit>
              <c:formatCode>General</c:formatCode>
              <c:ptCount val="2"/>
              <c:pt idx="0">
                <c:v>0</c:v>
              </c:pt>
              <c:pt idx="1">
                <c:v>4.7068331132422503E-3</c:v>
              </c:pt>
            </c:numLit>
          </c:yVal>
          <c:smooth val="0"/>
          <c:extLst>
            <c:ext xmlns:c16="http://schemas.microsoft.com/office/drawing/2014/chart" uri="{C3380CC4-5D6E-409C-BE32-E72D297353CC}">
              <c16:uniqueId val="{00000015-67A1-4D40-AEC6-2C3001124BF4}"/>
            </c:ext>
          </c:extLst>
        </c:ser>
        <c:ser>
          <c:idx val="15"/>
          <c:order val="15"/>
          <c:tx>
            <c:v>t=4</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6-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c:v>
              </c:pt>
              <c:pt idx="1">
                <c:v>3.5701735744985212</c:v>
              </c:pt>
            </c:numLit>
          </c:xVal>
          <c:yVal>
            <c:numLit>
              <c:formatCode>General</c:formatCode>
              <c:ptCount val="2"/>
              <c:pt idx="0">
                <c:v>0</c:v>
              </c:pt>
              <c:pt idx="1">
                <c:v>5.0538263680982602E-3</c:v>
              </c:pt>
            </c:numLit>
          </c:yVal>
          <c:smooth val="0"/>
          <c:extLst>
            <c:ext xmlns:c16="http://schemas.microsoft.com/office/drawing/2014/chart" uri="{C3380CC4-5D6E-409C-BE32-E72D297353CC}">
              <c16:uniqueId val="{00000017-67A1-4D40-AEC6-2C3001124BF4}"/>
            </c:ext>
          </c:extLst>
        </c:ser>
        <c:ser>
          <c:idx val="16"/>
          <c:order val="16"/>
          <c:tx>
            <c:v>t=5</c:v>
          </c:tx>
          <c:spPr>
            <a:ln w="3175">
              <a:solidFill>
                <a:srgbClr val="3366FF"/>
              </a:solidFill>
              <a:prstDash val="solid"/>
            </a:ln>
          </c:spPr>
          <c:marker>
            <c:symbol val="none"/>
          </c:marker>
          <c:xVal>
            <c:numLit>
              <c:formatCode>General</c:formatCode>
              <c:ptCount val="2"/>
              <c:pt idx="0">
                <c:v>5</c:v>
              </c:pt>
              <c:pt idx="1">
                <c:v>4.5487605635344499</c:v>
              </c:pt>
            </c:numLit>
          </c:xVal>
          <c:yVal>
            <c:numLit>
              <c:formatCode>General</c:formatCode>
              <c:ptCount val="2"/>
              <c:pt idx="0">
                <c:v>0</c:v>
              </c:pt>
              <c:pt idx="1">
                <c:v>5.4234990810554801E-3</c:v>
              </c:pt>
            </c:numLit>
          </c:yVal>
          <c:smooth val="0"/>
          <c:extLst>
            <c:ext xmlns:c16="http://schemas.microsoft.com/office/drawing/2014/chart" uri="{C3380CC4-5D6E-409C-BE32-E72D297353CC}">
              <c16:uniqueId val="{00000018-67A1-4D40-AEC6-2C3001124BF4}"/>
            </c:ext>
          </c:extLst>
        </c:ser>
        <c:ser>
          <c:idx val="17"/>
          <c:order val="17"/>
          <c:tx>
            <c:v>t=6</c:v>
          </c:tx>
          <c:spPr>
            <a:ln w="3175">
              <a:solidFill>
                <a:srgbClr val="3366FF"/>
              </a:solidFill>
              <a:prstDash val="solid"/>
            </a:ln>
          </c:spPr>
          <c:marker>
            <c:symbol val="none"/>
          </c:marker>
          <c:dLbls>
            <c:dLbl>
              <c:idx val="0"/>
              <c:layout>
                <c:manualLayout>
                  <c:x val="-1.2586805555555587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9-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c:v>
              </c:pt>
              <c:pt idx="1">
                <c:v>5.5267544089063207</c:v>
              </c:pt>
            </c:numLit>
          </c:xVal>
          <c:yVal>
            <c:numLit>
              <c:formatCode>General</c:formatCode>
              <c:ptCount val="2"/>
              <c:pt idx="0">
                <c:v>0</c:v>
              </c:pt>
              <c:pt idx="1">
                <c:v>5.8172661857312001E-3</c:v>
              </c:pt>
            </c:numLit>
          </c:yVal>
          <c:smooth val="0"/>
          <c:extLst>
            <c:ext xmlns:c16="http://schemas.microsoft.com/office/drawing/2014/chart" uri="{C3380CC4-5D6E-409C-BE32-E72D297353CC}">
              <c16:uniqueId val="{0000001A-67A1-4D40-AEC6-2C3001124BF4}"/>
            </c:ext>
          </c:extLst>
        </c:ser>
        <c:ser>
          <c:idx val="18"/>
          <c:order val="18"/>
          <c:tx>
            <c:v>t=7</c:v>
          </c:tx>
          <c:spPr>
            <a:ln w="3175">
              <a:solidFill>
                <a:srgbClr val="3366FF"/>
              </a:solidFill>
              <a:prstDash val="solid"/>
            </a:ln>
          </c:spPr>
          <c:marker>
            <c:symbol val="none"/>
          </c:marker>
          <c:xVal>
            <c:numLit>
              <c:formatCode>General</c:formatCode>
              <c:ptCount val="2"/>
              <c:pt idx="0">
                <c:v>7</c:v>
              </c:pt>
              <c:pt idx="1">
                <c:v>6.5041883174927406</c:v>
              </c:pt>
            </c:numLit>
          </c:xVal>
          <c:yVal>
            <c:numLit>
              <c:formatCode>General</c:formatCode>
              <c:ptCount val="2"/>
              <c:pt idx="0">
                <c:v>0</c:v>
              </c:pt>
              <c:pt idx="1">
                <c:v>6.2363910052801001E-3</c:v>
              </c:pt>
            </c:numLit>
          </c:yVal>
          <c:smooth val="0"/>
          <c:extLst>
            <c:ext xmlns:c16="http://schemas.microsoft.com/office/drawing/2014/chart" uri="{C3380CC4-5D6E-409C-BE32-E72D297353CC}">
              <c16:uniqueId val="{0000001B-67A1-4D40-AEC6-2C3001124BF4}"/>
            </c:ext>
          </c:extLst>
        </c:ser>
        <c:ser>
          <c:idx val="19"/>
          <c:order val="19"/>
          <c:tx>
            <c:v>t=8</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C-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c:v>
              </c:pt>
              <c:pt idx="1">
                <c:v>7.481091633037142</c:v>
              </c:pt>
            </c:numLit>
          </c:xVal>
          <c:yVal>
            <c:numLit>
              <c:formatCode>General</c:formatCode>
              <c:ptCount val="2"/>
              <c:pt idx="0">
                <c:v>0</c:v>
              </c:pt>
              <c:pt idx="1">
                <c:v>6.68230692735069E-3</c:v>
              </c:pt>
            </c:numLit>
          </c:yVal>
          <c:smooth val="0"/>
          <c:extLst>
            <c:ext xmlns:c16="http://schemas.microsoft.com/office/drawing/2014/chart" uri="{C3380CC4-5D6E-409C-BE32-E72D297353CC}">
              <c16:uniqueId val="{0000001D-67A1-4D40-AEC6-2C3001124BF4}"/>
            </c:ext>
          </c:extLst>
        </c:ser>
        <c:ser>
          <c:idx val="20"/>
          <c:order val="20"/>
          <c:tx>
            <c:v>t=9</c:v>
          </c:tx>
          <c:spPr>
            <a:ln w="3175">
              <a:solidFill>
                <a:srgbClr val="3366FF"/>
              </a:solidFill>
              <a:prstDash val="solid"/>
            </a:ln>
          </c:spPr>
          <c:marker>
            <c:symbol val="none"/>
          </c:marker>
          <c:xVal>
            <c:numLit>
              <c:formatCode>General</c:formatCode>
              <c:ptCount val="2"/>
              <c:pt idx="0">
                <c:v>9</c:v>
              </c:pt>
              <c:pt idx="1">
                <c:v>8.4574988517709855</c:v>
              </c:pt>
            </c:numLit>
          </c:xVal>
          <c:yVal>
            <c:numLit>
              <c:formatCode>General</c:formatCode>
              <c:ptCount val="2"/>
              <c:pt idx="0">
                <c:v>0</c:v>
              </c:pt>
              <c:pt idx="1">
                <c:v>7.1565192121477803E-3</c:v>
              </c:pt>
            </c:numLit>
          </c:yVal>
          <c:smooth val="0"/>
          <c:extLst>
            <c:ext xmlns:c16="http://schemas.microsoft.com/office/drawing/2014/chart" uri="{C3380CC4-5D6E-409C-BE32-E72D297353CC}">
              <c16:uniqueId val="{0000001E-67A1-4D40-AEC6-2C3001124BF4}"/>
            </c:ext>
          </c:extLst>
        </c:ser>
        <c:ser>
          <c:idx val="21"/>
          <c:order val="21"/>
          <c:tx>
            <c:v>t=10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F-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c:v>
              </c:pt>
              <c:pt idx="1">
                <c:v>9.4334500278774112</c:v>
              </c:pt>
            </c:numLit>
          </c:xVal>
          <c:yVal>
            <c:numLit>
              <c:formatCode>General</c:formatCode>
              <c:ptCount val="2"/>
              <c:pt idx="0">
                <c:v>0</c:v>
              </c:pt>
              <c:pt idx="1">
                <c:v>7.6606084940231802E-3</c:v>
              </c:pt>
            </c:numLit>
          </c:yVal>
          <c:smooth val="0"/>
          <c:extLst>
            <c:ext xmlns:c16="http://schemas.microsoft.com/office/drawing/2014/chart" uri="{C3380CC4-5D6E-409C-BE32-E72D297353CC}">
              <c16:uniqueId val="{00000020-67A1-4D40-AEC6-2C3001124BF4}"/>
            </c:ext>
          </c:extLst>
        </c:ser>
        <c:ser>
          <c:idx val="22"/>
          <c:order val="22"/>
          <c:tx>
            <c:v>t=11</c:v>
          </c:tx>
          <c:spPr>
            <a:ln w="3175">
              <a:solidFill>
                <a:srgbClr val="3366FF"/>
              </a:solidFill>
              <a:prstDash val="solid"/>
            </a:ln>
          </c:spPr>
          <c:marker>
            <c:symbol val="none"/>
          </c:marker>
          <c:xVal>
            <c:numLit>
              <c:formatCode>General</c:formatCode>
              <c:ptCount val="2"/>
              <c:pt idx="0">
                <c:v>11</c:v>
              </c:pt>
              <c:pt idx="1">
                <c:v>10.408979273270996</c:v>
              </c:pt>
            </c:numLit>
          </c:xVal>
          <c:yVal>
            <c:numLit>
              <c:formatCode>General</c:formatCode>
              <c:ptCount val="2"/>
              <c:pt idx="0">
                <c:v>0</c:v>
              </c:pt>
              <c:pt idx="1">
                <c:v>8.1963999323046207E-3</c:v>
              </c:pt>
            </c:numLit>
          </c:yVal>
          <c:smooth val="0"/>
          <c:extLst>
            <c:ext xmlns:c16="http://schemas.microsoft.com/office/drawing/2014/chart" uri="{C3380CC4-5D6E-409C-BE32-E72D297353CC}">
              <c16:uniqueId val="{00000021-67A1-4D40-AEC6-2C3001124BF4}"/>
            </c:ext>
          </c:extLst>
        </c:ser>
        <c:ser>
          <c:idx val="23"/>
          <c:order val="23"/>
          <c:tx>
            <c:v>t=12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2-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c:v>
              </c:pt>
              <c:pt idx="1">
                <c:v>11.384149975978485</c:v>
              </c:pt>
            </c:numLit>
          </c:xVal>
          <c:yVal>
            <c:numLit>
              <c:formatCode>General</c:formatCode>
              <c:ptCount val="2"/>
              <c:pt idx="0">
                <c:v>0</c:v>
              </c:pt>
              <c:pt idx="1">
                <c:v>8.7654941166616408E-3</c:v>
              </c:pt>
            </c:numLit>
          </c:yVal>
          <c:smooth val="0"/>
          <c:extLst>
            <c:ext xmlns:c16="http://schemas.microsoft.com/office/drawing/2014/chart" uri="{C3380CC4-5D6E-409C-BE32-E72D297353CC}">
              <c16:uniqueId val="{00000023-67A1-4D40-AEC6-2C3001124BF4}"/>
            </c:ext>
          </c:extLst>
        </c:ser>
        <c:ser>
          <c:idx val="24"/>
          <c:order val="24"/>
          <c:tx>
            <c:v>t=13</c:v>
          </c:tx>
          <c:spPr>
            <a:ln w="3175">
              <a:solidFill>
                <a:srgbClr val="3366FF"/>
              </a:solidFill>
              <a:prstDash val="solid"/>
            </a:ln>
          </c:spPr>
          <c:marker>
            <c:symbol val="none"/>
          </c:marker>
          <c:xVal>
            <c:numLit>
              <c:formatCode>General</c:formatCode>
              <c:ptCount val="2"/>
              <c:pt idx="0">
                <c:v>13</c:v>
              </c:pt>
              <c:pt idx="1">
                <c:v>12.359021518730225</c:v>
              </c:pt>
            </c:numLit>
          </c:xVal>
          <c:yVal>
            <c:numLit>
              <c:formatCode>General</c:formatCode>
              <c:ptCount val="2"/>
              <c:pt idx="0">
                <c:v>0</c:v>
              </c:pt>
              <c:pt idx="1">
                <c:v>9.3697232222812107E-3</c:v>
              </c:pt>
            </c:numLit>
          </c:yVal>
          <c:smooth val="0"/>
          <c:extLst>
            <c:ext xmlns:c16="http://schemas.microsoft.com/office/drawing/2014/chart" uri="{C3380CC4-5D6E-409C-BE32-E72D297353CC}">
              <c16:uniqueId val="{00000024-67A1-4D40-AEC6-2C3001124BF4}"/>
            </c:ext>
          </c:extLst>
        </c:ser>
        <c:ser>
          <c:idx val="25"/>
          <c:order val="25"/>
          <c:tx>
            <c:v>t=14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5-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c:v>
              </c:pt>
              <c:pt idx="1">
                <c:v>13.333660721764184</c:v>
              </c:pt>
            </c:numLit>
          </c:xVal>
          <c:yVal>
            <c:numLit>
              <c:formatCode>General</c:formatCode>
              <c:ptCount val="2"/>
              <c:pt idx="0">
                <c:v>0</c:v>
              </c:pt>
              <c:pt idx="1">
                <c:v>1.00110112590387E-2</c:v>
              </c:pt>
            </c:numLit>
          </c:yVal>
          <c:smooth val="0"/>
          <c:extLst>
            <c:ext xmlns:c16="http://schemas.microsoft.com/office/drawing/2014/chart" uri="{C3380CC4-5D6E-409C-BE32-E72D297353CC}">
              <c16:uniqueId val="{00000026-67A1-4D40-AEC6-2C3001124BF4}"/>
            </c:ext>
          </c:extLst>
        </c:ser>
        <c:ser>
          <c:idx val="26"/>
          <c:order val="26"/>
          <c:tx>
            <c:v>t=15</c:v>
          </c:tx>
          <c:spPr>
            <a:ln w="3175">
              <a:solidFill>
                <a:srgbClr val="3366FF"/>
              </a:solidFill>
              <a:prstDash val="solid"/>
            </a:ln>
          </c:spPr>
          <c:marker>
            <c:symbol val="none"/>
          </c:marker>
          <c:xVal>
            <c:numLit>
              <c:formatCode>General</c:formatCode>
              <c:ptCount val="2"/>
              <c:pt idx="0">
                <c:v>15</c:v>
              </c:pt>
              <c:pt idx="1">
                <c:v>14.308142384050464</c:v>
              </c:pt>
            </c:numLit>
          </c:xVal>
          <c:yVal>
            <c:numLit>
              <c:formatCode>General</c:formatCode>
              <c:ptCount val="2"/>
              <c:pt idx="0">
                <c:v>0</c:v>
              </c:pt>
              <c:pt idx="1">
                <c:v>1.06913788271157E-2</c:v>
              </c:pt>
            </c:numLit>
          </c:yVal>
          <c:smooth val="0"/>
          <c:extLst>
            <c:ext xmlns:c16="http://schemas.microsoft.com/office/drawing/2014/chart" uri="{C3380CC4-5D6E-409C-BE32-E72D297353CC}">
              <c16:uniqueId val="{00000027-67A1-4D40-AEC6-2C3001124BF4}"/>
            </c:ext>
          </c:extLst>
        </c:ser>
        <c:ser>
          <c:idx val="27"/>
          <c:order val="27"/>
          <c:tx>
            <c:v>t=16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8-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c:v>
              </c:pt>
              <c:pt idx="1">
                <c:v>15.282549857324684</c:v>
              </c:pt>
            </c:numLit>
          </c:xVal>
          <c:yVal>
            <c:numLit>
              <c:formatCode>General</c:formatCode>
              <c:ptCount val="2"/>
              <c:pt idx="0">
                <c:v>0</c:v>
              </c:pt>
              <c:pt idx="1">
                <c:v>1.14129481899331E-2</c:v>
              </c:pt>
            </c:numLit>
          </c:yVal>
          <c:smooth val="0"/>
          <c:extLst>
            <c:ext xmlns:c16="http://schemas.microsoft.com/office/drawing/2014/chart" uri="{C3380CC4-5D6E-409C-BE32-E72D297353CC}">
              <c16:uniqueId val="{00000029-67A1-4D40-AEC6-2C3001124BF4}"/>
            </c:ext>
          </c:extLst>
        </c:ser>
        <c:ser>
          <c:idx val="28"/>
          <c:order val="28"/>
          <c:tx>
            <c:v>t=17</c:v>
          </c:tx>
          <c:spPr>
            <a:ln w="3175">
              <a:solidFill>
                <a:srgbClr val="3366FF"/>
              </a:solidFill>
              <a:prstDash val="solid"/>
            </a:ln>
          </c:spPr>
          <c:marker>
            <c:symbol val="none"/>
          </c:marker>
          <c:xVal>
            <c:numLit>
              <c:formatCode>General</c:formatCode>
              <c:ptCount val="2"/>
              <c:pt idx="0">
                <c:v>17</c:v>
              </c:pt>
              <c:pt idx="1">
                <c:v>16.256975655314989</c:v>
              </c:pt>
            </c:numLit>
          </c:xVal>
          <c:yVal>
            <c:numLit>
              <c:formatCode>General</c:formatCode>
              <c:ptCount val="2"/>
              <c:pt idx="0">
                <c:v>0</c:v>
              </c:pt>
              <c:pt idx="1">
                <c:v>1.2177948692621701E-2</c:v>
              </c:pt>
            </c:numLit>
          </c:yVal>
          <c:smooth val="0"/>
          <c:extLst>
            <c:ext xmlns:c16="http://schemas.microsoft.com/office/drawing/2014/chart" uri="{C3380CC4-5D6E-409C-BE32-E72D297353CC}">
              <c16:uniqueId val="{0000002A-67A1-4D40-AEC6-2C3001124BF4}"/>
            </c:ext>
          </c:extLst>
        </c:ser>
        <c:ser>
          <c:idx val="29"/>
          <c:order val="29"/>
          <c:tx>
            <c:v>t=18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B-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c:v>
              </c:pt>
              <c:pt idx="1">
                <c:v>17.231522100796575</c:v>
              </c:pt>
            </c:numLit>
          </c:xVal>
          <c:yVal>
            <c:numLit>
              <c:formatCode>General</c:formatCode>
              <c:ptCount val="2"/>
              <c:pt idx="0">
                <c:v>0</c:v>
              </c:pt>
              <c:pt idx="1">
                <c:v>1.29887225571009E-2</c:v>
              </c:pt>
            </c:numLit>
          </c:yVal>
          <c:smooth val="0"/>
          <c:extLst>
            <c:ext xmlns:c16="http://schemas.microsoft.com/office/drawing/2014/chart" uri="{C3380CC4-5D6E-409C-BE32-E72D297353CC}">
              <c16:uniqueId val="{0000002C-67A1-4D40-AEC6-2C3001124BF4}"/>
            </c:ext>
          </c:extLst>
        </c:ser>
        <c:ser>
          <c:idx val="30"/>
          <c:order val="30"/>
          <c:tx>
            <c:v>t=19</c:v>
          </c:tx>
          <c:spPr>
            <a:ln w="3175">
              <a:solidFill>
                <a:srgbClr val="3366FF"/>
              </a:solidFill>
              <a:prstDash val="solid"/>
            </a:ln>
          </c:spPr>
          <c:marker>
            <c:symbol val="none"/>
          </c:marker>
          <c:xVal>
            <c:numLit>
              <c:formatCode>General</c:formatCode>
              <c:ptCount val="2"/>
              <c:pt idx="0">
                <c:v>19</c:v>
              </c:pt>
              <c:pt idx="1">
                <c:v>18.206302013385109</c:v>
              </c:pt>
            </c:numLit>
          </c:xVal>
          <c:yVal>
            <c:numLit>
              <c:formatCode>General</c:formatCode>
              <c:ptCount val="2"/>
              <c:pt idx="0">
                <c:v>0</c:v>
              </c:pt>
              <c:pt idx="1">
                <c:v>1.38477310880087E-2</c:v>
              </c:pt>
            </c:numLit>
          </c:yVal>
          <c:smooth val="0"/>
          <c:extLst>
            <c:ext xmlns:c16="http://schemas.microsoft.com/office/drawing/2014/chart" uri="{C3380CC4-5D6E-409C-BE32-E72D297353CC}">
              <c16:uniqueId val="{0000002D-67A1-4D40-AEC6-2C3001124BF4}"/>
            </c:ext>
          </c:extLst>
        </c:ser>
        <c:ser>
          <c:idx val="31"/>
          <c:order val="31"/>
          <c:tx>
            <c:v>t=20</c:v>
          </c:tx>
          <c:spPr>
            <a:ln w="3175">
              <a:solidFill>
                <a:srgbClr val="3366FF"/>
              </a:solidFill>
              <a:prstDash val="solid"/>
            </a:ln>
          </c:spPr>
          <c:marker>
            <c:symbol val="none"/>
          </c:marker>
          <c:dLbls>
            <c:dLbl>
              <c:idx val="0"/>
              <c:layout>
                <c:manualLayout>
                  <c:x val="-1.5625000000000062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E-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c:v>
              </c:pt>
              <c:pt idx="1">
                <c:v>19.181439441292415</c:v>
              </c:pt>
            </c:numLit>
          </c:xVal>
          <c:yVal>
            <c:numLit>
              <c:formatCode>General</c:formatCode>
              <c:ptCount val="2"/>
              <c:pt idx="0">
                <c:v>0</c:v>
              </c:pt>
              <c:pt idx="1">
                <c:v>1.4757561327237099E-2</c:v>
              </c:pt>
            </c:numLit>
          </c:yVal>
          <c:smooth val="0"/>
          <c:extLst>
            <c:ext xmlns:c16="http://schemas.microsoft.com/office/drawing/2014/chart" uri="{C3380CC4-5D6E-409C-BE32-E72D297353CC}">
              <c16:uniqueId val="{0000002F-67A1-4D40-AEC6-2C3001124BF4}"/>
            </c:ext>
          </c:extLst>
        </c:ser>
        <c:ser>
          <c:idx val="32"/>
          <c:order val="32"/>
          <c:tx>
            <c:v>t=21</c:v>
          </c:tx>
          <c:spPr>
            <a:ln w="3175">
              <a:solidFill>
                <a:srgbClr val="3366FF"/>
              </a:solidFill>
              <a:prstDash val="solid"/>
            </a:ln>
          </c:spPr>
          <c:marker>
            <c:symbol val="none"/>
          </c:marker>
          <c:xVal>
            <c:numLit>
              <c:formatCode>General</c:formatCode>
              <c:ptCount val="2"/>
              <c:pt idx="0">
                <c:v>21</c:v>
              </c:pt>
              <c:pt idx="1">
                <c:v>20.157070440615996</c:v>
              </c:pt>
            </c:numLit>
          </c:xVal>
          <c:yVal>
            <c:numLit>
              <c:formatCode>General</c:formatCode>
              <c:ptCount val="2"/>
              <c:pt idx="0">
                <c:v>0</c:v>
              </c:pt>
              <c:pt idx="1">
                <c:v>1.5720933198744999E-2</c:v>
              </c:pt>
            </c:numLit>
          </c:yVal>
          <c:smooth val="0"/>
          <c:extLst>
            <c:ext xmlns:c16="http://schemas.microsoft.com/office/drawing/2014/chart" uri="{C3380CC4-5D6E-409C-BE32-E72D297353CC}">
              <c16:uniqueId val="{00000030-67A1-4D40-AEC6-2C3001124BF4}"/>
            </c:ext>
          </c:extLst>
        </c:ser>
        <c:ser>
          <c:idx val="33"/>
          <c:order val="33"/>
          <c:tx>
            <c:v>t=22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1-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c:v>
              </c:pt>
              <c:pt idx="1">
                <c:v>21.133343906124988</c:v>
              </c:pt>
            </c:numLit>
          </c:xVal>
          <c:yVal>
            <c:numLit>
              <c:formatCode>General</c:formatCode>
              <c:ptCount val="2"/>
              <c:pt idx="0">
                <c:v>0</c:v>
              </c:pt>
              <c:pt idx="1">
                <c:v>1.6740707189674801E-2</c:v>
              </c:pt>
            </c:numLit>
          </c:yVal>
          <c:smooth val="0"/>
          <c:extLst>
            <c:ext xmlns:c16="http://schemas.microsoft.com/office/drawing/2014/chart" uri="{C3380CC4-5D6E-409C-BE32-E72D297353CC}">
              <c16:uniqueId val="{00000032-67A1-4D40-AEC6-2C3001124BF4}"/>
            </c:ext>
          </c:extLst>
        </c:ser>
        <c:ser>
          <c:idx val="34"/>
          <c:order val="34"/>
          <c:tx>
            <c:v>t=23</c:v>
          </c:tx>
          <c:spPr>
            <a:ln w="3175">
              <a:solidFill>
                <a:srgbClr val="3366FF"/>
              </a:solidFill>
              <a:prstDash val="solid"/>
            </a:ln>
          </c:spPr>
          <c:marker>
            <c:symbol val="none"/>
          </c:marker>
          <c:xVal>
            <c:numLit>
              <c:formatCode>General</c:formatCode>
              <c:ptCount val="2"/>
              <c:pt idx="0">
                <c:v>23</c:v>
              </c:pt>
              <c:pt idx="1">
                <c:v>22.110422457943038</c:v>
              </c:pt>
            </c:numLit>
          </c:xVal>
          <c:yVal>
            <c:numLit>
              <c:formatCode>General</c:formatCode>
              <c:ptCount val="2"/>
              <c:pt idx="0">
                <c:v>0</c:v>
              </c:pt>
              <c:pt idx="1">
                <c:v>1.7819892618663902E-2</c:v>
              </c:pt>
            </c:numLit>
          </c:yVal>
          <c:smooth val="0"/>
          <c:extLst>
            <c:ext xmlns:c16="http://schemas.microsoft.com/office/drawing/2014/chart" uri="{C3380CC4-5D6E-409C-BE32-E72D297353CC}">
              <c16:uniqueId val="{00000033-67A1-4D40-AEC6-2C3001124BF4}"/>
            </c:ext>
          </c:extLst>
        </c:ser>
        <c:ser>
          <c:idx val="35"/>
          <c:order val="35"/>
          <c:tx>
            <c:v>t=24</c:v>
          </c:tx>
          <c:spPr>
            <a:ln w="3175">
              <a:solidFill>
                <a:srgbClr val="3366FF"/>
              </a:solidFill>
              <a:prstDash val="solid"/>
            </a:ln>
          </c:spPr>
          <c:marker>
            <c:symbol val="none"/>
          </c:marker>
          <c:dLbls>
            <c:dLbl>
              <c:idx val="0"/>
              <c:layout>
                <c:manualLayout>
                  <c:x val="-1.5625000000000062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4-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c:v>
              </c:pt>
              <c:pt idx="1">
                <c:v>23.088483389020521</c:v>
              </c:pt>
            </c:numLit>
          </c:xVal>
          <c:yVal>
            <c:numLit>
              <c:formatCode>General</c:formatCode>
              <c:ptCount val="2"/>
              <c:pt idx="0">
                <c:v>0</c:v>
              </c:pt>
              <c:pt idx="1">
                <c:v>1.8961656547670701E-2</c:v>
              </c:pt>
            </c:numLit>
          </c:yVal>
          <c:smooth val="0"/>
          <c:extLst>
            <c:ext xmlns:c16="http://schemas.microsoft.com/office/drawing/2014/chart" uri="{C3380CC4-5D6E-409C-BE32-E72D297353CC}">
              <c16:uniqueId val="{00000035-67A1-4D40-AEC6-2C3001124BF4}"/>
            </c:ext>
          </c:extLst>
        </c:ser>
        <c:ser>
          <c:idx val="36"/>
          <c:order val="36"/>
          <c:tx>
            <c:v>t=25</c:v>
          </c:tx>
          <c:spPr>
            <a:ln w="3175">
              <a:solidFill>
                <a:srgbClr val="3366FF"/>
              </a:solidFill>
              <a:prstDash val="solid"/>
            </a:ln>
          </c:spPr>
          <c:marker>
            <c:symbol val="none"/>
          </c:marker>
          <c:xVal>
            <c:numLit>
              <c:formatCode>General</c:formatCode>
              <c:ptCount val="2"/>
              <c:pt idx="0">
                <c:v>25</c:v>
              </c:pt>
              <c:pt idx="1">
                <c:v>24.067719678840422</c:v>
              </c:pt>
            </c:numLit>
          </c:xVal>
          <c:yVal>
            <c:numLit>
              <c:formatCode>General</c:formatCode>
              <c:ptCount val="2"/>
              <c:pt idx="0">
                <c:v>0</c:v>
              </c:pt>
              <c:pt idx="1">
                <c:v>2.0169333399710401E-2</c:v>
              </c:pt>
            </c:numLit>
          </c:yVal>
          <c:smooth val="0"/>
          <c:extLst>
            <c:ext xmlns:c16="http://schemas.microsoft.com/office/drawing/2014/chart" uri="{C3380CC4-5D6E-409C-BE32-E72D297353CC}">
              <c16:uniqueId val="{00000036-67A1-4D40-AEC6-2C3001124BF4}"/>
            </c:ext>
          </c:extLst>
        </c:ser>
        <c:ser>
          <c:idx val="37"/>
          <c:order val="37"/>
          <c:tx>
            <c:v>t=26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7-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c:v>
              </c:pt>
              <c:pt idx="1">
                <c:v>25.048321472690549</c:v>
              </c:pt>
            </c:numLit>
          </c:xVal>
          <c:yVal>
            <c:numLit>
              <c:formatCode>General</c:formatCode>
              <c:ptCount val="2"/>
              <c:pt idx="0">
                <c:v>0</c:v>
              </c:pt>
              <c:pt idx="1">
                <c:v>2.14468772059432E-2</c:v>
              </c:pt>
            </c:numLit>
          </c:yVal>
          <c:smooth val="0"/>
          <c:extLst>
            <c:ext xmlns:c16="http://schemas.microsoft.com/office/drawing/2014/chart" uri="{C3380CC4-5D6E-409C-BE32-E72D297353CC}">
              <c16:uniqueId val="{00000038-67A1-4D40-AEC6-2C3001124BF4}"/>
            </c:ext>
          </c:extLst>
        </c:ser>
        <c:ser>
          <c:idx val="38"/>
          <c:order val="38"/>
          <c:tx>
            <c:v>t=27</c:v>
          </c:tx>
          <c:spPr>
            <a:ln w="3175">
              <a:solidFill>
                <a:srgbClr val="3366FF"/>
              </a:solidFill>
              <a:prstDash val="solid"/>
            </a:ln>
          </c:spPr>
          <c:marker>
            <c:symbol val="none"/>
          </c:marker>
          <c:xVal>
            <c:numLit>
              <c:formatCode>General</c:formatCode>
              <c:ptCount val="2"/>
              <c:pt idx="0">
                <c:v>27</c:v>
              </c:pt>
              <c:pt idx="1">
                <c:v>26.030535251824297</c:v>
              </c:pt>
            </c:numLit>
          </c:xVal>
          <c:yVal>
            <c:numLit>
              <c:formatCode>General</c:formatCode>
              <c:ptCount val="2"/>
              <c:pt idx="0">
                <c:v>0</c:v>
              </c:pt>
              <c:pt idx="1">
                <c:v>2.2797604877624101E-2</c:v>
              </c:pt>
            </c:numLit>
          </c:yVal>
          <c:smooth val="0"/>
          <c:extLst>
            <c:ext xmlns:c16="http://schemas.microsoft.com/office/drawing/2014/chart" uri="{C3380CC4-5D6E-409C-BE32-E72D297353CC}">
              <c16:uniqueId val="{00000039-67A1-4D40-AEC6-2C3001124BF4}"/>
            </c:ext>
          </c:extLst>
        </c:ser>
        <c:ser>
          <c:idx val="39"/>
          <c:order val="39"/>
          <c:tx>
            <c:v>t=28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A-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c:v>
              </c:pt>
              <c:pt idx="1">
                <c:v>27.014607998719534</c:v>
              </c:pt>
            </c:numLit>
          </c:xVal>
          <c:yVal>
            <c:numLit>
              <c:formatCode>General</c:formatCode>
              <c:ptCount val="2"/>
              <c:pt idx="0">
                <c:v>0</c:v>
              </c:pt>
              <c:pt idx="1">
                <c:v>2.42254240784005E-2</c:v>
              </c:pt>
            </c:numLit>
          </c:yVal>
          <c:smooth val="0"/>
          <c:extLst>
            <c:ext xmlns:c16="http://schemas.microsoft.com/office/drawing/2014/chart" uri="{C3380CC4-5D6E-409C-BE32-E72D297353CC}">
              <c16:uniqueId val="{0000003B-67A1-4D40-AEC6-2C3001124BF4}"/>
            </c:ext>
          </c:extLst>
        </c:ser>
        <c:ser>
          <c:idx val="40"/>
          <c:order val="40"/>
          <c:tx>
            <c:v>t=29</c:v>
          </c:tx>
          <c:spPr>
            <a:ln w="3175">
              <a:solidFill>
                <a:srgbClr val="3366FF"/>
              </a:solidFill>
              <a:prstDash val="solid"/>
            </a:ln>
          </c:spPr>
          <c:marker>
            <c:symbol val="none"/>
          </c:marker>
          <c:xVal>
            <c:numLit>
              <c:formatCode>General</c:formatCode>
              <c:ptCount val="2"/>
              <c:pt idx="0">
                <c:v>29</c:v>
              </c:pt>
              <c:pt idx="1">
                <c:v>28.000807254075738</c:v>
              </c:pt>
            </c:numLit>
          </c:xVal>
          <c:yVal>
            <c:numLit>
              <c:formatCode>General</c:formatCode>
              <c:ptCount val="2"/>
              <c:pt idx="0">
                <c:v>0</c:v>
              </c:pt>
              <c:pt idx="1">
                <c:v>2.5734457306702801E-2</c:v>
              </c:pt>
            </c:numLit>
          </c:yVal>
          <c:smooth val="0"/>
          <c:extLst>
            <c:ext xmlns:c16="http://schemas.microsoft.com/office/drawing/2014/chart" uri="{C3380CC4-5D6E-409C-BE32-E72D297353CC}">
              <c16:uniqueId val="{0000003C-67A1-4D40-AEC6-2C3001124BF4}"/>
            </c:ext>
          </c:extLst>
        </c:ser>
        <c:ser>
          <c:idx val="41"/>
          <c:order val="41"/>
          <c:tx>
            <c:v>t=30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D-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c:v>
              </c:pt>
              <c:pt idx="1">
                <c:v>28.989422570672435</c:v>
              </c:pt>
            </c:numLit>
          </c:xVal>
          <c:yVal>
            <c:numLit>
              <c:formatCode>General</c:formatCode>
              <c:ptCount val="2"/>
              <c:pt idx="0">
                <c:v>0</c:v>
              </c:pt>
              <c:pt idx="1">
                <c:v>2.73290562877294E-2</c:v>
              </c:pt>
            </c:numLit>
          </c:yVal>
          <c:smooth val="0"/>
          <c:extLst>
            <c:ext xmlns:c16="http://schemas.microsoft.com/office/drawing/2014/chart" uri="{C3380CC4-5D6E-409C-BE32-E72D297353CC}">
              <c16:uniqueId val="{0000003E-67A1-4D40-AEC6-2C3001124BF4}"/>
            </c:ext>
          </c:extLst>
        </c:ser>
        <c:ser>
          <c:idx val="42"/>
          <c:order val="42"/>
          <c:tx>
            <c:v>t=31</c:v>
          </c:tx>
          <c:spPr>
            <a:ln w="3175">
              <a:solidFill>
                <a:srgbClr val="3366FF"/>
              </a:solidFill>
              <a:prstDash val="solid"/>
            </a:ln>
          </c:spPr>
          <c:marker>
            <c:symbol val="none"/>
          </c:marker>
          <c:xVal>
            <c:numLit>
              <c:formatCode>General</c:formatCode>
              <c:ptCount val="2"/>
              <c:pt idx="0">
                <c:v>31</c:v>
              </c:pt>
              <c:pt idx="1">
                <c:v>29.98076708258969</c:v>
              </c:pt>
            </c:numLit>
          </c:xVal>
          <c:yVal>
            <c:numLit>
              <c:formatCode>General</c:formatCode>
              <c:ptCount val="2"/>
              <c:pt idx="0">
                <c:v>0</c:v>
              </c:pt>
              <c:pt idx="1">
                <c:v>2.9013817626337601E-2</c:v>
              </c:pt>
            </c:numLit>
          </c:yVal>
          <c:smooth val="0"/>
          <c:extLst>
            <c:ext xmlns:c16="http://schemas.microsoft.com/office/drawing/2014/chart" uri="{C3380CC4-5D6E-409C-BE32-E72D297353CC}">
              <c16:uniqueId val="{0000003F-67A1-4D40-AEC6-2C3001124BF4}"/>
            </c:ext>
          </c:extLst>
        </c:ser>
        <c:ser>
          <c:idx val="43"/>
          <c:order val="43"/>
          <c:tx>
            <c:v>t=32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0-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c:v>
              </c:pt>
              <c:pt idx="1">
                <c:v>30.975179201690683</c:v>
              </c:pt>
            </c:numLit>
          </c:xVal>
          <c:yVal>
            <c:numLit>
              <c:formatCode>General</c:formatCode>
              <c:ptCount val="2"/>
              <c:pt idx="0">
                <c:v>0</c:v>
              </c:pt>
              <c:pt idx="1">
                <c:v>3.0793599853619201E-2</c:v>
              </c:pt>
            </c:numLit>
          </c:yVal>
          <c:smooth val="0"/>
          <c:extLst>
            <c:ext xmlns:c16="http://schemas.microsoft.com/office/drawing/2014/chart" uri="{C3380CC4-5D6E-409C-BE32-E72D297353CC}">
              <c16:uniqueId val="{00000041-67A1-4D40-AEC6-2C3001124BF4}"/>
            </c:ext>
          </c:extLst>
        </c:ser>
        <c:ser>
          <c:idx val="44"/>
          <c:order val="44"/>
          <c:tx>
            <c:v>t=33</c:v>
          </c:tx>
          <c:spPr>
            <a:ln w="3175">
              <a:solidFill>
                <a:srgbClr val="3366FF"/>
              </a:solidFill>
              <a:prstDash val="solid"/>
            </a:ln>
          </c:spPr>
          <c:marker>
            <c:symbol val="none"/>
          </c:marker>
          <c:xVal>
            <c:numLit>
              <c:formatCode>General</c:formatCode>
              <c:ptCount val="2"/>
              <c:pt idx="0">
                <c:v>33</c:v>
              </c:pt>
              <c:pt idx="1">
                <c:v>31.973024454731338</c:v>
              </c:pt>
            </c:numLit>
          </c:xVal>
          <c:yVal>
            <c:numLit>
              <c:formatCode>General</c:formatCode>
              <c:ptCount val="2"/>
              <c:pt idx="0">
                <c:v>0</c:v>
              </c:pt>
              <c:pt idx="1">
                <c:v>3.2673542015821698E-2</c:v>
              </c:pt>
            </c:numLit>
          </c:yVal>
          <c:smooth val="0"/>
          <c:extLst>
            <c:ext xmlns:c16="http://schemas.microsoft.com/office/drawing/2014/chart" uri="{C3380CC4-5D6E-409C-BE32-E72D297353CC}">
              <c16:uniqueId val="{00000042-67A1-4D40-AEC6-2C3001124BF4}"/>
            </c:ext>
          </c:extLst>
        </c:ser>
        <c:ser>
          <c:idx val="45"/>
          <c:order val="45"/>
          <c:tx>
            <c:v>t=34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3-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c:v>
              </c:pt>
              <c:pt idx="1">
                <c:v>32.994194831013921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4-67A1-4D40-AEC6-2C3001124BF4}"/>
            </c:ext>
          </c:extLst>
        </c:ser>
        <c:ser>
          <c:idx val="46"/>
          <c:order val="46"/>
          <c:tx>
            <c:v>t=35</c:v>
          </c:tx>
          <c:spPr>
            <a:ln w="3175">
              <a:solidFill>
                <a:srgbClr val="3366FF"/>
              </a:solidFill>
              <a:prstDash val="solid"/>
            </a:ln>
          </c:spPr>
          <c:marker>
            <c:symbol val="none"/>
          </c:marker>
          <c:xVal>
            <c:numLit>
              <c:formatCode>General</c:formatCode>
              <c:ptCount val="2"/>
              <c:pt idx="0">
                <c:v>35</c:v>
              </c:pt>
              <c:pt idx="1">
                <c:v>34.05705765407555</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5-67A1-4D40-AEC6-2C3001124BF4}"/>
            </c:ext>
          </c:extLst>
        </c:ser>
        <c:ser>
          <c:idx val="47"/>
          <c:order val="47"/>
          <c:tx>
            <c:v>t=36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6-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36</c:v>
              </c:pt>
              <c:pt idx="1">
                <c:v>35.119920477137178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7-67A1-4D40-AEC6-2C3001124BF4}"/>
            </c:ext>
          </c:extLst>
        </c:ser>
        <c:ser>
          <c:idx val="48"/>
          <c:order val="48"/>
          <c:tx>
            <c:v>t=37</c:v>
          </c:tx>
          <c:spPr>
            <a:ln w="3175">
              <a:solidFill>
                <a:srgbClr val="3366FF"/>
              </a:solidFill>
              <a:prstDash val="solid"/>
            </a:ln>
          </c:spPr>
          <c:marker>
            <c:symbol val="none"/>
          </c:marker>
          <c:xVal>
            <c:numLit>
              <c:formatCode>General</c:formatCode>
              <c:ptCount val="2"/>
              <c:pt idx="0">
                <c:v>37</c:v>
              </c:pt>
              <c:pt idx="1">
                <c:v>36.182783300198807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8-67A1-4D40-AEC6-2C3001124BF4}"/>
            </c:ext>
          </c:extLst>
        </c:ser>
        <c:ser>
          <c:idx val="49"/>
          <c:order val="49"/>
          <c:tx>
            <c:v>t=38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9-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c:v>
              </c:pt>
              <c:pt idx="1">
                <c:v>37.245646123260443</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A-67A1-4D40-AEC6-2C3001124BF4}"/>
            </c:ext>
          </c:extLst>
        </c:ser>
        <c:ser>
          <c:idx val="50"/>
          <c:order val="50"/>
          <c:tx>
            <c:v>t=39</c:v>
          </c:tx>
          <c:spPr>
            <a:ln w="3175">
              <a:solidFill>
                <a:srgbClr val="3366FF"/>
              </a:solidFill>
              <a:prstDash val="solid"/>
            </a:ln>
          </c:spPr>
          <c:marker>
            <c:symbol val="none"/>
          </c:marker>
          <c:xVal>
            <c:numLit>
              <c:formatCode>General</c:formatCode>
              <c:ptCount val="2"/>
              <c:pt idx="0">
                <c:v>39</c:v>
              </c:pt>
              <c:pt idx="1">
                <c:v>38.308508946322071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B-67A1-4D40-AEC6-2C3001124BF4}"/>
            </c:ext>
          </c:extLst>
        </c:ser>
        <c:ser>
          <c:idx val="51"/>
          <c:order val="51"/>
          <c:tx>
            <c:v>t=40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C-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40</c:v>
              </c:pt>
              <c:pt idx="1">
                <c:v>39.3713717693837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D-67A1-4D40-AEC6-2C3001124BF4}"/>
            </c:ext>
          </c:extLst>
        </c:ser>
        <c:ser>
          <c:idx val="52"/>
          <c:order val="52"/>
          <c:tx>
            <c:v>t=41</c:v>
          </c:tx>
          <c:spPr>
            <a:ln w="3175">
              <a:solidFill>
                <a:srgbClr val="3366FF"/>
              </a:solidFill>
              <a:prstDash val="solid"/>
            </a:ln>
          </c:spPr>
          <c:marker>
            <c:symbol val="none"/>
          </c:marker>
          <c:xVal>
            <c:numLit>
              <c:formatCode>General</c:formatCode>
              <c:ptCount val="2"/>
              <c:pt idx="0">
                <c:v>41</c:v>
              </c:pt>
              <c:pt idx="1">
                <c:v>40.434234592445328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E-67A1-4D40-AEC6-2C3001124BF4}"/>
            </c:ext>
          </c:extLst>
        </c:ser>
        <c:ser>
          <c:idx val="53"/>
          <c:order val="53"/>
          <c:tx>
            <c:v>t=42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F-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c:v>
              </c:pt>
              <c:pt idx="1">
                <c:v>41.497097415506957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0-67A1-4D40-AEC6-2C3001124BF4}"/>
            </c:ext>
          </c:extLst>
        </c:ser>
        <c:ser>
          <c:idx val="54"/>
          <c:order val="54"/>
          <c:tx>
            <c:v>t=43</c:v>
          </c:tx>
          <c:spPr>
            <a:ln w="3175">
              <a:solidFill>
                <a:srgbClr val="3366FF"/>
              </a:solidFill>
              <a:prstDash val="solid"/>
            </a:ln>
          </c:spPr>
          <c:marker>
            <c:symbol val="none"/>
          </c:marker>
          <c:xVal>
            <c:numLit>
              <c:formatCode>General</c:formatCode>
              <c:ptCount val="2"/>
              <c:pt idx="0">
                <c:v>43</c:v>
              </c:pt>
              <c:pt idx="1">
                <c:v>42.559960238568586</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1-67A1-4D40-AEC6-2C3001124BF4}"/>
            </c:ext>
          </c:extLst>
        </c:ser>
        <c:ser>
          <c:idx val="55"/>
          <c:order val="55"/>
          <c:tx>
            <c:v>t=44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2-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44</c:v>
              </c:pt>
              <c:pt idx="1">
                <c:v>43.622823061630221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3-67A1-4D40-AEC6-2C3001124BF4}"/>
            </c:ext>
          </c:extLst>
        </c:ser>
        <c:ser>
          <c:idx val="56"/>
          <c:order val="56"/>
          <c:tx>
            <c:v>t=45</c:v>
          </c:tx>
          <c:spPr>
            <a:ln w="3175">
              <a:solidFill>
                <a:srgbClr val="3366FF"/>
              </a:solidFill>
              <a:prstDash val="solid"/>
            </a:ln>
          </c:spPr>
          <c:marker>
            <c:symbol val="none"/>
          </c:marker>
          <c:xVal>
            <c:numLit>
              <c:formatCode>General</c:formatCode>
              <c:ptCount val="2"/>
              <c:pt idx="0">
                <c:v>45</c:v>
              </c:pt>
              <c:pt idx="1">
                <c:v>44.68568588469185</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4-67A1-4D40-AEC6-2C3001124BF4}"/>
            </c:ext>
          </c:extLst>
        </c:ser>
        <c:ser>
          <c:idx val="57"/>
          <c:order val="57"/>
          <c:tx>
            <c:v>t=46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5-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46</c:v>
              </c:pt>
              <c:pt idx="1">
                <c:v>45.748548707753478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6-67A1-4D40-AEC6-2C3001124BF4}"/>
            </c:ext>
          </c:extLst>
        </c:ser>
        <c:ser>
          <c:idx val="58"/>
          <c:order val="58"/>
          <c:tx>
            <c:v>t=47</c:v>
          </c:tx>
          <c:spPr>
            <a:ln w="3175">
              <a:solidFill>
                <a:srgbClr val="3366FF"/>
              </a:solidFill>
              <a:prstDash val="solid"/>
            </a:ln>
          </c:spPr>
          <c:marker>
            <c:symbol val="none"/>
          </c:marker>
          <c:xVal>
            <c:numLit>
              <c:formatCode>General</c:formatCode>
              <c:ptCount val="2"/>
              <c:pt idx="0">
                <c:v>47</c:v>
              </c:pt>
              <c:pt idx="1">
                <c:v>46.811411530815114</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7-67A1-4D40-AEC6-2C3001124BF4}"/>
            </c:ext>
          </c:extLst>
        </c:ser>
        <c:ser>
          <c:idx val="59"/>
          <c:order val="59"/>
          <c:tx>
            <c:v>t=48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8-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48</c:v>
              </c:pt>
              <c:pt idx="1">
                <c:v>47.874274353876743</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9-67A1-4D40-AEC6-2C3001124BF4}"/>
            </c:ext>
          </c:extLst>
        </c:ser>
        <c:ser>
          <c:idx val="60"/>
          <c:order val="60"/>
          <c:tx>
            <c:v>t=49</c:v>
          </c:tx>
          <c:spPr>
            <a:ln w="3175">
              <a:solidFill>
                <a:srgbClr val="3366FF"/>
              </a:solidFill>
              <a:prstDash val="solid"/>
            </a:ln>
          </c:spPr>
          <c:marker>
            <c:symbol val="none"/>
          </c:marker>
          <c:xVal>
            <c:numLit>
              <c:formatCode>General</c:formatCode>
              <c:ptCount val="2"/>
              <c:pt idx="0">
                <c:v>49</c:v>
              </c:pt>
              <c:pt idx="1">
                <c:v>48.937137176938371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A-67A1-4D40-AEC6-2C3001124BF4}"/>
            </c:ext>
          </c:extLst>
        </c:ser>
        <c:ser>
          <c:idx val="61"/>
          <c:order val="61"/>
          <c:tx>
            <c:v>t=50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B-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50</c:v>
              </c:pt>
              <c:pt idx="1">
                <c:v>50.000000000000007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C-67A1-4D40-AEC6-2C3001124BF4}"/>
            </c:ext>
          </c:extLst>
        </c:ser>
        <c:ser>
          <c:idx val="62"/>
          <c:order val="62"/>
          <c:tx>
            <c:v/>
          </c:tx>
          <c:spPr>
            <a:ln w="3175">
              <a:solidFill>
                <a:srgbClr val="000000"/>
              </a:solidFill>
              <a:prstDash val="solid"/>
            </a:ln>
          </c:spPr>
          <c:marker>
            <c:symbol val="none"/>
          </c:marker>
          <c:xVal>
            <c:numLit>
              <c:formatCode>General</c:formatCode>
              <c:ptCount val="2"/>
              <c:pt idx="0">
                <c:v>-10.178000000000001</c:v>
              </c:pt>
              <c:pt idx="1">
                <c:v>-10.178000000000001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D-67A1-4D40-AEC6-2C3001124BF4}"/>
            </c:ext>
          </c:extLst>
        </c:ser>
        <c:ser>
          <c:idx val="63"/>
          <c:order val="63"/>
          <c:tx>
            <c:v/>
          </c:tx>
          <c:spPr>
            <a:ln w="3175">
              <a:solidFill>
                <a:srgbClr val="000000"/>
              </a:solidFill>
              <a:prstDash val="solid"/>
            </a:ln>
          </c:spPr>
          <c:marker>
            <c:symbol val="none"/>
          </c:marker>
          <c:xVal>
            <c:numLit>
              <c:formatCode>General</c:formatCode>
              <c:ptCount val="2"/>
              <c:pt idx="0">
                <c:v>50.8</c:v>
              </c:pt>
              <c:pt idx="1">
                <c:v>50.8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E-67A1-4D40-AEC6-2C3001124BF4}"/>
            </c:ext>
          </c:extLst>
        </c:ser>
        <c:ser>
          <c:idx val="64"/>
          <c:order val="64"/>
          <c:tx>
            <c:v>乾球温度座標軸ラベル</c:v>
          </c:tx>
          <c:spPr>
            <a:ln w="3175">
              <a:solidFill>
                <a:srgbClr val="000000"/>
              </a:solidFill>
              <a:prstDash val="solid"/>
            </a:ln>
          </c:spPr>
          <c:marker>
            <c:symbol val="none"/>
          </c:marker>
          <c:dLbls>
            <c:dLbl>
              <c:idx val="0"/>
              <c:layout>
                <c:manualLayout>
                  <c:x val="-5.8711040026246782E-2"/>
                  <c:y val="2.6068376068376069E-2"/>
                </c:manualLayout>
              </c:layout>
              <c:tx>
                <c:rich>
                  <a:bodyPr rot="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乾球温度 </a:t>
                    </a:r>
                    <a:r>
                      <a:rPr lang="en-US"/>
                      <a:t>t[℃]</a:t>
                    </a:r>
                  </a:p>
                </c:rich>
              </c:tx>
              <c:spPr>
                <a:solidFill>
                  <a:srgbClr val="FFFFFF"/>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F-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22</c:v>
              </c:pt>
            </c:numLit>
          </c:xVal>
          <c:yVal>
            <c:numLit>
              <c:formatCode>General</c:formatCode>
              <c:ptCount val="1"/>
              <c:pt idx="0">
                <c:v>-3.3333333333333332E-4</c:v>
              </c:pt>
            </c:numLit>
          </c:yVal>
          <c:smooth val="0"/>
          <c:extLst>
            <c:ext xmlns:c16="http://schemas.microsoft.com/office/drawing/2014/chart" uri="{C3380CC4-5D6E-409C-BE32-E72D297353CC}">
              <c16:uniqueId val="{00000060-67A1-4D40-AEC6-2C3001124BF4}"/>
            </c:ext>
          </c:extLst>
        </c:ser>
        <c:ser>
          <c:idx val="65"/>
          <c:order val="65"/>
          <c:tx>
            <c:v>WB=-8</c:v>
          </c:tx>
          <c:spPr>
            <a:ln w="3175">
              <a:solidFill>
                <a:srgbClr val="3366FF"/>
              </a:solidFill>
              <a:prstDash val="sysDash"/>
            </a:ln>
          </c:spPr>
          <c:marker>
            <c:symbol val="none"/>
          </c:marker>
          <c:dLbls>
            <c:dLbl>
              <c:idx val="0"/>
              <c:layout>
                <c:manualLayout>
                  <c:x val="-2.73093011811023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1-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-8.2055155451094635</c:v>
              </c:pt>
              <c:pt idx="1">
                <c:v>-2.5964270935913616</c:v>
              </c:pt>
            </c:numLit>
          </c:xVal>
          <c:yVal>
            <c:numLit>
              <c:formatCode>General</c:formatCode>
              <c:ptCount val="2"/>
              <c:pt idx="0">
                <c:v>1.9164686538757729E-3</c:v>
              </c:pt>
              <c:pt idx="1">
                <c:v>0</c:v>
              </c:pt>
            </c:numLit>
          </c:yVal>
          <c:smooth val="0"/>
          <c:extLst>
            <c:ext xmlns:c16="http://schemas.microsoft.com/office/drawing/2014/chart" uri="{C3380CC4-5D6E-409C-BE32-E72D297353CC}">
              <c16:uniqueId val="{00000062-67A1-4D40-AEC6-2C3001124BF4}"/>
            </c:ext>
          </c:extLst>
        </c:ser>
        <c:ser>
          <c:idx val="66"/>
          <c:order val="66"/>
          <c:tx>
            <c:v>WB=-7</c:v>
          </c:tx>
          <c:spPr>
            <a:ln w="3175">
              <a:solidFill>
                <a:srgbClr val="3366FF"/>
              </a:solidFill>
              <a:prstDash val="sysDash"/>
            </a:ln>
          </c:spPr>
          <c:marker>
            <c:symbol val="none"/>
          </c:marker>
          <c:dLbls>
            <c:dLbl>
              <c:idx val="0"/>
              <c:layout>
                <c:manualLayout>
                  <c:x val="-2.73093011811023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3-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-7.22041332968442</c:v>
              </c:pt>
              <c:pt idx="1">
                <c:v>-1.1035359511019402</c:v>
              </c:pt>
            </c:numLit>
          </c:xVal>
          <c:yVal>
            <c:numLit>
              <c:formatCode>General</c:formatCode>
              <c:ptCount val="2"/>
              <c:pt idx="0">
                <c:v>2.0914526472602013E-3</c:v>
              </c:pt>
              <c:pt idx="1">
                <c:v>0</c:v>
              </c:pt>
            </c:numLit>
          </c:yVal>
          <c:smooth val="0"/>
          <c:extLst>
            <c:ext xmlns:c16="http://schemas.microsoft.com/office/drawing/2014/chart" uri="{C3380CC4-5D6E-409C-BE32-E72D297353CC}">
              <c16:uniqueId val="{00000064-67A1-4D40-AEC6-2C3001124BF4}"/>
            </c:ext>
          </c:extLst>
        </c:ser>
        <c:ser>
          <c:idx val="67"/>
          <c:order val="67"/>
          <c:tx>
            <c:v>WB=-6</c:v>
          </c:tx>
          <c:spPr>
            <a:ln w="3175">
              <a:solidFill>
                <a:srgbClr val="3366FF"/>
              </a:solidFill>
              <a:prstDash val="sysDash"/>
            </a:ln>
          </c:spPr>
          <c:marker>
            <c:symbol val="none"/>
          </c:marker>
          <c:dLbls>
            <c:dLbl>
              <c:idx val="0"/>
              <c:layout>
                <c:manualLayout>
                  <c:x val="-2.730930118110237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5-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-6.2361685593886982</c:v>
              </c:pt>
              <c:pt idx="1">
                <c:v>0.43023773127142068</c:v>
              </c:pt>
            </c:numLit>
          </c:xVal>
          <c:yVal>
            <c:numLit>
              <c:formatCode>General</c:formatCode>
              <c:ptCount val="2"/>
              <c:pt idx="0">
                <c:v>2.2809674610698065E-3</c:v>
              </c:pt>
              <c:pt idx="1">
                <c:v>0</c:v>
              </c:pt>
            </c:numLit>
          </c:yVal>
          <c:smooth val="0"/>
          <c:extLst>
            <c:ext xmlns:c16="http://schemas.microsoft.com/office/drawing/2014/chart" uri="{C3380CC4-5D6E-409C-BE32-E72D297353CC}">
              <c16:uniqueId val="{00000066-67A1-4D40-AEC6-2C3001124BF4}"/>
            </c:ext>
          </c:extLst>
        </c:ser>
        <c:ser>
          <c:idx val="68"/>
          <c:order val="68"/>
          <c:tx>
            <c:v>WB=-5</c:v>
          </c:tx>
          <c:spPr>
            <a:ln w="3175">
              <a:solidFill>
                <a:srgbClr val="3366FF"/>
              </a:solidFill>
              <a:prstDash val="sysDash"/>
            </a:ln>
          </c:spPr>
          <c:marker>
            <c:symbol val="none"/>
          </c:marker>
          <c:dLbls>
            <c:dLbl>
              <c:idx val="0"/>
              <c:layout>
                <c:manualLayout>
                  <c:x val="-2.7309301181102363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7-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-5.2528112525852375</c:v>
              </c:pt>
              <c:pt idx="1">
                <c:v>2.007950163121949</c:v>
              </c:pt>
            </c:numLit>
          </c:xVal>
          <c:yVal>
            <c:numLit>
              <c:formatCode>General</c:formatCode>
              <c:ptCount val="2"/>
              <c:pt idx="0">
                <c:v>2.4861008807502316E-3</c:v>
              </c:pt>
              <c:pt idx="1">
                <c:v>0</c:v>
              </c:pt>
            </c:numLit>
          </c:yVal>
          <c:smooth val="0"/>
          <c:extLst>
            <c:ext xmlns:c16="http://schemas.microsoft.com/office/drawing/2014/chart" uri="{C3380CC4-5D6E-409C-BE32-E72D297353CC}">
              <c16:uniqueId val="{00000068-67A1-4D40-AEC6-2C3001124BF4}"/>
            </c:ext>
          </c:extLst>
        </c:ser>
        <c:ser>
          <c:idx val="69"/>
          <c:order val="69"/>
          <c:tx>
            <c:v>WB=-4</c:v>
          </c:tx>
          <c:spPr>
            <a:ln w="3175">
              <a:solidFill>
                <a:srgbClr val="3366FF"/>
              </a:solidFill>
              <a:prstDash val="sysDash"/>
            </a:ln>
          </c:spPr>
          <c:marker>
            <c:symbol val="none"/>
          </c:marker>
          <c:dLbls>
            <c:dLbl>
              <c:idx val="0"/>
              <c:layout>
                <c:manualLayout>
                  <c:x val="-2.730930118110237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9-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-4.2703706848883494</c:v>
              </c:pt>
              <c:pt idx="1">
                <c:v>3.6328626927800842</c:v>
              </c:pt>
            </c:numLit>
          </c:xVal>
          <c:yVal>
            <c:numLit>
              <c:formatCode>General</c:formatCode>
              <c:ptCount val="2"/>
              <c:pt idx="0">
                <c:v>2.7080138291286308E-3</c:v>
              </c:pt>
              <c:pt idx="1">
                <c:v>0</c:v>
              </c:pt>
            </c:numLit>
          </c:yVal>
          <c:smooth val="0"/>
          <c:extLst>
            <c:ext xmlns:c16="http://schemas.microsoft.com/office/drawing/2014/chart" uri="{C3380CC4-5D6E-409C-BE32-E72D297353CC}">
              <c16:uniqueId val="{0000006A-67A1-4D40-AEC6-2C3001124BF4}"/>
            </c:ext>
          </c:extLst>
        </c:ser>
        <c:ser>
          <c:idx val="70"/>
          <c:order val="70"/>
          <c:tx>
            <c:v>WB=-3</c:v>
          </c:tx>
          <c:spPr>
            <a:ln w="3175">
              <a:solidFill>
                <a:srgbClr val="3366FF"/>
              </a:solidFill>
              <a:prstDash val="sysDash"/>
            </a:ln>
          </c:spPr>
          <c:marker>
            <c:symbol val="none"/>
          </c:marker>
          <c:dLbls>
            <c:dLbl>
              <c:idx val="0"/>
              <c:layout>
                <c:manualLayout>
                  <c:x val="-2.7309301181102377E-2"/>
                  <c:y val="-4.2735042735044301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B-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-3.2888751544738279</c:v>
              </c:pt>
              <c:pt idx="1">
                <c:v>5.3084544187917393</c:v>
              </c:pt>
            </c:numLit>
          </c:xVal>
          <c:yVal>
            <c:numLit>
              <c:formatCode>General</c:formatCode>
              <c:ptCount val="2"/>
              <c:pt idx="0">
                <c:v>2.9479448711774276E-3</c:v>
              </c:pt>
              <c:pt idx="1">
                <c:v>0</c:v>
              </c:pt>
            </c:numLit>
          </c:yVal>
          <c:smooth val="0"/>
          <c:extLst>
            <c:ext xmlns:c16="http://schemas.microsoft.com/office/drawing/2014/chart" uri="{C3380CC4-5D6E-409C-BE32-E72D297353CC}">
              <c16:uniqueId val="{0000006C-67A1-4D40-AEC6-2C3001124BF4}"/>
            </c:ext>
          </c:extLst>
        </c:ser>
        <c:ser>
          <c:idx val="71"/>
          <c:order val="71"/>
          <c:tx>
            <c:v>WB=-2</c:v>
          </c:tx>
          <c:spPr>
            <a:ln w="3175">
              <a:solidFill>
                <a:srgbClr val="3366FF"/>
              </a:solidFill>
              <a:prstDash val="sysDash"/>
            </a:ln>
          </c:spPr>
          <c:marker>
            <c:symbol val="none"/>
          </c:marker>
          <c:dLbls>
            <c:dLbl>
              <c:idx val="0"/>
              <c:layout>
                <c:manualLayout>
                  <c:x val="-2.7309301181102363E-2"/>
                  <c:y val="-4.2735042735044301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D-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-2.3083517242375029</c:v>
              </c:pt>
              <c:pt idx="1">
                <c:v>7.0384355813391366</c:v>
              </c:pt>
            </c:numLit>
          </c:xVal>
          <c:yVal>
            <c:numLit>
              <c:formatCode>General</c:formatCode>
              <c:ptCount val="2"/>
              <c:pt idx="0">
                <c:v>3.2072149977556683E-3</c:v>
              </c:pt>
              <c:pt idx="1">
                <c:v>0</c:v>
              </c:pt>
            </c:numLit>
          </c:yVal>
          <c:smooth val="0"/>
          <c:extLst>
            <c:ext xmlns:c16="http://schemas.microsoft.com/office/drawing/2014/chart" uri="{C3380CC4-5D6E-409C-BE32-E72D297353CC}">
              <c16:uniqueId val="{0000006E-67A1-4D40-AEC6-2C3001124BF4}"/>
            </c:ext>
          </c:extLst>
        </c:ser>
        <c:ser>
          <c:idx val="72"/>
          <c:order val="72"/>
          <c:tx>
            <c:v>WB=-1</c:v>
          </c:tx>
          <c:spPr>
            <a:ln w="3175">
              <a:solidFill>
                <a:srgbClr val="3366FF"/>
              </a:solidFill>
              <a:prstDash val="sysDash"/>
            </a:ln>
          </c:spPr>
          <c:marker>
            <c:symbol val="none"/>
          </c:marker>
          <c:dLbls>
            <c:dLbl>
              <c:idx val="0"/>
              <c:layout>
                <c:manualLayout>
                  <c:x val="-2.7309301181102363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F-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-1.3288259391909207</c:v>
              </c:pt>
              <c:pt idx="1">
                <c:v>8.8267617928991733</c:v>
              </c:pt>
            </c:numLit>
          </c:xVal>
          <c:yVal>
            <c:numLit>
              <c:formatCode>General</c:formatCode>
              <c:ptCount val="2"/>
              <c:pt idx="0">
                <c:v>3.4872327095305327E-3</c:v>
              </c:pt>
              <c:pt idx="1">
                <c:v>0</c:v>
              </c:pt>
            </c:numLit>
          </c:yVal>
          <c:smooth val="0"/>
          <c:extLst>
            <c:ext xmlns:c16="http://schemas.microsoft.com/office/drawing/2014/chart" uri="{C3380CC4-5D6E-409C-BE32-E72D297353CC}">
              <c16:uniqueId val="{00000070-67A1-4D40-AEC6-2C3001124BF4}"/>
            </c:ext>
          </c:extLst>
        </c:ser>
        <c:ser>
          <c:idx val="73"/>
          <c:order val="73"/>
          <c:tx>
            <c:v>WB=0</c:v>
          </c:tx>
          <c:spPr>
            <a:ln w="3175">
              <a:solidFill>
                <a:srgbClr val="3366FF"/>
              </a:solidFill>
              <a:prstDash val="sysDash"/>
            </a:ln>
          </c:spPr>
          <c:marker>
            <c:symbol val="none"/>
          </c:marker>
          <c:dLbls>
            <c:dLbl>
              <c:idx val="0"/>
              <c:layout>
                <c:manualLayout>
                  <c:x val="-2.6025399168853925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1-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-0.35032151737137113</c:v>
              </c:pt>
              <c:pt idx="1">
                <c:v>10.677649173557942</c:v>
              </c:pt>
            </c:numLit>
          </c:xVal>
          <c:yVal>
            <c:numLit>
              <c:formatCode>General</c:formatCode>
              <c:ptCount val="2"/>
              <c:pt idx="0">
                <c:v>3.7894994244688104E-3</c:v>
              </c:pt>
              <c:pt idx="1">
                <c:v>0</c:v>
              </c:pt>
            </c:numLit>
          </c:yVal>
          <c:smooth val="0"/>
          <c:extLst>
            <c:ext xmlns:c16="http://schemas.microsoft.com/office/drawing/2014/chart" uri="{C3380CC4-5D6E-409C-BE32-E72D297353CC}">
              <c16:uniqueId val="{00000072-67A1-4D40-AEC6-2C3001124BF4}"/>
            </c:ext>
          </c:extLst>
        </c:ser>
        <c:ser>
          <c:idx val="74"/>
          <c:order val="74"/>
          <c:tx>
            <c:v>WB=1</c:v>
          </c:tx>
          <c:spPr>
            <a:ln w="3175">
              <a:solidFill>
                <a:srgbClr val="3366FF"/>
              </a:solidFill>
              <a:prstDash val="sysDash"/>
            </a:ln>
          </c:spPr>
          <c:marker>
            <c:symbol val="none"/>
          </c:marker>
          <c:dLbls>
            <c:dLbl>
              <c:idx val="0"/>
              <c:layout>
                <c:manualLayout>
                  <c:x val="-2.6166338582677195E-2"/>
                  <c:y val="-4.2735042735044301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3-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0.63072878902048002</c:v>
              </c:pt>
              <c:pt idx="1">
                <c:v>11.123857513967971</c:v>
              </c:pt>
            </c:numLit>
          </c:xVal>
          <c:yVal>
            <c:numLit>
              <c:formatCode>General</c:formatCode>
              <c:ptCount val="2"/>
              <c:pt idx="0">
                <c:v>4.076002175174424E-3</c:v>
              </c:pt>
              <c:pt idx="1">
                <c:v>0</c:v>
              </c:pt>
            </c:numLit>
          </c:yVal>
          <c:smooth val="0"/>
          <c:extLst>
            <c:ext xmlns:c16="http://schemas.microsoft.com/office/drawing/2014/chart" uri="{C3380CC4-5D6E-409C-BE32-E72D297353CC}">
              <c16:uniqueId val="{00000074-67A1-4D40-AEC6-2C3001124BF4}"/>
            </c:ext>
          </c:extLst>
        </c:ser>
        <c:ser>
          <c:idx val="75"/>
          <c:order val="75"/>
          <c:tx>
            <c:v>WB=2</c:v>
          </c:tx>
          <c:spPr>
            <a:ln w="3175">
              <a:solidFill>
                <a:srgbClr val="3366FF"/>
              </a:solidFill>
              <a:prstDash val="sysDash"/>
            </a:ln>
          </c:spPr>
          <c:marker>
            <c:symbol val="none"/>
          </c:marker>
          <c:dLbls>
            <c:dLbl>
              <c:idx val="0"/>
              <c:layout>
                <c:manualLayout>
                  <c:x val="-2.6166338582677164E-2"/>
                  <c:y val="-4.2735042735044301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5-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1.6111719572746135</c:v>
              </c:pt>
              <c:pt idx="1">
                <c:v>12.871977002704231</c:v>
              </c:pt>
            </c:numLit>
          </c:xVal>
          <c:yVal>
            <c:numLit>
              <c:formatCode>General</c:formatCode>
              <c:ptCount val="2"/>
              <c:pt idx="0">
                <c:v>4.3812837251538872E-3</c:v>
              </c:pt>
              <c:pt idx="1">
                <c:v>0</c:v>
              </c:pt>
            </c:numLit>
          </c:yVal>
          <c:smooth val="0"/>
          <c:extLst>
            <c:ext xmlns:c16="http://schemas.microsoft.com/office/drawing/2014/chart" uri="{C3380CC4-5D6E-409C-BE32-E72D297353CC}">
              <c16:uniqueId val="{00000076-67A1-4D40-AEC6-2C3001124BF4}"/>
            </c:ext>
          </c:extLst>
        </c:ser>
        <c:ser>
          <c:idx val="76"/>
          <c:order val="76"/>
          <c:tx>
            <c:v>WB=3</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7-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2.5909827527240186</c:v>
              </c:pt>
              <c:pt idx="1">
                <c:v>14.668931744288928</c:v>
              </c:pt>
            </c:numLit>
          </c:xVal>
          <c:yVal>
            <c:numLit>
              <c:formatCode>General</c:formatCode>
              <c:ptCount val="2"/>
              <c:pt idx="0">
                <c:v>4.7068331132422495E-3</c:v>
              </c:pt>
              <c:pt idx="1">
                <c:v>0</c:v>
              </c:pt>
            </c:numLit>
          </c:yVal>
          <c:smooth val="0"/>
          <c:extLst>
            <c:ext xmlns:c16="http://schemas.microsoft.com/office/drawing/2014/chart" uri="{C3380CC4-5D6E-409C-BE32-E72D297353CC}">
              <c16:uniqueId val="{00000078-67A1-4D40-AEC6-2C3001124BF4}"/>
            </c:ext>
          </c:extLst>
        </c:ser>
        <c:ser>
          <c:idx val="77"/>
          <c:order val="77"/>
          <c:tx>
            <c:v>WB=4</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9-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3.5701735744985212</c:v>
              </c:pt>
              <c:pt idx="1">
                <c:v>16.517493982191819</c:v>
              </c:pt>
            </c:numLit>
          </c:xVal>
          <c:yVal>
            <c:numLit>
              <c:formatCode>General</c:formatCode>
              <c:ptCount val="2"/>
              <c:pt idx="0">
                <c:v>5.0538263680982628E-3</c:v>
              </c:pt>
              <c:pt idx="1">
                <c:v>0</c:v>
              </c:pt>
            </c:numLit>
          </c:yVal>
          <c:smooth val="0"/>
          <c:extLst>
            <c:ext xmlns:c16="http://schemas.microsoft.com/office/drawing/2014/chart" uri="{C3380CC4-5D6E-409C-BE32-E72D297353CC}">
              <c16:uniqueId val="{0000007A-67A1-4D40-AEC6-2C3001124BF4}"/>
            </c:ext>
          </c:extLst>
        </c:ser>
        <c:ser>
          <c:idx val="78"/>
          <c:order val="78"/>
          <c:tx>
            <c:v>WB=5</c:v>
          </c:tx>
          <c:spPr>
            <a:ln w="3175">
              <a:solidFill>
                <a:srgbClr val="3366FF"/>
              </a:solidFill>
              <a:prstDash val="sysDash"/>
            </a:ln>
          </c:spPr>
          <c:marker>
            <c:symbol val="none"/>
          </c:marker>
          <c:dLbls>
            <c:dLbl>
              <c:idx val="0"/>
              <c:layout>
                <c:manualLayout>
                  <c:x val="-2.6166338582677195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B-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4.5487605635344499</c:v>
              </c:pt>
              <c:pt idx="1">
                <c:v>18.420572472571656</c:v>
              </c:pt>
            </c:numLit>
          </c:xVal>
          <c:yVal>
            <c:numLit>
              <c:formatCode>General</c:formatCode>
              <c:ptCount val="2"/>
              <c:pt idx="0">
                <c:v>5.4234990810554818E-3</c:v>
              </c:pt>
              <c:pt idx="1">
                <c:v>0</c:v>
              </c:pt>
            </c:numLit>
          </c:yVal>
          <c:smooth val="0"/>
          <c:extLst>
            <c:ext xmlns:c16="http://schemas.microsoft.com/office/drawing/2014/chart" uri="{C3380CC4-5D6E-409C-BE32-E72D297353CC}">
              <c16:uniqueId val="{0000007C-67A1-4D40-AEC6-2C3001124BF4}"/>
            </c:ext>
          </c:extLst>
        </c:ser>
        <c:ser>
          <c:idx val="79"/>
          <c:order val="79"/>
          <c:tx>
            <c:v>WB=6</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D-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5.5267544089063207</c:v>
              </c:pt>
              <c:pt idx="1">
                <c:v>20.381507916128903</c:v>
              </c:pt>
            </c:numLit>
          </c:xVal>
          <c:yVal>
            <c:numLit>
              <c:formatCode>General</c:formatCode>
              <c:ptCount val="2"/>
              <c:pt idx="0">
                <c:v>5.8172661857312045E-3</c:v>
              </c:pt>
              <c:pt idx="1">
                <c:v>0</c:v>
              </c:pt>
            </c:numLit>
          </c:yVal>
          <c:smooth val="0"/>
          <c:extLst>
            <c:ext xmlns:c16="http://schemas.microsoft.com/office/drawing/2014/chart" uri="{C3380CC4-5D6E-409C-BE32-E72D297353CC}">
              <c16:uniqueId val="{0000007E-67A1-4D40-AEC6-2C3001124BF4}"/>
            </c:ext>
          </c:extLst>
        </c:ser>
        <c:ser>
          <c:idx val="80"/>
          <c:order val="80"/>
          <c:tx>
            <c:v>WB=7</c:v>
          </c:tx>
          <c:spPr>
            <a:ln w="3175">
              <a:solidFill>
                <a:srgbClr val="3366FF"/>
              </a:solidFill>
              <a:prstDash val="sysDash"/>
            </a:ln>
          </c:spPr>
          <c:marker>
            <c:symbol val="none"/>
          </c:marker>
          <c:dLbls>
            <c:dLbl>
              <c:idx val="0"/>
              <c:layout>
                <c:manualLayout>
                  <c:x val="-2.6166338582677195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F-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6.5041883174927406</c:v>
              </c:pt>
              <c:pt idx="1">
                <c:v>22.403253465067159</c:v>
              </c:pt>
            </c:numLit>
          </c:xVal>
          <c:yVal>
            <c:numLit>
              <c:formatCode>General</c:formatCode>
              <c:ptCount val="2"/>
              <c:pt idx="0">
                <c:v>6.236391005280101E-3</c:v>
              </c:pt>
              <c:pt idx="1">
                <c:v>0</c:v>
              </c:pt>
            </c:numLit>
          </c:yVal>
          <c:smooth val="0"/>
          <c:extLst>
            <c:ext xmlns:c16="http://schemas.microsoft.com/office/drawing/2014/chart" uri="{C3380CC4-5D6E-409C-BE32-E72D297353CC}">
              <c16:uniqueId val="{00000080-67A1-4D40-AEC6-2C3001124BF4}"/>
            </c:ext>
          </c:extLst>
        </c:ser>
        <c:ser>
          <c:idx val="81"/>
          <c:order val="81"/>
          <c:tx>
            <c:v>WB=8</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1-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7.481091633037142</c:v>
              </c:pt>
              <c:pt idx="1">
                <c:v>24.489170236580446</c:v>
              </c:pt>
            </c:numLit>
          </c:xVal>
          <c:yVal>
            <c:numLit>
              <c:formatCode>General</c:formatCode>
              <c:ptCount val="2"/>
              <c:pt idx="0">
                <c:v>6.6823069273506883E-3</c:v>
              </c:pt>
              <c:pt idx="1">
                <c:v>0</c:v>
              </c:pt>
            </c:numLit>
          </c:yVal>
          <c:smooth val="0"/>
          <c:extLst>
            <c:ext xmlns:c16="http://schemas.microsoft.com/office/drawing/2014/chart" uri="{C3380CC4-5D6E-409C-BE32-E72D297353CC}">
              <c16:uniqueId val="{00000082-67A1-4D40-AEC6-2C3001124BF4}"/>
            </c:ext>
          </c:extLst>
        </c:ser>
        <c:ser>
          <c:idx val="82"/>
          <c:order val="82"/>
          <c:tx>
            <c:v>WB=9</c:v>
          </c:tx>
          <c:spPr>
            <a:ln w="3175">
              <a:solidFill>
                <a:srgbClr val="3366FF"/>
              </a:solidFill>
              <a:prstDash val="sysDash"/>
            </a:ln>
          </c:spPr>
          <c:marker>
            <c:symbol val="none"/>
          </c:marker>
          <c:dLbls>
            <c:dLbl>
              <c:idx val="0"/>
              <c:layout>
                <c:manualLayout>
                  <c:x val="-2.616633858267723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3-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8.4574988517709855</c:v>
              </c:pt>
              <c:pt idx="1">
                <c:v>26.642783276734082</c:v>
              </c:pt>
            </c:numLit>
          </c:xVal>
          <c:yVal>
            <c:numLit>
              <c:formatCode>General</c:formatCode>
              <c:ptCount val="2"/>
              <c:pt idx="0">
                <c:v>7.156519212147776E-3</c:v>
              </c:pt>
              <c:pt idx="1">
                <c:v>0</c:v>
              </c:pt>
            </c:numLit>
          </c:yVal>
          <c:smooth val="0"/>
          <c:extLst>
            <c:ext xmlns:c16="http://schemas.microsoft.com/office/drawing/2014/chart" uri="{C3380CC4-5D6E-409C-BE32-E72D297353CC}">
              <c16:uniqueId val="{00000084-67A1-4D40-AEC6-2C3001124BF4}"/>
            </c:ext>
          </c:extLst>
        </c:ser>
        <c:ser>
          <c:idx val="83"/>
          <c:order val="83"/>
          <c:tx>
            <c:v>WB=10</c:v>
          </c:tx>
          <c:spPr>
            <a:ln w="3175">
              <a:solidFill>
                <a:srgbClr val="3366FF"/>
              </a:solidFill>
              <a:prstDash val="sysDash"/>
            </a:ln>
          </c:spPr>
          <c:marker>
            <c:symbol val="none"/>
          </c:marker>
          <c:dLbls>
            <c:dLbl>
              <c:idx val="0"/>
              <c:layout>
                <c:manualLayout>
                  <c:x val="-2.7592683727034186E-2"/>
                  <c:y val="-4.273504273504195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5-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9.4334500278774112</c:v>
              </c:pt>
              <c:pt idx="1">
                <c:v>28.867789353857855</c:v>
              </c:pt>
            </c:numLit>
          </c:xVal>
          <c:yVal>
            <c:numLit>
              <c:formatCode>General</c:formatCode>
              <c:ptCount val="2"/>
              <c:pt idx="0">
                <c:v>7.6606084940231836E-3</c:v>
              </c:pt>
              <c:pt idx="1">
                <c:v>0</c:v>
              </c:pt>
            </c:numLit>
          </c:yVal>
          <c:smooth val="0"/>
          <c:extLst>
            <c:ext xmlns:c16="http://schemas.microsoft.com/office/drawing/2014/chart" uri="{C3380CC4-5D6E-409C-BE32-E72D297353CC}">
              <c16:uniqueId val="{00000086-67A1-4D40-AEC6-2C3001124BF4}"/>
            </c:ext>
          </c:extLst>
        </c:ser>
        <c:ser>
          <c:idx val="84"/>
          <c:order val="84"/>
          <c:tx>
            <c:v>WB=11</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7-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10.408979273270996</c:v>
              </c:pt>
              <c:pt idx="1">
                <c:v>31.168472308176845</c:v>
              </c:pt>
            </c:numLit>
          </c:xVal>
          <c:yVal>
            <c:numLit>
              <c:formatCode>General</c:formatCode>
              <c:ptCount val="2"/>
              <c:pt idx="0">
                <c:v>8.196399932304619E-3</c:v>
              </c:pt>
              <c:pt idx="1">
                <c:v>0</c:v>
              </c:pt>
            </c:numLit>
          </c:yVal>
          <c:smooth val="0"/>
          <c:extLst>
            <c:ext xmlns:c16="http://schemas.microsoft.com/office/drawing/2014/chart" uri="{C3380CC4-5D6E-409C-BE32-E72D297353CC}">
              <c16:uniqueId val="{00000088-67A1-4D40-AEC6-2C3001124BF4}"/>
            </c:ext>
          </c:extLst>
        </c:ser>
        <c:ser>
          <c:idx val="85"/>
          <c:order val="85"/>
          <c:tx>
            <c:v>WB=12</c:v>
          </c:tx>
          <c:spPr>
            <a:ln w="3175">
              <a:solidFill>
                <a:srgbClr val="3366FF"/>
              </a:solidFill>
              <a:prstDash val="sysDash"/>
            </a:ln>
          </c:spPr>
          <c:marker>
            <c:symbol val="none"/>
          </c:marker>
          <c:dLbls>
            <c:dLbl>
              <c:idx val="0"/>
              <c:layout>
                <c:manualLayout>
                  <c:x val="-2.7592683727034186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9-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11.384149975978485</c:v>
              </c:pt>
              <c:pt idx="1">
                <c:v>33.548547031795728</c:v>
              </c:pt>
            </c:numLit>
          </c:xVal>
          <c:yVal>
            <c:numLit>
              <c:formatCode>General</c:formatCode>
              <c:ptCount val="2"/>
              <c:pt idx="0">
                <c:v>8.7654941166616391E-3</c:v>
              </c:pt>
              <c:pt idx="1">
                <c:v>0</c:v>
              </c:pt>
            </c:numLit>
          </c:yVal>
          <c:smooth val="0"/>
          <c:extLst>
            <c:ext xmlns:c16="http://schemas.microsoft.com/office/drawing/2014/chart" uri="{C3380CC4-5D6E-409C-BE32-E72D297353CC}">
              <c16:uniqueId val="{0000008A-67A1-4D40-AEC6-2C3001124BF4}"/>
            </c:ext>
          </c:extLst>
        </c:ser>
        <c:ser>
          <c:idx val="86"/>
          <c:order val="86"/>
          <c:tx>
            <c:v>WB=13</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B-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12.359021518730225</c:v>
              </c:pt>
              <c:pt idx="1">
                <c:v>36.012282393767372</c:v>
              </c:pt>
            </c:numLit>
          </c:xVal>
          <c:yVal>
            <c:numLit>
              <c:formatCode>General</c:formatCode>
              <c:ptCount val="2"/>
              <c:pt idx="0">
                <c:v>9.3697232222812125E-3</c:v>
              </c:pt>
              <c:pt idx="1">
                <c:v>0</c:v>
              </c:pt>
            </c:numLit>
          </c:yVal>
          <c:smooth val="0"/>
          <c:extLst>
            <c:ext xmlns:c16="http://schemas.microsoft.com/office/drawing/2014/chart" uri="{C3380CC4-5D6E-409C-BE32-E72D297353CC}">
              <c16:uniqueId val="{0000008C-67A1-4D40-AEC6-2C3001124BF4}"/>
            </c:ext>
          </c:extLst>
        </c:ser>
        <c:ser>
          <c:idx val="87"/>
          <c:order val="87"/>
          <c:tx>
            <c:v>WB=14</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D-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13.333660721764184</c:v>
              </c:pt>
              <c:pt idx="1">
                <c:v>38.564155654290701</c:v>
              </c:pt>
            </c:numLit>
          </c:xVal>
          <c:yVal>
            <c:numLit>
              <c:formatCode>General</c:formatCode>
              <c:ptCount val="2"/>
              <c:pt idx="0">
                <c:v>1.0011011259038697E-2</c:v>
              </c:pt>
              <c:pt idx="1">
                <c:v>0</c:v>
              </c:pt>
            </c:numLit>
          </c:yVal>
          <c:smooth val="0"/>
          <c:extLst>
            <c:ext xmlns:c16="http://schemas.microsoft.com/office/drawing/2014/chart" uri="{C3380CC4-5D6E-409C-BE32-E72D297353CC}">
              <c16:uniqueId val="{0000008E-67A1-4D40-AEC6-2C3001124BF4}"/>
            </c:ext>
          </c:extLst>
        </c:ser>
        <c:ser>
          <c:idx val="88"/>
          <c:order val="88"/>
          <c:tx>
            <c:v>WB=15</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F-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14.308142384050468</c:v>
              </c:pt>
              <c:pt idx="1">
                <c:v>41.208863060972398</c:v>
              </c:pt>
            </c:numLit>
          </c:xVal>
          <c:yVal>
            <c:numLit>
              <c:formatCode>General</c:formatCode>
              <c:ptCount val="2"/>
              <c:pt idx="0">
                <c:v>1.0691378827115674E-2</c:v>
              </c:pt>
              <c:pt idx="1">
                <c:v>0</c:v>
              </c:pt>
            </c:numLit>
          </c:yVal>
          <c:smooth val="0"/>
          <c:extLst>
            <c:ext xmlns:c16="http://schemas.microsoft.com/office/drawing/2014/chart" uri="{C3380CC4-5D6E-409C-BE32-E72D297353CC}">
              <c16:uniqueId val="{00000090-67A1-4D40-AEC6-2C3001124BF4}"/>
            </c:ext>
          </c:extLst>
        </c:ser>
        <c:ser>
          <c:idx val="89"/>
          <c:order val="89"/>
          <c:tx>
            <c:v>WB=16</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1-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15.28254985732468</c:v>
              </c:pt>
              <c:pt idx="1">
                <c:v>43.951331156248742</c:v>
              </c:pt>
            </c:numLit>
          </c:xVal>
          <c:yVal>
            <c:numLit>
              <c:formatCode>General</c:formatCode>
              <c:ptCount val="2"/>
              <c:pt idx="0">
                <c:v>1.1412948189933141E-2</c:v>
              </c:pt>
              <c:pt idx="1">
                <c:v>0</c:v>
              </c:pt>
            </c:numLit>
          </c:yVal>
          <c:smooth val="0"/>
          <c:extLst>
            <c:ext xmlns:c16="http://schemas.microsoft.com/office/drawing/2014/chart" uri="{C3380CC4-5D6E-409C-BE32-E72D297353CC}">
              <c16:uniqueId val="{00000092-67A1-4D40-AEC6-2C3001124BF4}"/>
            </c:ext>
          </c:extLst>
        </c:ser>
        <c:ser>
          <c:idx val="90"/>
          <c:order val="90"/>
          <c:tx>
            <c:v>WB=17</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3-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16.256975655314989</c:v>
              </c:pt>
              <c:pt idx="1">
                <c:v>46.796728859883913</c:v>
              </c:pt>
            </c:numLit>
          </c:xVal>
          <c:yVal>
            <c:numLit>
              <c:formatCode>General</c:formatCode>
              <c:ptCount val="2"/>
              <c:pt idx="0">
                <c:v>1.2177948692621697E-2</c:v>
              </c:pt>
              <c:pt idx="1">
                <c:v>0</c:v>
              </c:pt>
            </c:numLit>
          </c:yVal>
          <c:smooth val="0"/>
          <c:extLst>
            <c:ext xmlns:c16="http://schemas.microsoft.com/office/drawing/2014/chart" uri="{C3380CC4-5D6E-409C-BE32-E72D297353CC}">
              <c16:uniqueId val="{00000094-67A1-4D40-AEC6-2C3001124BF4}"/>
            </c:ext>
          </c:extLst>
        </c:ser>
        <c:ser>
          <c:idx val="91"/>
          <c:order val="91"/>
          <c:tx>
            <c:v>WB=18</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5-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17.231522100796575</c:v>
              </c:pt>
              <c:pt idx="1">
                <c:v>49.750480396907207</c:v>
              </c:pt>
            </c:numLit>
          </c:xVal>
          <c:yVal>
            <c:numLit>
              <c:formatCode>General</c:formatCode>
              <c:ptCount val="2"/>
              <c:pt idx="0">
                <c:v>1.29887225571009E-2</c:v>
              </c:pt>
              <c:pt idx="1">
                <c:v>0</c:v>
              </c:pt>
            </c:numLit>
          </c:yVal>
          <c:smooth val="0"/>
          <c:extLst>
            <c:ext xmlns:c16="http://schemas.microsoft.com/office/drawing/2014/chart" uri="{C3380CC4-5D6E-409C-BE32-E72D297353CC}">
              <c16:uniqueId val="{00000096-67A1-4D40-AEC6-2C3001124BF4}"/>
            </c:ext>
          </c:extLst>
        </c:ser>
        <c:ser>
          <c:idx val="92"/>
          <c:order val="92"/>
          <c:tx>
            <c:v>WB=19</c:v>
          </c:tx>
          <c:spPr>
            <a:ln w="3175">
              <a:solidFill>
                <a:srgbClr val="3366FF"/>
              </a:solidFill>
              <a:prstDash val="sysDash"/>
            </a:ln>
          </c:spPr>
          <c:marker>
            <c:symbol val="none"/>
          </c:marker>
          <c:dLbls>
            <c:dLbl>
              <c:idx val="0"/>
              <c:layout>
                <c:manualLayout>
                  <c:x val="-2.7592683727034186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7-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18.206302013385113</c:v>
              </c:pt>
              <c:pt idx="1">
                <c:v>50.000000000000007</c:v>
              </c:pt>
            </c:numLit>
          </c:xVal>
          <c:yVal>
            <c:numLit>
              <c:formatCode>General</c:formatCode>
              <c:ptCount val="2"/>
              <c:pt idx="0">
                <c:v>1.3847731088008679E-2</c:v>
              </c:pt>
              <c:pt idx="1">
                <c:v>1.127551067863415E-3</c:v>
              </c:pt>
            </c:numLit>
          </c:yVal>
          <c:smooth val="0"/>
          <c:extLst>
            <c:ext xmlns:c16="http://schemas.microsoft.com/office/drawing/2014/chart" uri="{C3380CC4-5D6E-409C-BE32-E72D297353CC}">
              <c16:uniqueId val="{00000098-67A1-4D40-AEC6-2C3001124BF4}"/>
            </c:ext>
          </c:extLst>
        </c:ser>
        <c:ser>
          <c:idx val="93"/>
          <c:order val="93"/>
          <c:tx>
            <c:v>WB=20</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9-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19.181439441292415</c:v>
              </c:pt>
              <c:pt idx="1">
                <c:v>50</c:v>
              </c:pt>
            </c:numLit>
          </c:xVal>
          <c:yVal>
            <c:numLit>
              <c:formatCode>General</c:formatCode>
              <c:ptCount val="2"/>
              <c:pt idx="0">
                <c:v>1.4757561327237089E-2</c:v>
              </c:pt>
              <c:pt idx="1">
                <c:v>2.4069582383148052E-3</c:v>
              </c:pt>
            </c:numLit>
          </c:yVal>
          <c:smooth val="0"/>
          <c:extLst>
            <c:ext xmlns:c16="http://schemas.microsoft.com/office/drawing/2014/chart" uri="{C3380CC4-5D6E-409C-BE32-E72D297353CC}">
              <c16:uniqueId val="{0000009A-67A1-4D40-AEC6-2C3001124BF4}"/>
            </c:ext>
          </c:extLst>
        </c:ser>
        <c:ser>
          <c:idx val="94"/>
          <c:order val="94"/>
          <c:tx>
            <c:v>WB=21</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B-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20.157070440616</c:v>
              </c:pt>
              <c:pt idx="1">
                <c:v>50.000000000000007</c:v>
              </c:pt>
            </c:numLit>
          </c:xVal>
          <c:yVal>
            <c:numLit>
              <c:formatCode>General</c:formatCode>
              <c:ptCount val="2"/>
              <c:pt idx="0">
                <c:v>1.5720933198745006E-2</c:v>
              </c:pt>
              <c:pt idx="1">
                <c:v>3.7413398009154331E-3</c:v>
              </c:pt>
            </c:numLit>
          </c:yVal>
          <c:smooth val="0"/>
          <c:extLst>
            <c:ext xmlns:c16="http://schemas.microsoft.com/office/drawing/2014/chart" uri="{C3380CC4-5D6E-409C-BE32-E72D297353CC}">
              <c16:uniqueId val="{0000009C-67A1-4D40-AEC6-2C3001124BF4}"/>
            </c:ext>
          </c:extLst>
        </c:ser>
        <c:ser>
          <c:idx val="95"/>
          <c:order val="95"/>
          <c:tx>
            <c:v>WB=22</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D-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21.133343906124985</c:v>
              </c:pt>
              <c:pt idx="1">
                <c:v>50</c:v>
              </c:pt>
            </c:numLit>
          </c:xVal>
          <c:yVal>
            <c:numLit>
              <c:formatCode>General</c:formatCode>
              <c:ptCount val="2"/>
              <c:pt idx="0">
                <c:v>1.6740707189674783E-2</c:v>
              </c:pt>
              <c:pt idx="1">
                <c:v>5.1336233039210857E-3</c:v>
              </c:pt>
            </c:numLit>
          </c:yVal>
          <c:smooth val="0"/>
          <c:extLst>
            <c:ext xmlns:c16="http://schemas.microsoft.com/office/drawing/2014/chart" uri="{C3380CC4-5D6E-409C-BE32-E72D297353CC}">
              <c16:uniqueId val="{0000009E-67A1-4D40-AEC6-2C3001124BF4}"/>
            </c:ext>
          </c:extLst>
        </c:ser>
        <c:ser>
          <c:idx val="96"/>
          <c:order val="96"/>
          <c:tx>
            <c:v>湿球温度座標軸ラベル</c:v>
          </c:tx>
          <c:spPr>
            <a:ln w="3175">
              <a:solidFill>
                <a:srgbClr val="000000"/>
              </a:solidFill>
              <a:prstDash val="solid"/>
            </a:ln>
          </c:spPr>
          <c:marker>
            <c:symbol val="none"/>
          </c:marker>
          <c:dLbls>
            <c:dLbl>
              <c:idx val="0"/>
              <c:layout>
                <c:manualLayout>
                  <c:x val="-7.0025973315835516E-2"/>
                  <c:y val="-7.8346673280123027E-17"/>
                </c:manualLayout>
              </c:layout>
              <c:tx>
                <c:rich>
                  <a:bodyPr rot="17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湿球温度 </a:t>
                    </a:r>
                    <a:r>
                      <a:rPr lang="en-US"/>
                      <a:t>t' [℃]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9F-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41.627868005036369</c:v>
              </c:pt>
            </c:numLit>
          </c:xVal>
          <c:yVal>
            <c:numLit>
              <c:formatCode>General</c:formatCode>
              <c:ptCount val="1"/>
              <c:pt idx="0">
                <c:v>8.5000000000000006E-3</c:v>
              </c:pt>
            </c:numLit>
          </c:yVal>
          <c:smooth val="0"/>
          <c:extLst>
            <c:ext xmlns:c16="http://schemas.microsoft.com/office/drawing/2014/chart" uri="{C3380CC4-5D6E-409C-BE32-E72D297353CC}">
              <c16:uniqueId val="{000000A0-67A1-4D40-AEC6-2C3001124BF4}"/>
            </c:ext>
          </c:extLst>
        </c:ser>
        <c:ser>
          <c:idx val="97"/>
          <c:order val="97"/>
          <c:tx>
            <c:v>WB=23</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1-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22.110422457943038</c:v>
              </c:pt>
              <c:pt idx="1">
                <c:v>50.000000000000007</c:v>
              </c:pt>
            </c:numLit>
          </c:xVal>
          <c:yVal>
            <c:numLit>
              <c:formatCode>General</c:formatCode>
              <c:ptCount val="2"/>
              <c:pt idx="0">
                <c:v>1.7819892618663919E-2</c:v>
              </c:pt>
              <c:pt idx="1">
                <c:v>6.5868911047607297E-3</c:v>
              </c:pt>
            </c:numLit>
          </c:yVal>
          <c:smooth val="0"/>
          <c:extLst>
            <c:ext xmlns:c16="http://schemas.microsoft.com/office/drawing/2014/chart" uri="{C3380CC4-5D6E-409C-BE32-E72D297353CC}">
              <c16:uniqueId val="{000000A2-67A1-4D40-AEC6-2C3001124BF4}"/>
            </c:ext>
          </c:extLst>
        </c:ser>
        <c:ser>
          <c:idx val="98"/>
          <c:order val="98"/>
          <c:tx>
            <c:v>WB=24</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3-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23.088483389020517</c:v>
              </c:pt>
              <c:pt idx="1">
                <c:v>50</c:v>
              </c:pt>
            </c:numLit>
          </c:xVal>
          <c:yVal>
            <c:numLit>
              <c:formatCode>General</c:formatCode>
              <c:ptCount val="2"/>
              <c:pt idx="0">
                <c:v>1.8961656547670749E-2</c:v>
              </c:pt>
              <c:pt idx="1">
                <c:v>8.1043897142882119E-3</c:v>
              </c:pt>
            </c:numLit>
          </c:yVal>
          <c:smooth val="0"/>
          <c:extLst>
            <c:ext xmlns:c16="http://schemas.microsoft.com/office/drawing/2014/chart" uri="{C3380CC4-5D6E-409C-BE32-E72D297353CC}">
              <c16:uniqueId val="{000000A4-67A1-4D40-AEC6-2C3001124BF4}"/>
            </c:ext>
          </c:extLst>
        </c:ser>
        <c:ser>
          <c:idx val="99"/>
          <c:order val="99"/>
          <c:tx>
            <c:v>WB=25</c:v>
          </c:tx>
          <c:spPr>
            <a:ln w="3175">
              <a:solidFill>
                <a:srgbClr val="3366FF"/>
              </a:solidFill>
              <a:prstDash val="sysDash"/>
            </a:ln>
          </c:spPr>
          <c:marker>
            <c:symbol val="none"/>
          </c:marker>
          <c:dLbls>
            <c:dLbl>
              <c:idx val="0"/>
              <c:layout>
                <c:manualLayout>
                  <c:x val="-2.7678258967629047E-2"/>
                  <c:y val="-4.273504273504352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5-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24.067719678840426</c:v>
              </c:pt>
              <c:pt idx="1">
                <c:v>50</c:v>
              </c:pt>
            </c:numLit>
          </c:xVal>
          <c:yVal>
            <c:numLit>
              <c:formatCode>General</c:formatCode>
              <c:ptCount val="2"/>
              <c:pt idx="0">
                <c:v>2.0169333399710391E-2</c:v>
              </c:pt>
              <c:pt idx="1">
                <c:v>9.6895398780736056E-3</c:v>
              </c:pt>
            </c:numLit>
          </c:yVal>
          <c:smooth val="0"/>
          <c:extLst>
            <c:ext xmlns:c16="http://schemas.microsoft.com/office/drawing/2014/chart" uri="{C3380CC4-5D6E-409C-BE32-E72D297353CC}">
              <c16:uniqueId val="{000000A6-67A1-4D40-AEC6-2C3001124BF4}"/>
            </c:ext>
          </c:extLst>
        </c:ser>
        <c:ser>
          <c:idx val="100"/>
          <c:order val="100"/>
          <c:tx>
            <c:v>WB=26</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7-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25.048321472690553</c:v>
              </c:pt>
              <c:pt idx="1">
                <c:v>50.000000000000007</c:v>
              </c:pt>
            </c:numLit>
          </c:xVal>
          <c:yVal>
            <c:numLit>
              <c:formatCode>General</c:formatCode>
              <c:ptCount val="2"/>
              <c:pt idx="0">
                <c:v>2.1446877205943158E-2</c:v>
              </c:pt>
              <c:pt idx="1">
                <c:v>1.1346381384148981E-2</c:v>
              </c:pt>
            </c:numLit>
          </c:yVal>
          <c:smooth val="0"/>
          <c:extLst>
            <c:ext xmlns:c16="http://schemas.microsoft.com/office/drawing/2014/chart" uri="{C3380CC4-5D6E-409C-BE32-E72D297353CC}">
              <c16:uniqueId val="{000000A8-67A1-4D40-AEC6-2C3001124BF4}"/>
            </c:ext>
          </c:extLst>
        </c:ser>
        <c:ser>
          <c:idx val="101"/>
          <c:order val="101"/>
          <c:tx>
            <c:v>WB=27</c:v>
          </c:tx>
          <c:spPr>
            <a:ln w="3175">
              <a:solidFill>
                <a:srgbClr val="3366FF"/>
              </a:solidFill>
              <a:prstDash val="sysDash"/>
            </a:ln>
          </c:spPr>
          <c:marker>
            <c:symbol val="none"/>
          </c:marker>
          <c:dLbls>
            <c:dLbl>
              <c:idx val="0"/>
              <c:layout>
                <c:manualLayout>
                  <c:x val="-2.767825896762911E-2"/>
                  <c:y val="-4.27350427350431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9-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26.030535251824297</c:v>
              </c:pt>
              <c:pt idx="1">
                <c:v>50</c:v>
              </c:pt>
            </c:numLit>
          </c:xVal>
          <c:yVal>
            <c:numLit>
              <c:formatCode>General</c:formatCode>
              <c:ptCount val="2"/>
              <c:pt idx="0">
                <c:v>2.2797604877624097E-2</c:v>
              </c:pt>
              <c:pt idx="1">
                <c:v>1.3078340322813551E-2</c:v>
              </c:pt>
            </c:numLit>
          </c:yVal>
          <c:smooth val="0"/>
          <c:extLst>
            <c:ext xmlns:c16="http://schemas.microsoft.com/office/drawing/2014/chart" uri="{C3380CC4-5D6E-409C-BE32-E72D297353CC}">
              <c16:uniqueId val="{000000AA-67A1-4D40-AEC6-2C3001124BF4}"/>
            </c:ext>
          </c:extLst>
        </c:ser>
        <c:ser>
          <c:idx val="102"/>
          <c:order val="102"/>
          <c:tx>
            <c:v>WB=28</c:v>
          </c:tx>
          <c:spPr>
            <a:ln w="3175">
              <a:solidFill>
                <a:srgbClr val="3366FF"/>
              </a:solidFill>
              <a:prstDash val="sysDash"/>
            </a:ln>
          </c:spPr>
          <c:marker>
            <c:symbol val="none"/>
          </c:marker>
          <c:dLbls>
            <c:dLbl>
              <c:idx val="0"/>
              <c:layout>
                <c:manualLayout>
                  <c:x val="-2.767825896762911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B-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27.01460799871953</c:v>
              </c:pt>
              <c:pt idx="1">
                <c:v>50.000000000000007</c:v>
              </c:pt>
            </c:numLit>
          </c:xVal>
          <c:yVal>
            <c:numLit>
              <c:formatCode>General</c:formatCode>
              <c:ptCount val="2"/>
              <c:pt idx="0">
                <c:v>2.4225424078400493E-2</c:v>
              </c:pt>
              <c:pt idx="1">
                <c:v>1.4889434478430795E-2</c:v>
              </c:pt>
            </c:numLit>
          </c:yVal>
          <c:smooth val="0"/>
          <c:extLst>
            <c:ext xmlns:c16="http://schemas.microsoft.com/office/drawing/2014/chart" uri="{C3380CC4-5D6E-409C-BE32-E72D297353CC}">
              <c16:uniqueId val="{000000AC-67A1-4D40-AEC6-2C3001124BF4}"/>
            </c:ext>
          </c:extLst>
        </c:ser>
        <c:ser>
          <c:idx val="103"/>
          <c:order val="103"/>
          <c:tx>
            <c:v>WB=29</c:v>
          </c:tx>
          <c:spPr>
            <a:ln w="3175">
              <a:solidFill>
                <a:srgbClr val="3366FF"/>
              </a:solidFill>
              <a:prstDash val="sysDash"/>
            </a:ln>
          </c:spPr>
          <c:marker>
            <c:symbol val="none"/>
          </c:marker>
          <c:dLbls>
            <c:dLbl>
              <c:idx val="0"/>
              <c:layout>
                <c:manualLayout>
                  <c:x val="-2.7678258967629047E-2"/>
                  <c:y val="-4.27350427350431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D-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28.000807254075735</c:v>
              </c:pt>
              <c:pt idx="1">
                <c:v>50.000000000000007</c:v>
              </c:pt>
            </c:numLit>
          </c:xVal>
          <c:yVal>
            <c:numLit>
              <c:formatCode>General</c:formatCode>
              <c:ptCount val="2"/>
              <c:pt idx="0">
                <c:v>2.5734457306702815E-2</c:v>
              </c:pt>
              <c:pt idx="1">
                <c:v>1.6783905580143949E-2</c:v>
              </c:pt>
            </c:numLit>
          </c:yVal>
          <c:smooth val="0"/>
          <c:extLst>
            <c:ext xmlns:c16="http://schemas.microsoft.com/office/drawing/2014/chart" uri="{C3380CC4-5D6E-409C-BE32-E72D297353CC}">
              <c16:uniqueId val="{000000AE-67A1-4D40-AEC6-2C3001124BF4}"/>
            </c:ext>
          </c:extLst>
        </c:ser>
        <c:ser>
          <c:idx val="104"/>
          <c:order val="104"/>
          <c:tx>
            <c:v>WB=30</c:v>
          </c:tx>
          <c:spPr>
            <a:ln w="3175">
              <a:solidFill>
                <a:srgbClr val="3366FF"/>
              </a:solidFill>
              <a:prstDash val="sysDash"/>
            </a:ln>
          </c:spPr>
          <c:marker>
            <c:symbol val="none"/>
          </c:marker>
          <c:dLbls>
            <c:dLbl>
              <c:idx val="0"/>
              <c:layout>
                <c:manualLayout>
                  <c:x val="-2.7678258967629172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AF-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28.989422570672435</c:v>
              </c:pt>
              <c:pt idx="1">
                <c:v>50.000000000000007</c:v>
              </c:pt>
            </c:numLit>
          </c:xVal>
          <c:yVal>
            <c:numLit>
              <c:formatCode>General</c:formatCode>
              <c:ptCount val="2"/>
              <c:pt idx="0">
                <c:v>2.73290562877294E-2</c:v>
              </c:pt>
              <c:pt idx="1">
                <c:v>1.876623436362267E-2</c:v>
              </c:pt>
            </c:numLit>
          </c:yVal>
          <c:smooth val="0"/>
          <c:extLst>
            <c:ext xmlns:c16="http://schemas.microsoft.com/office/drawing/2014/chart" uri="{C3380CC4-5D6E-409C-BE32-E72D297353CC}">
              <c16:uniqueId val="{000000B0-67A1-4D40-AEC6-2C3001124BF4}"/>
            </c:ext>
          </c:extLst>
        </c:ser>
        <c:ser>
          <c:idx val="105"/>
          <c:order val="105"/>
          <c:tx>
            <c:v>WB=31</c:v>
          </c:tx>
          <c:spPr>
            <a:ln w="3175">
              <a:solidFill>
                <a:srgbClr val="3366FF"/>
              </a:solidFill>
              <a:prstDash val="sysDash"/>
            </a:ln>
          </c:spPr>
          <c:marker>
            <c:symbol val="none"/>
          </c:marker>
          <c:dLbls>
            <c:dLbl>
              <c:idx val="0"/>
              <c:layout>
                <c:manualLayout>
                  <c:x val="-2.7678258967629047E-2"/>
                  <c:y val="-4.27350427350429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1-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29.980767082589693</c:v>
              </c:pt>
              <c:pt idx="1">
                <c:v>50.000000000000007</c:v>
              </c:pt>
            </c:numLit>
          </c:xVal>
          <c:yVal>
            <c:numLit>
              <c:formatCode>General</c:formatCode>
              <c:ptCount val="2"/>
              <c:pt idx="0">
                <c:v>2.9013817626337573E-2</c:v>
              </c:pt>
              <c:pt idx="1">
                <c:v>2.0841156947637916E-2</c:v>
              </c:pt>
            </c:numLit>
          </c:yVal>
          <c:smooth val="0"/>
          <c:extLst>
            <c:ext xmlns:c16="http://schemas.microsoft.com/office/drawing/2014/chart" uri="{C3380CC4-5D6E-409C-BE32-E72D297353CC}">
              <c16:uniqueId val="{000000B2-67A1-4D40-AEC6-2C3001124BF4}"/>
            </c:ext>
          </c:extLst>
        </c:ser>
        <c:ser>
          <c:idx val="106"/>
          <c:order val="106"/>
          <c:tx>
            <c:v>WB=32</c:v>
          </c:tx>
          <c:spPr>
            <a:ln w="3175">
              <a:solidFill>
                <a:srgbClr val="3366FF"/>
              </a:solidFill>
              <a:prstDash val="sysDash"/>
            </a:ln>
          </c:spPr>
          <c:marker>
            <c:symbol val="none"/>
          </c:marker>
          <c:dLbls>
            <c:dLbl>
              <c:idx val="0"/>
              <c:layout>
                <c:manualLayout>
                  <c:x val="-2.7678258967629172E-2"/>
                  <c:y val="-4.27350427350429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3-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30.975179201690683</c:v>
              </c:pt>
              <c:pt idx="1">
                <c:v>50</c:v>
              </c:pt>
            </c:numLit>
          </c:xVal>
          <c:yVal>
            <c:numLit>
              <c:formatCode>General</c:formatCode>
              <c:ptCount val="2"/>
              <c:pt idx="0">
                <c:v>3.0793599853619184E-2</c:v>
              </c:pt>
              <c:pt idx="1">
                <c:v>2.3013682663751679E-2</c:v>
              </c:pt>
            </c:numLit>
          </c:yVal>
          <c:smooth val="0"/>
          <c:extLst>
            <c:ext xmlns:c16="http://schemas.microsoft.com/office/drawing/2014/chart" uri="{C3380CC4-5D6E-409C-BE32-E72D297353CC}">
              <c16:uniqueId val="{000000B4-67A1-4D40-AEC6-2C3001124BF4}"/>
            </c:ext>
          </c:extLst>
        </c:ser>
        <c:ser>
          <c:idx val="107"/>
          <c:order val="107"/>
          <c:tx>
            <c:v>WB=33</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5-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31.97302445473133</c:v>
              </c:pt>
              <c:pt idx="1">
                <c:v>50.000000000000007</c:v>
              </c:pt>
            </c:numLit>
          </c:xVal>
          <c:yVal>
            <c:numLit>
              <c:formatCode>General</c:formatCode>
              <c:ptCount val="2"/>
              <c:pt idx="0">
                <c:v>3.2673542015821677E-2</c:v>
              </c:pt>
              <c:pt idx="1">
                <c:v>2.5289113493966509E-2</c:v>
              </c:pt>
            </c:numLit>
          </c:yVal>
          <c:smooth val="0"/>
          <c:extLst>
            <c:ext xmlns:c16="http://schemas.microsoft.com/office/drawing/2014/chart" uri="{C3380CC4-5D6E-409C-BE32-E72D297353CC}">
              <c16:uniqueId val="{000000B6-67A1-4D40-AEC6-2C3001124BF4}"/>
            </c:ext>
          </c:extLst>
        </c:ser>
        <c:ser>
          <c:idx val="108"/>
          <c:order val="108"/>
          <c:tx>
            <c:v>WB=34</c:v>
          </c:tx>
          <c:spPr>
            <a:ln w="3175">
              <a:solidFill>
                <a:srgbClr val="3366FF"/>
              </a:solidFill>
              <a:prstDash val="sysDash"/>
            </a:ln>
          </c:spPr>
          <c:marker>
            <c:symbol val="none"/>
          </c:marker>
          <c:xVal>
            <c:numLit>
              <c:formatCode>General</c:formatCode>
              <c:ptCount val="2"/>
              <c:pt idx="0">
                <c:v>32.974697476126913</c:v>
              </c:pt>
              <c:pt idx="1">
                <c:v>50</c:v>
              </c:pt>
            </c:numLit>
          </c:xVal>
          <c:yVal>
            <c:numLit>
              <c:formatCode>General</c:formatCode>
              <c:ptCount val="2"/>
              <c:pt idx="0">
                <c:v>3.4659083972322924E-2</c:v>
              </c:pt>
              <c:pt idx="1">
                <c:v>2.7673065289994456E-2</c:v>
              </c:pt>
            </c:numLit>
          </c:yVal>
          <c:smooth val="0"/>
          <c:extLst>
            <c:ext xmlns:c16="http://schemas.microsoft.com/office/drawing/2014/chart" uri="{C3380CC4-5D6E-409C-BE32-E72D297353CC}">
              <c16:uniqueId val="{000000B7-67A1-4D40-AEC6-2C3001124BF4}"/>
            </c:ext>
          </c:extLst>
        </c:ser>
        <c:ser>
          <c:idx val="109"/>
          <c:order val="109"/>
          <c:tx>
            <c:v>WB=</c:v>
          </c:tx>
          <c:spPr>
            <a:ln w="3175">
              <a:solidFill>
                <a:srgbClr val="3366FF"/>
              </a:solidFill>
              <a:prstDash val="sysDash"/>
            </a:ln>
          </c:spPr>
          <c:marker>
            <c:symbol val="none"/>
          </c:marker>
          <c:xVal>
            <c:numLit>
              <c:formatCode>General</c:formatCode>
              <c:ptCount val="2"/>
              <c:pt idx="0">
                <c:v>-0.34054167287274817</c:v>
              </c:pt>
              <c:pt idx="1">
                <c:v>9.4387305875737741</c:v>
              </c:pt>
            </c:numLit>
          </c:xVal>
          <c:yVal>
            <c:numLit>
              <c:formatCode>General</c:formatCode>
              <c:ptCount val="2"/>
              <c:pt idx="0">
                <c:v>3.7926394193890894E-3</c:v>
              </c:pt>
              <c:pt idx="1">
                <c:v>0</c:v>
              </c:pt>
            </c:numLit>
          </c:yVal>
          <c:smooth val="0"/>
          <c:extLst>
            <c:ext xmlns:c16="http://schemas.microsoft.com/office/drawing/2014/chart" uri="{C3380CC4-5D6E-409C-BE32-E72D297353CC}">
              <c16:uniqueId val="{000000B8-67A1-4D40-AEC6-2C3001124BF4}"/>
            </c:ext>
          </c:extLst>
        </c:ser>
        <c:ser>
          <c:idx val="110"/>
          <c:order val="110"/>
          <c:tx>
            <c:v>３重点（水）</c:v>
          </c:tx>
          <c:spPr>
            <a:ln w="3175">
              <a:solidFill>
                <a:srgbClr val="000000"/>
              </a:solidFill>
              <a:prstDash val="solid"/>
            </a:ln>
          </c:spPr>
          <c:marker>
            <c:symbol val="none"/>
          </c:marker>
          <c:dLbls>
            <c:dLbl>
              <c:idx val="0"/>
              <c:layout>
                <c:manualLayout>
                  <c:x val="-5.8654445538057771E-2"/>
                  <c:y val="0"/>
                </c:manualLayout>
              </c:layout>
              <c:tx>
                <c:rich>
                  <a:bodyPr rot="1680000" vertOverflow="overflow" horzOverflow="overflow" vert="horz" wrap="none" lIns="0" tIns="0" rIns="0" bIns="0" anchor="ctr">
                    <a:spAutoFit/>
                  </a:bodyPr>
                  <a:lstStyle/>
                  <a:p>
                    <a:pPr algn="ctr">
                      <a:defRPr altLang="ja-JP" sz="500" b="0" i="1">
                        <a:solidFill>
                          <a:srgbClr val="000000"/>
                        </a:solidFill>
                        <a:latin typeface="ＭＳ Ｐ明朝"/>
                        <a:ea typeface="ＭＳ Ｐ明朝"/>
                        <a:cs typeface="ＭＳ Ｐ明朝"/>
                      </a:defRPr>
                    </a:pPr>
                    <a:r>
                      <a:rPr lang="en-US" altLang="ja-JP"/>
                      <a:t>0.01[℃](</a:t>
                    </a:r>
                    <a:r>
                      <a:rPr lang="ja-JP" altLang="en-US"/>
                      <a:t>水</a:t>
                    </a:r>
                    <a:r>
                      <a:rPr lang="en-US" altLang="ja-JP"/>
                      <a:t>)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9-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8.4073357008938547</c:v>
              </c:pt>
            </c:numLit>
          </c:xVal>
          <c:yVal>
            <c:numLit>
              <c:formatCode>General</c:formatCode>
              <c:ptCount val="1"/>
              <c:pt idx="0">
                <c:v>4.0000000000000002E-4</c:v>
              </c:pt>
            </c:numLit>
          </c:yVal>
          <c:smooth val="0"/>
          <c:extLst>
            <c:ext xmlns:c16="http://schemas.microsoft.com/office/drawing/2014/chart" uri="{C3380CC4-5D6E-409C-BE32-E72D297353CC}">
              <c16:uniqueId val="{000000BA-67A1-4D40-AEC6-2C3001124BF4}"/>
            </c:ext>
          </c:extLst>
        </c:ser>
        <c:ser>
          <c:idx val="111"/>
          <c:order val="111"/>
          <c:tx>
            <c:v>v=0.74</c:v>
          </c:tx>
          <c:spPr>
            <a:ln w="3175">
              <a:solidFill>
                <a:srgbClr val="008000"/>
              </a:solidFill>
              <a:prstDash val="sysDash"/>
            </a:ln>
          </c:spPr>
          <c:marker>
            <c:symbol val="none"/>
          </c:marker>
          <c:dLbls>
            <c:dLbl>
              <c:idx val="0"/>
              <c:layout>
                <c:manualLayout>
                  <c:x val="5.208333333333333E-3"/>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B-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-10.874709529952851</c:v>
              </c:pt>
              <c:pt idx="1">
                <c:v>-12.627751070674329</c:v>
              </c:pt>
            </c:numLit>
          </c:xVal>
          <c:yVal>
            <c:numLit>
              <c:formatCode>General</c:formatCode>
              <c:ptCount val="2"/>
              <c:pt idx="0">
                <c:v>-2E-3</c:v>
              </c:pt>
              <c:pt idx="1">
                <c:v>1.2790120976206793E-3</c:v>
              </c:pt>
            </c:numLit>
          </c:yVal>
          <c:smooth val="0"/>
          <c:extLst>
            <c:ext xmlns:c16="http://schemas.microsoft.com/office/drawing/2014/chart" uri="{C3380CC4-5D6E-409C-BE32-E72D297353CC}">
              <c16:uniqueId val="{000000BC-67A1-4D40-AEC6-2C3001124BF4}"/>
            </c:ext>
          </c:extLst>
        </c:ser>
        <c:ser>
          <c:idx val="112"/>
          <c:order val="112"/>
          <c:tx>
            <c:v>v=0.75</c:v>
          </c:tx>
          <c:spPr>
            <a:ln w="3175">
              <a:solidFill>
                <a:srgbClr val="008000"/>
              </a:solidFill>
              <a:prstDash val="sysDash"/>
            </a:ln>
          </c:spPr>
          <c:marker>
            <c:symbol val="none"/>
          </c:marker>
          <c:dLbls>
            <c:dLbl>
              <c:idx val="0"/>
              <c:layout>
                <c:manualLayout>
                  <c:x val="-2.0516595581802282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0.75</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D-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-7.346503939454391</c:v>
              </c:pt>
              <c:pt idx="1">
                <c:v>-9.3395938494272617</c:v>
              </c:pt>
            </c:numLit>
          </c:xVal>
          <c:yVal>
            <c:numLit>
              <c:formatCode>General</c:formatCode>
              <c:ptCount val="2"/>
              <c:pt idx="0">
                <c:v>-2E-3</c:v>
              </c:pt>
              <c:pt idx="1">
                <c:v>1.7336224881504504E-3</c:v>
              </c:pt>
            </c:numLit>
          </c:yVal>
          <c:smooth val="0"/>
          <c:extLst>
            <c:ext xmlns:c16="http://schemas.microsoft.com/office/drawing/2014/chart" uri="{C3380CC4-5D6E-409C-BE32-E72D297353CC}">
              <c16:uniqueId val="{000000BE-67A1-4D40-AEC6-2C3001124BF4}"/>
            </c:ext>
          </c:extLst>
        </c:ser>
        <c:ser>
          <c:idx val="113"/>
          <c:order val="113"/>
          <c:tx>
            <c:v>v=0.76</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BF-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-3.818269416168651</c:v>
              </c:pt>
              <c:pt idx="1">
                <c:v>-6.119387602312834</c:v>
              </c:pt>
            </c:numLit>
          </c:xVal>
          <c:yVal>
            <c:numLit>
              <c:formatCode>General</c:formatCode>
              <c:ptCount val="2"/>
              <c:pt idx="0">
                <c:v>-2E-3</c:v>
              </c:pt>
              <c:pt idx="1">
                <c:v>2.3170227284918499E-3</c:v>
              </c:pt>
            </c:numLit>
          </c:yVal>
          <c:smooth val="0"/>
          <c:extLst>
            <c:ext xmlns:c16="http://schemas.microsoft.com/office/drawing/2014/chart" uri="{C3380CC4-5D6E-409C-BE32-E72D297353CC}">
              <c16:uniqueId val="{000000C0-67A1-4D40-AEC6-2C3001124BF4}"/>
            </c:ext>
          </c:extLst>
        </c:ser>
        <c:ser>
          <c:idx val="114"/>
          <c:order val="114"/>
          <c:tx>
            <c:v>v=0.77</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0.77</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1-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-0.29000596009563406</c:v>
              </c:pt>
              <c:pt idx="1">
                <c:v>-2.9645734567715794</c:v>
              </c:pt>
            </c:numLit>
          </c:xVal>
          <c:yVal>
            <c:numLit>
              <c:formatCode>General</c:formatCode>
              <c:ptCount val="2"/>
              <c:pt idx="0">
                <c:v>-2E-3</c:v>
              </c:pt>
              <c:pt idx="1">
                <c:v>3.0249300014924445E-3</c:v>
              </c:pt>
            </c:numLit>
          </c:yVal>
          <c:smooth val="0"/>
          <c:extLst>
            <c:ext xmlns:c16="http://schemas.microsoft.com/office/drawing/2014/chart" uri="{C3380CC4-5D6E-409C-BE32-E72D297353CC}">
              <c16:uniqueId val="{000000C2-67A1-4D40-AEC6-2C3001124BF4}"/>
            </c:ext>
          </c:extLst>
        </c:ser>
        <c:ser>
          <c:idx val="115"/>
          <c:order val="115"/>
          <c:tx>
            <c:v>v=0.78</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3-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3.2382960730270849</c:v>
              </c:pt>
              <c:pt idx="1">
                <c:v>0.10285584873451092</c:v>
              </c:pt>
            </c:numLit>
          </c:xVal>
          <c:yVal>
            <c:numLit>
              <c:formatCode>General</c:formatCode>
              <c:ptCount val="2"/>
              <c:pt idx="0">
                <c:v>-2E-3</c:v>
              </c:pt>
              <c:pt idx="1">
                <c:v>3.8991736467227744E-3</c:v>
              </c:pt>
            </c:numLit>
          </c:yVal>
          <c:smooth val="0"/>
          <c:extLst>
            <c:ext xmlns:c16="http://schemas.microsoft.com/office/drawing/2014/chart" uri="{C3380CC4-5D6E-409C-BE32-E72D297353CC}">
              <c16:uniqueId val="{000000C4-67A1-4D40-AEC6-2C3001124BF4}"/>
            </c:ext>
          </c:extLst>
        </c:ser>
        <c:ser>
          <c:idx val="116"/>
          <c:order val="116"/>
          <c:tx>
            <c:v>v=0.79</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0.79</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5-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6.7666270389370791</c:v>
              </c:pt>
              <c:pt idx="1">
                <c:v>3.1098962435210065</c:v>
              </c:pt>
            </c:numLit>
          </c:xVal>
          <c:yVal>
            <c:numLit>
              <c:formatCode>General</c:formatCode>
              <c:ptCount val="2"/>
              <c:pt idx="0">
                <c:v>-2E-3</c:v>
              </c:pt>
              <c:pt idx="1">
                <c:v>4.8895504212206229E-3</c:v>
              </c:pt>
            </c:numLit>
          </c:yVal>
          <c:smooth val="0"/>
          <c:extLst>
            <c:ext xmlns:c16="http://schemas.microsoft.com/office/drawing/2014/chart" uri="{C3380CC4-5D6E-409C-BE32-E72D297353CC}">
              <c16:uniqueId val="{000000C6-67A1-4D40-AEC6-2C3001124BF4}"/>
            </c:ext>
          </c:extLst>
        </c:ser>
        <c:ser>
          <c:idx val="117"/>
          <c:order val="117"/>
          <c:tx>
            <c:v>v=0.80</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7-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10.294991759765564</c:v>
              </c:pt>
              <c:pt idx="1">
                <c:v>6.0465363820865337</c:v>
              </c:pt>
            </c:numLit>
          </c:xVal>
          <c:yVal>
            <c:numLit>
              <c:formatCode>General</c:formatCode>
              <c:ptCount val="2"/>
              <c:pt idx="0">
                <c:v>-2E-3</c:v>
              </c:pt>
              <c:pt idx="1">
                <c:v>6.0153263481791579E-3</c:v>
              </c:pt>
            </c:numLit>
          </c:yVal>
          <c:smooth val="0"/>
          <c:extLst>
            <c:ext xmlns:c16="http://schemas.microsoft.com/office/drawing/2014/chart" uri="{C3380CC4-5D6E-409C-BE32-E72D297353CC}">
              <c16:uniqueId val="{000000C8-67A1-4D40-AEC6-2C3001124BF4}"/>
            </c:ext>
          </c:extLst>
        </c:ser>
        <c:ser>
          <c:idx val="118"/>
          <c:order val="118"/>
          <c:tx>
            <c:v>v=0.81</c:v>
          </c:tx>
          <c:spPr>
            <a:ln w="3175">
              <a:solidFill>
                <a:srgbClr val="008000"/>
              </a:solidFill>
              <a:prstDash val="sysDash"/>
            </a:ln>
          </c:spPr>
          <c:marker>
            <c:symbol val="none"/>
          </c:marker>
          <c:dLbls>
            <c:dLbl>
              <c:idx val="0"/>
              <c:layout>
                <c:manualLayout>
                  <c:x val="-2.0516595581802338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0.81</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9-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13.823409524037386</c:v>
              </c:pt>
              <c:pt idx="1">
                <c:v>8.8676317339037034</c:v>
              </c:pt>
            </c:numLit>
          </c:xVal>
          <c:yVal>
            <c:numLit>
              <c:formatCode>General</c:formatCode>
              <c:ptCount val="2"/>
              <c:pt idx="0">
                <c:v>-2E-3</c:v>
              </c:pt>
              <c:pt idx="1">
                <c:v>7.3621000293178172E-3</c:v>
              </c:pt>
            </c:numLit>
          </c:yVal>
          <c:smooth val="0"/>
          <c:extLst>
            <c:ext xmlns:c16="http://schemas.microsoft.com/office/drawing/2014/chart" uri="{C3380CC4-5D6E-409C-BE32-E72D297353CC}">
              <c16:uniqueId val="{000000CA-67A1-4D40-AEC6-2C3001124BF4}"/>
            </c:ext>
          </c:extLst>
        </c:ser>
        <c:ser>
          <c:idx val="119"/>
          <c:order val="119"/>
          <c:tx>
            <c:v>v=0.82</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B-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17.351875509621301</c:v>
              </c:pt>
              <c:pt idx="1">
                <c:v>11.5879733552514</c:v>
              </c:pt>
            </c:numLit>
          </c:xVal>
          <c:yVal>
            <c:numLit>
              <c:formatCode>General</c:formatCode>
              <c:ptCount val="2"/>
              <c:pt idx="0">
                <c:v>-2E-3</c:v>
              </c:pt>
              <c:pt idx="1">
                <c:v>8.9026055794627895E-3</c:v>
              </c:pt>
            </c:numLit>
          </c:yVal>
          <c:smooth val="0"/>
          <c:extLst>
            <c:ext xmlns:c16="http://schemas.microsoft.com/office/drawing/2014/chart" uri="{C3380CC4-5D6E-409C-BE32-E72D297353CC}">
              <c16:uniqueId val="{000000CC-67A1-4D40-AEC6-2C3001124BF4}"/>
            </c:ext>
          </c:extLst>
        </c:ser>
        <c:ser>
          <c:idx val="120"/>
          <c:order val="120"/>
          <c:tx>
            <c:v>v=0.83</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0.83</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D-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20.880389716517374</c:v>
              </c:pt>
              <c:pt idx="1">
                <c:v>14.20996604398667</c:v>
              </c:pt>
            </c:numLit>
          </c:xVal>
          <c:yVal>
            <c:numLit>
              <c:formatCode>General</c:formatCode>
              <c:ptCount val="2"/>
              <c:pt idx="0">
                <c:v>-2E-3</c:v>
              </c:pt>
              <c:pt idx="1">
                <c:v>1.063281805822703E-2</c:v>
              </c:pt>
            </c:numLit>
          </c:yVal>
          <c:smooth val="0"/>
          <c:extLst>
            <c:ext xmlns:c16="http://schemas.microsoft.com/office/drawing/2014/chart" uri="{C3380CC4-5D6E-409C-BE32-E72D297353CC}">
              <c16:uniqueId val="{000000CE-67A1-4D40-AEC6-2C3001124BF4}"/>
            </c:ext>
          </c:extLst>
        </c:ser>
        <c:ser>
          <c:idx val="121"/>
          <c:order val="121"/>
          <c:tx>
            <c:v>v=0.84</c:v>
          </c:tx>
          <c:spPr>
            <a:ln w="3175">
              <a:solidFill>
                <a:srgbClr val="008000"/>
              </a:solidFill>
              <a:prstDash val="sysDash"/>
            </a:ln>
          </c:spPr>
          <c:marker>
            <c:symbol val="none"/>
          </c:marker>
          <c:dLbls>
            <c:dLbl>
              <c:idx val="0"/>
              <c:layout>
                <c:manualLayout>
                  <c:x val="-2.0516595581802338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F-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24.408952144725578</c:v>
              </c:pt>
              <c:pt idx="1">
                <c:v>16.735689922847381</c:v>
              </c:pt>
            </c:numLit>
          </c:xVal>
          <c:yVal>
            <c:numLit>
              <c:formatCode>General</c:formatCode>
              <c:ptCount val="2"/>
              <c:pt idx="0">
                <c:v>-2E-3</c:v>
              </c:pt>
              <c:pt idx="1">
                <c:v>1.2549255938049455E-2</c:v>
              </c:pt>
            </c:numLit>
          </c:yVal>
          <c:smooth val="0"/>
          <c:extLst>
            <c:ext xmlns:c16="http://schemas.microsoft.com/office/drawing/2014/chart" uri="{C3380CC4-5D6E-409C-BE32-E72D297353CC}">
              <c16:uniqueId val="{000000D0-67A1-4D40-AEC6-2C3001124BF4}"/>
            </c:ext>
          </c:extLst>
        </c:ser>
        <c:ser>
          <c:idx val="122"/>
          <c:order val="122"/>
          <c:tx>
            <c:v>v=0.85</c:v>
          </c:tx>
          <c:spPr>
            <a:ln w="3175">
              <a:solidFill>
                <a:srgbClr val="008000"/>
              </a:solidFill>
              <a:prstDash val="sysDash"/>
            </a:ln>
          </c:spPr>
          <c:marker>
            <c:symbol val="none"/>
          </c:marker>
          <c:dLbls>
            <c:dLbl>
              <c:idx val="0"/>
              <c:layout>
                <c:manualLayout>
                  <c:x val="-2.0516595581802403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0.85</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1-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27.937577260639554</c:v>
              </c:pt>
              <c:pt idx="1">
                <c:v>19.132489610197876</c:v>
              </c:pt>
            </c:numLit>
          </c:xVal>
          <c:yVal>
            <c:numLit>
              <c:formatCode>General</c:formatCode>
              <c:ptCount val="2"/>
              <c:pt idx="0">
                <c:v>-2E-3</c:v>
              </c:pt>
              <c:pt idx="1">
                <c:v>1.4714104666790764E-2</c:v>
              </c:pt>
            </c:numLit>
          </c:yVal>
          <c:smooth val="0"/>
          <c:extLst>
            <c:ext xmlns:c16="http://schemas.microsoft.com/office/drawing/2014/chart" uri="{C3380CC4-5D6E-409C-BE32-E72D297353CC}">
              <c16:uniqueId val="{000000D2-67A1-4D40-AEC6-2C3001124BF4}"/>
            </c:ext>
          </c:extLst>
        </c:ser>
        <c:ser>
          <c:idx val="123"/>
          <c:order val="123"/>
          <c:tx>
            <c:v>v=0.86</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3-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31.466250597865653</c:v>
              </c:pt>
              <c:pt idx="1">
                <c:v>21.436637215870181</c:v>
              </c:pt>
            </c:numLit>
          </c:xVal>
          <c:yVal>
            <c:numLit>
              <c:formatCode>General</c:formatCode>
              <c:ptCount val="2"/>
              <c:pt idx="0">
                <c:v>-2E-3</c:v>
              </c:pt>
              <c:pt idx="1">
                <c:v>1.7059125433167451E-2</c:v>
              </c:pt>
            </c:numLit>
          </c:yVal>
          <c:smooth val="0"/>
          <c:extLst>
            <c:ext xmlns:c16="http://schemas.microsoft.com/office/drawing/2014/chart" uri="{C3380CC4-5D6E-409C-BE32-E72D297353CC}">
              <c16:uniqueId val="{000000D4-67A1-4D40-AEC6-2C3001124BF4}"/>
            </c:ext>
          </c:extLst>
        </c:ser>
        <c:ser>
          <c:idx val="124"/>
          <c:order val="124"/>
          <c:tx>
            <c:v>v=0.87</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0.87</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5-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34.994981800666295</c:v>
              </c:pt>
              <c:pt idx="1">
                <c:v>23.626528674080483</c:v>
              </c:pt>
            </c:numLit>
          </c:xVal>
          <c:yVal>
            <c:numLit>
              <c:formatCode>General</c:formatCode>
              <c:ptCount val="2"/>
              <c:pt idx="0">
                <c:v>-2E-3</c:v>
              </c:pt>
              <c:pt idx="1">
                <c:v>1.9625497050405307E-2</c:v>
              </c:pt>
            </c:numLit>
          </c:yVal>
          <c:smooth val="0"/>
          <c:extLst>
            <c:ext xmlns:c16="http://schemas.microsoft.com/office/drawing/2014/chart" uri="{C3380CC4-5D6E-409C-BE32-E72D297353CC}">
              <c16:uniqueId val="{000000D6-67A1-4D40-AEC6-2C3001124BF4}"/>
            </c:ext>
          </c:extLst>
        </c:ser>
        <c:ser>
          <c:idx val="125"/>
          <c:order val="125"/>
          <c:tx>
            <c:v>v=0.88</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7-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38.523761224779079</c:v>
              </c:pt>
              <c:pt idx="1">
                <c:v>25.72596822985491</c:v>
              </c:pt>
            </c:numLit>
          </c:xVal>
          <c:yVal>
            <c:numLit>
              <c:formatCode>General</c:formatCode>
              <c:ptCount val="2"/>
              <c:pt idx="0">
                <c:v>-2E-3</c:v>
              </c:pt>
              <c:pt idx="1">
                <c:v>2.2368358237637633E-2</c:v>
              </c:pt>
            </c:numLit>
          </c:yVal>
          <c:smooth val="0"/>
          <c:extLst>
            <c:ext xmlns:c16="http://schemas.microsoft.com/office/drawing/2014/chart" uri="{C3380CC4-5D6E-409C-BE32-E72D297353CC}">
              <c16:uniqueId val="{000000D8-67A1-4D40-AEC6-2C3001124BF4}"/>
            </c:ext>
          </c:extLst>
        </c:ser>
        <c:ser>
          <c:idx val="126"/>
          <c:order val="126"/>
          <c:tx>
            <c:v>v=0.89</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0.89</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9-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42.052593692335194</c:v>
              </c:pt>
              <c:pt idx="1">
                <c:v>27.72425869616541</c:v>
              </c:pt>
            </c:numLit>
          </c:xVal>
          <c:yVal>
            <c:numLit>
              <c:formatCode>General</c:formatCode>
              <c:ptCount val="2"/>
              <c:pt idx="0">
                <c:v>-2E-3</c:v>
              </c:pt>
              <c:pt idx="1">
                <c:v>2.5308122919637729E-2</c:v>
              </c:pt>
            </c:numLit>
          </c:yVal>
          <c:smooth val="0"/>
          <c:extLst>
            <c:ext xmlns:c16="http://schemas.microsoft.com/office/drawing/2014/chart" uri="{C3380CC4-5D6E-409C-BE32-E72D297353CC}">
              <c16:uniqueId val="{000000DA-67A1-4D40-AEC6-2C3001124BF4}"/>
            </c:ext>
          </c:extLst>
        </c:ser>
        <c:ser>
          <c:idx val="127"/>
          <c:order val="127"/>
          <c:tx>
            <c:v>v=0.90</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0.90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B-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45.581474381203442</c:v>
              </c:pt>
              <c:pt idx="1">
                <c:v>29.633142341393423</c:v>
              </c:pt>
            </c:numLit>
          </c:xVal>
          <c:yVal>
            <c:numLit>
              <c:formatCode>General</c:formatCode>
              <c:ptCount val="2"/>
              <c:pt idx="0">
                <c:v>-2E-3</c:v>
              </c:pt>
              <c:pt idx="1">
                <c:v>2.8422628005840736E-2</c:v>
              </c:pt>
            </c:numLit>
          </c:yVal>
          <c:smooth val="0"/>
          <c:extLst>
            <c:ext xmlns:c16="http://schemas.microsoft.com/office/drawing/2014/chart" uri="{C3380CC4-5D6E-409C-BE32-E72D297353CC}">
              <c16:uniqueId val="{000000DC-67A1-4D40-AEC6-2C3001124BF4}"/>
            </c:ext>
          </c:extLst>
        </c:ser>
        <c:ser>
          <c:idx val="128"/>
          <c:order val="128"/>
          <c:tx>
            <c:v>比容積座標軸ラベル</c:v>
          </c:tx>
          <c:spPr>
            <a:ln w="3175">
              <a:solidFill>
                <a:srgbClr val="000000"/>
              </a:solidFill>
              <a:prstDash val="solid"/>
            </a:ln>
          </c:spPr>
          <c:marker>
            <c:symbol val="none"/>
          </c:marker>
          <c:dLbls>
            <c:dLbl>
              <c:idx val="0"/>
              <c:layout>
                <c:manualLayout>
                  <c:x val="-6.1712325021872266E-2"/>
                  <c:y val="-1.5669334656024605E-16"/>
                </c:manualLayout>
              </c:layout>
              <c:tx>
                <c:rich>
                  <a:bodyPr rot="41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比容積 </a:t>
                    </a:r>
                    <a:r>
                      <a:rPr lang="en-US"/>
                      <a:t>v [㎥/kg(DA)]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D-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42.563511521595515</c:v>
              </c:pt>
            </c:numLit>
          </c:xVal>
          <c:yVal>
            <c:numLit>
              <c:formatCode>General</c:formatCode>
              <c:ptCount val="1"/>
              <c:pt idx="0">
                <c:v>3.7777777777777779E-3</c:v>
              </c:pt>
            </c:numLit>
          </c:yVal>
          <c:smooth val="0"/>
          <c:extLst>
            <c:ext xmlns:c16="http://schemas.microsoft.com/office/drawing/2014/chart" uri="{C3380CC4-5D6E-409C-BE32-E72D297353CC}">
              <c16:uniqueId val="{000000DE-67A1-4D40-AEC6-2C3001124BF4}"/>
            </c:ext>
          </c:extLst>
        </c:ser>
        <c:ser>
          <c:idx val="129"/>
          <c:order val="129"/>
          <c:tx>
            <c:v>v=0.91</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0.91</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F-67A1-4D40-AEC6-2C3001124B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49.110398469252601</c:v>
              </c:pt>
              <c:pt idx="1">
                <c:v>31.464049181568054</c:v>
              </c:pt>
            </c:numLit>
          </c:xVal>
          <c:yVal>
            <c:numLit>
              <c:formatCode>General</c:formatCode>
              <c:ptCount val="2"/>
              <c:pt idx="0">
                <c:v>-2E-3</c:v>
              </c:pt>
              <c:pt idx="1">
                <c:v>3.1690233026367066E-2</c:v>
              </c:pt>
            </c:numLit>
          </c:yVal>
          <c:smooth val="0"/>
          <c:extLst>
            <c:ext xmlns:c16="http://schemas.microsoft.com/office/drawing/2014/chart" uri="{C3380CC4-5D6E-409C-BE32-E72D297353CC}">
              <c16:uniqueId val="{000000E0-67A1-4D40-AEC6-2C3001124BF4}"/>
            </c:ext>
          </c:extLst>
        </c:ser>
        <c:ser>
          <c:idx val="130"/>
          <c:order val="130"/>
          <c:tx>
            <c:v>v=0.92</c:v>
          </c:tx>
          <c:spPr>
            <a:ln w="3175">
              <a:solidFill>
                <a:srgbClr val="008000"/>
              </a:solidFill>
              <a:prstDash val="sysDash"/>
            </a:ln>
          </c:spPr>
          <c:marker>
            <c:symbol val="none"/>
          </c:marker>
          <c:xVal>
            <c:numLit>
              <c:formatCode>General</c:formatCode>
              <c:ptCount val="2"/>
              <c:pt idx="0">
                <c:v>50.000000000000007</c:v>
              </c:pt>
              <c:pt idx="1">
                <c:v>33.20563456585235</c:v>
              </c:pt>
            </c:numLit>
          </c:xVal>
          <c:yVal>
            <c:numLit>
              <c:formatCode>General</c:formatCode>
              <c:ptCount val="2"/>
              <c:pt idx="0">
                <c:v>3.0653695250419501E-3</c:v>
              </c:pt>
              <c:pt idx="1">
                <c:v>3.5132435574301686E-2</c:v>
              </c:pt>
            </c:numLit>
          </c:yVal>
          <c:smooth val="0"/>
          <c:extLst>
            <c:ext xmlns:c16="http://schemas.microsoft.com/office/drawing/2014/chart" uri="{C3380CC4-5D6E-409C-BE32-E72D297353CC}">
              <c16:uniqueId val="{000000E1-67A1-4D40-AEC6-2C3001124BF4}"/>
            </c:ext>
          </c:extLst>
        </c:ser>
        <c:ser>
          <c:idx val="131"/>
          <c:order val="131"/>
          <c:tx>
            <c:v>v=0.93</c:v>
          </c:tx>
          <c:spPr>
            <a:ln w="3175">
              <a:solidFill>
                <a:srgbClr val="008000"/>
              </a:solidFill>
              <a:prstDash val="sysDash"/>
            </a:ln>
          </c:spPr>
          <c:marker>
            <c:symbol val="none"/>
          </c:marker>
          <c:xVal>
            <c:numLit>
              <c:formatCode>General</c:formatCode>
              <c:ptCount val="2"/>
              <c:pt idx="0">
                <c:v>50</c:v>
              </c:pt>
              <c:pt idx="1">
                <c:v>34.880212439001525</c:v>
              </c:pt>
            </c:numLit>
          </c:xVal>
          <c:yVal>
            <c:numLit>
              <c:formatCode>General</c:formatCode>
              <c:ptCount val="2"/>
              <c:pt idx="0">
                <c:v>9.8592094813579195E-3</c:v>
              </c:pt>
              <c:pt idx="1">
                <c:v>3.8706868703065465E-2</c:v>
              </c:pt>
            </c:numLit>
          </c:yVal>
          <c:smooth val="0"/>
          <c:extLst>
            <c:ext xmlns:c16="http://schemas.microsoft.com/office/drawing/2014/chart" uri="{C3380CC4-5D6E-409C-BE32-E72D297353CC}">
              <c16:uniqueId val="{000000E2-67A1-4D40-AEC6-2C3001124BF4}"/>
            </c:ext>
          </c:extLst>
        </c:ser>
        <c:ser>
          <c:idx val="132"/>
          <c:order val="132"/>
          <c:tx>
            <c:v>v=0.94</c:v>
          </c:tx>
          <c:spPr>
            <a:ln w="3175">
              <a:solidFill>
                <a:srgbClr val="008000"/>
              </a:solidFill>
              <a:prstDash val="sysDash"/>
            </a:ln>
          </c:spPr>
          <c:marker>
            <c:symbol val="none"/>
          </c:marker>
          <c:xVal>
            <c:numLit>
              <c:formatCode>General</c:formatCode>
              <c:ptCount val="2"/>
              <c:pt idx="0">
                <c:v>50</c:v>
              </c:pt>
              <c:pt idx="1">
                <c:v>36.476119220319418</c:v>
              </c:pt>
            </c:numLit>
          </c:xVal>
          <c:yVal>
            <c:numLit>
              <c:formatCode>General</c:formatCode>
              <c:ptCount val="2"/>
              <c:pt idx="0">
                <c:v>1.66530494376738E-2</c:v>
              </c:pt>
              <c:pt idx="1">
                <c:v>4.2435563802655646E-2</c:v>
              </c:pt>
            </c:numLit>
          </c:yVal>
          <c:smooth val="0"/>
          <c:extLst>
            <c:ext xmlns:c16="http://schemas.microsoft.com/office/drawing/2014/chart" uri="{C3380CC4-5D6E-409C-BE32-E72D297353CC}">
              <c16:uniqueId val="{000000E3-67A1-4D40-AEC6-2C3001124BF4}"/>
            </c:ext>
          </c:extLst>
        </c:ser>
        <c:ser>
          <c:idx val="133"/>
          <c:order val="133"/>
          <c:tx>
            <c:v>v=0.95</c:v>
          </c:tx>
          <c:spPr>
            <a:ln w="3175">
              <a:solidFill>
                <a:srgbClr val="008000"/>
              </a:solidFill>
              <a:prstDash val="sysDash"/>
            </a:ln>
          </c:spPr>
          <c:marker>
            <c:symbol val="none"/>
          </c:marker>
          <c:xVal>
            <c:numLit>
              <c:formatCode>General</c:formatCode>
              <c:ptCount val="2"/>
              <c:pt idx="0">
                <c:v>50.000000000000007</c:v>
              </c:pt>
              <c:pt idx="1">
                <c:v>38.015405459513772</c:v>
              </c:pt>
            </c:numLit>
          </c:xVal>
          <c:yVal>
            <c:numLit>
              <c:formatCode>General</c:formatCode>
              <c:ptCount val="2"/>
              <c:pt idx="0">
                <c:v>2.3446889393989801E-2</c:v>
              </c:pt>
              <c:pt idx="1">
                <c:v>4.627659477409355E-2</c:v>
              </c:pt>
            </c:numLit>
          </c:yVal>
          <c:smooth val="0"/>
          <c:extLst>
            <c:ext xmlns:c16="http://schemas.microsoft.com/office/drawing/2014/chart" uri="{C3380CC4-5D6E-409C-BE32-E72D297353CC}">
              <c16:uniqueId val="{000000E4-67A1-4D40-AEC6-2C3001124BF4}"/>
            </c:ext>
          </c:extLst>
        </c:ser>
        <c:ser>
          <c:idx val="134"/>
          <c:order val="134"/>
          <c:tx>
            <c:v>v=0.96</c:v>
          </c:tx>
          <c:spPr>
            <a:ln w="3175">
              <a:solidFill>
                <a:srgbClr val="008000"/>
              </a:solidFill>
              <a:prstDash val="sysDash"/>
            </a:ln>
          </c:spPr>
          <c:marker>
            <c:symbol val="none"/>
          </c:marker>
          <c:xVal>
            <c:numLit>
              <c:formatCode>General</c:formatCode>
              <c:ptCount val="2"/>
              <c:pt idx="0">
                <c:v>50</c:v>
              </c:pt>
              <c:pt idx="1">
                <c:v>39.486187318525538</c:v>
              </c:pt>
            </c:numLit>
          </c:xVal>
          <c:yVal>
            <c:numLit>
              <c:formatCode>General</c:formatCode>
              <c:ptCount val="2"/>
              <c:pt idx="0">
                <c:v>3.0240729350305799E-2</c:v>
              </c:pt>
              <c:pt idx="1">
                <c:v>5.0252361654891983E-2</c:v>
              </c:pt>
            </c:numLit>
          </c:yVal>
          <c:smooth val="0"/>
          <c:extLst>
            <c:ext xmlns:c16="http://schemas.microsoft.com/office/drawing/2014/chart" uri="{C3380CC4-5D6E-409C-BE32-E72D297353CC}">
              <c16:uniqueId val="{000000E5-67A1-4D40-AEC6-2C3001124BF4}"/>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6861-4E4D-A128-A1B057BC6634}"/>
            </c:ext>
          </c:extLst>
        </c:ser>
        <c:ser>
          <c:idx val="1"/>
          <c:order val="1"/>
          <c:tx>
            <c:v>熱水分比参照ライン</c:v>
          </c:tx>
          <c:spPr>
            <a:ln w="3175">
              <a:solidFill>
                <a:srgbClr val="FF6600"/>
              </a:solidFill>
              <a:prstDash val="solid"/>
            </a:ln>
          </c:spPr>
          <c:marker>
            <c:symbol val="none"/>
          </c:marker>
          <c:dPt>
            <c:idx val="0"/>
            <c:marker/>
            <c:bubble3D val="0"/>
            <c:spPr>
              <a:ln w="3175">
                <a:solidFill>
                  <a:srgbClr val="FF6600"/>
                </a:solidFill>
                <a:prstDash val="solid"/>
              </a:ln>
              <a:effectLst/>
            </c:spPr>
            <c:extLst>
              <c:ext xmlns:c16="http://schemas.microsoft.com/office/drawing/2014/chart" uri="{C3380CC4-5D6E-409C-BE32-E72D297353CC}">
                <c16:uniqueId val="{00000002-6861-4E4D-A128-A1B057BC6634}"/>
              </c:ext>
            </c:extLst>
          </c:dPt>
          <c:dPt>
            <c:idx val="1"/>
            <c:marker>
              <c:symbol val="circle"/>
              <c:size val="3"/>
              <c:spPr>
                <a:solidFill>
                  <a:srgbClr val="000000"/>
                </a:solidFill>
                <a:ln>
                  <a:solidFill>
                    <a:srgbClr val="000000"/>
                  </a:solidFill>
                  <a:prstDash val="solid"/>
                </a:ln>
              </c:spPr>
            </c:marker>
            <c:bubble3D val="0"/>
            <c:spPr>
              <a:ln w="3175">
                <a:solidFill>
                  <a:srgbClr val="FF6600"/>
                </a:solidFill>
                <a:prstDash val="solid"/>
              </a:ln>
              <a:effectLst/>
            </c:spPr>
            <c:extLst>
              <c:ext xmlns:c16="http://schemas.microsoft.com/office/drawing/2014/chart" uri="{C3380CC4-5D6E-409C-BE32-E72D297353CC}">
                <c16:uniqueId val="{00000003-6861-4E4D-A128-A1B057BC6634}"/>
              </c:ext>
            </c:extLst>
          </c:dPt>
          <c:dLbls>
            <c:dLbl>
              <c:idx val="1"/>
              <c:layout>
                <c:manualLayout>
                  <c:x val="3.4722222222222224E-2"/>
                  <c:y val="7.4786324786324784E-2"/>
                </c:manualLayout>
              </c:layout>
              <c:tx>
                <c:rich>
                  <a:bodyPr wrap="square" lIns="38100" tIns="19050" rIns="38100" bIns="19050" anchor="ctr">
                    <a:spAutoFit/>
                  </a:bodyPr>
                  <a:lstStyle/>
                  <a:p>
                    <a:pPr algn="ctr">
                      <a:defRPr altLang="en-US" sz="700" b="0" i="0" u="none" strike="noStrike" baseline="0">
                        <a:latin typeface="ＭＳ Ｐゴシック"/>
                        <a:ea typeface="ＭＳ Ｐゴシック"/>
                        <a:cs typeface="ＭＳ Ｐゴシック"/>
                      </a:defRPr>
                    </a:pPr>
                    <a:r>
                      <a:rPr lang="ja-JP"/>
                      <a:t>加湿用水熱水分比</a:t>
                    </a:r>
                    <a:r>
                      <a:rPr lang="en-US"/>
                      <a:t>=49 [kJ/kg]</a:t>
                    </a:r>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61-4E4D-A128-A1B057BC66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7.5219999999999994</c:v>
              </c:pt>
              <c:pt idx="1">
                <c:v>-4.8257701242805906</c:v>
              </c:pt>
            </c:numLit>
          </c:xVal>
          <c:yVal>
            <c:numLit>
              <c:formatCode>General</c:formatCode>
              <c:ptCount val="2"/>
              <c:pt idx="0">
                <c:v>2.0930000000000001E-2</c:v>
              </c:pt>
              <c:pt idx="1">
                <c:v>2.5810119723825832E-2</c:v>
              </c:pt>
            </c:numLit>
          </c:yVal>
          <c:smooth val="0"/>
          <c:extLst>
            <c:ext xmlns:c16="http://schemas.microsoft.com/office/drawing/2014/chart" uri="{C3380CC4-5D6E-409C-BE32-E72D297353CC}">
              <c16:uniqueId val="{00000001-6861-4E4D-A128-A1B057BC6634}"/>
            </c:ext>
          </c:extLst>
        </c:ser>
        <c:ser>
          <c:idx val="2"/>
          <c:order val="2"/>
          <c:tx>
            <c:v>外気-冷却コイル入口</c:v>
          </c:tx>
          <c:spPr>
            <a:ln w="12700">
              <a:solidFill>
                <a:srgbClr val="000000"/>
              </a:solidFill>
              <a:prstDash val="solid"/>
            </a:ln>
          </c:spPr>
          <c:marker>
            <c:symbol val="circle"/>
            <c:size val="6"/>
            <c:spPr>
              <a:solidFill>
                <a:srgbClr val="FFFFFF"/>
              </a:solidFill>
              <a:ln>
                <a:solidFill>
                  <a:srgbClr val="000000"/>
                </a:solidFill>
                <a:prstDash val="solid"/>
              </a:ln>
            </c:spPr>
          </c:marker>
          <c:dLbls>
            <c:dLbl>
              <c:idx val="1"/>
              <c:layout>
                <c:manualLayout>
                  <c:x val="-2.2569444444444444E-2"/>
                  <c:y val="-1.645299145299153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①</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61-4E4D-A128-A1B057BC6634}"/>
                </c:ext>
              </c:extLst>
            </c:dLbl>
            <c:dLbl>
              <c:idx val="2"/>
              <c:layout>
                <c:manualLayout>
                  <c:x val="-8.6805555555555559E-3"/>
                  <c:y val="0"/>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②</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61-4E4D-A128-A1B057BC66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3"/>
              <c:pt idx="0">
                <c:v>33.13944850894633</c:v>
              </c:pt>
              <c:pt idx="1">
                <c:v>33.13944850894633</c:v>
              </c:pt>
              <c:pt idx="2">
                <c:v>29.999741725646121</c:v>
              </c:pt>
            </c:numLit>
          </c:xVal>
          <c:yVal>
            <c:numLit>
              <c:formatCode>General</c:formatCode>
              <c:ptCount val="3"/>
              <c:pt idx="0">
                <c:v>1.8600000000000002E-2</c:v>
              </c:pt>
              <c:pt idx="1">
                <c:v>1.8600000000000002E-2</c:v>
              </c:pt>
              <c:pt idx="2">
                <c:v>1.4160000000000001E-2</c:v>
              </c:pt>
            </c:numLit>
          </c:yVal>
          <c:smooth val="0"/>
          <c:extLst>
            <c:ext xmlns:c16="http://schemas.microsoft.com/office/drawing/2014/chart" uri="{C3380CC4-5D6E-409C-BE32-E72D297353CC}">
              <c16:uniqueId val="{00000004-6861-4E4D-A128-A1B057BC6634}"/>
            </c:ext>
          </c:extLst>
        </c:ser>
        <c:ser>
          <c:idx val="3"/>
          <c:order val="3"/>
          <c:tx>
            <c:v>冷却プロセス</c:v>
          </c:tx>
          <c:spPr>
            <a:ln w="25400">
              <a:solidFill>
                <a:srgbClr val="008000"/>
              </a:solidFill>
              <a:prstDash val="solid"/>
            </a:ln>
          </c:spPr>
          <c:marker>
            <c:symbol val="circle"/>
            <c:size val="6"/>
            <c:spPr>
              <a:solidFill>
                <a:srgbClr val="FFFFFF"/>
              </a:solidFill>
              <a:ln>
                <a:solidFill>
                  <a:srgbClr val="000000"/>
                </a:solidFill>
                <a:prstDash val="solid"/>
              </a:ln>
            </c:spPr>
          </c:marker>
          <c:dLbls>
            <c:dLbl>
              <c:idx val="1"/>
              <c:layout>
                <c:manualLayout>
                  <c:x val="-3.6458333333333398E-2"/>
                  <c:y val="0"/>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③</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61-4E4D-A128-A1B057BC6634}"/>
                </c:ext>
              </c:extLst>
            </c:dLbl>
            <c:dLbl>
              <c:idx val="2"/>
              <c:layout>
                <c:manualLayout>
                  <c:x val="-2.2569444444444507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④</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1-4E4D-A128-A1B057BC66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3"/>
              <c:pt idx="0">
                <c:v>29.999741725646121</c:v>
              </c:pt>
              <c:pt idx="1">
                <c:v>19.018077443339958</c:v>
              </c:pt>
              <c:pt idx="2">
                <c:v>19.448809236580516</c:v>
              </c:pt>
            </c:numLit>
          </c:xVal>
          <c:yVal>
            <c:numLit>
              <c:formatCode>General</c:formatCode>
              <c:ptCount val="3"/>
              <c:pt idx="0">
                <c:v>1.4160000000000001E-2</c:v>
              </c:pt>
              <c:pt idx="1">
                <c:v>1.3820000000000001E-2</c:v>
              </c:pt>
              <c:pt idx="2">
                <c:v>1.3820000000000001E-2</c:v>
              </c:pt>
            </c:numLit>
          </c:yVal>
          <c:smooth val="0"/>
          <c:extLst>
            <c:ext xmlns:c16="http://schemas.microsoft.com/office/drawing/2014/chart" uri="{C3380CC4-5D6E-409C-BE32-E72D297353CC}">
              <c16:uniqueId val="{00000007-6861-4E4D-A128-A1B057BC6634}"/>
            </c:ext>
          </c:extLst>
        </c:ser>
        <c:ser>
          <c:idx val="4"/>
          <c:order val="4"/>
          <c:tx>
            <c:v>冷房時外気 - 全熱交換機出口 - 排気</c:v>
          </c:tx>
          <c:spPr>
            <a:ln w="12700">
              <a:solidFill>
                <a:srgbClr val="000000"/>
              </a:solidFill>
              <a:prstDash val="sysDash"/>
            </a:ln>
          </c:spPr>
          <c:marker>
            <c:symbol val="circle"/>
            <c:size val="6"/>
            <c:spPr>
              <a:solidFill>
                <a:srgbClr val="FFFFFF"/>
              </a:solidFill>
              <a:ln>
                <a:solidFill>
                  <a:srgbClr val="000000"/>
                </a:solidFill>
                <a:prstDash val="solid"/>
              </a:ln>
            </c:spPr>
          </c:marker>
          <c:xVal>
            <c:numLit>
              <c:formatCode>General</c:formatCode>
              <c:ptCount val="3"/>
              <c:pt idx="0">
                <c:v>33.13944850894633</c:v>
              </c:pt>
              <c:pt idx="1">
                <c:v>29.999741725646121</c:v>
              </c:pt>
              <c:pt idx="2">
                <c:v>27.565987673956265</c:v>
              </c:pt>
            </c:numLit>
          </c:xVal>
          <c:yVal>
            <c:numLit>
              <c:formatCode>General</c:formatCode>
              <c:ptCount val="3"/>
              <c:pt idx="0">
                <c:v>1.8600000000000002E-2</c:v>
              </c:pt>
              <c:pt idx="1">
                <c:v>1.4160000000000001E-2</c:v>
              </c:pt>
              <c:pt idx="2">
                <c:v>1.0670000000000001E-2</c:v>
              </c:pt>
            </c:numLit>
          </c:yVal>
          <c:smooth val="0"/>
          <c:extLst>
            <c:ext xmlns:c16="http://schemas.microsoft.com/office/drawing/2014/chart" uri="{C3380CC4-5D6E-409C-BE32-E72D297353CC}">
              <c16:uniqueId val="{0000000A-6861-4E4D-A128-A1B057BC6634}"/>
            </c:ext>
          </c:extLst>
        </c:ser>
        <c:ser>
          <c:idx val="5"/>
          <c:order val="5"/>
          <c:tx>
            <c:v>冷房時室内等エンタルピ線</c:v>
          </c:tx>
          <c:spPr>
            <a:ln w="12700">
              <a:solidFill>
                <a:srgbClr val="000000"/>
              </a:solidFill>
              <a:prstDash val="sysDash"/>
            </a:ln>
          </c:spPr>
          <c:marker>
            <c:symbol val="circle"/>
            <c:size val="6"/>
            <c:spPr>
              <a:solidFill>
                <a:srgbClr val="FFFFFF"/>
              </a:solidFill>
              <a:ln>
                <a:solidFill>
                  <a:srgbClr val="000000"/>
                </a:solidFill>
                <a:prstDash val="solid"/>
              </a:ln>
            </c:spPr>
          </c:marker>
          <c:dLbls>
            <c:dLbl>
              <c:idx val="0"/>
              <c:layout>
                <c:manualLayout>
                  <c:x val="-8.6805555555555559E-3"/>
                  <c:y val="0"/>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⑤</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861-4E4D-A128-A1B057BC66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27.565987673956265</c:v>
              </c:pt>
              <c:pt idx="1">
                <c:v>19.448809236580516</c:v>
              </c:pt>
            </c:numLit>
          </c:xVal>
          <c:yVal>
            <c:numLit>
              <c:formatCode>General</c:formatCode>
              <c:ptCount val="2"/>
              <c:pt idx="0">
                <c:v>1.0670000000000001E-2</c:v>
              </c:pt>
              <c:pt idx="1">
                <c:v>1.3820000000000001E-2</c:v>
              </c:pt>
            </c:numLit>
          </c:yVal>
          <c:smooth val="0"/>
          <c:extLst>
            <c:ext xmlns:c16="http://schemas.microsoft.com/office/drawing/2014/chart" uri="{C3380CC4-5D6E-409C-BE32-E72D297353CC}">
              <c16:uniqueId val="{0000000B-6861-4E4D-A128-A1B057BC6634}"/>
            </c:ext>
          </c:extLst>
        </c:ser>
        <c:ser>
          <c:idx val="6"/>
          <c:order val="6"/>
          <c:tx>
            <c:v>暖房時外気ポイント-ミキシングポイントプロセス</c:v>
          </c:tx>
          <c:spPr>
            <a:ln w="12700">
              <a:solidFill>
                <a:srgbClr val="000000"/>
              </a:solidFill>
              <a:prstDash val="solid"/>
            </a:ln>
          </c:spPr>
          <c:marker>
            <c:symbol val="circle"/>
            <c:size val="6"/>
            <c:spPr>
              <a:solidFill>
                <a:srgbClr val="FFFFFF"/>
              </a:solidFill>
              <a:ln>
                <a:solidFill>
                  <a:srgbClr val="000000"/>
                </a:solidFill>
                <a:prstDash val="solid"/>
              </a:ln>
            </c:spPr>
          </c:marker>
          <c:dLbls>
            <c:dLbl>
              <c:idx val="1"/>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⑥</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61-4E4D-A128-A1B057BC6634}"/>
                </c:ext>
              </c:extLst>
            </c:dLbl>
            <c:dLbl>
              <c:idx val="2"/>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⑦</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61-4E4D-A128-A1B057BC66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3"/>
              <c:pt idx="0">
                <c:v>1.8757534791252486</c:v>
              </c:pt>
              <c:pt idx="1">
                <c:v>1.8757534791252486</c:v>
              </c:pt>
              <c:pt idx="2">
                <c:v>11.258182998011927</c:v>
              </c:pt>
            </c:numLit>
          </c:xVal>
          <c:yVal>
            <c:numLit>
              <c:formatCode>General</c:formatCode>
              <c:ptCount val="3"/>
              <c:pt idx="0">
                <c:v>1.4E-3</c:v>
              </c:pt>
              <c:pt idx="1">
                <c:v>1.4E-3</c:v>
              </c:pt>
              <c:pt idx="2">
                <c:v>3.6800000000000001E-3</c:v>
              </c:pt>
            </c:numLit>
          </c:yVal>
          <c:smooth val="0"/>
          <c:extLst>
            <c:ext xmlns:c16="http://schemas.microsoft.com/office/drawing/2014/chart" uri="{C3380CC4-5D6E-409C-BE32-E72D297353CC}">
              <c16:uniqueId val="{0000000D-6861-4E4D-A128-A1B057BC6634}"/>
            </c:ext>
          </c:extLst>
        </c:ser>
        <c:ser>
          <c:idx val="7"/>
          <c:order val="7"/>
          <c:tx>
            <c:v>暖房加熱プロセス</c:v>
          </c:tx>
          <c:spPr>
            <a:ln w="25400">
              <a:solidFill>
                <a:srgbClr val="FF0000"/>
              </a:solidFill>
              <a:prstDash val="solid"/>
            </a:ln>
          </c:spPr>
          <c:marker>
            <c:symbol val="circle"/>
            <c:size val="6"/>
            <c:spPr>
              <a:solidFill>
                <a:srgbClr val="FFFFFF"/>
              </a:solidFill>
              <a:ln>
                <a:solidFill>
                  <a:srgbClr val="000000"/>
                </a:solidFill>
                <a:prstDash val="solid"/>
              </a:ln>
            </c:spPr>
          </c:marker>
          <c:dLbls>
            <c:dLbl>
              <c:idx val="1"/>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⑧</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61-4E4D-A128-A1B057BC6634}"/>
                </c:ext>
              </c:extLst>
            </c:dLbl>
            <c:dLbl>
              <c:idx val="2"/>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⑨</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1-4E4D-A128-A1B057BC66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3"/>
              <c:pt idx="0">
                <c:v>11.258182998011927</c:v>
              </c:pt>
              <c:pt idx="1">
                <c:v>23.219014234592443</c:v>
              </c:pt>
              <c:pt idx="2">
                <c:v>18.68648091451292</c:v>
              </c:pt>
            </c:numLit>
          </c:xVal>
          <c:yVal>
            <c:numLit>
              <c:formatCode>General</c:formatCode>
              <c:ptCount val="3"/>
              <c:pt idx="0">
                <c:v>3.6800000000000001E-3</c:v>
              </c:pt>
              <c:pt idx="1">
                <c:v>3.6800000000000001E-3</c:v>
              </c:pt>
              <c:pt idx="2">
                <c:v>5.47E-3</c:v>
              </c:pt>
            </c:numLit>
          </c:yVal>
          <c:smooth val="0"/>
          <c:extLst>
            <c:ext xmlns:c16="http://schemas.microsoft.com/office/drawing/2014/chart" uri="{C3380CC4-5D6E-409C-BE32-E72D297353CC}">
              <c16:uniqueId val="{00000010-6861-4E4D-A128-A1B057BC6634}"/>
            </c:ext>
          </c:extLst>
        </c:ser>
        <c:ser>
          <c:idx val="8"/>
          <c:order val="8"/>
          <c:tx>
            <c:v>暖房時外気 - 全熱交換機出口 - 排気</c:v>
          </c:tx>
          <c:spPr>
            <a:ln w="12700">
              <a:solidFill>
                <a:srgbClr val="000000"/>
              </a:solidFill>
              <a:prstDash val="sysDash"/>
            </a:ln>
          </c:spPr>
          <c:marker>
            <c:symbol val="circle"/>
            <c:size val="6"/>
            <c:spPr>
              <a:solidFill>
                <a:srgbClr val="FFFFFF"/>
              </a:solidFill>
              <a:ln>
                <a:solidFill>
                  <a:srgbClr val="000000"/>
                </a:solidFill>
                <a:prstDash val="solid"/>
              </a:ln>
            </c:spPr>
          </c:marker>
          <c:xVal>
            <c:numLit>
              <c:formatCode>General</c:formatCode>
              <c:ptCount val="3"/>
              <c:pt idx="0">
                <c:v>1.8757534791252486</c:v>
              </c:pt>
              <c:pt idx="1">
                <c:v>11.258182998011927</c:v>
              </c:pt>
              <c:pt idx="2">
                <c:v>18.68648091451292</c:v>
              </c:pt>
            </c:numLit>
          </c:xVal>
          <c:yVal>
            <c:numLit>
              <c:formatCode>General</c:formatCode>
              <c:ptCount val="3"/>
              <c:pt idx="0">
                <c:v>1.4E-3</c:v>
              </c:pt>
              <c:pt idx="1">
                <c:v>3.6800000000000001E-3</c:v>
              </c:pt>
              <c:pt idx="2">
                <c:v>5.47E-3</c:v>
              </c:pt>
            </c:numLit>
          </c:yVal>
          <c:smooth val="0"/>
          <c:extLst>
            <c:ext xmlns:c16="http://schemas.microsoft.com/office/drawing/2014/chart" uri="{C3380CC4-5D6E-409C-BE32-E72D297353CC}">
              <c16:uniqueId val="{00000013-6861-4E4D-A128-A1B057BC6634}"/>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EDF7-4C7A-9081-48E94F12AEF9}"/>
            </c:ext>
          </c:extLst>
        </c:ser>
        <c:ser>
          <c:idx val="1"/>
          <c:order val="1"/>
          <c:tx>
            <c:v>比エンタルピ座標軸</c:v>
          </c:tx>
          <c:spPr>
            <a:ln w="3175">
              <a:solidFill>
                <a:srgbClr val="000000"/>
              </a:solidFill>
              <a:prstDash val="solid"/>
            </a:ln>
          </c:spPr>
          <c:marker>
            <c:symbol val="none"/>
          </c:marker>
          <c:xVal>
            <c:numLit>
              <c:formatCode>General</c:formatCode>
              <c:ptCount val="2"/>
              <c:pt idx="0">
                <c:v>-10.178169782224485</c:v>
              </c:pt>
              <c:pt idx="1">
                <c:v>26.408799999999999</c:v>
              </c:pt>
            </c:numLit>
          </c:xVal>
          <c:yVal>
            <c:numLit>
              <c:formatCode>General</c:formatCode>
              <c:ptCount val="2"/>
              <c:pt idx="0">
                <c:v>2.4560824455002899E-3</c:v>
              </c:pt>
              <c:pt idx="1">
                <c:v>3.4000000000000002E-2</c:v>
              </c:pt>
            </c:numLit>
          </c:yVal>
          <c:smooth val="0"/>
          <c:extLst>
            <c:ext xmlns:c16="http://schemas.microsoft.com/office/drawing/2014/chart" uri="{C3380CC4-5D6E-409C-BE32-E72D297353CC}">
              <c16:uniqueId val="{00000001-EDF7-4C7A-9081-48E94F12AEF9}"/>
            </c:ext>
          </c:extLst>
        </c:ser>
        <c:ser>
          <c:idx val="2"/>
          <c:order val="2"/>
          <c:tx>
            <c:v>比エンタルピ座標軸ラベル</c:v>
          </c:tx>
          <c:spPr>
            <a:ln w="3175">
              <a:solidFill>
                <a:srgbClr val="000000"/>
              </a:solidFill>
              <a:prstDash val="solid"/>
            </a:ln>
          </c:spPr>
          <c:marker>
            <c:symbol val="none"/>
          </c:marker>
          <c:dLbls>
            <c:dLbl>
              <c:idx val="0"/>
              <c:layout>
                <c:manualLayout>
                  <c:x val="-7.7204861111111106E-2"/>
                  <c:y val="-3.9173336640061513E-17"/>
                </c:manualLayout>
              </c:layout>
              <c:tx>
                <c:rich>
                  <a:bodyPr rot="-29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比エンタルピ </a:t>
                    </a:r>
                    <a:r>
                      <a:rPr lang="en-US"/>
                      <a:t>h [kJ/kg(DA)]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11.774012087110206</c:v>
              </c:pt>
            </c:numLit>
          </c:xVal>
          <c:yVal>
            <c:numLit>
              <c:formatCode>General</c:formatCode>
              <c:ptCount val="1"/>
              <c:pt idx="0">
                <c:v>2.1382432978200118E-2</c:v>
              </c:pt>
            </c:numLit>
          </c:yVal>
          <c:smooth val="0"/>
          <c:extLst>
            <c:ext xmlns:c16="http://schemas.microsoft.com/office/drawing/2014/chart" uri="{C3380CC4-5D6E-409C-BE32-E72D297353CC}">
              <c16:uniqueId val="{00000003-EDF7-4C7A-9081-48E94F12AEF9}"/>
            </c:ext>
          </c:extLst>
        </c:ser>
        <c:ser>
          <c:idx val="3"/>
          <c:order val="3"/>
          <c:tx>
            <c:v>h=-9</c:v>
          </c:tx>
          <c:spPr>
            <a:ln w="3175">
              <a:solidFill>
                <a:srgbClr val="808080"/>
              </a:solidFill>
              <a:prstDash val="solid"/>
            </a:ln>
          </c:spPr>
          <c:marker>
            <c:symbol val="none"/>
          </c:marker>
          <c:xVal>
            <c:numLit>
              <c:formatCode>General</c:formatCode>
              <c:ptCount val="2"/>
              <c:pt idx="0">
                <c:v>-11.760874015442164</c:v>
              </c:pt>
              <c:pt idx="1">
                <c:v>-11.460874015442165</c:v>
              </c:pt>
            </c:numLit>
          </c:xVal>
          <c:yVal>
            <c:numLit>
              <c:formatCode>General</c:formatCode>
              <c:ptCount val="2"/>
              <c:pt idx="0">
                <c:v>1.0915340244929911E-3</c:v>
              </c:pt>
              <c:pt idx="1">
                <c:v>9.7292658151792533E-4</c:v>
              </c:pt>
            </c:numLit>
          </c:yVal>
          <c:smooth val="0"/>
          <c:extLst>
            <c:ext xmlns:c16="http://schemas.microsoft.com/office/drawing/2014/chart" uri="{C3380CC4-5D6E-409C-BE32-E72D297353CC}">
              <c16:uniqueId val="{00000004-EDF7-4C7A-9081-48E94F12AEF9}"/>
            </c:ext>
          </c:extLst>
        </c:ser>
        <c:ser>
          <c:idx val="4"/>
          <c:order val="4"/>
          <c:tx>
            <c:v>h=-8</c:v>
          </c:tx>
          <c:spPr>
            <a:ln w="3175">
              <a:solidFill>
                <a:srgbClr val="808080"/>
              </a:solidFill>
              <a:prstDash val="solid"/>
            </a:ln>
          </c:spPr>
          <c:marker>
            <c:symbol val="none"/>
          </c:marker>
          <c:xVal>
            <c:numLit>
              <c:formatCode>General</c:formatCode>
              <c:ptCount val="2"/>
              <c:pt idx="0">
                <c:v>-11.452465233740831</c:v>
              </c:pt>
              <c:pt idx="1">
                <c:v>-11.152465233740831</c:v>
              </c:pt>
            </c:numLit>
          </c:xVal>
          <c:yVal>
            <c:numLit>
              <c:formatCode>General</c:formatCode>
              <c:ptCount val="2"/>
              <c:pt idx="0">
                <c:v>1.3574325463158354E-3</c:v>
              </c:pt>
              <c:pt idx="1">
                <c:v>1.2394792183822454E-3</c:v>
              </c:pt>
            </c:numLit>
          </c:yVal>
          <c:smooth val="0"/>
          <c:extLst>
            <c:ext xmlns:c16="http://schemas.microsoft.com/office/drawing/2014/chart" uri="{C3380CC4-5D6E-409C-BE32-E72D297353CC}">
              <c16:uniqueId val="{00000005-EDF7-4C7A-9081-48E94F12AEF9}"/>
            </c:ext>
          </c:extLst>
        </c:ser>
        <c:ser>
          <c:idx val="5"/>
          <c:order val="5"/>
          <c:tx>
            <c:v>h=-7</c:v>
          </c:tx>
          <c:spPr>
            <a:ln w="3175">
              <a:solidFill>
                <a:srgbClr val="808080"/>
              </a:solidFill>
              <a:prstDash val="solid"/>
            </a:ln>
          </c:spPr>
          <c:marker>
            <c:symbol val="none"/>
          </c:marker>
          <c:xVal>
            <c:numLit>
              <c:formatCode>General</c:formatCode>
              <c:ptCount val="2"/>
              <c:pt idx="0">
                <c:v>-11.144056452039498</c:v>
              </c:pt>
              <c:pt idx="1">
                <c:v>-10.844056452039498</c:v>
              </c:pt>
            </c:numLit>
          </c:xVal>
          <c:yVal>
            <c:numLit>
              <c:formatCode>General</c:formatCode>
              <c:ptCount val="2"/>
              <c:pt idx="0">
                <c:v>1.6233310681386798E-3</c:v>
              </c:pt>
              <c:pt idx="1">
                <c:v>1.5058135279994939E-3</c:v>
              </c:pt>
            </c:numLit>
          </c:yVal>
          <c:smooth val="0"/>
          <c:extLst>
            <c:ext xmlns:c16="http://schemas.microsoft.com/office/drawing/2014/chart" uri="{C3380CC4-5D6E-409C-BE32-E72D297353CC}">
              <c16:uniqueId val="{00000006-EDF7-4C7A-9081-48E94F12AEF9}"/>
            </c:ext>
          </c:extLst>
        </c:ser>
        <c:ser>
          <c:idx val="6"/>
          <c:order val="6"/>
          <c:tx>
            <c:v>h=-6</c:v>
          </c:tx>
          <c:spPr>
            <a:ln w="3175">
              <a:solidFill>
                <a:srgbClr val="808080"/>
              </a:solidFill>
              <a:prstDash val="solid"/>
            </a:ln>
          </c:spPr>
          <c:marker>
            <c:symbol val="none"/>
          </c:marker>
          <c:xVal>
            <c:numLit>
              <c:formatCode>General</c:formatCode>
              <c:ptCount val="2"/>
              <c:pt idx="0">
                <c:v>-10.835647670338163</c:v>
              </c:pt>
              <c:pt idx="1">
                <c:v>-10.535647670338165</c:v>
              </c:pt>
            </c:numLit>
          </c:xVal>
          <c:yVal>
            <c:numLit>
              <c:formatCode>General</c:formatCode>
              <c:ptCount val="2"/>
              <c:pt idx="0">
                <c:v>1.8892295899615242E-3</c:v>
              </c:pt>
              <c:pt idx="1">
                <c:v>1.7720231854368492E-3</c:v>
              </c:pt>
            </c:numLit>
          </c:yVal>
          <c:smooth val="0"/>
          <c:extLst>
            <c:ext xmlns:c16="http://schemas.microsoft.com/office/drawing/2014/chart" uri="{C3380CC4-5D6E-409C-BE32-E72D297353CC}">
              <c16:uniqueId val="{00000007-EDF7-4C7A-9081-48E94F12AEF9}"/>
            </c:ext>
          </c:extLst>
        </c:ser>
        <c:ser>
          <c:idx val="7"/>
          <c:order val="7"/>
          <c:tx>
            <c:v>h=-5</c:v>
          </c:tx>
          <c:spPr>
            <a:ln w="3175">
              <a:solidFill>
                <a:srgbClr val="808080"/>
              </a:solidFill>
              <a:prstDash val="solid"/>
            </a:ln>
          </c:spPr>
          <c:marker>
            <c:symbol val="none"/>
          </c:marker>
          <c:dLbls>
            <c:dLbl>
              <c:idx val="0"/>
              <c:layout>
                <c:manualLayout>
                  <c:x val="-5.2083333333333296E-3"/>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-10.52723888863683</c:v>
              </c:pt>
              <c:pt idx="1">
                <c:v>-5</c:v>
              </c:pt>
            </c:numLit>
          </c:xVal>
          <c:yVal>
            <c:numLit>
              <c:formatCode>General</c:formatCode>
              <c:ptCount val="2"/>
              <c:pt idx="0">
                <c:v>2.1551281117843687E-3</c:v>
              </c:pt>
              <c:pt idx="1">
                <c:v>0</c:v>
              </c:pt>
            </c:numLit>
          </c:yVal>
          <c:smooth val="0"/>
          <c:extLst>
            <c:ext xmlns:c16="http://schemas.microsoft.com/office/drawing/2014/chart" uri="{C3380CC4-5D6E-409C-BE32-E72D297353CC}">
              <c16:uniqueId val="{00000009-EDF7-4C7A-9081-48E94F12AEF9}"/>
            </c:ext>
          </c:extLst>
        </c:ser>
        <c:ser>
          <c:idx val="8"/>
          <c:order val="8"/>
          <c:tx>
            <c:v>h=-4</c:v>
          </c:tx>
          <c:spPr>
            <a:ln w="3175">
              <a:solidFill>
                <a:srgbClr val="808080"/>
              </a:solidFill>
              <a:prstDash val="solid"/>
            </a:ln>
          </c:spPr>
          <c:marker>
            <c:symbol val="none"/>
          </c:marker>
          <c:xVal>
            <c:numLit>
              <c:formatCode>General</c:formatCode>
              <c:ptCount val="2"/>
              <c:pt idx="0">
                <c:v>-10.218830106935497</c:v>
              </c:pt>
              <c:pt idx="1">
                <c:v>-9.9188301069354967</c:v>
              </c:pt>
            </c:numLit>
          </c:xVal>
          <c:yVal>
            <c:numLit>
              <c:formatCode>General</c:formatCode>
              <c:ptCount val="2"/>
              <c:pt idx="0">
                <c:v>2.4210266336072133E-3</c:v>
              </c:pt>
              <c:pt idx="1">
                <c:v>2.3042348934257033E-3</c:v>
              </c:pt>
            </c:numLit>
          </c:yVal>
          <c:smooth val="0"/>
          <c:extLst>
            <c:ext xmlns:c16="http://schemas.microsoft.com/office/drawing/2014/chart" uri="{C3380CC4-5D6E-409C-BE32-E72D297353CC}">
              <c16:uniqueId val="{0000000A-EDF7-4C7A-9081-48E94F12AEF9}"/>
            </c:ext>
          </c:extLst>
        </c:ser>
        <c:ser>
          <c:idx val="9"/>
          <c:order val="9"/>
          <c:tx>
            <c:v>h=-3</c:v>
          </c:tx>
          <c:spPr>
            <a:ln w="3175">
              <a:solidFill>
                <a:srgbClr val="808080"/>
              </a:solidFill>
              <a:prstDash val="solid"/>
            </a:ln>
          </c:spPr>
          <c:marker>
            <c:symbol val="none"/>
          </c:marker>
          <c:xVal>
            <c:numLit>
              <c:formatCode>General</c:formatCode>
              <c:ptCount val="2"/>
              <c:pt idx="0">
                <c:v>-9.9104213252341626</c:v>
              </c:pt>
              <c:pt idx="1">
                <c:v>-9.6104213252341637</c:v>
              </c:pt>
            </c:numLit>
          </c:xVal>
          <c:yVal>
            <c:numLit>
              <c:formatCode>General</c:formatCode>
              <c:ptCount val="2"/>
              <c:pt idx="0">
                <c:v>2.6869251554300574E-3</c:v>
              </c:pt>
              <c:pt idx="1">
                <c:v>2.5702784983462792E-3</c:v>
              </c:pt>
            </c:numLit>
          </c:yVal>
          <c:smooth val="0"/>
          <c:extLst>
            <c:ext xmlns:c16="http://schemas.microsoft.com/office/drawing/2014/chart" uri="{C3380CC4-5D6E-409C-BE32-E72D297353CC}">
              <c16:uniqueId val="{0000000B-EDF7-4C7A-9081-48E94F12AEF9}"/>
            </c:ext>
          </c:extLst>
        </c:ser>
        <c:ser>
          <c:idx val="10"/>
          <c:order val="10"/>
          <c:tx>
            <c:v>h=-2</c:v>
          </c:tx>
          <c:spPr>
            <a:ln w="3175">
              <a:solidFill>
                <a:srgbClr val="808080"/>
              </a:solidFill>
              <a:prstDash val="solid"/>
            </a:ln>
          </c:spPr>
          <c:marker>
            <c:symbol val="none"/>
          </c:marker>
          <c:xVal>
            <c:numLit>
              <c:formatCode>General</c:formatCode>
              <c:ptCount val="2"/>
              <c:pt idx="0">
                <c:v>-9.6020125435328296</c:v>
              </c:pt>
              <c:pt idx="1">
                <c:v>-9.3020125435328289</c:v>
              </c:pt>
            </c:numLit>
          </c:xVal>
          <c:yVal>
            <c:numLit>
              <c:formatCode>General</c:formatCode>
              <c:ptCount val="2"/>
              <c:pt idx="0">
                <c:v>2.952823677252902E-3</c:v>
              </c:pt>
              <c:pt idx="1">
                <c:v>2.8362957054687095E-3</c:v>
              </c:pt>
            </c:numLit>
          </c:yVal>
          <c:smooth val="0"/>
          <c:extLst>
            <c:ext xmlns:c16="http://schemas.microsoft.com/office/drawing/2014/chart" uri="{C3380CC4-5D6E-409C-BE32-E72D297353CC}">
              <c16:uniqueId val="{0000000C-EDF7-4C7A-9081-48E94F12AEF9}"/>
            </c:ext>
          </c:extLst>
        </c:ser>
        <c:ser>
          <c:idx val="11"/>
          <c:order val="11"/>
          <c:tx>
            <c:v>h=-1</c:v>
          </c:tx>
          <c:spPr>
            <a:ln w="3175">
              <a:solidFill>
                <a:srgbClr val="808080"/>
              </a:solidFill>
              <a:prstDash val="solid"/>
            </a:ln>
          </c:spPr>
          <c:marker>
            <c:symbol val="none"/>
          </c:marker>
          <c:xVal>
            <c:numLit>
              <c:formatCode>General</c:formatCode>
              <c:ptCount val="2"/>
              <c:pt idx="0">
                <c:v>-9.2936037618314966</c:v>
              </c:pt>
              <c:pt idx="1">
                <c:v>-8.9936037618314959</c:v>
              </c:pt>
            </c:numLit>
          </c:xVal>
          <c:yVal>
            <c:numLit>
              <c:formatCode>General</c:formatCode>
              <c:ptCount val="2"/>
              <c:pt idx="0">
                <c:v>3.2187221990757462E-3</c:v>
              </c:pt>
              <c:pt idx="1">
                <c:v>3.102293118611757E-3</c:v>
              </c:pt>
            </c:numLit>
          </c:yVal>
          <c:smooth val="0"/>
          <c:extLst>
            <c:ext xmlns:c16="http://schemas.microsoft.com/office/drawing/2014/chart" uri="{C3380CC4-5D6E-409C-BE32-E72D297353CC}">
              <c16:uniqueId val="{0000000D-EDF7-4C7A-9081-48E94F12AEF9}"/>
            </c:ext>
          </c:extLst>
        </c:ser>
        <c:ser>
          <c:idx val="12"/>
          <c:order val="12"/>
          <c:tx>
            <c:v>h=0</c:v>
          </c:tx>
          <c:spPr>
            <a:ln w="3175">
              <a:solidFill>
                <a:srgbClr val="808080"/>
              </a:solidFill>
              <a:prstDash val="solid"/>
            </a:ln>
          </c:spPr>
          <c:marker>
            <c:symbol val="none"/>
          </c:marker>
          <c:dLbls>
            <c:dLbl>
              <c:idx val="0"/>
              <c:layout>
                <c:manualLayout>
                  <c:x val="-2.8094242125984253E-2"/>
                  <c:y val="-6.52567467528113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-8.9851949801301618</c:v>
              </c:pt>
              <c:pt idx="1">
                <c:v>0</c:v>
              </c:pt>
            </c:numLit>
          </c:xVal>
          <c:yVal>
            <c:numLit>
              <c:formatCode>General</c:formatCode>
              <c:ptCount val="2"/>
              <c:pt idx="0">
                <c:v>3.4846207208985907E-3</c:v>
              </c:pt>
              <c:pt idx="1">
                <c:v>0</c:v>
              </c:pt>
            </c:numLit>
          </c:yVal>
          <c:smooth val="0"/>
          <c:extLst>
            <c:ext xmlns:c16="http://schemas.microsoft.com/office/drawing/2014/chart" uri="{C3380CC4-5D6E-409C-BE32-E72D297353CC}">
              <c16:uniqueId val="{0000000F-EDF7-4C7A-9081-48E94F12AEF9}"/>
            </c:ext>
          </c:extLst>
        </c:ser>
        <c:ser>
          <c:idx val="13"/>
          <c:order val="13"/>
          <c:tx>
            <c:v>h=1</c:v>
          </c:tx>
          <c:spPr>
            <a:ln w="3175">
              <a:solidFill>
                <a:srgbClr val="808080"/>
              </a:solidFill>
              <a:prstDash val="solid"/>
            </a:ln>
          </c:spPr>
          <c:marker>
            <c:symbol val="none"/>
          </c:marker>
          <c:xVal>
            <c:numLit>
              <c:formatCode>General</c:formatCode>
              <c:ptCount val="2"/>
              <c:pt idx="0">
                <c:v>-8.6767861984288288</c:v>
              </c:pt>
              <c:pt idx="1">
                <c:v>-8.3767861984288281</c:v>
              </c:pt>
            </c:numLit>
          </c:xVal>
          <c:yVal>
            <c:numLit>
              <c:formatCode>General</c:formatCode>
              <c:ptCount val="2"/>
              <c:pt idx="0">
                <c:v>3.7505192427214353E-3</c:v>
              </c:pt>
              <c:pt idx="1">
                <c:v>3.6342455388548439E-3</c:v>
              </c:pt>
            </c:numLit>
          </c:yVal>
          <c:smooth val="0"/>
          <c:extLst>
            <c:ext xmlns:c16="http://schemas.microsoft.com/office/drawing/2014/chart" uri="{C3380CC4-5D6E-409C-BE32-E72D297353CC}">
              <c16:uniqueId val="{00000010-EDF7-4C7A-9081-48E94F12AEF9}"/>
            </c:ext>
          </c:extLst>
        </c:ser>
        <c:ser>
          <c:idx val="14"/>
          <c:order val="14"/>
          <c:tx>
            <c:v>h=2</c:v>
          </c:tx>
          <c:spPr>
            <a:ln w="3175">
              <a:solidFill>
                <a:srgbClr val="808080"/>
              </a:solidFill>
              <a:prstDash val="solid"/>
            </a:ln>
          </c:spPr>
          <c:marker>
            <c:symbol val="none"/>
          </c:marker>
          <c:xVal>
            <c:numLit>
              <c:formatCode>General</c:formatCode>
              <c:ptCount val="2"/>
              <c:pt idx="0">
                <c:v>-8.3683774167274958</c:v>
              </c:pt>
              <c:pt idx="1">
                <c:v>-8.0683774167274951</c:v>
              </c:pt>
            </c:numLit>
          </c:xVal>
          <c:yVal>
            <c:numLit>
              <c:formatCode>General</c:formatCode>
              <c:ptCount val="2"/>
              <c:pt idx="0">
                <c:v>4.0164177645442799E-3</c:v>
              </c:pt>
              <c:pt idx="1">
                <c:v>3.9002062030882552E-3</c:v>
              </c:pt>
            </c:numLit>
          </c:yVal>
          <c:smooth val="0"/>
          <c:extLst>
            <c:ext xmlns:c16="http://schemas.microsoft.com/office/drawing/2014/chart" uri="{C3380CC4-5D6E-409C-BE32-E72D297353CC}">
              <c16:uniqueId val="{00000011-EDF7-4C7A-9081-48E94F12AEF9}"/>
            </c:ext>
          </c:extLst>
        </c:ser>
        <c:ser>
          <c:idx val="15"/>
          <c:order val="15"/>
          <c:tx>
            <c:v>h=3</c:v>
          </c:tx>
          <c:spPr>
            <a:ln w="3175">
              <a:solidFill>
                <a:srgbClr val="808080"/>
              </a:solidFill>
              <a:prstDash val="solid"/>
            </a:ln>
          </c:spPr>
          <c:marker>
            <c:symbol val="none"/>
          </c:marker>
          <c:xVal>
            <c:numLit>
              <c:formatCode>General</c:formatCode>
              <c:ptCount val="2"/>
              <c:pt idx="0">
                <c:v>-8.059968635026161</c:v>
              </c:pt>
              <c:pt idx="1">
                <c:v>-7.7599686350261612</c:v>
              </c:pt>
            </c:numLit>
          </c:xVal>
          <c:yVal>
            <c:numLit>
              <c:formatCode>General</c:formatCode>
              <c:ptCount val="2"/>
              <c:pt idx="0">
                <c:v>4.282316286367124E-3</c:v>
              </c:pt>
              <c:pt idx="1">
                <c:v>4.1661590956639247E-3</c:v>
              </c:pt>
            </c:numLit>
          </c:yVal>
          <c:smooth val="0"/>
          <c:extLst>
            <c:ext xmlns:c16="http://schemas.microsoft.com/office/drawing/2014/chart" uri="{C3380CC4-5D6E-409C-BE32-E72D297353CC}">
              <c16:uniqueId val="{00000012-EDF7-4C7A-9081-48E94F12AEF9}"/>
            </c:ext>
          </c:extLst>
        </c:ser>
        <c:ser>
          <c:idx val="16"/>
          <c:order val="16"/>
          <c:tx>
            <c:v>h=4</c:v>
          </c:tx>
          <c:spPr>
            <a:ln w="3175">
              <a:solidFill>
                <a:srgbClr val="808080"/>
              </a:solidFill>
              <a:prstDash val="solid"/>
            </a:ln>
          </c:spPr>
          <c:marker>
            <c:symbol val="none"/>
          </c:marker>
          <c:xVal>
            <c:numLit>
              <c:formatCode>General</c:formatCode>
              <c:ptCount val="2"/>
              <c:pt idx="0">
                <c:v>-7.751559853324828</c:v>
              </c:pt>
              <c:pt idx="1">
                <c:v>-7.4515598533248282</c:v>
              </c:pt>
            </c:numLit>
          </c:xVal>
          <c:yVal>
            <c:numLit>
              <c:formatCode>General</c:formatCode>
              <c:ptCount val="2"/>
              <c:pt idx="0">
                <c:v>4.5482148081899682E-3</c:v>
              </c:pt>
              <c:pt idx="1">
                <c:v>4.4321055886916774E-3</c:v>
              </c:pt>
            </c:numLit>
          </c:yVal>
          <c:smooth val="0"/>
          <c:extLst>
            <c:ext xmlns:c16="http://schemas.microsoft.com/office/drawing/2014/chart" uri="{C3380CC4-5D6E-409C-BE32-E72D297353CC}">
              <c16:uniqueId val="{00000013-EDF7-4C7A-9081-48E94F12AEF9}"/>
            </c:ext>
          </c:extLst>
        </c:ser>
        <c:ser>
          <c:idx val="17"/>
          <c:order val="17"/>
          <c:tx>
            <c:v>h=5</c:v>
          </c:tx>
          <c:spPr>
            <a:ln w="3175">
              <a:solidFill>
                <a:srgbClr val="808080"/>
              </a:solidFill>
              <a:prstDash val="solid"/>
            </a:ln>
          </c:spPr>
          <c:marker>
            <c:symbol val="none"/>
          </c:marker>
          <c:dLbls>
            <c:dLbl>
              <c:idx val="0"/>
              <c:layout>
                <c:manualLayout>
                  <c:x val="-2.809424212598426E-2"/>
                  <c:y val="-6.52567467528113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-7.4431510716234941</c:v>
              </c:pt>
              <c:pt idx="1">
                <c:v>5</c:v>
              </c:pt>
            </c:numLit>
          </c:xVal>
          <c:yVal>
            <c:numLit>
              <c:formatCode>General</c:formatCode>
              <c:ptCount val="2"/>
              <c:pt idx="0">
                <c:v>4.8141133300128132E-3</c:v>
              </c:pt>
              <c:pt idx="1">
                <c:v>0</c:v>
              </c:pt>
            </c:numLit>
          </c:yVal>
          <c:smooth val="0"/>
          <c:extLst>
            <c:ext xmlns:c16="http://schemas.microsoft.com/office/drawing/2014/chart" uri="{C3380CC4-5D6E-409C-BE32-E72D297353CC}">
              <c16:uniqueId val="{00000015-EDF7-4C7A-9081-48E94F12AEF9}"/>
            </c:ext>
          </c:extLst>
        </c:ser>
        <c:ser>
          <c:idx val="18"/>
          <c:order val="18"/>
          <c:tx>
            <c:v>h=6</c:v>
          </c:tx>
          <c:spPr>
            <a:ln w="3175">
              <a:solidFill>
                <a:srgbClr val="808080"/>
              </a:solidFill>
              <a:prstDash val="solid"/>
            </a:ln>
          </c:spPr>
          <c:marker>
            <c:symbol val="none"/>
          </c:marker>
          <c:xVal>
            <c:numLit>
              <c:formatCode>General</c:formatCode>
              <c:ptCount val="2"/>
              <c:pt idx="0">
                <c:v>-7.1347422899221611</c:v>
              </c:pt>
              <c:pt idx="1">
                <c:v>-6.8347422899221613</c:v>
              </c:pt>
            </c:numLit>
          </c:xVal>
          <c:yVal>
            <c:numLit>
              <c:formatCode>General</c:formatCode>
              <c:ptCount val="2"/>
              <c:pt idx="0">
                <c:v>5.0800118518356573E-3</c:v>
              </c:pt>
              <c:pt idx="1">
                <c:v>4.9639834196128175E-3</c:v>
              </c:pt>
            </c:numLit>
          </c:yVal>
          <c:smooth val="0"/>
          <c:extLst>
            <c:ext xmlns:c16="http://schemas.microsoft.com/office/drawing/2014/chart" uri="{C3380CC4-5D6E-409C-BE32-E72D297353CC}">
              <c16:uniqueId val="{00000016-EDF7-4C7A-9081-48E94F12AEF9}"/>
            </c:ext>
          </c:extLst>
        </c:ser>
        <c:ser>
          <c:idx val="19"/>
          <c:order val="19"/>
          <c:tx>
            <c:v>h=7</c:v>
          </c:tx>
          <c:spPr>
            <a:ln w="3175">
              <a:solidFill>
                <a:srgbClr val="808080"/>
              </a:solidFill>
              <a:prstDash val="solid"/>
            </a:ln>
          </c:spPr>
          <c:marker>
            <c:symbol val="none"/>
          </c:marker>
          <c:xVal>
            <c:numLit>
              <c:formatCode>General</c:formatCode>
              <c:ptCount val="2"/>
              <c:pt idx="0">
                <c:v>-6.8263335082208272</c:v>
              </c:pt>
              <c:pt idx="1">
                <c:v>-6.5263335082208274</c:v>
              </c:pt>
            </c:numLit>
          </c:xVal>
          <c:yVal>
            <c:numLit>
              <c:formatCode>General</c:formatCode>
              <c:ptCount val="2"/>
              <c:pt idx="0">
                <c:v>5.3459103736585014E-3</c:v>
              </c:pt>
              <c:pt idx="1">
                <c:v>5.2299162736214972E-3</c:v>
              </c:pt>
            </c:numLit>
          </c:yVal>
          <c:smooth val="0"/>
          <c:extLst>
            <c:ext xmlns:c16="http://schemas.microsoft.com/office/drawing/2014/chart" uri="{C3380CC4-5D6E-409C-BE32-E72D297353CC}">
              <c16:uniqueId val="{00000017-EDF7-4C7A-9081-48E94F12AEF9}"/>
            </c:ext>
          </c:extLst>
        </c:ser>
        <c:ser>
          <c:idx val="20"/>
          <c:order val="20"/>
          <c:tx>
            <c:v>h=8</c:v>
          </c:tx>
          <c:spPr>
            <a:ln w="3175">
              <a:solidFill>
                <a:srgbClr val="808080"/>
              </a:solidFill>
              <a:prstDash val="solid"/>
            </a:ln>
          </c:spPr>
          <c:marker>
            <c:symbol val="none"/>
          </c:marker>
          <c:xVal>
            <c:numLit>
              <c:formatCode>General</c:formatCode>
              <c:ptCount val="2"/>
              <c:pt idx="0">
                <c:v>-6.5179247265194933</c:v>
              </c:pt>
              <c:pt idx="1">
                <c:v>-6.2179247265194935</c:v>
              </c:pt>
            </c:numLit>
          </c:xVal>
          <c:yVal>
            <c:numLit>
              <c:formatCode>General</c:formatCode>
              <c:ptCount val="2"/>
              <c:pt idx="0">
                <c:v>5.6118088954813464E-3</c:v>
              </c:pt>
              <c:pt idx="1">
                <c:v>5.4958458566615404E-3</c:v>
              </c:pt>
            </c:numLit>
          </c:yVal>
          <c:smooth val="0"/>
          <c:extLst>
            <c:ext xmlns:c16="http://schemas.microsoft.com/office/drawing/2014/chart" uri="{C3380CC4-5D6E-409C-BE32-E72D297353CC}">
              <c16:uniqueId val="{00000018-EDF7-4C7A-9081-48E94F12AEF9}"/>
            </c:ext>
          </c:extLst>
        </c:ser>
        <c:ser>
          <c:idx val="21"/>
          <c:order val="21"/>
          <c:tx>
            <c:v>h=9</c:v>
          </c:tx>
          <c:spPr>
            <a:ln w="3175">
              <a:solidFill>
                <a:srgbClr val="808080"/>
              </a:solidFill>
              <a:prstDash val="solid"/>
            </a:ln>
          </c:spPr>
          <c:marker>
            <c:symbol val="none"/>
          </c:marker>
          <c:xVal>
            <c:numLit>
              <c:formatCode>General</c:formatCode>
              <c:ptCount val="2"/>
              <c:pt idx="0">
                <c:v>-6.2095159448181603</c:v>
              </c:pt>
              <c:pt idx="1">
                <c:v>-5.9095159448181604</c:v>
              </c:pt>
            </c:numLit>
          </c:xVal>
          <c:yVal>
            <c:numLit>
              <c:formatCode>General</c:formatCode>
              <c:ptCount val="2"/>
              <c:pt idx="0">
                <c:v>5.8777074173041906E-3</c:v>
              </c:pt>
              <c:pt idx="1">
                <c:v>5.7617726149351506E-3</c:v>
              </c:pt>
            </c:numLit>
          </c:yVal>
          <c:smooth val="0"/>
          <c:extLst>
            <c:ext xmlns:c16="http://schemas.microsoft.com/office/drawing/2014/chart" uri="{C3380CC4-5D6E-409C-BE32-E72D297353CC}">
              <c16:uniqueId val="{00000019-EDF7-4C7A-9081-48E94F12AEF9}"/>
            </c:ext>
          </c:extLst>
        </c:ser>
        <c:ser>
          <c:idx val="22"/>
          <c:order val="22"/>
          <c:tx>
            <c:v>h=10</c:v>
          </c:tx>
          <c:spPr>
            <a:ln w="3175">
              <a:solidFill>
                <a:srgbClr val="808080"/>
              </a:solidFill>
              <a:prstDash val="solid"/>
            </a:ln>
          </c:spPr>
          <c:marker>
            <c:symbol val="none"/>
          </c:marker>
          <c:dLbls>
            <c:dLbl>
              <c:idx val="0"/>
              <c:layout>
                <c:manualLayout>
                  <c:x val="-3.0087489063867018E-2"/>
                  <c:y val="-9.34770172959165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-5.9011071631168264</c:v>
              </c:pt>
              <c:pt idx="1">
                <c:v>10</c:v>
              </c:pt>
            </c:numLit>
          </c:xVal>
          <c:yVal>
            <c:numLit>
              <c:formatCode>General</c:formatCode>
              <c:ptCount val="2"/>
              <c:pt idx="0">
                <c:v>6.1436059391270347E-3</c:v>
              </c:pt>
              <c:pt idx="1">
                <c:v>0</c:v>
              </c:pt>
            </c:numLit>
          </c:yVal>
          <c:smooth val="0"/>
          <c:extLst>
            <c:ext xmlns:c16="http://schemas.microsoft.com/office/drawing/2014/chart" uri="{C3380CC4-5D6E-409C-BE32-E72D297353CC}">
              <c16:uniqueId val="{0000001B-EDF7-4C7A-9081-48E94F12AEF9}"/>
            </c:ext>
          </c:extLst>
        </c:ser>
        <c:ser>
          <c:idx val="23"/>
          <c:order val="23"/>
          <c:tx>
            <c:v>h=11</c:v>
          </c:tx>
          <c:spPr>
            <a:ln w="3175">
              <a:solidFill>
                <a:srgbClr val="808080"/>
              </a:solidFill>
              <a:prstDash val="solid"/>
            </a:ln>
          </c:spPr>
          <c:marker>
            <c:symbol val="none"/>
          </c:marker>
          <c:xVal>
            <c:numLit>
              <c:formatCode>General</c:formatCode>
              <c:ptCount val="2"/>
              <c:pt idx="0">
                <c:v>-5.5926983814154925</c:v>
              </c:pt>
              <c:pt idx="1">
                <c:v>-5.2926983814154926</c:v>
              </c:pt>
            </c:numLit>
          </c:xVal>
          <c:yVal>
            <c:numLit>
              <c:formatCode>General</c:formatCode>
              <c:ptCount val="2"/>
              <c:pt idx="0">
                <c:v>6.4095044609498797E-3</c:v>
              </c:pt>
              <c:pt idx="1">
                <c:v>6.2936190700336779E-3</c:v>
              </c:pt>
            </c:numLit>
          </c:yVal>
          <c:smooth val="0"/>
          <c:extLst>
            <c:ext xmlns:c16="http://schemas.microsoft.com/office/drawing/2014/chart" uri="{C3380CC4-5D6E-409C-BE32-E72D297353CC}">
              <c16:uniqueId val="{0000001C-EDF7-4C7A-9081-48E94F12AEF9}"/>
            </c:ext>
          </c:extLst>
        </c:ser>
        <c:ser>
          <c:idx val="24"/>
          <c:order val="24"/>
          <c:tx>
            <c:v>h=12</c:v>
          </c:tx>
          <c:spPr>
            <a:ln w="3175">
              <a:solidFill>
                <a:srgbClr val="808080"/>
              </a:solidFill>
              <a:prstDash val="solid"/>
            </a:ln>
          </c:spPr>
          <c:marker>
            <c:symbol val="none"/>
          </c:marker>
          <c:xVal>
            <c:numLit>
              <c:formatCode>General</c:formatCode>
              <c:ptCount val="2"/>
              <c:pt idx="0">
                <c:v>-5.2842895997141595</c:v>
              </c:pt>
              <c:pt idx="1">
                <c:v>-4.9842895997141596</c:v>
              </c:pt>
            </c:numLit>
          </c:xVal>
          <c:yVal>
            <c:numLit>
              <c:formatCode>General</c:formatCode>
              <c:ptCount val="2"/>
              <c:pt idx="0">
                <c:v>6.6754029827727239E-3</c:v>
              </c:pt>
              <c:pt idx="1">
                <c:v>6.5595393319539518E-3</c:v>
              </c:pt>
            </c:numLit>
          </c:yVal>
          <c:smooth val="0"/>
          <c:extLst>
            <c:ext xmlns:c16="http://schemas.microsoft.com/office/drawing/2014/chart" uri="{C3380CC4-5D6E-409C-BE32-E72D297353CC}">
              <c16:uniqueId val="{0000001D-EDF7-4C7A-9081-48E94F12AEF9}"/>
            </c:ext>
          </c:extLst>
        </c:ser>
        <c:ser>
          <c:idx val="25"/>
          <c:order val="25"/>
          <c:tx>
            <c:v>h=13</c:v>
          </c:tx>
          <c:spPr>
            <a:ln w="3175">
              <a:solidFill>
                <a:srgbClr val="808080"/>
              </a:solidFill>
              <a:prstDash val="solid"/>
            </a:ln>
          </c:spPr>
          <c:marker>
            <c:symbol val="none"/>
          </c:marker>
          <c:xVal>
            <c:numLit>
              <c:formatCode>General</c:formatCode>
              <c:ptCount val="2"/>
              <c:pt idx="0">
                <c:v>-4.9758808180128256</c:v>
              </c:pt>
              <c:pt idx="1">
                <c:v>-4.6758808180128257</c:v>
              </c:pt>
            </c:numLit>
          </c:xVal>
          <c:yVal>
            <c:numLit>
              <c:formatCode>General</c:formatCode>
              <c:ptCount val="2"/>
              <c:pt idx="0">
                <c:v>6.941301504595568E-3</c:v>
              </c:pt>
              <c:pt idx="1">
                <c:v>6.8254579210482186E-3</c:v>
              </c:pt>
            </c:numLit>
          </c:yVal>
          <c:smooth val="0"/>
          <c:extLst>
            <c:ext xmlns:c16="http://schemas.microsoft.com/office/drawing/2014/chart" uri="{C3380CC4-5D6E-409C-BE32-E72D297353CC}">
              <c16:uniqueId val="{0000001E-EDF7-4C7A-9081-48E94F12AEF9}"/>
            </c:ext>
          </c:extLst>
        </c:ser>
        <c:ser>
          <c:idx val="26"/>
          <c:order val="26"/>
          <c:tx>
            <c:v>h=14</c:v>
          </c:tx>
          <c:spPr>
            <a:ln w="3175">
              <a:solidFill>
                <a:srgbClr val="808080"/>
              </a:solidFill>
              <a:prstDash val="solid"/>
            </a:ln>
          </c:spPr>
          <c:marker>
            <c:symbol val="none"/>
          </c:marker>
          <c:xVal>
            <c:numLit>
              <c:formatCode>General</c:formatCode>
              <c:ptCount val="2"/>
              <c:pt idx="0">
                <c:v>-4.6674720363114925</c:v>
              </c:pt>
              <c:pt idx="1">
                <c:v>-4.3674720363114918</c:v>
              </c:pt>
            </c:numLit>
          </c:xVal>
          <c:yVal>
            <c:numLit>
              <c:formatCode>General</c:formatCode>
              <c:ptCount val="2"/>
              <c:pt idx="0">
                <c:v>7.207200026418413E-3</c:v>
              </c:pt>
              <c:pt idx="1">
                <c:v>7.0913750232407067E-3</c:v>
              </c:pt>
            </c:numLit>
          </c:yVal>
          <c:smooth val="0"/>
          <c:extLst>
            <c:ext xmlns:c16="http://schemas.microsoft.com/office/drawing/2014/chart" uri="{C3380CC4-5D6E-409C-BE32-E72D297353CC}">
              <c16:uniqueId val="{0000001F-EDF7-4C7A-9081-48E94F12AEF9}"/>
            </c:ext>
          </c:extLst>
        </c:ser>
        <c:ser>
          <c:idx val="27"/>
          <c:order val="27"/>
          <c:tx>
            <c:v>h=15</c:v>
          </c:tx>
          <c:spPr>
            <a:ln w="3175">
              <a:solidFill>
                <a:srgbClr val="808080"/>
              </a:solidFill>
              <a:prstDash val="solid"/>
            </a:ln>
          </c:spPr>
          <c:marker>
            <c:symbol val="none"/>
          </c:marker>
          <c:dLbls>
            <c:dLbl>
              <c:idx val="0"/>
              <c:layout>
                <c:manualLayout>
                  <c:x val="-3.0087489063867032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-4.3590632546101586</c:v>
              </c:pt>
              <c:pt idx="1">
                <c:v>15</c:v>
              </c:pt>
            </c:numLit>
          </c:xVal>
          <c:yVal>
            <c:numLit>
              <c:formatCode>General</c:formatCode>
              <c:ptCount val="2"/>
              <c:pt idx="0">
                <c:v>7.4730985482412571E-3</c:v>
              </c:pt>
              <c:pt idx="1">
                <c:v>0</c:v>
              </c:pt>
            </c:numLit>
          </c:yVal>
          <c:smooth val="0"/>
          <c:extLst>
            <c:ext xmlns:c16="http://schemas.microsoft.com/office/drawing/2014/chart" uri="{C3380CC4-5D6E-409C-BE32-E72D297353CC}">
              <c16:uniqueId val="{00000021-EDF7-4C7A-9081-48E94F12AEF9}"/>
            </c:ext>
          </c:extLst>
        </c:ser>
        <c:ser>
          <c:idx val="28"/>
          <c:order val="28"/>
          <c:tx>
            <c:v>h=16</c:v>
          </c:tx>
          <c:spPr>
            <a:ln w="3175">
              <a:solidFill>
                <a:srgbClr val="808080"/>
              </a:solidFill>
              <a:prstDash val="solid"/>
            </a:ln>
          </c:spPr>
          <c:marker>
            <c:symbol val="none"/>
          </c:marker>
          <c:xVal>
            <c:numLit>
              <c:formatCode>General</c:formatCode>
              <c:ptCount val="2"/>
              <c:pt idx="0">
                <c:v>-4.0506544729088247</c:v>
              </c:pt>
              <c:pt idx="1">
                <c:v>-3.7506544729088249</c:v>
              </c:pt>
            </c:numLit>
          </c:xVal>
          <c:yVal>
            <c:numLit>
              <c:formatCode>General</c:formatCode>
              <c:ptCount val="2"/>
              <c:pt idx="0">
                <c:v>7.7389970700641013E-3</c:v>
              </c:pt>
              <c:pt idx="1">
                <c:v>7.6232053823585373E-3</c:v>
              </c:pt>
            </c:numLit>
          </c:yVal>
          <c:smooth val="0"/>
          <c:extLst>
            <c:ext xmlns:c16="http://schemas.microsoft.com/office/drawing/2014/chart" uri="{C3380CC4-5D6E-409C-BE32-E72D297353CC}">
              <c16:uniqueId val="{00000022-EDF7-4C7A-9081-48E94F12AEF9}"/>
            </c:ext>
          </c:extLst>
        </c:ser>
        <c:ser>
          <c:idx val="29"/>
          <c:order val="29"/>
          <c:tx>
            <c:v>h=17</c:v>
          </c:tx>
          <c:spPr>
            <a:ln w="3175">
              <a:solidFill>
                <a:srgbClr val="808080"/>
              </a:solidFill>
              <a:prstDash val="solid"/>
            </a:ln>
          </c:spPr>
          <c:marker>
            <c:symbol val="none"/>
          </c:marker>
          <c:xVal>
            <c:numLit>
              <c:formatCode>General</c:formatCode>
              <c:ptCount val="2"/>
              <c:pt idx="0">
                <c:v>-3.7422456912074913</c:v>
              </c:pt>
              <c:pt idx="1">
                <c:v>-3.4422456912074915</c:v>
              </c:pt>
            </c:numLit>
          </c:xVal>
          <c:yVal>
            <c:numLit>
              <c:formatCode>General</c:formatCode>
              <c:ptCount val="2"/>
              <c:pt idx="0">
                <c:v>8.0048955918869454E-3</c:v>
              </c:pt>
              <c:pt idx="1">
                <c:v>7.8891188957028839E-3</c:v>
              </c:pt>
            </c:numLit>
          </c:yVal>
          <c:smooth val="0"/>
          <c:extLst>
            <c:ext xmlns:c16="http://schemas.microsoft.com/office/drawing/2014/chart" uri="{C3380CC4-5D6E-409C-BE32-E72D297353CC}">
              <c16:uniqueId val="{00000023-EDF7-4C7A-9081-48E94F12AEF9}"/>
            </c:ext>
          </c:extLst>
        </c:ser>
        <c:ser>
          <c:idx val="30"/>
          <c:order val="30"/>
          <c:tx>
            <c:v>h=18</c:v>
          </c:tx>
          <c:spPr>
            <a:ln w="3175">
              <a:solidFill>
                <a:srgbClr val="808080"/>
              </a:solidFill>
              <a:prstDash val="solid"/>
            </a:ln>
          </c:spPr>
          <c:marker>
            <c:symbol val="none"/>
          </c:marker>
          <c:xVal>
            <c:numLit>
              <c:formatCode>General</c:formatCode>
              <c:ptCount val="2"/>
              <c:pt idx="0">
                <c:v>-3.4338369095061578</c:v>
              </c:pt>
              <c:pt idx="1">
                <c:v>-3.1338369095061576</c:v>
              </c:pt>
            </c:numLit>
          </c:xVal>
          <c:yVal>
            <c:numLit>
              <c:formatCode>General</c:formatCode>
              <c:ptCount val="2"/>
              <c:pt idx="0">
                <c:v>8.2707941137097896E-3</c:v>
              </c:pt>
              <c:pt idx="1">
                <c:v>8.1550314416045221E-3</c:v>
              </c:pt>
            </c:numLit>
          </c:yVal>
          <c:smooth val="0"/>
          <c:extLst>
            <c:ext xmlns:c16="http://schemas.microsoft.com/office/drawing/2014/chart" uri="{C3380CC4-5D6E-409C-BE32-E72D297353CC}">
              <c16:uniqueId val="{00000024-EDF7-4C7A-9081-48E94F12AEF9}"/>
            </c:ext>
          </c:extLst>
        </c:ser>
        <c:ser>
          <c:idx val="31"/>
          <c:order val="31"/>
          <c:tx>
            <c:v>h=19</c:v>
          </c:tx>
          <c:spPr>
            <a:ln w="3175">
              <a:solidFill>
                <a:srgbClr val="808080"/>
              </a:solidFill>
              <a:prstDash val="solid"/>
            </a:ln>
          </c:spPr>
          <c:marker>
            <c:symbol val="none"/>
          </c:marker>
          <c:xVal>
            <c:numLit>
              <c:formatCode>General</c:formatCode>
              <c:ptCount val="2"/>
              <c:pt idx="0">
                <c:v>-3.1254281278048244</c:v>
              </c:pt>
              <c:pt idx="1">
                <c:v>-2.8254281278048241</c:v>
              </c:pt>
            </c:numLit>
          </c:xVal>
          <c:yVal>
            <c:numLit>
              <c:formatCode>General</c:formatCode>
              <c:ptCount val="2"/>
              <c:pt idx="0">
                <c:v>8.5366926355326354E-3</c:v>
              </c:pt>
              <c:pt idx="1">
                <c:v>8.4209431107837157E-3</c:v>
              </c:pt>
            </c:numLit>
          </c:yVal>
          <c:smooth val="0"/>
          <c:extLst>
            <c:ext xmlns:c16="http://schemas.microsoft.com/office/drawing/2014/chart" uri="{C3380CC4-5D6E-409C-BE32-E72D297353CC}">
              <c16:uniqueId val="{00000025-EDF7-4C7A-9081-48E94F12AEF9}"/>
            </c:ext>
          </c:extLst>
        </c:ser>
        <c:ser>
          <c:idx val="32"/>
          <c:order val="32"/>
          <c:tx>
            <c:v>h=20</c:v>
          </c:tx>
          <c:spPr>
            <a:ln w="3175">
              <a:solidFill>
                <a:srgbClr val="808080"/>
              </a:solidFill>
              <a:prstDash val="solid"/>
            </a:ln>
          </c:spPr>
          <c:marker>
            <c:symbol val="none"/>
          </c:marker>
          <c:dLbls>
            <c:dLbl>
              <c:idx val="0"/>
              <c:layout>
                <c:manualLayout>
                  <c:x val="-3.0087489063867018E-2"/>
                  <c:y val="-9.34770172959165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-2.8170193461034905</c:v>
              </c:pt>
              <c:pt idx="1">
                <c:v>20</c:v>
              </c:pt>
            </c:numLit>
          </c:xVal>
          <c:yVal>
            <c:numLit>
              <c:formatCode>General</c:formatCode>
              <c:ptCount val="2"/>
              <c:pt idx="0">
                <c:v>8.8025911573554796E-3</c:v>
              </c:pt>
              <c:pt idx="1">
                <c:v>0</c:v>
              </c:pt>
            </c:numLit>
          </c:yVal>
          <c:smooth val="0"/>
          <c:extLst>
            <c:ext xmlns:c16="http://schemas.microsoft.com/office/drawing/2014/chart" uri="{C3380CC4-5D6E-409C-BE32-E72D297353CC}">
              <c16:uniqueId val="{00000027-EDF7-4C7A-9081-48E94F12AEF9}"/>
            </c:ext>
          </c:extLst>
        </c:ser>
        <c:ser>
          <c:idx val="33"/>
          <c:order val="33"/>
          <c:tx>
            <c:v>h=21</c:v>
          </c:tx>
          <c:spPr>
            <a:ln w="3175">
              <a:solidFill>
                <a:srgbClr val="808080"/>
              </a:solidFill>
              <a:prstDash val="solid"/>
            </a:ln>
          </c:spPr>
          <c:marker>
            <c:symbol val="none"/>
          </c:marker>
          <c:xVal>
            <c:numLit>
              <c:formatCode>General</c:formatCode>
              <c:ptCount val="2"/>
              <c:pt idx="0">
                <c:v>-2.508610564402157</c:v>
              </c:pt>
              <c:pt idx="1">
                <c:v>-2.2086105644021572</c:v>
              </c:pt>
            </c:numLit>
          </c:xVal>
          <c:yVal>
            <c:numLit>
              <c:formatCode>General</c:formatCode>
              <c:ptCount val="2"/>
              <c:pt idx="0">
                <c:v>9.0684896791783237E-3</c:v>
              </c:pt>
              <c:pt idx="1">
                <c:v>8.952764128478485E-3</c:v>
              </c:pt>
            </c:numLit>
          </c:yVal>
          <c:smooth val="0"/>
          <c:extLst>
            <c:ext xmlns:c16="http://schemas.microsoft.com/office/drawing/2014/chart" uri="{C3380CC4-5D6E-409C-BE32-E72D297353CC}">
              <c16:uniqueId val="{00000028-EDF7-4C7A-9081-48E94F12AEF9}"/>
            </c:ext>
          </c:extLst>
        </c:ser>
        <c:ser>
          <c:idx val="34"/>
          <c:order val="34"/>
          <c:tx>
            <c:v>h=22</c:v>
          </c:tx>
          <c:spPr>
            <a:ln w="3175">
              <a:solidFill>
                <a:srgbClr val="808080"/>
              </a:solidFill>
              <a:prstDash val="solid"/>
            </a:ln>
          </c:spPr>
          <c:marker>
            <c:symbol val="none"/>
          </c:marker>
          <c:xVal>
            <c:numLit>
              <c:formatCode>General</c:formatCode>
              <c:ptCount val="2"/>
              <c:pt idx="0">
                <c:v>-2.2002017827008236</c:v>
              </c:pt>
              <c:pt idx="1">
                <c:v>-1.9002017827008235</c:v>
              </c:pt>
            </c:numLit>
          </c:xVal>
          <c:yVal>
            <c:numLit>
              <c:formatCode>General</c:formatCode>
              <c:ptCount val="2"/>
              <c:pt idx="0">
                <c:v>9.3343882010011679E-3</c:v>
              </c:pt>
              <c:pt idx="1">
                <c:v>9.2186736096335001E-3</c:v>
              </c:pt>
            </c:numLit>
          </c:yVal>
          <c:smooth val="0"/>
          <c:extLst>
            <c:ext xmlns:c16="http://schemas.microsoft.com/office/drawing/2014/chart" uri="{C3380CC4-5D6E-409C-BE32-E72D297353CC}">
              <c16:uniqueId val="{00000029-EDF7-4C7A-9081-48E94F12AEF9}"/>
            </c:ext>
          </c:extLst>
        </c:ser>
        <c:ser>
          <c:idx val="35"/>
          <c:order val="35"/>
          <c:tx>
            <c:v>h=23</c:v>
          </c:tx>
          <c:spPr>
            <a:ln w="3175">
              <a:solidFill>
                <a:srgbClr val="808080"/>
              </a:solidFill>
              <a:prstDash val="solid"/>
            </a:ln>
          </c:spPr>
          <c:marker>
            <c:symbol val="none"/>
          </c:marker>
          <c:xVal>
            <c:numLit>
              <c:formatCode>General</c:formatCode>
              <c:ptCount val="2"/>
              <c:pt idx="0">
                <c:v>-1.8917930009994899</c:v>
              </c:pt>
              <c:pt idx="1">
                <c:v>-1.5917930009994898</c:v>
              </c:pt>
            </c:numLit>
          </c:xVal>
          <c:yVal>
            <c:numLit>
              <c:formatCode>General</c:formatCode>
              <c:ptCount val="2"/>
              <c:pt idx="0">
                <c:v>9.600286722824012E-3</c:v>
              </c:pt>
              <c:pt idx="1">
                <c:v>9.484582481802421E-3</c:v>
              </c:pt>
            </c:numLit>
          </c:yVal>
          <c:smooth val="0"/>
          <c:extLst>
            <c:ext xmlns:c16="http://schemas.microsoft.com/office/drawing/2014/chart" uri="{C3380CC4-5D6E-409C-BE32-E72D297353CC}">
              <c16:uniqueId val="{0000002A-EDF7-4C7A-9081-48E94F12AEF9}"/>
            </c:ext>
          </c:extLst>
        </c:ser>
        <c:ser>
          <c:idx val="36"/>
          <c:order val="36"/>
          <c:tx>
            <c:v>h=24</c:v>
          </c:tx>
          <c:spPr>
            <a:ln w="3175">
              <a:solidFill>
                <a:srgbClr val="808080"/>
              </a:solidFill>
              <a:prstDash val="solid"/>
            </a:ln>
          </c:spPr>
          <c:marker>
            <c:symbol val="none"/>
          </c:marker>
          <c:xVal>
            <c:numLit>
              <c:formatCode>General</c:formatCode>
              <c:ptCount val="2"/>
              <c:pt idx="0">
                <c:v>-1.5833842192981562</c:v>
              </c:pt>
              <c:pt idx="1">
                <c:v>-1.2833842192981562</c:v>
              </c:pt>
            </c:numLit>
          </c:xVal>
          <c:yVal>
            <c:numLit>
              <c:formatCode>General</c:formatCode>
              <c:ptCount val="2"/>
              <c:pt idx="0">
                <c:v>9.8661852446468561E-3</c:v>
              </c:pt>
              <c:pt idx="1">
                <c:v>9.7504907943730974E-3</c:v>
              </c:pt>
            </c:numLit>
          </c:yVal>
          <c:smooth val="0"/>
          <c:extLst>
            <c:ext xmlns:c16="http://schemas.microsoft.com/office/drawing/2014/chart" uri="{C3380CC4-5D6E-409C-BE32-E72D297353CC}">
              <c16:uniqueId val="{0000002B-EDF7-4C7A-9081-48E94F12AEF9}"/>
            </c:ext>
          </c:extLst>
        </c:ser>
        <c:ser>
          <c:idx val="37"/>
          <c:order val="37"/>
          <c:tx>
            <c:v>h=25</c:v>
          </c:tx>
          <c:spPr>
            <a:ln w="3175">
              <a:solidFill>
                <a:srgbClr val="808080"/>
              </a:solidFill>
              <a:prstDash val="solid"/>
            </a:ln>
          </c:spPr>
          <c:marker>
            <c:symbol val="none"/>
          </c:marker>
          <c:dLbls>
            <c:dLbl>
              <c:idx val="0"/>
              <c:layout>
                <c:manualLayout>
                  <c:x val="-3.0087489063867018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25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-1.2749754375968227</c:v>
              </c:pt>
              <c:pt idx="1">
                <c:v>25</c:v>
              </c:pt>
            </c:numLit>
          </c:xVal>
          <c:yVal>
            <c:numLit>
              <c:formatCode>General</c:formatCode>
              <c:ptCount val="2"/>
              <c:pt idx="0">
                <c:v>1.0132083766469702E-2</c:v>
              </c:pt>
              <c:pt idx="1">
                <c:v>0</c:v>
              </c:pt>
            </c:numLit>
          </c:yVal>
          <c:smooth val="0"/>
          <c:extLst>
            <c:ext xmlns:c16="http://schemas.microsoft.com/office/drawing/2014/chart" uri="{C3380CC4-5D6E-409C-BE32-E72D297353CC}">
              <c16:uniqueId val="{0000002D-EDF7-4C7A-9081-48E94F12AEF9}"/>
            </c:ext>
          </c:extLst>
        </c:ser>
        <c:ser>
          <c:idx val="38"/>
          <c:order val="38"/>
          <c:tx>
            <c:v>h=26</c:v>
          </c:tx>
          <c:spPr>
            <a:ln w="3175">
              <a:solidFill>
                <a:srgbClr val="808080"/>
              </a:solidFill>
              <a:prstDash val="solid"/>
            </a:ln>
          </c:spPr>
          <c:marker>
            <c:symbol val="none"/>
          </c:marker>
          <c:xVal>
            <c:numLit>
              <c:formatCode>General</c:formatCode>
              <c:ptCount val="2"/>
              <c:pt idx="0">
                <c:v>-0.96656665589548907</c:v>
              </c:pt>
              <c:pt idx="1">
                <c:v>-0.66656665589548902</c:v>
              </c:pt>
            </c:numLit>
          </c:xVal>
          <c:yVal>
            <c:numLit>
              <c:formatCode>General</c:formatCode>
              <c:ptCount val="2"/>
              <c:pt idx="0">
                <c:v>1.0397982288292546E-2</c:v>
              </c:pt>
              <c:pt idx="1">
                <c:v>1.0282305912938853E-2</c:v>
              </c:pt>
            </c:numLit>
          </c:yVal>
          <c:smooth val="0"/>
          <c:extLst>
            <c:ext xmlns:c16="http://schemas.microsoft.com/office/drawing/2014/chart" uri="{C3380CC4-5D6E-409C-BE32-E72D297353CC}">
              <c16:uniqueId val="{0000002E-EDF7-4C7A-9081-48E94F12AEF9}"/>
            </c:ext>
          </c:extLst>
        </c:ser>
        <c:ser>
          <c:idx val="39"/>
          <c:order val="39"/>
          <c:tx>
            <c:v>h=27</c:v>
          </c:tx>
          <c:spPr>
            <a:ln w="3175">
              <a:solidFill>
                <a:srgbClr val="808080"/>
              </a:solidFill>
              <a:prstDash val="solid"/>
            </a:ln>
          </c:spPr>
          <c:marker>
            <c:symbol val="none"/>
          </c:marker>
          <c:xVal>
            <c:numLit>
              <c:formatCode>General</c:formatCode>
              <c:ptCount val="2"/>
              <c:pt idx="0">
                <c:v>-0.6581578741941555</c:v>
              </c:pt>
              <c:pt idx="1">
                <c:v>-0.35815787419415551</c:v>
              </c:pt>
            </c:numLit>
          </c:xVal>
          <c:yVal>
            <c:numLit>
              <c:formatCode>General</c:formatCode>
              <c:ptCount val="2"/>
              <c:pt idx="0">
                <c:v>1.066388081011539E-2</c:v>
              </c:pt>
              <c:pt idx="1">
                <c:v>1.0548212794277664E-2</c:v>
              </c:pt>
            </c:numLit>
          </c:yVal>
          <c:smooth val="0"/>
          <c:extLst>
            <c:ext xmlns:c16="http://schemas.microsoft.com/office/drawing/2014/chart" uri="{C3380CC4-5D6E-409C-BE32-E72D297353CC}">
              <c16:uniqueId val="{0000002F-EDF7-4C7A-9081-48E94F12AEF9}"/>
            </c:ext>
          </c:extLst>
        </c:ser>
        <c:ser>
          <c:idx val="40"/>
          <c:order val="40"/>
          <c:tx>
            <c:v>h=28</c:v>
          </c:tx>
          <c:spPr>
            <a:ln w="3175">
              <a:solidFill>
                <a:srgbClr val="808080"/>
              </a:solidFill>
              <a:prstDash val="solid"/>
            </a:ln>
          </c:spPr>
          <c:marker>
            <c:symbol val="none"/>
          </c:marker>
          <c:xVal>
            <c:numLit>
              <c:formatCode>General</c:formatCode>
              <c:ptCount val="2"/>
              <c:pt idx="0">
                <c:v>-0.34974909249282188</c:v>
              </c:pt>
              <c:pt idx="1">
                <c:v>-4.9749092492821903E-2</c:v>
              </c:pt>
            </c:numLit>
          </c:xVal>
          <c:yVal>
            <c:numLit>
              <c:formatCode>General</c:formatCode>
              <c:ptCount val="2"/>
              <c:pt idx="0">
                <c:v>1.0929779331938234E-2</c:v>
              </c:pt>
              <c:pt idx="1">
                <c:v>1.0814119267756229E-2</c:v>
              </c:pt>
            </c:numLit>
          </c:yVal>
          <c:smooth val="0"/>
          <c:extLst>
            <c:ext xmlns:c16="http://schemas.microsoft.com/office/drawing/2014/chart" uri="{C3380CC4-5D6E-409C-BE32-E72D297353CC}">
              <c16:uniqueId val="{00000030-EDF7-4C7A-9081-48E94F12AEF9}"/>
            </c:ext>
          </c:extLst>
        </c:ser>
        <c:ser>
          <c:idx val="41"/>
          <c:order val="41"/>
          <c:tx>
            <c:v>h=29</c:v>
          </c:tx>
          <c:spPr>
            <a:ln w="3175">
              <a:solidFill>
                <a:srgbClr val="808080"/>
              </a:solidFill>
              <a:prstDash val="solid"/>
            </a:ln>
          </c:spPr>
          <c:marker>
            <c:symbol val="none"/>
          </c:marker>
          <c:xVal>
            <c:numLit>
              <c:formatCode>General</c:formatCode>
              <c:ptCount val="2"/>
              <c:pt idx="0">
                <c:v>-4.1340310791488304E-2</c:v>
              </c:pt>
              <c:pt idx="1">
                <c:v>0.25865968920851168</c:v>
              </c:pt>
            </c:numLit>
          </c:xVal>
          <c:yVal>
            <c:numLit>
              <c:formatCode>General</c:formatCode>
              <c:ptCount val="2"/>
              <c:pt idx="0">
                <c:v>1.1195677853761079E-2</c:v>
              </c:pt>
              <c:pt idx="1">
                <c:v>1.108002536251293E-2</c:v>
              </c:pt>
            </c:numLit>
          </c:yVal>
          <c:smooth val="0"/>
          <c:extLst>
            <c:ext xmlns:c16="http://schemas.microsoft.com/office/drawing/2014/chart" uri="{C3380CC4-5D6E-409C-BE32-E72D297353CC}">
              <c16:uniqueId val="{00000031-EDF7-4C7A-9081-48E94F12AEF9}"/>
            </c:ext>
          </c:extLst>
        </c:ser>
        <c:ser>
          <c:idx val="42"/>
          <c:order val="42"/>
          <c:tx>
            <c:v>h=30</c:v>
          </c:tx>
          <c:spPr>
            <a:ln w="3175">
              <a:solidFill>
                <a:srgbClr val="808080"/>
              </a:solidFill>
              <a:prstDash val="solid"/>
            </a:ln>
          </c:spPr>
          <c:marker>
            <c:symbol val="none"/>
          </c:marker>
          <c:dLbls>
            <c:dLbl>
              <c:idx val="0"/>
              <c:layout>
                <c:manualLayout>
                  <c:x val="-3.0087489063867018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0.26706847090984531</c:v>
              </c:pt>
              <c:pt idx="1">
                <c:v>30</c:v>
              </c:pt>
            </c:numLit>
          </c:xVal>
          <c:yVal>
            <c:numLit>
              <c:formatCode>General</c:formatCode>
              <c:ptCount val="2"/>
              <c:pt idx="0">
                <c:v>1.1461576375583923E-2</c:v>
              </c:pt>
              <c:pt idx="1">
                <c:v>0</c:v>
              </c:pt>
            </c:numLit>
          </c:yVal>
          <c:smooth val="0"/>
          <c:extLst>
            <c:ext xmlns:c16="http://schemas.microsoft.com/office/drawing/2014/chart" uri="{C3380CC4-5D6E-409C-BE32-E72D297353CC}">
              <c16:uniqueId val="{00000033-EDF7-4C7A-9081-48E94F12AEF9}"/>
            </c:ext>
          </c:extLst>
        </c:ser>
        <c:ser>
          <c:idx val="43"/>
          <c:order val="43"/>
          <c:tx>
            <c:v>h=31</c:v>
          </c:tx>
          <c:spPr>
            <a:ln w="3175">
              <a:solidFill>
                <a:srgbClr val="808080"/>
              </a:solidFill>
              <a:prstDash val="solid"/>
            </a:ln>
          </c:spPr>
          <c:marker>
            <c:symbol val="none"/>
          </c:marker>
          <c:xVal>
            <c:numLit>
              <c:formatCode>General</c:formatCode>
              <c:ptCount val="2"/>
              <c:pt idx="0">
                <c:v>0.57547725261117888</c:v>
              </c:pt>
              <c:pt idx="1">
                <c:v>0.87547725261117881</c:v>
              </c:pt>
            </c:numLit>
          </c:xVal>
          <c:yVal>
            <c:numLit>
              <c:formatCode>General</c:formatCode>
              <c:ptCount val="2"/>
              <c:pt idx="0">
                <c:v>1.1727474897406769E-2</c:v>
              </c:pt>
              <c:pt idx="1">
                <c:v>1.1611836519167163E-2</c:v>
              </c:pt>
            </c:numLit>
          </c:yVal>
          <c:smooth val="0"/>
          <c:extLst>
            <c:ext xmlns:c16="http://schemas.microsoft.com/office/drawing/2014/chart" uri="{C3380CC4-5D6E-409C-BE32-E72D297353CC}">
              <c16:uniqueId val="{00000034-EDF7-4C7A-9081-48E94F12AEF9}"/>
            </c:ext>
          </c:extLst>
        </c:ser>
        <c:ser>
          <c:idx val="44"/>
          <c:order val="44"/>
          <c:tx>
            <c:v>h=32</c:v>
          </c:tx>
          <c:spPr>
            <a:ln w="3175">
              <a:solidFill>
                <a:srgbClr val="808080"/>
              </a:solidFill>
              <a:prstDash val="solid"/>
            </a:ln>
          </c:spPr>
          <c:marker>
            <c:symbol val="none"/>
          </c:marker>
          <c:xVal>
            <c:numLit>
              <c:formatCode>General</c:formatCode>
              <c:ptCount val="2"/>
              <c:pt idx="0">
                <c:v>0.88388603431251245</c:v>
              </c:pt>
              <c:pt idx="1">
                <c:v>1.1838860343125124</c:v>
              </c:pt>
            </c:numLit>
          </c:xVal>
          <c:yVal>
            <c:numLit>
              <c:formatCode>General</c:formatCode>
              <c:ptCount val="2"/>
              <c:pt idx="0">
                <c:v>1.1993373419229613E-2</c:v>
              </c:pt>
              <c:pt idx="1">
                <c:v>1.1877741626977646E-2</c:v>
              </c:pt>
            </c:numLit>
          </c:yVal>
          <c:smooth val="0"/>
          <c:extLst>
            <c:ext xmlns:c16="http://schemas.microsoft.com/office/drawing/2014/chart" uri="{C3380CC4-5D6E-409C-BE32-E72D297353CC}">
              <c16:uniqueId val="{00000035-EDF7-4C7A-9081-48E94F12AEF9}"/>
            </c:ext>
          </c:extLst>
        </c:ser>
        <c:ser>
          <c:idx val="45"/>
          <c:order val="45"/>
          <c:tx>
            <c:v>h=33</c:v>
          </c:tx>
          <c:spPr>
            <a:ln w="3175">
              <a:solidFill>
                <a:srgbClr val="808080"/>
              </a:solidFill>
              <a:prstDash val="solid"/>
            </a:ln>
          </c:spPr>
          <c:marker>
            <c:symbol val="none"/>
          </c:marker>
          <c:xVal>
            <c:numLit>
              <c:formatCode>General</c:formatCode>
              <c:ptCount val="2"/>
              <c:pt idx="0">
                <c:v>1.192294816013846</c:v>
              </c:pt>
              <c:pt idx="1">
                <c:v>1.4922948160138461</c:v>
              </c:pt>
            </c:numLit>
          </c:xVal>
          <c:yVal>
            <c:numLit>
              <c:formatCode>General</c:formatCode>
              <c:ptCount val="2"/>
              <c:pt idx="0">
                <c:v>1.2259271941052457E-2</c:v>
              </c:pt>
              <c:pt idx="1">
                <c:v>1.214364644839141E-2</c:v>
              </c:pt>
            </c:numLit>
          </c:yVal>
          <c:smooth val="0"/>
          <c:extLst>
            <c:ext xmlns:c16="http://schemas.microsoft.com/office/drawing/2014/chart" uri="{C3380CC4-5D6E-409C-BE32-E72D297353CC}">
              <c16:uniqueId val="{00000036-EDF7-4C7A-9081-48E94F12AEF9}"/>
            </c:ext>
          </c:extLst>
        </c:ser>
        <c:ser>
          <c:idx val="46"/>
          <c:order val="46"/>
          <c:tx>
            <c:v>h=34</c:v>
          </c:tx>
          <c:spPr>
            <a:ln w="3175">
              <a:solidFill>
                <a:srgbClr val="808080"/>
              </a:solidFill>
              <a:prstDash val="solid"/>
            </a:ln>
          </c:spPr>
          <c:marker>
            <c:symbol val="none"/>
          </c:marker>
          <c:xVal>
            <c:numLit>
              <c:formatCode>General</c:formatCode>
              <c:ptCount val="2"/>
              <c:pt idx="0">
                <c:v>1.5007035977151797</c:v>
              </c:pt>
              <c:pt idx="1">
                <c:v>1.8007035977151795</c:v>
              </c:pt>
            </c:numLit>
          </c:xVal>
          <c:yVal>
            <c:numLit>
              <c:formatCode>General</c:formatCode>
              <c:ptCount val="2"/>
              <c:pt idx="0">
                <c:v>1.2525170462875301E-2</c:v>
              </c:pt>
              <c:pt idx="1">
                <c:v>1.2409551001692184E-2</c:v>
              </c:pt>
            </c:numLit>
          </c:yVal>
          <c:smooth val="0"/>
          <c:extLst>
            <c:ext xmlns:c16="http://schemas.microsoft.com/office/drawing/2014/chart" uri="{C3380CC4-5D6E-409C-BE32-E72D297353CC}">
              <c16:uniqueId val="{00000037-EDF7-4C7A-9081-48E94F12AEF9}"/>
            </c:ext>
          </c:extLst>
        </c:ser>
        <c:ser>
          <c:idx val="47"/>
          <c:order val="47"/>
          <c:tx>
            <c:v>h=35</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35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8-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1.8091123794165131</c:v>
              </c:pt>
              <c:pt idx="1">
                <c:v>35</c:v>
              </c:pt>
            </c:numLit>
          </c:xVal>
          <c:yVal>
            <c:numLit>
              <c:formatCode>General</c:formatCode>
              <c:ptCount val="2"/>
              <c:pt idx="0">
                <c:v>1.2791068984698145E-2</c:v>
              </c:pt>
              <c:pt idx="1">
                <c:v>0</c:v>
              </c:pt>
            </c:numLit>
          </c:yVal>
          <c:smooth val="0"/>
          <c:extLst>
            <c:ext xmlns:c16="http://schemas.microsoft.com/office/drawing/2014/chart" uri="{C3380CC4-5D6E-409C-BE32-E72D297353CC}">
              <c16:uniqueId val="{00000039-EDF7-4C7A-9081-48E94F12AEF9}"/>
            </c:ext>
          </c:extLst>
        </c:ser>
        <c:ser>
          <c:idx val="48"/>
          <c:order val="48"/>
          <c:tx>
            <c:v>h=36</c:v>
          </c:tx>
          <c:spPr>
            <a:ln w="3175">
              <a:solidFill>
                <a:srgbClr val="808080"/>
              </a:solidFill>
              <a:prstDash val="solid"/>
            </a:ln>
          </c:spPr>
          <c:marker>
            <c:symbol val="none"/>
          </c:marker>
          <c:xVal>
            <c:numLit>
              <c:formatCode>General</c:formatCode>
              <c:ptCount val="2"/>
              <c:pt idx="0">
                <c:v>2.1175211611178466</c:v>
              </c:pt>
              <c:pt idx="1">
                <c:v>2.4175211611178469</c:v>
              </c:pt>
            </c:numLit>
          </c:xVal>
          <c:yVal>
            <c:numLit>
              <c:formatCode>General</c:formatCode>
              <c:ptCount val="2"/>
              <c:pt idx="0">
                <c:v>1.3056967506520989E-2</c:v>
              </c:pt>
              <c:pt idx="1">
                <c:v>1.2941359369625727E-2</c:v>
              </c:pt>
            </c:numLit>
          </c:yVal>
          <c:smooth val="0"/>
          <c:extLst>
            <c:ext xmlns:c16="http://schemas.microsoft.com/office/drawing/2014/chart" uri="{C3380CC4-5D6E-409C-BE32-E72D297353CC}">
              <c16:uniqueId val="{0000003A-EDF7-4C7A-9081-48E94F12AEF9}"/>
            </c:ext>
          </c:extLst>
        </c:ser>
        <c:ser>
          <c:idx val="49"/>
          <c:order val="49"/>
          <c:tx>
            <c:v>h=37</c:v>
          </c:tx>
          <c:spPr>
            <a:ln w="3175">
              <a:solidFill>
                <a:srgbClr val="808080"/>
              </a:solidFill>
              <a:prstDash val="solid"/>
            </a:ln>
          </c:spPr>
          <c:marker>
            <c:symbol val="none"/>
          </c:marker>
          <c:xVal>
            <c:numLit>
              <c:formatCode>General</c:formatCode>
              <c:ptCount val="2"/>
              <c:pt idx="0">
                <c:v>2.4259299428191805</c:v>
              </c:pt>
              <c:pt idx="1">
                <c:v>2.7259299428191803</c:v>
              </c:pt>
            </c:numLit>
          </c:xVal>
          <c:yVal>
            <c:numLit>
              <c:formatCode>General</c:formatCode>
              <c:ptCount val="2"/>
              <c:pt idx="0">
                <c:v>1.3322866028343833E-2</c:v>
              </c:pt>
              <c:pt idx="1">
                <c:v>1.3207263213809909E-2</c:v>
              </c:pt>
            </c:numLit>
          </c:yVal>
          <c:smooth val="0"/>
          <c:extLst>
            <c:ext xmlns:c16="http://schemas.microsoft.com/office/drawing/2014/chart" uri="{C3380CC4-5D6E-409C-BE32-E72D297353CC}">
              <c16:uniqueId val="{0000003B-EDF7-4C7A-9081-48E94F12AEF9}"/>
            </c:ext>
          </c:extLst>
        </c:ser>
        <c:ser>
          <c:idx val="50"/>
          <c:order val="50"/>
          <c:tx>
            <c:v>h=38</c:v>
          </c:tx>
          <c:spPr>
            <a:ln w="3175">
              <a:solidFill>
                <a:srgbClr val="808080"/>
              </a:solidFill>
              <a:prstDash val="solid"/>
            </a:ln>
          </c:spPr>
          <c:marker>
            <c:symbol val="none"/>
          </c:marker>
          <c:xVal>
            <c:numLit>
              <c:formatCode>General</c:formatCode>
              <c:ptCount val="2"/>
              <c:pt idx="0">
                <c:v>2.734338724520514</c:v>
              </c:pt>
              <c:pt idx="1">
                <c:v>3.0343387245205138</c:v>
              </c:pt>
            </c:numLit>
          </c:xVal>
          <c:yVal>
            <c:numLit>
              <c:formatCode>General</c:formatCode>
              <c:ptCount val="2"/>
              <c:pt idx="0">
                <c:v>1.3588764550166679E-2</c:v>
              </c:pt>
              <c:pt idx="1">
                <c:v>1.3473166849241543E-2</c:v>
              </c:pt>
            </c:numLit>
          </c:yVal>
          <c:smooth val="0"/>
          <c:extLst>
            <c:ext xmlns:c16="http://schemas.microsoft.com/office/drawing/2014/chart" uri="{C3380CC4-5D6E-409C-BE32-E72D297353CC}">
              <c16:uniqueId val="{0000003C-EDF7-4C7A-9081-48E94F12AEF9}"/>
            </c:ext>
          </c:extLst>
        </c:ser>
        <c:ser>
          <c:idx val="51"/>
          <c:order val="51"/>
          <c:tx>
            <c:v>h=39</c:v>
          </c:tx>
          <c:spPr>
            <a:ln w="3175">
              <a:solidFill>
                <a:srgbClr val="808080"/>
              </a:solidFill>
              <a:prstDash val="solid"/>
            </a:ln>
          </c:spPr>
          <c:marker>
            <c:symbol val="none"/>
          </c:marker>
          <c:xVal>
            <c:numLit>
              <c:formatCode>General</c:formatCode>
              <c:ptCount val="2"/>
              <c:pt idx="0">
                <c:v>3.0427475062218474</c:v>
              </c:pt>
              <c:pt idx="1">
                <c:v>3.3427475062218477</c:v>
              </c:pt>
            </c:numLit>
          </c:xVal>
          <c:yVal>
            <c:numLit>
              <c:formatCode>General</c:formatCode>
              <c:ptCount val="2"/>
              <c:pt idx="0">
                <c:v>1.3854663071989523E-2</c:v>
              </c:pt>
              <c:pt idx="1">
                <c:v>1.3739070287965881E-2</c:v>
              </c:pt>
            </c:numLit>
          </c:yVal>
          <c:smooth val="0"/>
          <c:extLst>
            <c:ext xmlns:c16="http://schemas.microsoft.com/office/drawing/2014/chart" uri="{C3380CC4-5D6E-409C-BE32-E72D297353CC}">
              <c16:uniqueId val="{0000003D-EDF7-4C7A-9081-48E94F12AEF9}"/>
            </c:ext>
          </c:extLst>
        </c:ser>
        <c:ser>
          <c:idx val="52"/>
          <c:order val="52"/>
          <c:tx>
            <c:v>h=40</c:v>
          </c:tx>
          <c:spPr>
            <a:ln w="3175">
              <a:solidFill>
                <a:srgbClr val="808080"/>
              </a:solidFill>
              <a:prstDash val="solid"/>
            </a:ln>
          </c:spPr>
          <c:marker>
            <c:symbol val="none"/>
          </c:marker>
          <c:dLbls>
            <c:dLbl>
              <c:idx val="0"/>
              <c:layout>
                <c:manualLayout>
                  <c:x val="-3.0087489063867049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40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3.3511562879231813</c:v>
              </c:pt>
              <c:pt idx="1">
                <c:v>40</c:v>
              </c:pt>
            </c:numLit>
          </c:xVal>
          <c:yVal>
            <c:numLit>
              <c:formatCode>General</c:formatCode>
              <c:ptCount val="2"/>
              <c:pt idx="0">
                <c:v>1.4120561593812368E-2</c:v>
              </c:pt>
              <c:pt idx="1">
                <c:v>0</c:v>
              </c:pt>
            </c:numLit>
          </c:yVal>
          <c:smooth val="0"/>
          <c:extLst>
            <c:ext xmlns:c16="http://schemas.microsoft.com/office/drawing/2014/chart" uri="{C3380CC4-5D6E-409C-BE32-E72D297353CC}">
              <c16:uniqueId val="{0000003F-EDF7-4C7A-9081-48E94F12AEF9}"/>
            </c:ext>
          </c:extLst>
        </c:ser>
        <c:ser>
          <c:idx val="53"/>
          <c:order val="53"/>
          <c:tx>
            <c:v>h=41</c:v>
          </c:tx>
          <c:spPr>
            <a:ln w="3175">
              <a:solidFill>
                <a:srgbClr val="808080"/>
              </a:solidFill>
              <a:prstDash val="solid"/>
            </a:ln>
          </c:spPr>
          <c:marker>
            <c:symbol val="none"/>
          </c:marker>
          <c:xVal>
            <c:numLit>
              <c:formatCode>General</c:formatCode>
              <c:ptCount val="2"/>
              <c:pt idx="0">
                <c:v>3.6595650696245148</c:v>
              </c:pt>
              <c:pt idx="1">
                <c:v>3.9595650696245146</c:v>
              </c:pt>
            </c:numLit>
          </c:xVal>
          <c:yVal>
            <c:numLit>
              <c:formatCode>General</c:formatCode>
              <c:ptCount val="2"/>
              <c:pt idx="0">
                <c:v>1.4386460115635212E-2</c:v>
              </c:pt>
              <c:pt idx="1">
                <c:v>1.4270876619011833E-2</c:v>
              </c:pt>
            </c:numLit>
          </c:yVal>
          <c:smooth val="0"/>
          <c:extLst>
            <c:ext xmlns:c16="http://schemas.microsoft.com/office/drawing/2014/chart" uri="{C3380CC4-5D6E-409C-BE32-E72D297353CC}">
              <c16:uniqueId val="{00000040-EDF7-4C7A-9081-48E94F12AEF9}"/>
            </c:ext>
          </c:extLst>
        </c:ser>
        <c:ser>
          <c:idx val="54"/>
          <c:order val="54"/>
          <c:tx>
            <c:v>h=42</c:v>
          </c:tx>
          <c:spPr>
            <a:ln w="3175">
              <a:solidFill>
                <a:srgbClr val="808080"/>
              </a:solidFill>
              <a:prstDash val="solid"/>
            </a:ln>
          </c:spPr>
          <c:marker>
            <c:symbol val="none"/>
          </c:marker>
          <c:xVal>
            <c:numLit>
              <c:formatCode>General</c:formatCode>
              <c:ptCount val="2"/>
              <c:pt idx="0">
                <c:v>3.9679738513258482</c:v>
              </c:pt>
              <c:pt idx="1">
                <c:v>4.2679738513258485</c:v>
              </c:pt>
            </c:numLit>
          </c:xVal>
          <c:yVal>
            <c:numLit>
              <c:formatCode>General</c:formatCode>
              <c:ptCount val="2"/>
              <c:pt idx="0">
                <c:v>1.4652358637458056E-2</c:v>
              </c:pt>
              <c:pt idx="1">
                <c:v>1.4536779531205505E-2</c:v>
              </c:pt>
            </c:numLit>
          </c:yVal>
          <c:smooth val="0"/>
          <c:extLst>
            <c:ext xmlns:c16="http://schemas.microsoft.com/office/drawing/2014/chart" uri="{C3380CC4-5D6E-409C-BE32-E72D297353CC}">
              <c16:uniqueId val="{00000041-EDF7-4C7A-9081-48E94F12AEF9}"/>
            </c:ext>
          </c:extLst>
        </c:ser>
        <c:ser>
          <c:idx val="55"/>
          <c:order val="55"/>
          <c:tx>
            <c:v>h=43</c:v>
          </c:tx>
          <c:spPr>
            <a:ln w="3175">
              <a:solidFill>
                <a:srgbClr val="808080"/>
              </a:solidFill>
              <a:prstDash val="solid"/>
            </a:ln>
          </c:spPr>
          <c:marker>
            <c:symbol val="none"/>
          </c:marker>
          <c:xVal>
            <c:numLit>
              <c:formatCode>General</c:formatCode>
              <c:ptCount val="2"/>
              <c:pt idx="0">
                <c:v>4.2763826330271817</c:v>
              </c:pt>
              <c:pt idx="1">
                <c:v>4.5763826330271815</c:v>
              </c:pt>
            </c:numLit>
          </c:xVal>
          <c:yVal>
            <c:numLit>
              <c:formatCode>General</c:formatCode>
              <c:ptCount val="2"/>
              <c:pt idx="0">
                <c:v>1.49182571592809E-2</c:v>
              </c:pt>
              <c:pt idx="1">
                <c:v>1.4802682286577985E-2</c:v>
              </c:pt>
            </c:numLit>
          </c:yVal>
          <c:smooth val="0"/>
          <c:extLst>
            <c:ext xmlns:c16="http://schemas.microsoft.com/office/drawing/2014/chart" uri="{C3380CC4-5D6E-409C-BE32-E72D297353CC}">
              <c16:uniqueId val="{00000042-EDF7-4C7A-9081-48E94F12AEF9}"/>
            </c:ext>
          </c:extLst>
        </c:ser>
        <c:ser>
          <c:idx val="56"/>
          <c:order val="56"/>
          <c:tx>
            <c:v>h=44</c:v>
          </c:tx>
          <c:spPr>
            <a:ln w="3175">
              <a:solidFill>
                <a:srgbClr val="808080"/>
              </a:solidFill>
              <a:prstDash val="solid"/>
            </a:ln>
          </c:spPr>
          <c:marker>
            <c:symbol val="none"/>
          </c:marker>
          <c:xVal>
            <c:numLit>
              <c:formatCode>General</c:formatCode>
              <c:ptCount val="2"/>
              <c:pt idx="0">
                <c:v>4.5847914147285156</c:v>
              </c:pt>
              <c:pt idx="1">
                <c:v>4.8847914147285154</c:v>
              </c:pt>
            </c:numLit>
          </c:xVal>
          <c:yVal>
            <c:numLit>
              <c:formatCode>General</c:formatCode>
              <c:ptCount val="2"/>
              <c:pt idx="0">
                <c:v>1.5184155681103746E-2</c:v>
              </c:pt>
              <c:pt idx="1">
                <c:v>1.5068584893384172E-2</c:v>
              </c:pt>
            </c:numLit>
          </c:yVal>
          <c:smooth val="0"/>
          <c:extLst>
            <c:ext xmlns:c16="http://schemas.microsoft.com/office/drawing/2014/chart" uri="{C3380CC4-5D6E-409C-BE32-E72D297353CC}">
              <c16:uniqueId val="{00000043-EDF7-4C7A-9081-48E94F12AEF9}"/>
            </c:ext>
          </c:extLst>
        </c:ser>
        <c:ser>
          <c:idx val="57"/>
          <c:order val="57"/>
          <c:tx>
            <c:v>h=45</c:v>
          </c:tx>
          <c:spPr>
            <a:ln w="3175">
              <a:solidFill>
                <a:srgbClr val="808080"/>
              </a:solidFill>
              <a:prstDash val="solid"/>
            </a:ln>
          </c:spPr>
          <c:marker>
            <c:symbol val="none"/>
          </c:marker>
          <c:dLbls>
            <c:dLbl>
              <c:idx val="0"/>
              <c:layout>
                <c:manualLayout>
                  <c:x val="-3.0087489063867049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45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4-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4.8932001964298495</c:v>
              </c:pt>
              <c:pt idx="1">
                <c:v>45</c:v>
              </c:pt>
            </c:numLit>
          </c:xVal>
          <c:yVal>
            <c:numLit>
              <c:formatCode>General</c:formatCode>
              <c:ptCount val="2"/>
              <c:pt idx="0">
                <c:v>1.545005420292659E-2</c:v>
              </c:pt>
              <c:pt idx="1">
                <c:v>0</c:v>
              </c:pt>
            </c:numLit>
          </c:yVal>
          <c:smooth val="0"/>
          <c:extLst>
            <c:ext xmlns:c16="http://schemas.microsoft.com/office/drawing/2014/chart" uri="{C3380CC4-5D6E-409C-BE32-E72D297353CC}">
              <c16:uniqueId val="{00000045-EDF7-4C7A-9081-48E94F12AEF9}"/>
            </c:ext>
          </c:extLst>
        </c:ser>
        <c:ser>
          <c:idx val="58"/>
          <c:order val="58"/>
          <c:tx>
            <c:v>h=46</c:v>
          </c:tx>
          <c:spPr>
            <a:ln w="3175">
              <a:solidFill>
                <a:srgbClr val="808080"/>
              </a:solidFill>
              <a:prstDash val="solid"/>
            </a:ln>
          </c:spPr>
          <c:marker>
            <c:symbol val="none"/>
          </c:marker>
          <c:xVal>
            <c:numLit>
              <c:formatCode>General</c:formatCode>
              <c:ptCount val="2"/>
              <c:pt idx="0">
                <c:v>5.2016089781311825</c:v>
              </c:pt>
              <c:pt idx="1">
                <c:v>5.5016089781311823</c:v>
              </c:pt>
            </c:numLit>
          </c:xVal>
          <c:yVal>
            <c:numLit>
              <c:formatCode>General</c:formatCode>
              <c:ptCount val="2"/>
              <c:pt idx="0">
                <c:v>1.5715952724749432E-2</c:v>
              </c:pt>
              <c:pt idx="1">
                <c:v>1.5600389691518597E-2</c:v>
              </c:pt>
            </c:numLit>
          </c:yVal>
          <c:smooth val="0"/>
          <c:extLst>
            <c:ext xmlns:c16="http://schemas.microsoft.com/office/drawing/2014/chart" uri="{C3380CC4-5D6E-409C-BE32-E72D297353CC}">
              <c16:uniqueId val="{00000046-EDF7-4C7A-9081-48E94F12AEF9}"/>
            </c:ext>
          </c:extLst>
        </c:ser>
        <c:ser>
          <c:idx val="59"/>
          <c:order val="59"/>
          <c:tx>
            <c:v>h=47</c:v>
          </c:tx>
          <c:spPr>
            <a:ln w="3175">
              <a:solidFill>
                <a:srgbClr val="808080"/>
              </a:solidFill>
              <a:prstDash val="solid"/>
            </a:ln>
          </c:spPr>
          <c:marker>
            <c:symbol val="none"/>
          </c:marker>
          <c:xVal>
            <c:numLit>
              <c:formatCode>General</c:formatCode>
              <c:ptCount val="2"/>
              <c:pt idx="0">
                <c:v>5.5100177598325164</c:v>
              </c:pt>
              <c:pt idx="1">
                <c:v>5.8100177598325162</c:v>
              </c:pt>
            </c:numLit>
          </c:xVal>
          <c:yVal>
            <c:numLit>
              <c:formatCode>General</c:formatCode>
              <c:ptCount val="2"/>
              <c:pt idx="0">
                <c:v>1.5981851246572278E-2</c:v>
              </c:pt>
              <c:pt idx="1">
                <c:v>1.5866291896697939E-2</c:v>
              </c:pt>
            </c:numLit>
          </c:yVal>
          <c:smooth val="0"/>
          <c:extLst>
            <c:ext xmlns:c16="http://schemas.microsoft.com/office/drawing/2014/chart" uri="{C3380CC4-5D6E-409C-BE32-E72D297353CC}">
              <c16:uniqueId val="{00000047-EDF7-4C7A-9081-48E94F12AEF9}"/>
            </c:ext>
          </c:extLst>
        </c:ser>
        <c:ser>
          <c:idx val="60"/>
          <c:order val="60"/>
          <c:tx>
            <c:v>h=48</c:v>
          </c:tx>
          <c:spPr>
            <a:ln w="3175">
              <a:solidFill>
                <a:srgbClr val="808080"/>
              </a:solidFill>
              <a:prstDash val="solid"/>
            </a:ln>
          </c:spPr>
          <c:marker>
            <c:symbol val="none"/>
          </c:marker>
          <c:xVal>
            <c:numLit>
              <c:formatCode>General</c:formatCode>
              <c:ptCount val="2"/>
              <c:pt idx="0">
                <c:v>5.8184265415338503</c:v>
              </c:pt>
              <c:pt idx="1">
                <c:v>6.1184265415338501</c:v>
              </c:pt>
            </c:numLit>
          </c:xVal>
          <c:yVal>
            <c:numLit>
              <c:formatCode>General</c:formatCode>
              <c:ptCount val="2"/>
              <c:pt idx="0">
                <c:v>1.6247749768395124E-2</c:v>
              </c:pt>
              <c:pt idx="1">
                <c:v>1.613219398109577E-2</c:v>
              </c:pt>
            </c:numLit>
          </c:yVal>
          <c:smooth val="0"/>
          <c:extLst>
            <c:ext xmlns:c16="http://schemas.microsoft.com/office/drawing/2014/chart" uri="{C3380CC4-5D6E-409C-BE32-E72D297353CC}">
              <c16:uniqueId val="{00000048-EDF7-4C7A-9081-48E94F12AEF9}"/>
            </c:ext>
          </c:extLst>
        </c:ser>
        <c:ser>
          <c:idx val="61"/>
          <c:order val="61"/>
          <c:tx>
            <c:v>h=49</c:v>
          </c:tx>
          <c:spPr>
            <a:ln w="3175">
              <a:solidFill>
                <a:srgbClr val="808080"/>
              </a:solidFill>
              <a:prstDash val="solid"/>
            </a:ln>
          </c:spPr>
          <c:marker>
            <c:symbol val="none"/>
          </c:marker>
          <c:xVal>
            <c:numLit>
              <c:formatCode>General</c:formatCode>
              <c:ptCount val="2"/>
              <c:pt idx="0">
                <c:v>6.1268353232351833</c:v>
              </c:pt>
              <c:pt idx="1">
                <c:v>6.4268353232351831</c:v>
              </c:pt>
            </c:numLit>
          </c:xVal>
          <c:yVal>
            <c:numLit>
              <c:formatCode>General</c:formatCode>
              <c:ptCount val="2"/>
              <c:pt idx="0">
                <c:v>1.6513648290217967E-2</c:v>
              </c:pt>
              <c:pt idx="1">
                <c:v>1.639809595055711E-2</c:v>
              </c:pt>
            </c:numLit>
          </c:yVal>
          <c:smooth val="0"/>
          <c:extLst>
            <c:ext xmlns:c16="http://schemas.microsoft.com/office/drawing/2014/chart" uri="{C3380CC4-5D6E-409C-BE32-E72D297353CC}">
              <c16:uniqueId val="{00000049-EDF7-4C7A-9081-48E94F12AEF9}"/>
            </c:ext>
          </c:extLst>
        </c:ser>
        <c:ser>
          <c:idx val="62"/>
          <c:order val="62"/>
          <c:tx>
            <c:v>h=50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A-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6.4352441049365172</c:v>
              </c:pt>
              <c:pt idx="1">
                <c:v>50</c:v>
              </c:pt>
            </c:numLit>
          </c:xVal>
          <c:yVal>
            <c:numLit>
              <c:formatCode>General</c:formatCode>
              <c:ptCount val="2"/>
              <c:pt idx="0">
                <c:v>1.6779546812040812E-2</c:v>
              </c:pt>
              <c:pt idx="1">
                <c:v>0</c:v>
              </c:pt>
            </c:numLit>
          </c:yVal>
          <c:smooth val="0"/>
          <c:extLst>
            <c:ext xmlns:c16="http://schemas.microsoft.com/office/drawing/2014/chart" uri="{C3380CC4-5D6E-409C-BE32-E72D297353CC}">
              <c16:uniqueId val="{0000004B-EDF7-4C7A-9081-48E94F12AEF9}"/>
            </c:ext>
          </c:extLst>
        </c:ser>
        <c:ser>
          <c:idx val="63"/>
          <c:order val="63"/>
          <c:tx>
            <c:v>h=51</c:v>
          </c:tx>
          <c:spPr>
            <a:ln w="3175">
              <a:solidFill>
                <a:srgbClr val="808080"/>
              </a:solidFill>
              <a:prstDash val="solid"/>
            </a:ln>
          </c:spPr>
          <c:marker>
            <c:symbol val="none"/>
          </c:marker>
          <c:xVal>
            <c:numLit>
              <c:formatCode>General</c:formatCode>
              <c:ptCount val="2"/>
              <c:pt idx="0">
                <c:v>6.7436528866378502</c:v>
              </c:pt>
              <c:pt idx="1">
                <c:v>7.0436528866378509</c:v>
              </c:pt>
            </c:numLit>
          </c:xVal>
          <c:yVal>
            <c:numLit>
              <c:formatCode>General</c:formatCode>
              <c:ptCount val="2"/>
              <c:pt idx="0">
                <c:v>1.7045445333863655E-2</c:v>
              </c:pt>
              <c:pt idx="1">
                <c:v>1.692989956622358E-2</c:v>
              </c:pt>
            </c:numLit>
          </c:yVal>
          <c:smooth val="0"/>
          <c:extLst>
            <c:ext xmlns:c16="http://schemas.microsoft.com/office/drawing/2014/chart" uri="{C3380CC4-5D6E-409C-BE32-E72D297353CC}">
              <c16:uniqueId val="{0000004C-EDF7-4C7A-9081-48E94F12AEF9}"/>
            </c:ext>
          </c:extLst>
        </c:ser>
        <c:ser>
          <c:idx val="64"/>
          <c:order val="64"/>
          <c:tx>
            <c:v>h=52</c:v>
          </c:tx>
          <c:spPr>
            <a:ln w="3175">
              <a:solidFill>
                <a:srgbClr val="808080"/>
              </a:solidFill>
              <a:prstDash val="solid"/>
            </a:ln>
          </c:spPr>
          <c:marker>
            <c:symbol val="none"/>
          </c:marker>
          <c:xVal>
            <c:numLit>
              <c:formatCode>General</c:formatCode>
              <c:ptCount val="2"/>
              <c:pt idx="0">
                <c:v>7.0520616683391841</c:v>
              </c:pt>
              <c:pt idx="1">
                <c:v>7.352061668339184</c:v>
              </c:pt>
            </c:numLit>
          </c:xVal>
          <c:yVal>
            <c:numLit>
              <c:formatCode>General</c:formatCode>
              <c:ptCount val="2"/>
              <c:pt idx="0">
                <c:v>1.7311343855686501E-2</c:v>
              </c:pt>
              <c:pt idx="1">
                <c:v>1.719580122237627E-2</c:v>
              </c:pt>
            </c:numLit>
          </c:yVal>
          <c:smooth val="0"/>
          <c:extLst>
            <c:ext xmlns:c16="http://schemas.microsoft.com/office/drawing/2014/chart" uri="{C3380CC4-5D6E-409C-BE32-E72D297353CC}">
              <c16:uniqueId val="{0000004D-EDF7-4C7A-9081-48E94F12AEF9}"/>
            </c:ext>
          </c:extLst>
        </c:ser>
        <c:ser>
          <c:idx val="65"/>
          <c:order val="65"/>
          <c:tx>
            <c:v>h=53</c:v>
          </c:tx>
          <c:spPr>
            <a:ln w="3175">
              <a:solidFill>
                <a:srgbClr val="808080"/>
              </a:solidFill>
              <a:prstDash val="solid"/>
            </a:ln>
          </c:spPr>
          <c:marker>
            <c:symbol val="none"/>
          </c:marker>
          <c:xVal>
            <c:numLit>
              <c:formatCode>General</c:formatCode>
              <c:ptCount val="2"/>
              <c:pt idx="0">
                <c:v>7.360470450040518</c:v>
              </c:pt>
              <c:pt idx="1">
                <c:v>7.6604704500405179</c:v>
              </c:pt>
            </c:numLit>
          </c:xVal>
          <c:yVal>
            <c:numLit>
              <c:formatCode>General</c:formatCode>
              <c:ptCount val="2"/>
              <c:pt idx="0">
                <c:v>1.7577242377509347E-2</c:v>
              </c:pt>
              <c:pt idx="1">
                <c:v>1.7461702783537841E-2</c:v>
              </c:pt>
            </c:numLit>
          </c:yVal>
          <c:smooth val="0"/>
          <c:extLst>
            <c:ext xmlns:c16="http://schemas.microsoft.com/office/drawing/2014/chart" uri="{C3380CC4-5D6E-409C-BE32-E72D297353CC}">
              <c16:uniqueId val="{0000004E-EDF7-4C7A-9081-48E94F12AEF9}"/>
            </c:ext>
          </c:extLst>
        </c:ser>
        <c:ser>
          <c:idx val="66"/>
          <c:order val="66"/>
          <c:tx>
            <c:v>h=54</c:v>
          </c:tx>
          <c:spPr>
            <a:ln w="3175">
              <a:solidFill>
                <a:srgbClr val="808080"/>
              </a:solidFill>
              <a:prstDash val="solid"/>
            </a:ln>
          </c:spPr>
          <c:marker>
            <c:symbol val="none"/>
          </c:marker>
          <c:xVal>
            <c:numLit>
              <c:formatCode>General</c:formatCode>
              <c:ptCount val="2"/>
              <c:pt idx="0">
                <c:v>7.668879231741851</c:v>
              </c:pt>
              <c:pt idx="1">
                <c:v>7.9688792317418518</c:v>
              </c:pt>
            </c:numLit>
          </c:xVal>
          <c:yVal>
            <c:numLit>
              <c:formatCode>General</c:formatCode>
              <c:ptCount val="2"/>
              <c:pt idx="0">
                <c:v>1.7843140899332189E-2</c:v>
              </c:pt>
              <c:pt idx="1">
                <c:v>1.772760425396213E-2</c:v>
              </c:pt>
            </c:numLit>
          </c:yVal>
          <c:smooth val="0"/>
          <c:extLst>
            <c:ext xmlns:c16="http://schemas.microsoft.com/office/drawing/2014/chart" uri="{C3380CC4-5D6E-409C-BE32-E72D297353CC}">
              <c16:uniqueId val="{0000004F-EDF7-4C7A-9081-48E94F12AEF9}"/>
            </c:ext>
          </c:extLst>
        </c:ser>
        <c:ser>
          <c:idx val="67"/>
          <c:order val="67"/>
          <c:tx>
            <c:v>h=55</c:v>
          </c:tx>
          <c:spPr>
            <a:ln w="3175">
              <a:solidFill>
                <a:srgbClr val="808080"/>
              </a:solidFill>
              <a:prstDash val="solid"/>
            </a:ln>
          </c:spPr>
          <c:marker>
            <c:symbol val="none"/>
          </c:marker>
          <c:dLbls>
            <c:dLbl>
              <c:idx val="0"/>
              <c:layout>
                <c:manualLayout>
                  <c:x val="-3.0087489063867049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0-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7.9772880134431849</c:v>
              </c:pt>
              <c:pt idx="1">
                <c:v>50</c:v>
              </c:pt>
            </c:numLit>
          </c:xVal>
          <c:yVal>
            <c:numLit>
              <c:formatCode>General</c:formatCode>
              <c:ptCount val="2"/>
              <c:pt idx="0">
                <c:v>1.8109039421155035E-2</c:v>
              </c:pt>
              <c:pt idx="1">
                <c:v>1.8118735543562064E-3</c:v>
              </c:pt>
            </c:numLit>
          </c:yVal>
          <c:smooth val="0"/>
          <c:extLst>
            <c:ext xmlns:c16="http://schemas.microsoft.com/office/drawing/2014/chart" uri="{C3380CC4-5D6E-409C-BE32-E72D297353CC}">
              <c16:uniqueId val="{00000051-EDF7-4C7A-9081-48E94F12AEF9}"/>
            </c:ext>
          </c:extLst>
        </c:ser>
        <c:ser>
          <c:idx val="68"/>
          <c:order val="68"/>
          <c:tx>
            <c:v>h=56</c:v>
          </c:tx>
          <c:spPr>
            <a:ln w="3175">
              <a:solidFill>
                <a:srgbClr val="808080"/>
              </a:solidFill>
              <a:prstDash val="solid"/>
            </a:ln>
          </c:spPr>
          <c:marker>
            <c:symbol val="none"/>
          </c:marker>
          <c:xVal>
            <c:numLit>
              <c:formatCode>General</c:formatCode>
              <c:ptCount val="2"/>
              <c:pt idx="0">
                <c:v>8.2856967951445188</c:v>
              </c:pt>
              <c:pt idx="1">
                <c:v>8.5856967951445178</c:v>
              </c:pt>
            </c:numLit>
          </c:xVal>
          <c:yVal>
            <c:numLit>
              <c:formatCode>General</c:formatCode>
              <c:ptCount val="2"/>
              <c:pt idx="0">
                <c:v>1.8374937942977877E-2</c:v>
              </c:pt>
              <c:pt idx="1">
                <c:v>1.8259406938381077E-2</c:v>
              </c:pt>
            </c:numLit>
          </c:yVal>
          <c:smooth val="0"/>
          <c:extLst>
            <c:ext xmlns:c16="http://schemas.microsoft.com/office/drawing/2014/chart" uri="{C3380CC4-5D6E-409C-BE32-E72D297353CC}">
              <c16:uniqueId val="{00000052-EDF7-4C7A-9081-48E94F12AEF9}"/>
            </c:ext>
          </c:extLst>
        </c:ser>
        <c:ser>
          <c:idx val="69"/>
          <c:order val="69"/>
          <c:tx>
            <c:v>h=57</c:v>
          </c:tx>
          <c:spPr>
            <a:ln w="3175">
              <a:solidFill>
                <a:srgbClr val="808080"/>
              </a:solidFill>
              <a:prstDash val="solid"/>
            </a:ln>
          </c:spPr>
          <c:marker>
            <c:symbol val="none"/>
          </c:marker>
          <c:xVal>
            <c:numLit>
              <c:formatCode>General</c:formatCode>
              <c:ptCount val="2"/>
              <c:pt idx="0">
                <c:v>8.5941055768458519</c:v>
              </c:pt>
              <c:pt idx="1">
                <c:v>8.8941055768458526</c:v>
              </c:pt>
            </c:numLit>
          </c:xVal>
          <c:yVal>
            <c:numLit>
              <c:formatCode>General</c:formatCode>
              <c:ptCount val="2"/>
              <c:pt idx="0">
                <c:v>1.8640836464800723E-2</c:v>
              </c:pt>
              <c:pt idx="1">
                <c:v>1.8525308159703126E-2</c:v>
              </c:pt>
            </c:numLit>
          </c:yVal>
          <c:smooth val="0"/>
          <c:extLst>
            <c:ext xmlns:c16="http://schemas.microsoft.com/office/drawing/2014/chart" uri="{C3380CC4-5D6E-409C-BE32-E72D297353CC}">
              <c16:uniqueId val="{00000053-EDF7-4C7A-9081-48E94F12AEF9}"/>
            </c:ext>
          </c:extLst>
        </c:ser>
        <c:ser>
          <c:idx val="70"/>
          <c:order val="70"/>
          <c:tx>
            <c:v>h=58</c:v>
          </c:tx>
          <c:spPr>
            <a:ln w="3175">
              <a:solidFill>
                <a:srgbClr val="808080"/>
              </a:solidFill>
              <a:prstDash val="solid"/>
            </a:ln>
          </c:spPr>
          <c:marker>
            <c:symbol val="none"/>
          </c:marker>
          <c:xVal>
            <c:numLit>
              <c:formatCode>General</c:formatCode>
              <c:ptCount val="2"/>
              <c:pt idx="0">
                <c:v>8.9025143585471849</c:v>
              </c:pt>
              <c:pt idx="1">
                <c:v>9.2025143585471856</c:v>
              </c:pt>
            </c:numLit>
          </c:xVal>
          <c:yVal>
            <c:numLit>
              <c:formatCode>General</c:formatCode>
              <c:ptCount val="2"/>
              <c:pt idx="0">
                <c:v>1.8906734986623566E-2</c:v>
              </c:pt>
              <c:pt idx="1">
                <c:v>1.8791209304974438E-2</c:v>
              </c:pt>
            </c:numLit>
          </c:yVal>
          <c:smooth val="0"/>
          <c:extLst>
            <c:ext xmlns:c16="http://schemas.microsoft.com/office/drawing/2014/chart" uri="{C3380CC4-5D6E-409C-BE32-E72D297353CC}">
              <c16:uniqueId val="{00000054-EDF7-4C7A-9081-48E94F12AEF9}"/>
            </c:ext>
          </c:extLst>
        </c:ser>
        <c:ser>
          <c:idx val="71"/>
          <c:order val="71"/>
          <c:tx>
            <c:v>h=59</c:v>
          </c:tx>
          <c:spPr>
            <a:ln w="3175">
              <a:solidFill>
                <a:srgbClr val="808080"/>
              </a:solidFill>
              <a:prstDash val="solid"/>
            </a:ln>
          </c:spPr>
          <c:marker>
            <c:symbol val="none"/>
          </c:marker>
          <c:xVal>
            <c:numLit>
              <c:formatCode>General</c:formatCode>
              <c:ptCount val="2"/>
              <c:pt idx="0">
                <c:v>9.2109231402485197</c:v>
              </c:pt>
              <c:pt idx="1">
                <c:v>9.5109231402485186</c:v>
              </c:pt>
            </c:numLit>
          </c:xVal>
          <c:yVal>
            <c:numLit>
              <c:formatCode>General</c:formatCode>
              <c:ptCount val="2"/>
              <c:pt idx="0">
                <c:v>1.9172633508446411E-2</c:v>
              </c:pt>
              <c:pt idx="1">
                <c:v>1.9057110377364149E-2</c:v>
              </c:pt>
            </c:numLit>
          </c:yVal>
          <c:smooth val="0"/>
          <c:extLst>
            <c:ext xmlns:c16="http://schemas.microsoft.com/office/drawing/2014/chart" uri="{C3380CC4-5D6E-409C-BE32-E72D297353CC}">
              <c16:uniqueId val="{00000055-EDF7-4C7A-9081-48E94F12AEF9}"/>
            </c:ext>
          </c:extLst>
        </c:ser>
        <c:ser>
          <c:idx val="72"/>
          <c:order val="72"/>
          <c:tx>
            <c:v>h=60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60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6-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9.5193319219498527</c:v>
              </c:pt>
              <c:pt idx="1">
                <c:v>50</c:v>
              </c:pt>
            </c:numLit>
          </c:xVal>
          <c:yVal>
            <c:numLit>
              <c:formatCode>General</c:formatCode>
              <c:ptCount val="2"/>
              <c:pt idx="0">
                <c:v>1.9438532030269257E-2</c:v>
              </c:pt>
              <c:pt idx="1">
                <c:v>3.7393986121819585E-3</c:v>
              </c:pt>
            </c:numLit>
          </c:yVal>
          <c:smooth val="0"/>
          <c:extLst>
            <c:ext xmlns:c16="http://schemas.microsoft.com/office/drawing/2014/chart" uri="{C3380CC4-5D6E-409C-BE32-E72D297353CC}">
              <c16:uniqueId val="{00000057-EDF7-4C7A-9081-48E94F12AEF9}"/>
            </c:ext>
          </c:extLst>
        </c:ser>
        <c:ser>
          <c:idx val="73"/>
          <c:order val="73"/>
          <c:tx>
            <c:v>h=61</c:v>
          </c:tx>
          <c:spPr>
            <a:ln w="3175">
              <a:solidFill>
                <a:srgbClr val="808080"/>
              </a:solidFill>
              <a:prstDash val="solid"/>
            </a:ln>
          </c:spPr>
          <c:marker>
            <c:symbol val="none"/>
          </c:marker>
          <c:xVal>
            <c:numLit>
              <c:formatCode>General</c:formatCode>
              <c:ptCount val="2"/>
              <c:pt idx="0">
                <c:v>9.8277407036511857</c:v>
              </c:pt>
              <c:pt idx="1">
                <c:v>10.127740703651186</c:v>
              </c:pt>
            </c:numLit>
          </c:xVal>
          <c:yVal>
            <c:numLit>
              <c:formatCode>General</c:formatCode>
              <c:ptCount val="2"/>
              <c:pt idx="0">
                <c:v>1.97044305520921E-2</c:v>
              </c:pt>
              <c:pt idx="1">
                <c:v>1.9588912315318657E-2</c:v>
              </c:pt>
            </c:numLit>
          </c:yVal>
          <c:smooth val="0"/>
          <c:extLst>
            <c:ext xmlns:c16="http://schemas.microsoft.com/office/drawing/2014/chart" uri="{C3380CC4-5D6E-409C-BE32-E72D297353CC}">
              <c16:uniqueId val="{00000058-EDF7-4C7A-9081-48E94F12AEF9}"/>
            </c:ext>
          </c:extLst>
        </c:ser>
        <c:ser>
          <c:idx val="74"/>
          <c:order val="74"/>
          <c:tx>
            <c:v>h=62</c:v>
          </c:tx>
          <c:spPr>
            <a:ln w="3175">
              <a:solidFill>
                <a:srgbClr val="808080"/>
              </a:solidFill>
              <a:prstDash val="solid"/>
            </a:ln>
          </c:spPr>
          <c:marker>
            <c:symbol val="none"/>
          </c:marker>
          <c:xVal>
            <c:numLit>
              <c:formatCode>General</c:formatCode>
              <c:ptCount val="2"/>
              <c:pt idx="0">
                <c:v>10.13614948535252</c:v>
              </c:pt>
              <c:pt idx="1">
                <c:v>10.436149485352519</c:v>
              </c:pt>
            </c:numLit>
          </c:xVal>
          <c:yVal>
            <c:numLit>
              <c:formatCode>General</c:formatCode>
              <c:ptCount val="2"/>
              <c:pt idx="0">
                <c:v>1.9970329073914946E-2</c:v>
              </c:pt>
              <c:pt idx="1">
                <c:v>1.9854813186399374E-2</c:v>
              </c:pt>
            </c:numLit>
          </c:yVal>
          <c:smooth val="0"/>
          <c:extLst>
            <c:ext xmlns:c16="http://schemas.microsoft.com/office/drawing/2014/chart" uri="{C3380CC4-5D6E-409C-BE32-E72D297353CC}">
              <c16:uniqueId val="{00000059-EDF7-4C7A-9081-48E94F12AEF9}"/>
            </c:ext>
          </c:extLst>
        </c:ser>
        <c:ser>
          <c:idx val="75"/>
          <c:order val="75"/>
          <c:tx>
            <c:v>h=63</c:v>
          </c:tx>
          <c:spPr>
            <a:ln w="3175">
              <a:solidFill>
                <a:srgbClr val="808080"/>
              </a:solidFill>
              <a:prstDash val="solid"/>
            </a:ln>
          </c:spPr>
          <c:marker>
            <c:symbol val="none"/>
          </c:marker>
          <c:xVal>
            <c:numLit>
              <c:formatCode>General</c:formatCode>
              <c:ptCount val="2"/>
              <c:pt idx="0">
                <c:v>10.444558267053853</c:v>
              </c:pt>
              <c:pt idx="1">
                <c:v>10.744558267053854</c:v>
              </c:pt>
            </c:numLit>
          </c:xVal>
          <c:yVal>
            <c:numLit>
              <c:formatCode>General</c:formatCode>
              <c:ptCount val="2"/>
              <c:pt idx="0">
                <c:v>2.0236227595737788E-2</c:v>
              </c:pt>
              <c:pt idx="1">
                <c:v>2.012071399565105E-2</c:v>
              </c:pt>
            </c:numLit>
          </c:yVal>
          <c:smooth val="0"/>
          <c:extLst>
            <c:ext xmlns:c16="http://schemas.microsoft.com/office/drawing/2014/chart" uri="{C3380CC4-5D6E-409C-BE32-E72D297353CC}">
              <c16:uniqueId val="{0000005A-EDF7-4C7A-9081-48E94F12AEF9}"/>
            </c:ext>
          </c:extLst>
        </c:ser>
        <c:ser>
          <c:idx val="76"/>
          <c:order val="76"/>
          <c:tx>
            <c:v>h=64</c:v>
          </c:tx>
          <c:spPr>
            <a:ln w="3175">
              <a:solidFill>
                <a:srgbClr val="808080"/>
              </a:solidFill>
              <a:prstDash val="solid"/>
            </a:ln>
          </c:spPr>
          <c:marker>
            <c:symbol val="none"/>
          </c:marker>
          <c:xVal>
            <c:numLit>
              <c:formatCode>General</c:formatCode>
              <c:ptCount val="2"/>
              <c:pt idx="0">
                <c:v>10.752967048755186</c:v>
              </c:pt>
              <c:pt idx="1">
                <c:v>11.052967048755187</c:v>
              </c:pt>
            </c:numLit>
          </c:xVal>
          <c:yVal>
            <c:numLit>
              <c:formatCode>General</c:formatCode>
              <c:ptCount val="2"/>
              <c:pt idx="0">
                <c:v>2.0502126117560634E-2</c:v>
              </c:pt>
              <c:pt idx="1">
                <c:v>2.0386614745482871E-2</c:v>
              </c:pt>
            </c:numLit>
          </c:yVal>
          <c:smooth val="0"/>
          <c:extLst>
            <c:ext xmlns:c16="http://schemas.microsoft.com/office/drawing/2014/chart" uri="{C3380CC4-5D6E-409C-BE32-E72D297353CC}">
              <c16:uniqueId val="{0000005B-EDF7-4C7A-9081-48E94F12AEF9}"/>
            </c:ext>
          </c:extLst>
        </c:ser>
        <c:ser>
          <c:idx val="77"/>
          <c:order val="77"/>
          <c:tx>
            <c:v>h=65</c:v>
          </c:tx>
          <c:spPr>
            <a:ln w="3175">
              <a:solidFill>
                <a:srgbClr val="808080"/>
              </a:solidFill>
              <a:prstDash val="solid"/>
            </a:ln>
          </c:spPr>
          <c:marker>
            <c:symbol val="none"/>
          </c:marker>
          <c:dLbls>
            <c:dLbl>
              <c:idx val="0"/>
              <c:layout>
                <c:manualLayout>
                  <c:x val="-3.008748906386708E-2"/>
                  <c:y val="-9.347701729591532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65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C-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11.061375830456521</c:v>
              </c:pt>
              <c:pt idx="1">
                <c:v>50</c:v>
              </c:pt>
            </c:numLit>
          </c:xVal>
          <c:yVal>
            <c:numLit>
              <c:formatCode>General</c:formatCode>
              <c:ptCount val="2"/>
              <c:pt idx="0">
                <c:v>2.0768024639383476E-2</c:v>
              </c:pt>
              <c:pt idx="1">
                <c:v>5.6669236700077098E-3</c:v>
              </c:pt>
            </c:numLit>
          </c:yVal>
          <c:smooth val="0"/>
          <c:extLst>
            <c:ext xmlns:c16="http://schemas.microsoft.com/office/drawing/2014/chart" uri="{C3380CC4-5D6E-409C-BE32-E72D297353CC}">
              <c16:uniqueId val="{0000005D-EDF7-4C7A-9081-48E94F12AEF9}"/>
            </c:ext>
          </c:extLst>
        </c:ser>
        <c:ser>
          <c:idx val="78"/>
          <c:order val="78"/>
          <c:tx>
            <c:v>h=66</c:v>
          </c:tx>
          <c:spPr>
            <a:ln w="3175">
              <a:solidFill>
                <a:srgbClr val="808080"/>
              </a:solidFill>
              <a:prstDash val="solid"/>
            </a:ln>
          </c:spPr>
          <c:marker>
            <c:symbol val="none"/>
          </c:marker>
          <c:xVal>
            <c:numLit>
              <c:formatCode>General</c:formatCode>
              <c:ptCount val="2"/>
              <c:pt idx="0">
                <c:v>11.369784612157854</c:v>
              </c:pt>
              <c:pt idx="1">
                <c:v>11.669784612157855</c:v>
              </c:pt>
            </c:numLit>
          </c:xVal>
          <c:yVal>
            <c:numLit>
              <c:formatCode>General</c:formatCode>
              <c:ptCount val="2"/>
              <c:pt idx="0">
                <c:v>2.1033923161206322E-2</c:v>
              </c:pt>
              <c:pt idx="1">
                <c:v>2.0918416075913625E-2</c:v>
              </c:pt>
            </c:numLit>
          </c:yVal>
          <c:smooth val="0"/>
          <c:extLst>
            <c:ext xmlns:c16="http://schemas.microsoft.com/office/drawing/2014/chart" uri="{C3380CC4-5D6E-409C-BE32-E72D297353CC}">
              <c16:uniqueId val="{0000005E-EDF7-4C7A-9081-48E94F12AEF9}"/>
            </c:ext>
          </c:extLst>
        </c:ser>
        <c:ser>
          <c:idx val="79"/>
          <c:order val="79"/>
          <c:tx>
            <c:v>h=67</c:v>
          </c:tx>
          <c:spPr>
            <a:ln w="3175">
              <a:solidFill>
                <a:srgbClr val="808080"/>
              </a:solidFill>
              <a:prstDash val="solid"/>
            </a:ln>
          </c:spPr>
          <c:marker>
            <c:symbol val="none"/>
          </c:marker>
          <c:xVal>
            <c:numLit>
              <c:formatCode>General</c:formatCode>
              <c:ptCount val="2"/>
              <c:pt idx="0">
                <c:v>11.678193393859187</c:v>
              </c:pt>
              <c:pt idx="1">
                <c:v>11.978193393859188</c:v>
              </c:pt>
            </c:numLit>
          </c:xVal>
          <c:yVal>
            <c:numLit>
              <c:formatCode>General</c:formatCode>
              <c:ptCount val="2"/>
              <c:pt idx="0">
                <c:v>2.1299821683029168E-2</c:v>
              </c:pt>
              <c:pt idx="1">
                <c:v>2.1184316660743805E-2</c:v>
              </c:pt>
            </c:numLit>
          </c:yVal>
          <c:smooth val="0"/>
          <c:extLst>
            <c:ext xmlns:c16="http://schemas.microsoft.com/office/drawing/2014/chart" uri="{C3380CC4-5D6E-409C-BE32-E72D297353CC}">
              <c16:uniqueId val="{0000005F-EDF7-4C7A-9081-48E94F12AEF9}"/>
            </c:ext>
          </c:extLst>
        </c:ser>
        <c:ser>
          <c:idx val="80"/>
          <c:order val="80"/>
          <c:tx>
            <c:v>h=68</c:v>
          </c:tx>
          <c:spPr>
            <a:ln w="3175">
              <a:solidFill>
                <a:srgbClr val="808080"/>
              </a:solidFill>
              <a:prstDash val="solid"/>
            </a:ln>
          </c:spPr>
          <c:marker>
            <c:symbol val="none"/>
          </c:marker>
          <c:xVal>
            <c:numLit>
              <c:formatCode>General</c:formatCode>
              <c:ptCount val="2"/>
              <c:pt idx="0">
                <c:v>11.986602175560522</c:v>
              </c:pt>
              <c:pt idx="1">
                <c:v>12.286602175560521</c:v>
              </c:pt>
            </c:numLit>
          </c:xVal>
          <c:yVal>
            <c:numLit>
              <c:formatCode>General</c:formatCode>
              <c:ptCount val="2"/>
              <c:pt idx="0">
                <c:v>2.156572020485201E-2</c:v>
              </c:pt>
              <c:pt idx="1">
                <c:v>2.1450217194630538E-2</c:v>
              </c:pt>
            </c:numLit>
          </c:yVal>
          <c:smooth val="0"/>
          <c:extLst>
            <c:ext xmlns:c16="http://schemas.microsoft.com/office/drawing/2014/chart" uri="{C3380CC4-5D6E-409C-BE32-E72D297353CC}">
              <c16:uniqueId val="{00000060-EDF7-4C7A-9081-48E94F12AEF9}"/>
            </c:ext>
          </c:extLst>
        </c:ser>
        <c:ser>
          <c:idx val="81"/>
          <c:order val="81"/>
          <c:tx>
            <c:v>h=69</c:v>
          </c:tx>
          <c:spPr>
            <a:ln w="3175">
              <a:solidFill>
                <a:srgbClr val="808080"/>
              </a:solidFill>
              <a:prstDash val="solid"/>
            </a:ln>
          </c:spPr>
          <c:marker>
            <c:symbol val="none"/>
          </c:marker>
          <c:xVal>
            <c:numLit>
              <c:formatCode>General</c:formatCode>
              <c:ptCount val="2"/>
              <c:pt idx="0">
                <c:v>12.295010957261855</c:v>
              </c:pt>
              <c:pt idx="1">
                <c:v>12.595010957261856</c:v>
              </c:pt>
            </c:numLit>
          </c:xVal>
          <c:yVal>
            <c:numLit>
              <c:formatCode>General</c:formatCode>
              <c:ptCount val="2"/>
              <c:pt idx="0">
                <c:v>2.1831618726674856E-2</c:v>
              </c:pt>
              <c:pt idx="1">
                <c:v>2.1716117679437794E-2</c:v>
              </c:pt>
            </c:numLit>
          </c:yVal>
          <c:smooth val="0"/>
          <c:extLst>
            <c:ext xmlns:c16="http://schemas.microsoft.com/office/drawing/2014/chart" uri="{C3380CC4-5D6E-409C-BE32-E72D297353CC}">
              <c16:uniqueId val="{00000061-EDF7-4C7A-9081-48E94F12AEF9}"/>
            </c:ext>
          </c:extLst>
        </c:ser>
        <c:ser>
          <c:idx val="82"/>
          <c:order val="82"/>
          <c:tx>
            <c:v>h=70</c:v>
          </c:tx>
          <c:spPr>
            <a:ln w="3175">
              <a:solidFill>
                <a:srgbClr val="808080"/>
              </a:solidFill>
              <a:prstDash val="solid"/>
            </a:ln>
          </c:spPr>
          <c:marker>
            <c:symbol val="none"/>
          </c:marker>
          <c:dLbls>
            <c:dLbl>
              <c:idx val="0"/>
              <c:layout>
                <c:manualLayout>
                  <c:x val="-3.00874890638670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70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2-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12.603419738963188</c:v>
              </c:pt>
              <c:pt idx="1">
                <c:v>50</c:v>
              </c:pt>
            </c:numLit>
          </c:xVal>
          <c:yVal>
            <c:numLit>
              <c:formatCode>General</c:formatCode>
              <c:ptCount val="2"/>
              <c:pt idx="0">
                <c:v>2.2097517248497699E-2</c:v>
              </c:pt>
              <c:pt idx="1">
                <c:v>7.5944487278334621E-3</c:v>
              </c:pt>
            </c:numLit>
          </c:yVal>
          <c:smooth val="0"/>
          <c:extLst>
            <c:ext xmlns:c16="http://schemas.microsoft.com/office/drawing/2014/chart" uri="{C3380CC4-5D6E-409C-BE32-E72D297353CC}">
              <c16:uniqueId val="{00000063-EDF7-4C7A-9081-48E94F12AEF9}"/>
            </c:ext>
          </c:extLst>
        </c:ser>
        <c:ser>
          <c:idx val="83"/>
          <c:order val="83"/>
          <c:tx>
            <c:v>h=71</c:v>
          </c:tx>
          <c:spPr>
            <a:ln w="3175">
              <a:solidFill>
                <a:srgbClr val="808080"/>
              </a:solidFill>
              <a:prstDash val="solid"/>
            </a:ln>
          </c:spPr>
          <c:marker>
            <c:symbol val="none"/>
          </c:marker>
          <c:xVal>
            <c:numLit>
              <c:formatCode>General</c:formatCode>
              <c:ptCount val="2"/>
              <c:pt idx="0">
                <c:v>12.911828520664523</c:v>
              </c:pt>
              <c:pt idx="1">
                <c:v>13.211828520664522</c:v>
              </c:pt>
            </c:numLit>
          </c:xVal>
          <c:yVal>
            <c:numLit>
              <c:formatCode>General</c:formatCode>
              <c:ptCount val="2"/>
              <c:pt idx="0">
                <c:v>2.2363415770320545E-2</c:v>
              </c:pt>
              <c:pt idx="1">
                <c:v>2.2247918508825872E-2</c:v>
              </c:pt>
            </c:numLit>
          </c:yVal>
          <c:smooth val="0"/>
          <c:extLst>
            <c:ext xmlns:c16="http://schemas.microsoft.com/office/drawing/2014/chart" uri="{C3380CC4-5D6E-409C-BE32-E72D297353CC}">
              <c16:uniqueId val="{00000064-EDF7-4C7A-9081-48E94F12AEF9}"/>
            </c:ext>
          </c:extLst>
        </c:ser>
        <c:ser>
          <c:idx val="84"/>
          <c:order val="84"/>
          <c:tx>
            <c:v>h=72</c:v>
          </c:tx>
          <c:spPr>
            <a:ln w="3175">
              <a:solidFill>
                <a:srgbClr val="808080"/>
              </a:solidFill>
              <a:prstDash val="solid"/>
            </a:ln>
          </c:spPr>
          <c:marker>
            <c:symbol val="none"/>
          </c:marker>
          <c:xVal>
            <c:numLit>
              <c:formatCode>General</c:formatCode>
              <c:ptCount val="2"/>
              <c:pt idx="0">
                <c:v>13.220237302365856</c:v>
              </c:pt>
              <c:pt idx="1">
                <c:v>13.520237302365857</c:v>
              </c:pt>
            </c:numLit>
          </c:xVal>
          <c:yVal>
            <c:numLit>
              <c:formatCode>General</c:formatCode>
              <c:ptCount val="2"/>
              <c:pt idx="0">
                <c:v>2.262931429214339E-2</c:v>
              </c:pt>
              <c:pt idx="1">
                <c:v>2.2513818856706454E-2</c:v>
              </c:pt>
            </c:numLit>
          </c:yVal>
          <c:smooth val="0"/>
          <c:extLst>
            <c:ext xmlns:c16="http://schemas.microsoft.com/office/drawing/2014/chart" uri="{C3380CC4-5D6E-409C-BE32-E72D297353CC}">
              <c16:uniqueId val="{00000065-EDF7-4C7A-9081-48E94F12AEF9}"/>
            </c:ext>
          </c:extLst>
        </c:ser>
        <c:ser>
          <c:idx val="85"/>
          <c:order val="85"/>
          <c:tx>
            <c:v>h=73</c:v>
          </c:tx>
          <c:spPr>
            <a:ln w="3175">
              <a:solidFill>
                <a:srgbClr val="808080"/>
              </a:solidFill>
              <a:prstDash val="solid"/>
            </a:ln>
          </c:spPr>
          <c:marker>
            <c:symbol val="none"/>
          </c:marker>
          <c:xVal>
            <c:numLit>
              <c:formatCode>General</c:formatCode>
              <c:ptCount val="2"/>
              <c:pt idx="0">
                <c:v>13.528646084067189</c:v>
              </c:pt>
              <c:pt idx="1">
                <c:v>13.82864608406719</c:v>
              </c:pt>
            </c:numLit>
          </c:xVal>
          <c:yVal>
            <c:numLit>
              <c:formatCode>General</c:formatCode>
              <c:ptCount val="2"/>
              <c:pt idx="0">
                <c:v>2.2895212813966233E-2</c:v>
              </c:pt>
              <c:pt idx="1">
                <c:v>2.2779719162116654E-2</c:v>
              </c:pt>
            </c:numLit>
          </c:yVal>
          <c:smooth val="0"/>
          <c:extLst>
            <c:ext xmlns:c16="http://schemas.microsoft.com/office/drawing/2014/chart" uri="{C3380CC4-5D6E-409C-BE32-E72D297353CC}">
              <c16:uniqueId val="{00000066-EDF7-4C7A-9081-48E94F12AEF9}"/>
            </c:ext>
          </c:extLst>
        </c:ser>
        <c:ser>
          <c:idx val="86"/>
          <c:order val="86"/>
          <c:tx>
            <c:v>h=74</c:v>
          </c:tx>
          <c:spPr>
            <a:ln w="3175">
              <a:solidFill>
                <a:srgbClr val="808080"/>
              </a:solidFill>
              <a:prstDash val="solid"/>
            </a:ln>
          </c:spPr>
          <c:marker>
            <c:symbol val="none"/>
          </c:marker>
          <c:xVal>
            <c:numLit>
              <c:formatCode>General</c:formatCode>
              <c:ptCount val="2"/>
              <c:pt idx="0">
                <c:v>13.837054865768524</c:v>
              </c:pt>
              <c:pt idx="1">
                <c:v>14.137054865768523</c:v>
              </c:pt>
            </c:numLit>
          </c:xVal>
          <c:yVal>
            <c:numLit>
              <c:formatCode>General</c:formatCode>
              <c:ptCount val="2"/>
              <c:pt idx="0">
                <c:v>2.3161111335789079E-2</c:v>
              </c:pt>
              <c:pt idx="1">
                <c:v>2.3045619426521106E-2</c:v>
              </c:pt>
            </c:numLit>
          </c:yVal>
          <c:smooth val="0"/>
          <c:extLst>
            <c:ext xmlns:c16="http://schemas.microsoft.com/office/drawing/2014/chart" uri="{C3380CC4-5D6E-409C-BE32-E72D297353CC}">
              <c16:uniqueId val="{00000067-EDF7-4C7A-9081-48E94F12AEF9}"/>
            </c:ext>
          </c:extLst>
        </c:ser>
        <c:ser>
          <c:idx val="87"/>
          <c:order val="87"/>
          <c:tx>
            <c:v>h=75</c:v>
          </c:tx>
          <c:spPr>
            <a:ln w="3175">
              <a:solidFill>
                <a:srgbClr val="808080"/>
              </a:solidFill>
              <a:prstDash val="solid"/>
            </a:ln>
          </c:spPr>
          <c:marker>
            <c:symbol val="none"/>
          </c:marker>
          <c:dLbls>
            <c:dLbl>
              <c:idx val="0"/>
              <c:layout>
                <c:manualLayout>
                  <c:x val="-3.0087489063867018E-2"/>
                  <c:y val="-9.347701729591532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75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8-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14.145463647469857</c:v>
              </c:pt>
              <c:pt idx="1">
                <c:v>50</c:v>
              </c:pt>
            </c:numLit>
          </c:xVal>
          <c:yVal>
            <c:numLit>
              <c:formatCode>General</c:formatCode>
              <c:ptCount val="2"/>
              <c:pt idx="0">
                <c:v>2.3427009857611921E-2</c:v>
              </c:pt>
              <c:pt idx="1">
                <c:v>9.5219737856592126E-3</c:v>
              </c:pt>
            </c:numLit>
          </c:yVal>
          <c:smooth val="0"/>
          <c:extLst>
            <c:ext xmlns:c16="http://schemas.microsoft.com/office/drawing/2014/chart" uri="{C3380CC4-5D6E-409C-BE32-E72D297353CC}">
              <c16:uniqueId val="{00000069-EDF7-4C7A-9081-48E94F12AEF9}"/>
            </c:ext>
          </c:extLst>
        </c:ser>
        <c:ser>
          <c:idx val="88"/>
          <c:order val="88"/>
          <c:tx>
            <c:v>h=76</c:v>
          </c:tx>
          <c:spPr>
            <a:ln w="3175">
              <a:solidFill>
                <a:srgbClr val="808080"/>
              </a:solidFill>
              <a:prstDash val="solid"/>
            </a:ln>
          </c:spPr>
          <c:marker>
            <c:symbol val="none"/>
          </c:marker>
          <c:xVal>
            <c:numLit>
              <c:formatCode>General</c:formatCode>
              <c:ptCount val="2"/>
              <c:pt idx="0">
                <c:v>14.45387242917119</c:v>
              </c:pt>
              <c:pt idx="1">
                <c:v>14.75387242917119</c:v>
              </c:pt>
            </c:numLit>
          </c:xVal>
          <c:yVal>
            <c:numLit>
              <c:formatCode>General</c:formatCode>
              <c:ptCount val="2"/>
              <c:pt idx="0">
                <c:v>2.3692908379434767E-2</c:v>
              </c:pt>
              <c:pt idx="1">
                <c:v>2.3577419837842114E-2</c:v>
              </c:pt>
            </c:numLit>
          </c:yVal>
          <c:smooth val="0"/>
          <c:extLst>
            <c:ext xmlns:c16="http://schemas.microsoft.com/office/drawing/2014/chart" uri="{C3380CC4-5D6E-409C-BE32-E72D297353CC}">
              <c16:uniqueId val="{0000006A-EDF7-4C7A-9081-48E94F12AEF9}"/>
            </c:ext>
          </c:extLst>
        </c:ser>
        <c:ser>
          <c:idx val="89"/>
          <c:order val="89"/>
          <c:tx>
            <c:v>h=77</c:v>
          </c:tx>
          <c:spPr>
            <a:ln w="3175">
              <a:solidFill>
                <a:srgbClr val="808080"/>
              </a:solidFill>
              <a:prstDash val="solid"/>
            </a:ln>
          </c:spPr>
          <c:marker>
            <c:symbol val="none"/>
          </c:marker>
          <c:xVal>
            <c:numLit>
              <c:formatCode>General</c:formatCode>
              <c:ptCount val="2"/>
              <c:pt idx="0">
                <c:v>14.762281210872525</c:v>
              </c:pt>
              <c:pt idx="1">
                <c:v>15.062281210872523</c:v>
              </c:pt>
            </c:numLit>
          </c:xVal>
          <c:yVal>
            <c:numLit>
              <c:formatCode>General</c:formatCode>
              <c:ptCount val="2"/>
              <c:pt idx="0">
                <c:v>2.3958806901257609E-2</c:v>
              </c:pt>
              <c:pt idx="1">
                <c:v>2.3843319987369743E-2</c:v>
              </c:pt>
            </c:numLit>
          </c:yVal>
          <c:smooth val="0"/>
          <c:extLst>
            <c:ext xmlns:c16="http://schemas.microsoft.com/office/drawing/2014/chart" uri="{C3380CC4-5D6E-409C-BE32-E72D297353CC}">
              <c16:uniqueId val="{0000006B-EDF7-4C7A-9081-48E94F12AEF9}"/>
            </c:ext>
          </c:extLst>
        </c:ser>
        <c:ser>
          <c:idx val="90"/>
          <c:order val="90"/>
          <c:tx>
            <c:v>h=78</c:v>
          </c:tx>
          <c:spPr>
            <a:ln w="3175">
              <a:solidFill>
                <a:srgbClr val="808080"/>
              </a:solidFill>
              <a:prstDash val="solid"/>
            </a:ln>
          </c:spPr>
          <c:marker>
            <c:symbol val="none"/>
          </c:marker>
          <c:xVal>
            <c:numLit>
              <c:formatCode>General</c:formatCode>
              <c:ptCount val="2"/>
              <c:pt idx="0">
                <c:v>15.070689992573858</c:v>
              </c:pt>
              <c:pt idx="1">
                <c:v>15.370689992573858</c:v>
              </c:pt>
            </c:numLit>
          </c:xVal>
          <c:yVal>
            <c:numLit>
              <c:formatCode>General</c:formatCode>
              <c:ptCount val="2"/>
              <c:pt idx="0">
                <c:v>2.4224705423080455E-2</c:v>
              </c:pt>
              <c:pt idx="1">
                <c:v>2.4109220101120522E-2</c:v>
              </c:pt>
            </c:numLit>
          </c:yVal>
          <c:smooth val="0"/>
          <c:extLst>
            <c:ext xmlns:c16="http://schemas.microsoft.com/office/drawing/2014/chart" uri="{C3380CC4-5D6E-409C-BE32-E72D297353CC}">
              <c16:uniqueId val="{0000006C-EDF7-4C7A-9081-48E94F12AEF9}"/>
            </c:ext>
          </c:extLst>
        </c:ser>
        <c:ser>
          <c:idx val="91"/>
          <c:order val="91"/>
          <c:tx>
            <c:v>h=79</c:v>
          </c:tx>
          <c:spPr>
            <a:ln w="3175">
              <a:solidFill>
                <a:srgbClr val="808080"/>
              </a:solidFill>
              <a:prstDash val="solid"/>
            </a:ln>
          </c:spPr>
          <c:marker>
            <c:symbol val="none"/>
          </c:marker>
          <c:xVal>
            <c:numLit>
              <c:formatCode>General</c:formatCode>
              <c:ptCount val="2"/>
              <c:pt idx="0">
                <c:v>15.379098774275191</c:v>
              </c:pt>
              <c:pt idx="1">
                <c:v>15.679098774275191</c:v>
              </c:pt>
            </c:numLit>
          </c:xVal>
          <c:yVal>
            <c:numLit>
              <c:formatCode>General</c:formatCode>
              <c:ptCount val="2"/>
              <c:pt idx="0">
                <c:v>2.4490603944903301E-2</c:v>
              </c:pt>
              <c:pt idx="1">
                <c:v>2.4375120180261185E-2</c:v>
              </c:pt>
            </c:numLit>
          </c:yVal>
          <c:smooth val="0"/>
          <c:extLst>
            <c:ext xmlns:c16="http://schemas.microsoft.com/office/drawing/2014/chart" uri="{C3380CC4-5D6E-409C-BE32-E72D297353CC}">
              <c16:uniqueId val="{0000006D-EDF7-4C7A-9081-48E94F12AEF9}"/>
            </c:ext>
          </c:extLst>
        </c:ser>
        <c:ser>
          <c:idx val="92"/>
          <c:order val="92"/>
          <c:tx>
            <c:v>h=80</c:v>
          </c:tx>
          <c:spPr>
            <a:ln w="3175">
              <a:solidFill>
                <a:srgbClr val="808080"/>
              </a:solidFill>
              <a:prstDash val="solid"/>
            </a:ln>
          </c:spPr>
          <c:marker>
            <c:symbol val="none"/>
          </c:marker>
          <c:dLbls>
            <c:dLbl>
              <c:idx val="0"/>
              <c:layout>
                <c:manualLayout>
                  <c:x val="-3.00874890638670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80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E-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15.687507555976525</c:v>
              </c:pt>
              <c:pt idx="1">
                <c:v>50</c:v>
              </c:pt>
            </c:numLit>
          </c:xVal>
          <c:yVal>
            <c:numLit>
              <c:formatCode>General</c:formatCode>
              <c:ptCount val="2"/>
              <c:pt idx="0">
                <c:v>2.4756502466726144E-2</c:v>
              </c:pt>
              <c:pt idx="1">
                <c:v>1.1449498843484965E-2</c:v>
              </c:pt>
            </c:numLit>
          </c:yVal>
          <c:smooth val="0"/>
          <c:extLst>
            <c:ext xmlns:c16="http://schemas.microsoft.com/office/drawing/2014/chart" uri="{C3380CC4-5D6E-409C-BE32-E72D297353CC}">
              <c16:uniqueId val="{0000006F-EDF7-4C7A-9081-48E94F12AEF9}"/>
            </c:ext>
          </c:extLst>
        </c:ser>
        <c:ser>
          <c:idx val="93"/>
          <c:order val="93"/>
          <c:tx>
            <c:v>h=81</c:v>
          </c:tx>
          <c:spPr>
            <a:ln w="3175">
              <a:solidFill>
                <a:srgbClr val="808080"/>
              </a:solidFill>
              <a:prstDash val="solid"/>
            </a:ln>
          </c:spPr>
          <c:marker>
            <c:symbol val="none"/>
          </c:marker>
          <c:xVal>
            <c:numLit>
              <c:formatCode>General</c:formatCode>
              <c:ptCount val="2"/>
              <c:pt idx="0">
                <c:v>15.995916337677858</c:v>
              </c:pt>
              <c:pt idx="1">
                <c:v>16.295916337677859</c:v>
              </c:pt>
            </c:numLit>
          </c:xVal>
          <c:yVal>
            <c:numLit>
              <c:formatCode>General</c:formatCode>
              <c:ptCount val="2"/>
              <c:pt idx="0">
                <c:v>2.5022400988548989E-2</c:v>
              </c:pt>
              <c:pt idx="1">
                <c:v>2.4906920239130846E-2</c:v>
              </c:pt>
            </c:numLit>
          </c:yVal>
          <c:smooth val="0"/>
          <c:extLst>
            <c:ext xmlns:c16="http://schemas.microsoft.com/office/drawing/2014/chart" uri="{C3380CC4-5D6E-409C-BE32-E72D297353CC}">
              <c16:uniqueId val="{00000070-EDF7-4C7A-9081-48E94F12AEF9}"/>
            </c:ext>
          </c:extLst>
        </c:ser>
        <c:ser>
          <c:idx val="94"/>
          <c:order val="94"/>
          <c:tx>
            <c:v>h=82</c:v>
          </c:tx>
          <c:spPr>
            <a:ln w="3175">
              <a:solidFill>
                <a:srgbClr val="808080"/>
              </a:solidFill>
              <a:prstDash val="solid"/>
            </a:ln>
          </c:spPr>
          <c:marker>
            <c:symbol val="none"/>
          </c:marker>
          <c:xVal>
            <c:numLit>
              <c:formatCode>General</c:formatCode>
              <c:ptCount val="2"/>
              <c:pt idx="0">
                <c:v>16.304325119379193</c:v>
              </c:pt>
              <c:pt idx="1">
                <c:v>16.60432511937919</c:v>
              </c:pt>
            </c:numLit>
          </c:xVal>
          <c:yVal>
            <c:numLit>
              <c:formatCode>General</c:formatCode>
              <c:ptCount val="2"/>
              <c:pt idx="0">
                <c:v>2.5288299510371832E-2</c:v>
              </c:pt>
              <c:pt idx="1">
                <c:v>2.5172820220952897E-2</c:v>
              </c:pt>
            </c:numLit>
          </c:yVal>
          <c:smooth val="0"/>
          <c:extLst>
            <c:ext xmlns:c16="http://schemas.microsoft.com/office/drawing/2014/chart" uri="{C3380CC4-5D6E-409C-BE32-E72D297353CC}">
              <c16:uniqueId val="{00000071-EDF7-4C7A-9081-48E94F12AEF9}"/>
            </c:ext>
          </c:extLst>
        </c:ser>
        <c:ser>
          <c:idx val="95"/>
          <c:order val="95"/>
          <c:tx>
            <c:v>h=83</c:v>
          </c:tx>
          <c:spPr>
            <a:ln w="3175">
              <a:solidFill>
                <a:srgbClr val="808080"/>
              </a:solidFill>
              <a:prstDash val="solid"/>
            </a:ln>
          </c:spPr>
          <c:marker>
            <c:symbol val="none"/>
          </c:marker>
          <c:xVal>
            <c:numLit>
              <c:formatCode>General</c:formatCode>
              <c:ptCount val="2"/>
              <c:pt idx="0">
                <c:v>16.612733901080524</c:v>
              </c:pt>
              <c:pt idx="1">
                <c:v>16.912733901080525</c:v>
              </c:pt>
            </c:numLit>
          </c:xVal>
          <c:yVal>
            <c:numLit>
              <c:formatCode>General</c:formatCode>
              <c:ptCount val="2"/>
              <c:pt idx="0">
                <c:v>2.5554198032194678E-2</c:v>
              </c:pt>
              <c:pt idx="1">
                <c:v>2.5438720172355784E-2</c:v>
              </c:pt>
            </c:numLit>
          </c:yVal>
          <c:smooth val="0"/>
          <c:extLst>
            <c:ext xmlns:c16="http://schemas.microsoft.com/office/drawing/2014/chart" uri="{C3380CC4-5D6E-409C-BE32-E72D297353CC}">
              <c16:uniqueId val="{00000072-EDF7-4C7A-9081-48E94F12AEF9}"/>
            </c:ext>
          </c:extLst>
        </c:ser>
        <c:ser>
          <c:idx val="96"/>
          <c:order val="96"/>
          <c:tx>
            <c:v>h=84</c:v>
          </c:tx>
          <c:spPr>
            <a:ln w="3175">
              <a:solidFill>
                <a:srgbClr val="808080"/>
              </a:solidFill>
              <a:prstDash val="solid"/>
            </a:ln>
          </c:spPr>
          <c:marker>
            <c:symbol val="none"/>
          </c:marker>
          <c:xVal>
            <c:numLit>
              <c:formatCode>General</c:formatCode>
              <c:ptCount val="2"/>
              <c:pt idx="0">
                <c:v>16.921142682781859</c:v>
              </c:pt>
              <c:pt idx="1">
                <c:v>17.22114268278186</c:v>
              </c:pt>
            </c:numLit>
          </c:xVal>
          <c:yVal>
            <c:numLit>
              <c:formatCode>General</c:formatCode>
              <c:ptCount val="2"/>
              <c:pt idx="0">
                <c:v>2.5820096554017524E-2</c:v>
              </c:pt>
              <c:pt idx="1">
                <c:v>2.570462009428038E-2</c:v>
              </c:pt>
            </c:numLit>
          </c:yVal>
          <c:smooth val="0"/>
          <c:extLst>
            <c:ext xmlns:c16="http://schemas.microsoft.com/office/drawing/2014/chart" uri="{C3380CC4-5D6E-409C-BE32-E72D297353CC}">
              <c16:uniqueId val="{00000073-EDF7-4C7A-9081-48E94F12AEF9}"/>
            </c:ext>
          </c:extLst>
        </c:ser>
        <c:ser>
          <c:idx val="97"/>
          <c:order val="97"/>
          <c:tx>
            <c:v>h=85</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85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4-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17.229551464483194</c:v>
              </c:pt>
              <c:pt idx="1">
                <c:v>50</c:v>
              </c:pt>
            </c:numLit>
          </c:xVal>
          <c:yVal>
            <c:numLit>
              <c:formatCode>General</c:formatCode>
              <c:ptCount val="2"/>
              <c:pt idx="0">
                <c:v>2.6085995075840366E-2</c:v>
              </c:pt>
              <c:pt idx="1">
                <c:v>1.3377023901310717E-2</c:v>
              </c:pt>
            </c:numLit>
          </c:yVal>
          <c:smooth val="0"/>
          <c:extLst>
            <c:ext xmlns:c16="http://schemas.microsoft.com/office/drawing/2014/chart" uri="{C3380CC4-5D6E-409C-BE32-E72D297353CC}">
              <c16:uniqueId val="{00000075-EDF7-4C7A-9081-48E94F12AEF9}"/>
            </c:ext>
          </c:extLst>
        </c:ser>
        <c:ser>
          <c:idx val="98"/>
          <c:order val="98"/>
          <c:tx>
            <c:v>h=86</c:v>
          </c:tx>
          <c:spPr>
            <a:ln w="3175">
              <a:solidFill>
                <a:srgbClr val="808080"/>
              </a:solidFill>
              <a:prstDash val="solid"/>
            </a:ln>
          </c:spPr>
          <c:marker>
            <c:symbol val="none"/>
          </c:marker>
          <c:xVal>
            <c:numLit>
              <c:formatCode>General</c:formatCode>
              <c:ptCount val="2"/>
              <c:pt idx="0">
                <c:v>17.537960246184525</c:v>
              </c:pt>
              <c:pt idx="1">
                <c:v>17.837960246184526</c:v>
              </c:pt>
            </c:numLit>
          </c:xVal>
          <c:yVal>
            <c:numLit>
              <c:formatCode>General</c:formatCode>
              <c:ptCount val="2"/>
              <c:pt idx="0">
                <c:v>2.6351893597663212E-2</c:v>
              </c:pt>
              <c:pt idx="1">
                <c:v>2.6236419853268116E-2</c:v>
              </c:pt>
            </c:numLit>
          </c:yVal>
          <c:smooth val="0"/>
          <c:extLst>
            <c:ext xmlns:c16="http://schemas.microsoft.com/office/drawing/2014/chart" uri="{C3380CC4-5D6E-409C-BE32-E72D297353CC}">
              <c16:uniqueId val="{00000076-EDF7-4C7A-9081-48E94F12AEF9}"/>
            </c:ext>
          </c:extLst>
        </c:ser>
        <c:ser>
          <c:idx val="99"/>
          <c:order val="99"/>
          <c:tx>
            <c:v>h=87</c:v>
          </c:tx>
          <c:spPr>
            <a:ln w="3175">
              <a:solidFill>
                <a:srgbClr val="808080"/>
              </a:solidFill>
              <a:prstDash val="solid"/>
            </a:ln>
          </c:spPr>
          <c:marker>
            <c:symbol val="none"/>
          </c:marker>
          <c:xVal>
            <c:numLit>
              <c:formatCode>General</c:formatCode>
              <c:ptCount val="2"/>
              <c:pt idx="0">
                <c:v>17.84636902788586</c:v>
              </c:pt>
              <c:pt idx="1">
                <c:v>18.146369027885861</c:v>
              </c:pt>
            </c:numLit>
          </c:xVal>
          <c:yVal>
            <c:numLit>
              <c:formatCode>General</c:formatCode>
              <c:ptCount val="2"/>
              <c:pt idx="0">
                <c:v>2.6617792119486054E-2</c:v>
              </c:pt>
              <c:pt idx="1">
                <c:v>2.6502319692028618E-2</c:v>
              </c:pt>
            </c:numLit>
          </c:yVal>
          <c:smooth val="0"/>
          <c:extLst>
            <c:ext xmlns:c16="http://schemas.microsoft.com/office/drawing/2014/chart" uri="{C3380CC4-5D6E-409C-BE32-E72D297353CC}">
              <c16:uniqueId val="{00000077-EDF7-4C7A-9081-48E94F12AEF9}"/>
            </c:ext>
          </c:extLst>
        </c:ser>
        <c:ser>
          <c:idx val="100"/>
          <c:order val="100"/>
          <c:tx>
            <c:v>h=88</c:v>
          </c:tx>
          <c:spPr>
            <a:ln w="3175">
              <a:solidFill>
                <a:srgbClr val="808080"/>
              </a:solidFill>
              <a:prstDash val="solid"/>
            </a:ln>
          </c:spPr>
          <c:marker>
            <c:symbol val="none"/>
          </c:marker>
          <c:xVal>
            <c:numLit>
              <c:formatCode>General</c:formatCode>
              <c:ptCount val="2"/>
              <c:pt idx="0">
                <c:v>18.154777809587195</c:v>
              </c:pt>
              <c:pt idx="1">
                <c:v>18.454777809587192</c:v>
              </c:pt>
            </c:numLit>
          </c:xVal>
          <c:yVal>
            <c:numLit>
              <c:formatCode>General</c:formatCode>
              <c:ptCount val="2"/>
              <c:pt idx="0">
                <c:v>2.68836906413089E-2</c:v>
              </c:pt>
              <c:pt idx="1">
                <c:v>2.6768219504709097E-2</c:v>
              </c:pt>
            </c:numLit>
          </c:yVal>
          <c:smooth val="0"/>
          <c:extLst>
            <c:ext xmlns:c16="http://schemas.microsoft.com/office/drawing/2014/chart" uri="{C3380CC4-5D6E-409C-BE32-E72D297353CC}">
              <c16:uniqueId val="{00000078-EDF7-4C7A-9081-48E94F12AEF9}"/>
            </c:ext>
          </c:extLst>
        </c:ser>
        <c:ser>
          <c:idx val="101"/>
          <c:order val="101"/>
          <c:tx>
            <c:v>h=89</c:v>
          </c:tx>
          <c:spPr>
            <a:ln w="3175">
              <a:solidFill>
                <a:srgbClr val="808080"/>
              </a:solidFill>
              <a:prstDash val="solid"/>
            </a:ln>
          </c:spPr>
          <c:marker>
            <c:symbol val="none"/>
          </c:marker>
          <c:xVal>
            <c:numLit>
              <c:formatCode>General</c:formatCode>
              <c:ptCount val="2"/>
              <c:pt idx="0">
                <c:v>18.463186591288526</c:v>
              </c:pt>
              <c:pt idx="1">
                <c:v>18.763186591288527</c:v>
              </c:pt>
            </c:numLit>
          </c:xVal>
          <c:yVal>
            <c:numLit>
              <c:formatCode>General</c:formatCode>
              <c:ptCount val="2"/>
              <c:pt idx="0">
                <c:v>2.7149589163131743E-2</c:v>
              </c:pt>
              <c:pt idx="1">
                <c:v>2.7034119292076671E-2</c:v>
              </c:pt>
            </c:numLit>
          </c:yVal>
          <c:smooth val="0"/>
          <c:extLst>
            <c:ext xmlns:c16="http://schemas.microsoft.com/office/drawing/2014/chart" uri="{C3380CC4-5D6E-409C-BE32-E72D297353CC}">
              <c16:uniqueId val="{00000079-EDF7-4C7A-9081-48E94F12AEF9}"/>
            </c:ext>
          </c:extLst>
        </c:ser>
        <c:ser>
          <c:idx val="102"/>
          <c:order val="102"/>
          <c:tx>
            <c:v>h=90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90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A-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18.771595372989861</c:v>
              </c:pt>
              <c:pt idx="1">
                <c:v>50</c:v>
              </c:pt>
            </c:numLit>
          </c:xVal>
          <c:yVal>
            <c:numLit>
              <c:formatCode>General</c:formatCode>
              <c:ptCount val="2"/>
              <c:pt idx="0">
                <c:v>2.7415487684954588E-2</c:v>
              </c:pt>
              <c:pt idx="1">
                <c:v>1.5304548959136469E-2</c:v>
              </c:pt>
            </c:numLit>
          </c:yVal>
          <c:smooth val="0"/>
          <c:extLst>
            <c:ext xmlns:c16="http://schemas.microsoft.com/office/drawing/2014/chart" uri="{C3380CC4-5D6E-409C-BE32-E72D297353CC}">
              <c16:uniqueId val="{0000007B-EDF7-4C7A-9081-48E94F12AEF9}"/>
            </c:ext>
          </c:extLst>
        </c:ser>
        <c:ser>
          <c:idx val="103"/>
          <c:order val="103"/>
          <c:tx>
            <c:v>h=91</c:v>
          </c:tx>
          <c:spPr>
            <a:ln w="3175">
              <a:solidFill>
                <a:srgbClr val="808080"/>
              </a:solidFill>
              <a:prstDash val="solid"/>
            </a:ln>
          </c:spPr>
          <c:marker>
            <c:symbol val="none"/>
          </c:marker>
          <c:xVal>
            <c:numLit>
              <c:formatCode>General</c:formatCode>
              <c:ptCount val="2"/>
              <c:pt idx="0">
                <c:v>19.080004154691196</c:v>
              </c:pt>
              <c:pt idx="1">
                <c:v>19.380004154691193</c:v>
              </c:pt>
            </c:numLit>
          </c:xVal>
          <c:yVal>
            <c:numLit>
              <c:formatCode>General</c:formatCode>
              <c:ptCount val="2"/>
              <c:pt idx="0">
                <c:v>2.7681386206777434E-2</c:v>
              </c:pt>
              <c:pt idx="1">
                <c:v>2.7565918793794053E-2</c:v>
              </c:pt>
            </c:numLit>
          </c:yVal>
          <c:smooth val="0"/>
          <c:extLst>
            <c:ext xmlns:c16="http://schemas.microsoft.com/office/drawing/2014/chart" uri="{C3380CC4-5D6E-409C-BE32-E72D297353CC}">
              <c16:uniqueId val="{0000007C-EDF7-4C7A-9081-48E94F12AEF9}"/>
            </c:ext>
          </c:extLst>
        </c:ser>
        <c:ser>
          <c:idx val="104"/>
          <c:order val="104"/>
          <c:tx>
            <c:v>h=92</c:v>
          </c:tx>
          <c:spPr>
            <a:ln w="3175">
              <a:solidFill>
                <a:srgbClr val="808080"/>
              </a:solidFill>
              <a:prstDash val="solid"/>
            </a:ln>
          </c:spPr>
          <c:marker>
            <c:symbol val="none"/>
          </c:marker>
          <c:xVal>
            <c:numLit>
              <c:formatCode>General</c:formatCode>
              <c:ptCount val="2"/>
              <c:pt idx="0">
                <c:v>19.388412936392527</c:v>
              </c:pt>
              <c:pt idx="1">
                <c:v>19.688412936392528</c:v>
              </c:pt>
            </c:numLit>
          </c:xVal>
          <c:yVal>
            <c:numLit>
              <c:formatCode>General</c:formatCode>
              <c:ptCount val="2"/>
              <c:pt idx="0">
                <c:v>2.7947284728600277E-2</c:v>
              </c:pt>
              <c:pt idx="1">
                <c:v>2.7831818509534777E-2</c:v>
              </c:pt>
            </c:numLit>
          </c:yVal>
          <c:smooth val="0"/>
          <c:extLst>
            <c:ext xmlns:c16="http://schemas.microsoft.com/office/drawing/2014/chart" uri="{C3380CC4-5D6E-409C-BE32-E72D297353CC}">
              <c16:uniqueId val="{0000007D-EDF7-4C7A-9081-48E94F12AEF9}"/>
            </c:ext>
          </c:extLst>
        </c:ser>
        <c:ser>
          <c:idx val="105"/>
          <c:order val="105"/>
          <c:tx>
            <c:v>h=93</c:v>
          </c:tx>
          <c:spPr>
            <a:ln w="3175">
              <a:solidFill>
                <a:srgbClr val="808080"/>
              </a:solidFill>
              <a:prstDash val="solid"/>
            </a:ln>
          </c:spPr>
          <c:marker>
            <c:symbol val="none"/>
          </c:marker>
          <c:xVal>
            <c:numLit>
              <c:formatCode>General</c:formatCode>
              <c:ptCount val="2"/>
              <c:pt idx="0">
                <c:v>19.696821718093862</c:v>
              </c:pt>
              <c:pt idx="1">
                <c:v>19.996821718093862</c:v>
              </c:pt>
            </c:numLit>
          </c:xVal>
          <c:yVal>
            <c:numLit>
              <c:formatCode>General</c:formatCode>
              <c:ptCount val="2"/>
              <c:pt idx="0">
                <c:v>2.8213183250423123E-2</c:v>
              </c:pt>
              <c:pt idx="1">
                <c:v>2.8097718202747063E-2</c:v>
              </c:pt>
            </c:numLit>
          </c:yVal>
          <c:smooth val="0"/>
          <c:extLst>
            <c:ext xmlns:c16="http://schemas.microsoft.com/office/drawing/2014/chart" uri="{C3380CC4-5D6E-409C-BE32-E72D297353CC}">
              <c16:uniqueId val="{0000007E-EDF7-4C7A-9081-48E94F12AEF9}"/>
            </c:ext>
          </c:extLst>
        </c:ser>
        <c:ser>
          <c:idx val="106"/>
          <c:order val="106"/>
          <c:tx>
            <c:v>h=94</c:v>
          </c:tx>
          <c:spPr>
            <a:ln w="3175">
              <a:solidFill>
                <a:srgbClr val="808080"/>
              </a:solidFill>
              <a:prstDash val="solid"/>
            </a:ln>
          </c:spPr>
          <c:marker>
            <c:symbol val="none"/>
          </c:marker>
          <c:xVal>
            <c:numLit>
              <c:formatCode>General</c:formatCode>
              <c:ptCount val="2"/>
              <c:pt idx="0">
                <c:v>20.005230499795196</c:v>
              </c:pt>
              <c:pt idx="1">
                <c:v>20.305230499795194</c:v>
              </c:pt>
            </c:numLit>
          </c:xVal>
          <c:yVal>
            <c:numLit>
              <c:formatCode>General</c:formatCode>
              <c:ptCount val="2"/>
              <c:pt idx="0">
                <c:v>2.8479081772245965E-2</c:v>
              </c:pt>
              <c:pt idx="1">
                <c:v>2.8363617874062594E-2</c:v>
              </c:pt>
            </c:numLit>
          </c:yVal>
          <c:smooth val="0"/>
          <c:extLst>
            <c:ext xmlns:c16="http://schemas.microsoft.com/office/drawing/2014/chart" uri="{C3380CC4-5D6E-409C-BE32-E72D297353CC}">
              <c16:uniqueId val="{0000007F-EDF7-4C7A-9081-48E94F12AEF9}"/>
            </c:ext>
          </c:extLst>
        </c:ser>
        <c:ser>
          <c:idx val="107"/>
          <c:order val="107"/>
          <c:tx>
            <c:v>h=95</c:v>
          </c:tx>
          <c:spPr>
            <a:ln w="3175">
              <a:solidFill>
                <a:srgbClr val="808080"/>
              </a:solidFill>
              <a:prstDash val="solid"/>
            </a:ln>
          </c:spPr>
          <c:marker>
            <c:symbol val="none"/>
          </c:marker>
          <c:dLbls>
            <c:dLbl>
              <c:idx val="0"/>
              <c:layout>
                <c:manualLayout>
                  <c:x val="-3.0087489063867018E-2"/>
                  <c:y val="-9.347701729591512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95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0-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20.313639281496528</c:v>
              </c:pt>
              <c:pt idx="1">
                <c:v>50</c:v>
              </c:pt>
            </c:numLit>
          </c:xVal>
          <c:yVal>
            <c:numLit>
              <c:formatCode>General</c:formatCode>
              <c:ptCount val="2"/>
              <c:pt idx="0">
                <c:v>2.8744980294068811E-2</c:v>
              </c:pt>
              <c:pt idx="1">
                <c:v>1.723207401696222E-2</c:v>
              </c:pt>
            </c:numLit>
          </c:yVal>
          <c:smooth val="0"/>
          <c:extLst>
            <c:ext xmlns:c16="http://schemas.microsoft.com/office/drawing/2014/chart" uri="{C3380CC4-5D6E-409C-BE32-E72D297353CC}">
              <c16:uniqueId val="{00000081-EDF7-4C7A-9081-48E94F12AEF9}"/>
            </c:ext>
          </c:extLst>
        </c:ser>
        <c:ser>
          <c:idx val="108"/>
          <c:order val="108"/>
          <c:tx>
            <c:v>h=96</c:v>
          </c:tx>
          <c:spPr>
            <a:ln w="3175">
              <a:solidFill>
                <a:srgbClr val="808080"/>
              </a:solidFill>
              <a:prstDash val="solid"/>
            </a:ln>
          </c:spPr>
          <c:marker>
            <c:symbol val="none"/>
          </c:marker>
          <c:xVal>
            <c:numLit>
              <c:formatCode>General</c:formatCode>
              <c:ptCount val="2"/>
              <c:pt idx="0">
                <c:v>20.622048063197862</c:v>
              </c:pt>
              <c:pt idx="1">
                <c:v>20.922048063197863</c:v>
              </c:pt>
            </c:numLit>
          </c:xVal>
          <c:yVal>
            <c:numLit>
              <c:formatCode>General</c:formatCode>
              <c:ptCount val="2"/>
              <c:pt idx="0">
                <c:v>2.9010878815891653E-2</c:v>
              </c:pt>
              <c:pt idx="1">
                <c:v>2.8895417153414215E-2</c:v>
              </c:pt>
            </c:numLit>
          </c:yVal>
          <c:smooth val="0"/>
          <c:extLst>
            <c:ext xmlns:c16="http://schemas.microsoft.com/office/drawing/2014/chart" uri="{C3380CC4-5D6E-409C-BE32-E72D297353CC}">
              <c16:uniqueId val="{00000082-EDF7-4C7A-9081-48E94F12AEF9}"/>
            </c:ext>
          </c:extLst>
        </c:ser>
        <c:ser>
          <c:idx val="109"/>
          <c:order val="109"/>
          <c:tx>
            <c:v>h=97</c:v>
          </c:tx>
          <c:spPr>
            <a:ln w="3175">
              <a:solidFill>
                <a:srgbClr val="808080"/>
              </a:solidFill>
              <a:prstDash val="solid"/>
            </a:ln>
          </c:spPr>
          <c:marker>
            <c:symbol val="none"/>
          </c:marker>
          <c:xVal>
            <c:numLit>
              <c:formatCode>General</c:formatCode>
              <c:ptCount val="2"/>
              <c:pt idx="0">
                <c:v>20.930456844899197</c:v>
              </c:pt>
              <c:pt idx="1">
                <c:v>21.230456844899194</c:v>
              </c:pt>
            </c:numLit>
          </c:xVal>
          <c:yVal>
            <c:numLit>
              <c:formatCode>General</c:formatCode>
              <c:ptCount val="2"/>
              <c:pt idx="0">
                <c:v>2.9276777337714499E-2</c:v>
              </c:pt>
              <c:pt idx="1">
                <c:v>2.916131676260093E-2</c:v>
              </c:pt>
            </c:numLit>
          </c:yVal>
          <c:smooth val="0"/>
          <c:extLst>
            <c:ext xmlns:c16="http://schemas.microsoft.com/office/drawing/2014/chart" uri="{C3380CC4-5D6E-409C-BE32-E72D297353CC}">
              <c16:uniqueId val="{00000083-EDF7-4C7A-9081-48E94F12AEF9}"/>
            </c:ext>
          </c:extLst>
        </c:ser>
        <c:ser>
          <c:idx val="110"/>
          <c:order val="110"/>
          <c:tx>
            <c:v>h=98</c:v>
          </c:tx>
          <c:spPr>
            <a:ln w="3175">
              <a:solidFill>
                <a:srgbClr val="808080"/>
              </a:solidFill>
              <a:prstDash val="solid"/>
            </a:ln>
          </c:spPr>
          <c:marker>
            <c:symbol val="none"/>
          </c:marker>
          <c:xVal>
            <c:numLit>
              <c:formatCode>General</c:formatCode>
              <c:ptCount val="2"/>
              <c:pt idx="0">
                <c:v>21.238865626600528</c:v>
              </c:pt>
              <c:pt idx="1">
                <c:v>21.538865626600529</c:v>
              </c:pt>
            </c:numLit>
          </c:xVal>
          <c:yVal>
            <c:numLit>
              <c:formatCode>General</c:formatCode>
              <c:ptCount val="2"/>
              <c:pt idx="0">
                <c:v>2.9542675859537345E-2</c:v>
              </c:pt>
              <c:pt idx="1">
                <c:v>2.9427216352194103E-2</c:v>
              </c:pt>
            </c:numLit>
          </c:yVal>
          <c:smooth val="0"/>
          <c:extLst>
            <c:ext xmlns:c16="http://schemas.microsoft.com/office/drawing/2014/chart" uri="{C3380CC4-5D6E-409C-BE32-E72D297353CC}">
              <c16:uniqueId val="{00000084-EDF7-4C7A-9081-48E94F12AEF9}"/>
            </c:ext>
          </c:extLst>
        </c:ser>
        <c:ser>
          <c:idx val="111"/>
          <c:order val="111"/>
          <c:tx>
            <c:v>h=99</c:v>
          </c:tx>
          <c:spPr>
            <a:ln w="3175">
              <a:solidFill>
                <a:srgbClr val="808080"/>
              </a:solidFill>
              <a:prstDash val="solid"/>
            </a:ln>
          </c:spPr>
          <c:marker>
            <c:symbol val="none"/>
          </c:marker>
          <c:xVal>
            <c:numLit>
              <c:formatCode>General</c:formatCode>
              <c:ptCount val="2"/>
              <c:pt idx="0">
                <c:v>21.547274408301863</c:v>
              </c:pt>
              <c:pt idx="1">
                <c:v>21.847274408301864</c:v>
              </c:pt>
            </c:numLit>
          </c:xVal>
          <c:yVal>
            <c:numLit>
              <c:formatCode>General</c:formatCode>
              <c:ptCount val="2"/>
              <c:pt idx="0">
                <c:v>2.9808574381360187E-2</c:v>
              </c:pt>
              <c:pt idx="1">
                <c:v>2.9693115922718592E-2</c:v>
              </c:pt>
            </c:numLit>
          </c:yVal>
          <c:smooth val="0"/>
          <c:extLst>
            <c:ext xmlns:c16="http://schemas.microsoft.com/office/drawing/2014/chart" uri="{C3380CC4-5D6E-409C-BE32-E72D297353CC}">
              <c16:uniqueId val="{00000085-EDF7-4C7A-9081-48E94F12AEF9}"/>
            </c:ext>
          </c:extLst>
        </c:ser>
        <c:ser>
          <c:idx val="112"/>
          <c:order val="112"/>
          <c:tx>
            <c:v>h=100</c:v>
          </c:tx>
          <c:spPr>
            <a:ln w="3175">
              <a:solidFill>
                <a:srgbClr val="808080"/>
              </a:solidFill>
              <a:prstDash val="solid"/>
            </a:ln>
          </c:spPr>
          <c:marker>
            <c:symbol val="none"/>
          </c:marker>
          <c:dLbls>
            <c:dLbl>
              <c:idx val="0"/>
              <c:layout>
                <c:manualLayout>
                  <c:x val="-3.2080736001749779E-2"/>
                  <c:y val="-1.2169728783902031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6-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21.855683190003198</c:v>
              </c:pt>
              <c:pt idx="1">
                <c:v>49.999999999999993</c:v>
              </c:pt>
            </c:numLit>
          </c:xVal>
          <c:yVal>
            <c:numLit>
              <c:formatCode>General</c:formatCode>
              <c:ptCount val="2"/>
              <c:pt idx="0">
                <c:v>3.0074472903183033E-2</c:v>
              </c:pt>
              <c:pt idx="1">
                <c:v>1.9159599074787974E-2</c:v>
              </c:pt>
            </c:numLit>
          </c:yVal>
          <c:smooth val="0"/>
          <c:extLst>
            <c:ext xmlns:c16="http://schemas.microsoft.com/office/drawing/2014/chart" uri="{C3380CC4-5D6E-409C-BE32-E72D297353CC}">
              <c16:uniqueId val="{00000087-EDF7-4C7A-9081-48E94F12AEF9}"/>
            </c:ext>
          </c:extLst>
        </c:ser>
        <c:ser>
          <c:idx val="113"/>
          <c:order val="113"/>
          <c:tx>
            <c:v>h=101</c:v>
          </c:tx>
          <c:spPr>
            <a:ln w="3175">
              <a:solidFill>
                <a:srgbClr val="808080"/>
              </a:solidFill>
              <a:prstDash val="solid"/>
            </a:ln>
          </c:spPr>
          <c:marker>
            <c:symbol val="none"/>
          </c:marker>
          <c:xVal>
            <c:numLit>
              <c:formatCode>General</c:formatCode>
              <c:ptCount val="2"/>
              <c:pt idx="0">
                <c:v>22.164091971704529</c:v>
              </c:pt>
              <c:pt idx="1">
                <c:v>22.46409197170453</c:v>
              </c:pt>
            </c:numLit>
          </c:xVal>
          <c:yVal>
            <c:numLit>
              <c:formatCode>General</c:formatCode>
              <c:ptCount val="2"/>
              <c:pt idx="0">
                <c:v>3.0340371425005876E-2</c:v>
              </c:pt>
              <c:pt idx="1">
                <c:v>3.0224915008568904E-2</c:v>
              </c:pt>
            </c:numLit>
          </c:yVal>
          <c:smooth val="0"/>
          <c:extLst>
            <c:ext xmlns:c16="http://schemas.microsoft.com/office/drawing/2014/chart" uri="{C3380CC4-5D6E-409C-BE32-E72D297353CC}">
              <c16:uniqueId val="{00000088-EDF7-4C7A-9081-48E94F12AEF9}"/>
            </c:ext>
          </c:extLst>
        </c:ser>
        <c:ser>
          <c:idx val="114"/>
          <c:order val="114"/>
          <c:tx>
            <c:v>h=102</c:v>
          </c:tx>
          <c:spPr>
            <a:ln w="3175">
              <a:solidFill>
                <a:srgbClr val="808080"/>
              </a:solidFill>
              <a:prstDash val="solid"/>
            </a:ln>
          </c:spPr>
          <c:marker>
            <c:symbol val="none"/>
          </c:marker>
          <c:xVal>
            <c:numLit>
              <c:formatCode>General</c:formatCode>
              <c:ptCount val="2"/>
              <c:pt idx="0">
                <c:v>22.472500753405864</c:v>
              </c:pt>
              <c:pt idx="1">
                <c:v>22.772500753405865</c:v>
              </c:pt>
            </c:numLit>
          </c:xVal>
          <c:yVal>
            <c:numLit>
              <c:formatCode>General</c:formatCode>
              <c:ptCount val="2"/>
              <c:pt idx="0">
                <c:v>3.0606269946828722E-2</c:v>
              </c:pt>
              <c:pt idx="1">
                <c:v>3.0490814524854769E-2</c:v>
              </c:pt>
            </c:numLit>
          </c:yVal>
          <c:smooth val="0"/>
          <c:extLst>
            <c:ext xmlns:c16="http://schemas.microsoft.com/office/drawing/2014/chart" uri="{C3380CC4-5D6E-409C-BE32-E72D297353CC}">
              <c16:uniqueId val="{00000089-EDF7-4C7A-9081-48E94F12AEF9}"/>
            </c:ext>
          </c:extLst>
        </c:ser>
        <c:ser>
          <c:idx val="115"/>
          <c:order val="115"/>
          <c:tx>
            <c:v>h=103</c:v>
          </c:tx>
          <c:spPr>
            <a:ln w="3175">
              <a:solidFill>
                <a:srgbClr val="808080"/>
              </a:solidFill>
              <a:prstDash val="solid"/>
            </a:ln>
          </c:spPr>
          <c:marker>
            <c:symbol val="none"/>
          </c:marker>
          <c:xVal>
            <c:numLit>
              <c:formatCode>General</c:formatCode>
              <c:ptCount val="2"/>
              <c:pt idx="0">
                <c:v>22.780909535107199</c:v>
              </c:pt>
              <c:pt idx="1">
                <c:v>23.080909535107196</c:v>
              </c:pt>
            </c:numLit>
          </c:xVal>
          <c:yVal>
            <c:numLit>
              <c:formatCode>General</c:formatCode>
              <c:ptCount val="2"/>
              <c:pt idx="0">
                <c:v>3.0872168468651567E-2</c:v>
              </c:pt>
              <c:pt idx="1">
                <c:v>3.0756714023993551E-2</c:v>
              </c:pt>
            </c:numLit>
          </c:yVal>
          <c:smooth val="0"/>
          <c:extLst>
            <c:ext xmlns:c16="http://schemas.microsoft.com/office/drawing/2014/chart" uri="{C3380CC4-5D6E-409C-BE32-E72D297353CC}">
              <c16:uniqueId val="{0000008A-EDF7-4C7A-9081-48E94F12AEF9}"/>
            </c:ext>
          </c:extLst>
        </c:ser>
        <c:ser>
          <c:idx val="116"/>
          <c:order val="116"/>
          <c:tx>
            <c:v>h=104</c:v>
          </c:tx>
          <c:spPr>
            <a:ln w="3175">
              <a:solidFill>
                <a:srgbClr val="808080"/>
              </a:solidFill>
              <a:prstDash val="solid"/>
            </a:ln>
          </c:spPr>
          <c:marker>
            <c:symbol val="none"/>
          </c:marker>
          <c:xVal>
            <c:numLit>
              <c:formatCode>General</c:formatCode>
              <c:ptCount val="2"/>
              <c:pt idx="0">
                <c:v>23.08931831680853</c:v>
              </c:pt>
              <c:pt idx="1">
                <c:v>23.389318316808531</c:v>
              </c:pt>
            </c:numLit>
          </c:xVal>
          <c:yVal>
            <c:numLit>
              <c:formatCode>General</c:formatCode>
              <c:ptCount val="2"/>
              <c:pt idx="0">
                <c:v>3.113806699047441E-2</c:v>
              </c:pt>
              <c:pt idx="1">
                <c:v>3.1022613506424938E-2</c:v>
              </c:pt>
            </c:numLit>
          </c:yVal>
          <c:smooth val="0"/>
          <c:extLst>
            <c:ext xmlns:c16="http://schemas.microsoft.com/office/drawing/2014/chart" uri="{C3380CC4-5D6E-409C-BE32-E72D297353CC}">
              <c16:uniqueId val="{0000008B-EDF7-4C7A-9081-48E94F12AEF9}"/>
            </c:ext>
          </c:extLst>
        </c:ser>
        <c:ser>
          <c:idx val="117"/>
          <c:order val="117"/>
          <c:tx>
            <c:v>h=105</c:v>
          </c:tx>
          <c:spPr>
            <a:ln w="3175">
              <a:solidFill>
                <a:srgbClr val="808080"/>
              </a:solidFill>
              <a:prstDash val="solid"/>
            </a:ln>
          </c:spPr>
          <c:marker>
            <c:symbol val="none"/>
          </c:marker>
          <c:dLbls>
            <c:dLbl>
              <c:idx val="0"/>
              <c:layout>
                <c:manualLayout>
                  <c:x val="-3.2080736001749842E-2"/>
                  <c:y val="-1.2169728783902012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C-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23.397727098509865</c:v>
              </c:pt>
              <c:pt idx="1">
                <c:v>50</c:v>
              </c:pt>
            </c:numLit>
          </c:xVal>
          <c:yVal>
            <c:numLit>
              <c:formatCode>General</c:formatCode>
              <c:ptCount val="2"/>
              <c:pt idx="0">
                <c:v>3.1403965512297252E-2</c:v>
              </c:pt>
              <c:pt idx="1">
                <c:v>2.1087124132613724E-2</c:v>
              </c:pt>
            </c:numLit>
          </c:yVal>
          <c:smooth val="0"/>
          <c:extLst>
            <c:ext xmlns:c16="http://schemas.microsoft.com/office/drawing/2014/chart" uri="{C3380CC4-5D6E-409C-BE32-E72D297353CC}">
              <c16:uniqueId val="{0000008D-EDF7-4C7A-9081-48E94F12AEF9}"/>
            </c:ext>
          </c:extLst>
        </c:ser>
        <c:ser>
          <c:idx val="118"/>
          <c:order val="118"/>
          <c:tx>
            <c:v>h=106</c:v>
          </c:tx>
          <c:spPr>
            <a:ln w="3175">
              <a:solidFill>
                <a:srgbClr val="808080"/>
              </a:solidFill>
              <a:prstDash val="solid"/>
            </a:ln>
          </c:spPr>
          <c:marker>
            <c:symbol val="none"/>
          </c:marker>
          <c:xVal>
            <c:numLit>
              <c:formatCode>General</c:formatCode>
              <c:ptCount val="2"/>
              <c:pt idx="0">
                <c:v>23.7061358802112</c:v>
              </c:pt>
              <c:pt idx="1">
                <c:v>24.006135880211197</c:v>
              </c:pt>
            </c:numLit>
          </c:xVal>
          <c:yVal>
            <c:numLit>
              <c:formatCode>General</c:formatCode>
              <c:ptCount val="2"/>
              <c:pt idx="0">
                <c:v>3.1669864034120102E-2</c:v>
              </c:pt>
              <c:pt idx="1">
                <c:v>3.1554412422850439E-2</c:v>
              </c:pt>
            </c:numLit>
          </c:yVal>
          <c:smooth val="0"/>
          <c:extLst>
            <c:ext xmlns:c16="http://schemas.microsoft.com/office/drawing/2014/chart" uri="{C3380CC4-5D6E-409C-BE32-E72D297353CC}">
              <c16:uniqueId val="{0000008E-EDF7-4C7A-9081-48E94F12AEF9}"/>
            </c:ext>
          </c:extLst>
        </c:ser>
        <c:ser>
          <c:idx val="119"/>
          <c:order val="119"/>
          <c:tx>
            <c:v>h=107</c:v>
          </c:tx>
          <c:spPr>
            <a:ln w="3175">
              <a:solidFill>
                <a:srgbClr val="808080"/>
              </a:solidFill>
              <a:prstDash val="solid"/>
            </a:ln>
          </c:spPr>
          <c:marker>
            <c:symbol val="none"/>
          </c:marker>
          <c:xVal>
            <c:numLit>
              <c:formatCode>General</c:formatCode>
              <c:ptCount val="2"/>
              <c:pt idx="0">
                <c:v>24.014544661912531</c:v>
              </c:pt>
              <c:pt idx="1">
                <c:v>24.314544661912532</c:v>
              </c:pt>
            </c:numLit>
          </c:xVal>
          <c:yVal>
            <c:numLit>
              <c:formatCode>General</c:formatCode>
              <c:ptCount val="2"/>
              <c:pt idx="0">
                <c:v>3.1935762555942944E-2</c:v>
              </c:pt>
              <c:pt idx="1">
                <c:v>3.1820311857651898E-2</c:v>
              </c:pt>
            </c:numLit>
          </c:yVal>
          <c:smooth val="0"/>
          <c:extLst>
            <c:ext xmlns:c16="http://schemas.microsoft.com/office/drawing/2014/chart" uri="{C3380CC4-5D6E-409C-BE32-E72D297353CC}">
              <c16:uniqueId val="{0000008F-EDF7-4C7A-9081-48E94F12AEF9}"/>
            </c:ext>
          </c:extLst>
        </c:ser>
        <c:ser>
          <c:idx val="120"/>
          <c:order val="120"/>
          <c:tx>
            <c:v>h=108</c:v>
          </c:tx>
          <c:spPr>
            <a:ln w="3175">
              <a:solidFill>
                <a:srgbClr val="808080"/>
              </a:solidFill>
              <a:prstDash val="solid"/>
            </a:ln>
          </c:spPr>
          <c:marker>
            <c:symbol val="none"/>
          </c:marker>
          <c:xVal>
            <c:numLit>
              <c:formatCode>General</c:formatCode>
              <c:ptCount val="2"/>
              <c:pt idx="0">
                <c:v>24.322953443613866</c:v>
              </c:pt>
              <c:pt idx="1">
                <c:v>24.622953443613866</c:v>
              </c:pt>
            </c:numLit>
          </c:xVal>
          <c:yVal>
            <c:numLit>
              <c:formatCode>General</c:formatCode>
              <c:ptCount val="2"/>
              <c:pt idx="0">
                <c:v>3.2201661077765786E-2</c:v>
              </c:pt>
              <c:pt idx="1">
                <c:v>3.2086211277361804E-2</c:v>
              </c:pt>
            </c:numLit>
          </c:yVal>
          <c:smooth val="0"/>
          <c:extLst>
            <c:ext xmlns:c16="http://schemas.microsoft.com/office/drawing/2014/chart" uri="{C3380CC4-5D6E-409C-BE32-E72D297353CC}">
              <c16:uniqueId val="{00000090-EDF7-4C7A-9081-48E94F12AEF9}"/>
            </c:ext>
          </c:extLst>
        </c:ser>
        <c:ser>
          <c:idx val="121"/>
          <c:order val="121"/>
          <c:tx>
            <c:v>h=109</c:v>
          </c:tx>
          <c:spPr>
            <a:ln w="3175">
              <a:solidFill>
                <a:srgbClr val="808080"/>
              </a:solidFill>
              <a:prstDash val="solid"/>
            </a:ln>
          </c:spPr>
          <c:marker>
            <c:symbol val="none"/>
          </c:marker>
          <c:xVal>
            <c:numLit>
              <c:formatCode>General</c:formatCode>
              <c:ptCount val="2"/>
              <c:pt idx="0">
                <c:v>24.6313622253152</c:v>
              </c:pt>
              <c:pt idx="1">
                <c:v>24.931362225315198</c:v>
              </c:pt>
            </c:numLit>
          </c:xVal>
          <c:yVal>
            <c:numLit>
              <c:formatCode>General</c:formatCode>
              <c:ptCount val="2"/>
              <c:pt idx="0">
                <c:v>3.2467559599588636E-2</c:v>
              </c:pt>
              <c:pt idx="1">
                <c:v>3.2352110682351297E-2</c:v>
              </c:pt>
            </c:numLit>
          </c:yVal>
          <c:smooth val="0"/>
          <c:extLst>
            <c:ext xmlns:c16="http://schemas.microsoft.com/office/drawing/2014/chart" uri="{C3380CC4-5D6E-409C-BE32-E72D297353CC}">
              <c16:uniqueId val="{00000091-EDF7-4C7A-9081-48E94F12AEF9}"/>
            </c:ext>
          </c:extLst>
        </c:ser>
        <c:ser>
          <c:idx val="122"/>
          <c:order val="122"/>
          <c:tx>
            <c:v>h=110</c:v>
          </c:tx>
          <c:spPr>
            <a:ln w="3175">
              <a:solidFill>
                <a:srgbClr val="808080"/>
              </a:solidFill>
              <a:prstDash val="solid"/>
            </a:ln>
          </c:spPr>
          <c:marker>
            <c:symbol val="none"/>
          </c:marker>
          <c:dLbls>
            <c:dLbl>
              <c:idx val="0"/>
              <c:layout>
                <c:manualLayout>
                  <c:x val="-3.2080736001749842E-2"/>
                  <c:y val="-1.2169728783902012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110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2-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24.939771007016532</c:v>
              </c:pt>
              <c:pt idx="1">
                <c:v>50</c:v>
              </c:pt>
            </c:numLit>
          </c:xVal>
          <c:yVal>
            <c:numLit>
              <c:formatCode>General</c:formatCode>
              <c:ptCount val="2"/>
              <c:pt idx="0">
                <c:v>3.2733458121411478E-2</c:v>
              </c:pt>
              <c:pt idx="1">
                <c:v>2.3014649190439475E-2</c:v>
              </c:pt>
            </c:numLit>
          </c:yVal>
          <c:smooth val="0"/>
          <c:extLst>
            <c:ext xmlns:c16="http://schemas.microsoft.com/office/drawing/2014/chart" uri="{C3380CC4-5D6E-409C-BE32-E72D297353CC}">
              <c16:uniqueId val="{00000093-EDF7-4C7A-9081-48E94F12AEF9}"/>
            </c:ext>
          </c:extLst>
        </c:ser>
        <c:ser>
          <c:idx val="123"/>
          <c:order val="123"/>
          <c:tx>
            <c:v>h=111</c:v>
          </c:tx>
          <c:spPr>
            <a:ln w="3175">
              <a:solidFill>
                <a:srgbClr val="808080"/>
              </a:solidFill>
              <a:prstDash val="solid"/>
            </a:ln>
          </c:spPr>
          <c:marker>
            <c:symbol val="none"/>
          </c:marker>
          <c:xVal>
            <c:numLit>
              <c:formatCode>General</c:formatCode>
              <c:ptCount val="2"/>
              <c:pt idx="0">
                <c:v>25.248179788717867</c:v>
              </c:pt>
              <c:pt idx="1">
                <c:v>25.548179788717867</c:v>
              </c:pt>
            </c:numLit>
          </c:xVal>
          <c:yVal>
            <c:numLit>
              <c:formatCode>General</c:formatCode>
              <c:ptCount val="2"/>
              <c:pt idx="0">
                <c:v>3.299935664323432E-2</c:v>
              </c:pt>
              <c:pt idx="1">
                <c:v>3.2883909449593671E-2</c:v>
              </c:pt>
            </c:numLit>
          </c:yVal>
          <c:smooth val="0"/>
          <c:extLst>
            <c:ext xmlns:c16="http://schemas.microsoft.com/office/drawing/2014/chart" uri="{C3380CC4-5D6E-409C-BE32-E72D297353CC}">
              <c16:uniqueId val="{00000094-EDF7-4C7A-9081-48E94F12AEF9}"/>
            </c:ext>
          </c:extLst>
        </c:ser>
        <c:ser>
          <c:idx val="124"/>
          <c:order val="124"/>
          <c:tx>
            <c:v>h=112</c:v>
          </c:tx>
          <c:spPr>
            <a:ln w="3175">
              <a:solidFill>
                <a:srgbClr val="808080"/>
              </a:solidFill>
              <a:prstDash val="solid"/>
            </a:ln>
          </c:spPr>
          <c:marker>
            <c:symbol val="none"/>
          </c:marker>
          <c:xVal>
            <c:numLit>
              <c:formatCode>General</c:formatCode>
              <c:ptCount val="2"/>
              <c:pt idx="0">
                <c:v>25.556588570419198</c:v>
              </c:pt>
              <c:pt idx="1">
                <c:v>25.856588570419198</c:v>
              </c:pt>
            </c:numLit>
          </c:xVal>
          <c:yVal>
            <c:numLit>
              <c:formatCode>General</c:formatCode>
              <c:ptCount val="2"/>
              <c:pt idx="0">
                <c:v>3.3265255165057163E-2</c:v>
              </c:pt>
              <c:pt idx="1">
                <c:v>3.3149808812530379E-2</c:v>
              </c:pt>
            </c:numLit>
          </c:yVal>
          <c:smooth val="0"/>
          <c:extLst>
            <c:ext xmlns:c16="http://schemas.microsoft.com/office/drawing/2014/chart" uri="{C3380CC4-5D6E-409C-BE32-E72D297353CC}">
              <c16:uniqueId val="{00000095-EDF7-4C7A-9081-48E94F12AEF9}"/>
            </c:ext>
          </c:extLst>
        </c:ser>
        <c:ser>
          <c:idx val="125"/>
          <c:order val="125"/>
          <c:tx>
            <c:v>h=113</c:v>
          </c:tx>
          <c:spPr>
            <a:ln w="3175">
              <a:solidFill>
                <a:srgbClr val="808080"/>
              </a:solidFill>
              <a:prstDash val="solid"/>
            </a:ln>
          </c:spPr>
          <c:marker>
            <c:symbol val="none"/>
          </c:marker>
          <c:xVal>
            <c:numLit>
              <c:formatCode>General</c:formatCode>
              <c:ptCount val="2"/>
              <c:pt idx="0">
                <c:v>25.864997352120533</c:v>
              </c:pt>
              <c:pt idx="1">
                <c:v>26.164997352120533</c:v>
              </c:pt>
            </c:numLit>
          </c:xVal>
          <c:yVal>
            <c:numLit>
              <c:formatCode>General</c:formatCode>
              <c:ptCount val="2"/>
              <c:pt idx="0">
                <c:v>3.3531153686880012E-2</c:v>
              </c:pt>
              <c:pt idx="1">
                <c:v>3.341570816211524E-2</c:v>
              </c:pt>
            </c:numLit>
          </c:yVal>
          <c:smooth val="0"/>
          <c:extLst>
            <c:ext xmlns:c16="http://schemas.microsoft.com/office/drawing/2014/chart" uri="{C3380CC4-5D6E-409C-BE32-E72D297353CC}">
              <c16:uniqueId val="{00000096-EDF7-4C7A-9081-48E94F12AEF9}"/>
            </c:ext>
          </c:extLst>
        </c:ser>
        <c:ser>
          <c:idx val="126"/>
          <c:order val="126"/>
          <c:tx>
            <c:v>h=114</c:v>
          </c:tx>
          <c:spPr>
            <a:ln w="3175">
              <a:solidFill>
                <a:srgbClr val="808080"/>
              </a:solidFill>
              <a:prstDash val="solid"/>
            </a:ln>
          </c:spPr>
          <c:marker>
            <c:symbol val="none"/>
          </c:marker>
          <c:xVal>
            <c:numLit>
              <c:formatCode>General</c:formatCode>
              <c:ptCount val="2"/>
              <c:pt idx="0">
                <c:v>26.173406133821867</c:v>
              </c:pt>
              <c:pt idx="1">
                <c:v>26.473406133821868</c:v>
              </c:pt>
            </c:numLit>
          </c:xVal>
          <c:yVal>
            <c:numLit>
              <c:formatCode>General</c:formatCode>
              <c:ptCount val="2"/>
              <c:pt idx="0">
                <c:v>3.3797052208702855E-2</c:v>
              </c:pt>
              <c:pt idx="1">
                <c:v>3.3681607498663661E-2</c:v>
              </c:pt>
            </c:numLit>
          </c:yVal>
          <c:smooth val="0"/>
          <c:extLst>
            <c:ext xmlns:c16="http://schemas.microsoft.com/office/drawing/2014/chart" uri="{C3380CC4-5D6E-409C-BE32-E72D297353CC}">
              <c16:uniqueId val="{00000097-EDF7-4C7A-9081-48E94F12AEF9}"/>
            </c:ext>
          </c:extLst>
        </c:ser>
        <c:ser>
          <c:idx val="127"/>
          <c:order val="127"/>
          <c:tx>
            <c:v>h=115</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115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8-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26.644135188866791</c:v>
              </c:pt>
              <c:pt idx="1">
                <c:v>49.999999999999993</c:v>
              </c:pt>
            </c:numLit>
          </c:xVal>
          <c:yVal>
            <c:numLit>
              <c:formatCode>General</c:formatCode>
              <c:ptCount val="2"/>
              <c:pt idx="0">
                <c:v>3.4000000000000002E-2</c:v>
              </c:pt>
              <c:pt idx="1">
                <c:v>2.4942174248265229E-2</c:v>
              </c:pt>
            </c:numLit>
          </c:yVal>
          <c:smooth val="0"/>
          <c:extLst>
            <c:ext xmlns:c16="http://schemas.microsoft.com/office/drawing/2014/chart" uri="{C3380CC4-5D6E-409C-BE32-E72D297353CC}">
              <c16:uniqueId val="{00000099-EDF7-4C7A-9081-48E94F12AEF9}"/>
            </c:ext>
          </c:extLst>
        </c:ser>
        <c:ser>
          <c:idx val="128"/>
          <c:order val="128"/>
          <c:tx>
            <c:v>h=116</c:v>
          </c:tx>
          <c:spPr>
            <a:ln w="3175">
              <a:solidFill>
                <a:srgbClr val="808080"/>
              </a:solidFill>
              <a:prstDash val="solid"/>
            </a:ln>
          </c:spPr>
          <c:marker>
            <c:symbol val="none"/>
          </c:marker>
          <c:xVal>
            <c:numLit>
              <c:formatCode>General</c:formatCode>
              <c:ptCount val="2"/>
              <c:pt idx="0">
                <c:v>27.638170974155063</c:v>
              </c:pt>
              <c:pt idx="1">
                <c:v>28.210329737551017</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A-EDF7-4C7A-9081-48E94F12AEF9}"/>
            </c:ext>
          </c:extLst>
        </c:ser>
        <c:ser>
          <c:idx val="129"/>
          <c:order val="129"/>
          <c:tx>
            <c:v>h=117</c:v>
          </c:tx>
          <c:spPr>
            <a:ln w="3175">
              <a:solidFill>
                <a:srgbClr val="808080"/>
              </a:solidFill>
              <a:prstDash val="solid"/>
            </a:ln>
          </c:spPr>
          <c:marker>
            <c:symbol val="none"/>
          </c:marker>
          <c:xVal>
            <c:numLit>
              <c:formatCode>General</c:formatCode>
              <c:ptCount val="2"/>
              <c:pt idx="0">
                <c:v>28.632206759443335</c:v>
              </c:pt>
              <c:pt idx="1">
                <c:v>29.204365522839289</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B-EDF7-4C7A-9081-48E94F12AEF9}"/>
            </c:ext>
          </c:extLst>
        </c:ser>
        <c:ser>
          <c:idx val="130"/>
          <c:order val="130"/>
          <c:tx>
            <c:v>h=118</c:v>
          </c:tx>
          <c:spPr>
            <a:ln w="3175">
              <a:solidFill>
                <a:srgbClr val="808080"/>
              </a:solidFill>
              <a:prstDash val="solid"/>
            </a:ln>
          </c:spPr>
          <c:marker>
            <c:symbol val="none"/>
          </c:marker>
          <c:xVal>
            <c:numLit>
              <c:formatCode>General</c:formatCode>
              <c:ptCount val="2"/>
              <c:pt idx="0">
                <c:v>29.626242544731603</c:v>
              </c:pt>
              <c:pt idx="1">
                <c:v>30.198401308127558</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C-EDF7-4C7A-9081-48E94F12AEF9}"/>
            </c:ext>
          </c:extLst>
        </c:ser>
        <c:ser>
          <c:idx val="131"/>
          <c:order val="131"/>
          <c:tx>
            <c:v>h=119</c:v>
          </c:tx>
          <c:spPr>
            <a:ln w="3175">
              <a:solidFill>
                <a:srgbClr val="808080"/>
              </a:solidFill>
              <a:prstDash val="solid"/>
            </a:ln>
          </c:spPr>
          <c:marker>
            <c:symbol val="none"/>
          </c:marker>
          <c:xVal>
            <c:numLit>
              <c:formatCode>General</c:formatCode>
              <c:ptCount val="2"/>
              <c:pt idx="0">
                <c:v>30.620278330019875</c:v>
              </c:pt>
              <c:pt idx="1">
                <c:v>31.19243709341583</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9D-EDF7-4C7A-9081-48E94F12AEF9}"/>
            </c:ext>
          </c:extLst>
        </c:ser>
        <c:ser>
          <c:idx val="132"/>
          <c:order val="132"/>
          <c:tx>
            <c:v>h=120</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120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E-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31.614314115308144</c:v>
              </c:pt>
              <c:pt idx="1">
                <c:v>50</c:v>
              </c:pt>
            </c:numLit>
          </c:xVal>
          <c:yVal>
            <c:numLit>
              <c:formatCode>General</c:formatCode>
              <c:ptCount val="2"/>
              <c:pt idx="0">
                <c:v>3.4000000000000002E-2</c:v>
              </c:pt>
              <c:pt idx="1">
                <c:v>2.6869699306090979E-2</c:v>
              </c:pt>
            </c:numLit>
          </c:yVal>
          <c:smooth val="0"/>
          <c:extLst>
            <c:ext xmlns:c16="http://schemas.microsoft.com/office/drawing/2014/chart" uri="{C3380CC4-5D6E-409C-BE32-E72D297353CC}">
              <c16:uniqueId val="{0000009F-EDF7-4C7A-9081-48E94F12AEF9}"/>
            </c:ext>
          </c:extLst>
        </c:ser>
        <c:ser>
          <c:idx val="133"/>
          <c:order val="133"/>
          <c:tx>
            <c:v>h=121</c:v>
          </c:tx>
          <c:spPr>
            <a:ln w="3175">
              <a:solidFill>
                <a:srgbClr val="808080"/>
              </a:solidFill>
              <a:prstDash val="solid"/>
            </a:ln>
          </c:spPr>
          <c:marker>
            <c:symbol val="none"/>
          </c:marker>
          <c:xVal>
            <c:numLit>
              <c:formatCode>General</c:formatCode>
              <c:ptCount val="2"/>
              <c:pt idx="0">
                <c:v>32.608349900596416</c:v>
              </c:pt>
              <c:pt idx="1">
                <c:v>33.18050866399237</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0-EDF7-4C7A-9081-48E94F12AEF9}"/>
            </c:ext>
          </c:extLst>
        </c:ser>
        <c:ser>
          <c:idx val="134"/>
          <c:order val="134"/>
          <c:tx>
            <c:v>h=122</c:v>
          </c:tx>
          <c:spPr>
            <a:ln w="3175">
              <a:solidFill>
                <a:srgbClr val="808080"/>
              </a:solidFill>
              <a:prstDash val="solid"/>
            </a:ln>
          </c:spPr>
          <c:marker>
            <c:symbol val="none"/>
          </c:marker>
          <c:xVal>
            <c:numLit>
              <c:formatCode>General</c:formatCode>
              <c:ptCount val="2"/>
              <c:pt idx="0">
                <c:v>33.602385685884684</c:v>
              </c:pt>
              <c:pt idx="1">
                <c:v>34.174544449280639</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1-EDF7-4C7A-9081-48E94F12AEF9}"/>
            </c:ext>
          </c:extLst>
        </c:ser>
        <c:ser>
          <c:idx val="135"/>
          <c:order val="135"/>
          <c:tx>
            <c:v>h=123</c:v>
          </c:tx>
          <c:spPr>
            <a:ln w="3175">
              <a:solidFill>
                <a:srgbClr val="808080"/>
              </a:solidFill>
              <a:prstDash val="solid"/>
            </a:ln>
          </c:spPr>
          <c:marker>
            <c:symbol val="none"/>
          </c:marker>
          <c:xVal>
            <c:numLit>
              <c:formatCode>General</c:formatCode>
              <c:ptCount val="2"/>
              <c:pt idx="0">
                <c:v>34.596421471172953</c:v>
              </c:pt>
              <c:pt idx="1">
                <c:v>35.168580234568914</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2-EDF7-4C7A-9081-48E94F12AEF9}"/>
            </c:ext>
          </c:extLst>
        </c:ser>
        <c:ser>
          <c:idx val="136"/>
          <c:order val="136"/>
          <c:tx>
            <c:v>h=124</c:v>
          </c:tx>
          <c:spPr>
            <a:ln w="3175">
              <a:solidFill>
                <a:srgbClr val="808080"/>
              </a:solidFill>
              <a:prstDash val="solid"/>
            </a:ln>
          </c:spPr>
          <c:marker>
            <c:symbol val="none"/>
          </c:marker>
          <c:xVal>
            <c:numLit>
              <c:formatCode>General</c:formatCode>
              <c:ptCount val="2"/>
              <c:pt idx="0">
                <c:v>35.590457256461228</c:v>
              </c:pt>
              <c:pt idx="1">
                <c:v>36.162616019857182</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3-EDF7-4C7A-9081-48E94F12AEF9}"/>
            </c:ext>
          </c:extLst>
        </c:ser>
        <c:ser>
          <c:idx val="137"/>
          <c:order val="137"/>
          <c:tx>
            <c:v>h=125</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125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4-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36.584493041749496</c:v>
              </c:pt>
              <c:pt idx="1">
                <c:v>50</c:v>
              </c:pt>
            </c:numLit>
          </c:xVal>
          <c:yVal>
            <c:numLit>
              <c:formatCode>General</c:formatCode>
              <c:ptCount val="2"/>
              <c:pt idx="0">
                <c:v>3.4000000000000002E-2</c:v>
              </c:pt>
              <c:pt idx="1">
                <c:v>2.879722436391673E-2</c:v>
              </c:pt>
            </c:numLit>
          </c:yVal>
          <c:smooth val="0"/>
          <c:extLst>
            <c:ext xmlns:c16="http://schemas.microsoft.com/office/drawing/2014/chart" uri="{C3380CC4-5D6E-409C-BE32-E72D297353CC}">
              <c16:uniqueId val="{000000A5-EDF7-4C7A-9081-48E94F12AEF9}"/>
            </c:ext>
          </c:extLst>
        </c:ser>
        <c:ser>
          <c:idx val="138"/>
          <c:order val="138"/>
          <c:tx>
            <c:v>h=126</c:v>
          </c:tx>
          <c:spPr>
            <a:ln w="3175">
              <a:solidFill>
                <a:srgbClr val="808080"/>
              </a:solidFill>
              <a:prstDash val="solid"/>
            </a:ln>
          </c:spPr>
          <c:marker>
            <c:symbol val="none"/>
          </c:marker>
          <c:xVal>
            <c:numLit>
              <c:formatCode>General</c:formatCode>
              <c:ptCount val="2"/>
              <c:pt idx="0">
                <c:v>37.578528827037765</c:v>
              </c:pt>
              <c:pt idx="1">
                <c:v>38.150687590433719</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6-EDF7-4C7A-9081-48E94F12AEF9}"/>
            </c:ext>
          </c:extLst>
        </c:ser>
        <c:ser>
          <c:idx val="139"/>
          <c:order val="139"/>
          <c:tx>
            <c:v>h=127</c:v>
          </c:tx>
          <c:spPr>
            <a:ln w="3175">
              <a:solidFill>
                <a:srgbClr val="808080"/>
              </a:solidFill>
              <a:prstDash val="solid"/>
            </a:ln>
          </c:spPr>
          <c:marker>
            <c:symbol val="none"/>
          </c:marker>
          <c:xVal>
            <c:numLit>
              <c:formatCode>General</c:formatCode>
              <c:ptCount val="2"/>
              <c:pt idx="0">
                <c:v>38.57256461232604</c:v>
              </c:pt>
              <c:pt idx="1">
                <c:v>39.144723375721995</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7-EDF7-4C7A-9081-48E94F12AEF9}"/>
            </c:ext>
          </c:extLst>
        </c:ser>
        <c:ser>
          <c:idx val="140"/>
          <c:order val="140"/>
          <c:tx>
            <c:v>h=128</c:v>
          </c:tx>
          <c:spPr>
            <a:ln w="3175">
              <a:solidFill>
                <a:srgbClr val="808080"/>
              </a:solidFill>
              <a:prstDash val="solid"/>
            </a:ln>
          </c:spPr>
          <c:marker>
            <c:symbol val="none"/>
          </c:marker>
          <c:xVal>
            <c:numLit>
              <c:formatCode>General</c:formatCode>
              <c:ptCount val="2"/>
              <c:pt idx="0">
                <c:v>39.566600397614309</c:v>
              </c:pt>
              <c:pt idx="1">
                <c:v>40.138759161010263</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8-EDF7-4C7A-9081-48E94F12AEF9}"/>
            </c:ext>
          </c:extLst>
        </c:ser>
        <c:ser>
          <c:idx val="141"/>
          <c:order val="141"/>
          <c:tx>
            <c:v>h=129</c:v>
          </c:tx>
          <c:spPr>
            <a:ln w="3175">
              <a:solidFill>
                <a:srgbClr val="808080"/>
              </a:solidFill>
              <a:prstDash val="solid"/>
            </a:ln>
          </c:spPr>
          <c:marker>
            <c:symbol val="none"/>
          </c:marker>
          <c:xVal>
            <c:numLit>
              <c:formatCode>General</c:formatCode>
              <c:ptCount val="2"/>
              <c:pt idx="0">
                <c:v>40.560636182902577</c:v>
              </c:pt>
              <c:pt idx="1">
                <c:v>41.132794946298532</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9-EDF7-4C7A-9081-48E94F12AEF9}"/>
            </c:ext>
          </c:extLst>
        </c:ser>
        <c:ser>
          <c:idx val="142"/>
          <c:order val="142"/>
          <c:tx>
            <c:v>h=130</c:v>
          </c:tx>
          <c:spPr>
            <a:ln w="3175">
              <a:solidFill>
                <a:srgbClr val="808080"/>
              </a:solidFill>
              <a:prstDash val="solid"/>
            </a:ln>
          </c:spPr>
          <c:marker>
            <c:symbol val="none"/>
          </c:marker>
          <c:dLbls>
            <c:dLbl>
              <c:idx val="0"/>
              <c:layout>
                <c:manualLayout>
                  <c:x val="-2.9079861111111237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130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A-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41.554671968190846</c:v>
              </c:pt>
              <c:pt idx="1">
                <c:v>50</c:v>
              </c:pt>
            </c:numLit>
          </c:xVal>
          <c:yVal>
            <c:numLit>
              <c:formatCode>General</c:formatCode>
              <c:ptCount val="2"/>
              <c:pt idx="0">
                <c:v>3.4000000000000002E-2</c:v>
              </c:pt>
              <c:pt idx="1">
                <c:v>3.0724749421742484E-2</c:v>
              </c:pt>
            </c:numLit>
          </c:yVal>
          <c:smooth val="0"/>
          <c:extLst>
            <c:ext xmlns:c16="http://schemas.microsoft.com/office/drawing/2014/chart" uri="{C3380CC4-5D6E-409C-BE32-E72D297353CC}">
              <c16:uniqueId val="{000000AB-EDF7-4C7A-9081-48E94F12AEF9}"/>
            </c:ext>
          </c:extLst>
        </c:ser>
        <c:ser>
          <c:idx val="143"/>
          <c:order val="143"/>
          <c:tx>
            <c:v>h=131</c:v>
          </c:tx>
          <c:spPr>
            <a:ln w="3175">
              <a:solidFill>
                <a:srgbClr val="808080"/>
              </a:solidFill>
              <a:prstDash val="solid"/>
            </a:ln>
          </c:spPr>
          <c:marker>
            <c:symbol val="none"/>
          </c:marker>
          <c:xVal>
            <c:numLit>
              <c:formatCode>General</c:formatCode>
              <c:ptCount val="2"/>
              <c:pt idx="0">
                <c:v>42.548707753479121</c:v>
              </c:pt>
              <c:pt idx="1">
                <c:v>43.120866516875076</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C-EDF7-4C7A-9081-48E94F12AEF9}"/>
            </c:ext>
          </c:extLst>
        </c:ser>
        <c:ser>
          <c:idx val="144"/>
          <c:order val="144"/>
          <c:tx>
            <c:v>h=132</c:v>
          </c:tx>
          <c:spPr>
            <a:ln w="3175">
              <a:solidFill>
                <a:srgbClr val="808080"/>
              </a:solidFill>
              <a:prstDash val="solid"/>
            </a:ln>
          </c:spPr>
          <c:marker>
            <c:symbol val="none"/>
          </c:marker>
          <c:xVal>
            <c:numLit>
              <c:formatCode>General</c:formatCode>
              <c:ptCount val="2"/>
              <c:pt idx="0">
                <c:v>43.54274353876739</c:v>
              </c:pt>
              <c:pt idx="1">
                <c:v>44.114902302163344</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D-EDF7-4C7A-9081-48E94F12AEF9}"/>
            </c:ext>
          </c:extLst>
        </c:ser>
        <c:ser>
          <c:idx val="145"/>
          <c:order val="145"/>
          <c:tx>
            <c:v>h=133</c:v>
          </c:tx>
          <c:spPr>
            <a:ln w="3175">
              <a:solidFill>
                <a:srgbClr val="808080"/>
              </a:solidFill>
              <a:prstDash val="solid"/>
            </a:ln>
          </c:spPr>
          <c:marker>
            <c:symbol val="none"/>
          </c:marker>
          <c:xVal>
            <c:numLit>
              <c:formatCode>General</c:formatCode>
              <c:ptCount val="2"/>
              <c:pt idx="0">
                <c:v>44.536779324055658</c:v>
              </c:pt>
              <c:pt idx="1">
                <c:v>45.108938087451612</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E-EDF7-4C7A-9081-48E94F12AEF9}"/>
            </c:ext>
          </c:extLst>
        </c:ser>
        <c:ser>
          <c:idx val="146"/>
          <c:order val="146"/>
          <c:tx>
            <c:v>h=134</c:v>
          </c:tx>
          <c:spPr>
            <a:ln w="3175">
              <a:solidFill>
                <a:srgbClr val="808080"/>
              </a:solidFill>
              <a:prstDash val="solid"/>
            </a:ln>
          </c:spPr>
          <c:marker>
            <c:symbol val="none"/>
          </c:marker>
          <c:xVal>
            <c:numLit>
              <c:formatCode>General</c:formatCode>
              <c:ptCount val="2"/>
              <c:pt idx="0">
                <c:v>45.530815109343926</c:v>
              </c:pt>
              <c:pt idx="1">
                <c:v>46.102973872739888</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AF-EDF7-4C7A-9081-48E94F12AEF9}"/>
            </c:ext>
          </c:extLst>
        </c:ser>
        <c:ser>
          <c:idx val="147"/>
          <c:order val="147"/>
          <c:tx>
            <c:v>h=135</c:v>
          </c:tx>
          <c:spPr>
            <a:ln w="3175">
              <a:solidFill>
                <a:srgbClr val="808080"/>
              </a:solidFill>
              <a:prstDash val="solid"/>
            </a:ln>
          </c:spPr>
          <c:marker>
            <c:symbol val="none"/>
          </c:marker>
          <c:dLbls>
            <c:dLbl>
              <c:idx val="0"/>
              <c:layout>
                <c:manualLayout>
                  <c:x val="-2.9079861111111112E-2"/>
                  <c:y val="-3.3119658119658119E-3"/>
                </c:manualLayout>
              </c:layout>
              <c:tx>
                <c:rich>
                  <a:bodyPr rot="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135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0-EDF7-4C7A-9081-48E94F12AE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46.524850894632202</c:v>
              </c:pt>
              <c:pt idx="1">
                <c:v>50</c:v>
              </c:pt>
            </c:numLit>
          </c:xVal>
          <c:yVal>
            <c:numLit>
              <c:formatCode>General</c:formatCode>
              <c:ptCount val="2"/>
              <c:pt idx="0">
                <c:v>3.4000000000000002E-2</c:v>
              </c:pt>
              <c:pt idx="1">
                <c:v>3.2652274479568234E-2</c:v>
              </c:pt>
            </c:numLit>
          </c:yVal>
          <c:smooth val="0"/>
          <c:extLst>
            <c:ext xmlns:c16="http://schemas.microsoft.com/office/drawing/2014/chart" uri="{C3380CC4-5D6E-409C-BE32-E72D297353CC}">
              <c16:uniqueId val="{000000B1-EDF7-4C7A-9081-48E94F12AEF9}"/>
            </c:ext>
          </c:extLst>
        </c:ser>
        <c:ser>
          <c:idx val="148"/>
          <c:order val="148"/>
          <c:tx>
            <c:v>h=136</c:v>
          </c:tx>
          <c:spPr>
            <a:ln w="3175">
              <a:solidFill>
                <a:srgbClr val="808080"/>
              </a:solidFill>
              <a:prstDash val="solid"/>
            </a:ln>
          </c:spPr>
          <c:marker>
            <c:symbol val="none"/>
          </c:marker>
          <c:xVal>
            <c:numLit>
              <c:formatCode>General</c:formatCode>
              <c:ptCount val="2"/>
              <c:pt idx="0">
                <c:v>47.51888667992047</c:v>
              </c:pt>
              <c:pt idx="1">
                <c:v>48.091045443316425</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B2-EDF7-4C7A-9081-48E94F12AEF9}"/>
            </c:ext>
          </c:extLst>
        </c:ser>
        <c:ser>
          <c:idx val="149"/>
          <c:order val="149"/>
          <c:tx>
            <c:v>h=137</c:v>
          </c:tx>
          <c:spPr>
            <a:ln w="3175">
              <a:solidFill>
                <a:srgbClr val="808080"/>
              </a:solidFill>
              <a:prstDash val="solid"/>
            </a:ln>
          </c:spPr>
          <c:marker>
            <c:symbol val="none"/>
          </c:marker>
          <c:xVal>
            <c:numLit>
              <c:formatCode>General</c:formatCode>
              <c:ptCount val="2"/>
              <c:pt idx="0">
                <c:v>48.512922465208739</c:v>
              </c:pt>
              <c:pt idx="1">
                <c:v>49.085081228604693</c:v>
              </c:pt>
            </c:numLit>
          </c:xVal>
          <c:yVal>
            <c:numLit>
              <c:formatCode>General</c:formatCode>
              <c:ptCount val="2"/>
              <c:pt idx="0">
                <c:v>3.4000000000000002E-2</c:v>
              </c:pt>
              <c:pt idx="1">
                <c:v>3.3778106508875742E-2</c:v>
              </c:pt>
            </c:numLit>
          </c:yVal>
          <c:smooth val="0"/>
          <c:extLst>
            <c:ext xmlns:c16="http://schemas.microsoft.com/office/drawing/2014/chart" uri="{C3380CC4-5D6E-409C-BE32-E72D297353CC}">
              <c16:uniqueId val="{000000B3-EDF7-4C7A-9081-48E94F12AEF9}"/>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drawings/_rels/drawing19.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1314450</xdr:colOff>
      <xdr:row>4</xdr:row>
      <xdr:rowOff>228600</xdr:rowOff>
    </xdr:from>
    <xdr:ext cx="4090626" cy="868956"/>
    <xdr:sp macro="" textlink="">
      <xdr:nvSpPr>
        <xdr:cNvPr id="2" name="Text Box 1">
          <a:extLst>
            <a:ext uri="{FF2B5EF4-FFF2-40B4-BE49-F238E27FC236}">
              <a16:creationId xmlns:a16="http://schemas.microsoft.com/office/drawing/2014/main" id="{FDE8BAA3-27CB-41BE-AD0F-2848ACBD070D}"/>
            </a:ext>
          </a:extLst>
        </xdr:cNvPr>
        <xdr:cNvSpPr txBox="1">
          <a:spLocks noChangeArrowheads="1"/>
        </xdr:cNvSpPr>
      </xdr:nvSpPr>
      <xdr:spPr bwMode="auto">
        <a:xfrm>
          <a:off x="533400" y="857250"/>
          <a:ext cx="4090626" cy="868956"/>
        </a:xfrm>
        <a:prstGeom prst="rect">
          <a:avLst/>
        </a:prstGeom>
        <a:pattFill prst="ltHorz">
          <a:fgClr>
            <a:srgbClr val="DDDDDD"/>
          </a:fgClr>
          <a:bgClr>
            <a:schemeClr val="bg1"/>
          </a:bgClr>
        </a:pattFill>
        <a:ln w="9525">
          <a:solidFill>
            <a:srgbClr xmlns:mc="http://schemas.openxmlformats.org/markup-compatibility/2006" xmlns:a14="http://schemas.microsoft.com/office/drawing/2010/main" val="000000" mc:Ignorable="a14" a14:legacySpreadsheetColorIndex="64"/>
          </a:solidFill>
          <a:miter lim="800000"/>
          <a:headEnd/>
          <a:tailEnd/>
        </a:ln>
        <a:effectLst>
          <a:outerShdw blurRad="50800" dist="38100" dir="2700000" algn="tl" rotWithShape="0">
            <a:prstClr val="black">
              <a:alpha val="40000"/>
            </a:prstClr>
          </a:outerShdw>
        </a:effectLst>
      </xdr:spPr>
      <xdr:txBody>
        <a:bodyPr wrap="none" lIns="180000" tIns="18288" rIns="180000" bIns="0" anchor="ctr" anchorCtr="0" upright="1">
          <a:spAutoFit/>
        </a:bodyPr>
        <a:lstStyle/>
        <a:p>
          <a:pPr algn="l" rtl="0">
            <a:lnSpc>
              <a:spcPts val="1500"/>
            </a:lnSpc>
            <a:defRPr sz="1000"/>
          </a:pPr>
          <a:r>
            <a:rPr lang="ja-JP" altLang="en-US" sz="1100" b="0" i="0" u="none" strike="noStrike" baseline="0">
              <a:solidFill>
                <a:srgbClr val="1C1C1C"/>
              </a:solidFill>
              <a:latin typeface="Meiryo UI" panose="020B0604030504040204" pitchFamily="50" charset="-128"/>
              <a:ea typeface="Meiryo UI" panose="020B0604030504040204" pitchFamily="50" charset="-128"/>
            </a:rPr>
            <a:t>印刷するときはまず最初に表紙だけを選択して印刷し、</a:t>
          </a:r>
        </a:p>
        <a:p>
          <a:pPr algn="l" rtl="0">
            <a:lnSpc>
              <a:spcPts val="1500"/>
            </a:lnSpc>
            <a:defRPr sz="1000"/>
          </a:pPr>
          <a:r>
            <a:rPr lang="ja-JP" altLang="en-US" sz="1100" b="0" i="0" u="none" strike="noStrike" baseline="0">
              <a:solidFill>
                <a:srgbClr val="1C1C1C"/>
              </a:solidFill>
              <a:latin typeface="Meiryo UI" panose="020B0604030504040204" pitchFamily="50" charset="-128"/>
              <a:ea typeface="Meiryo UI" panose="020B0604030504040204" pitchFamily="50" charset="-128"/>
            </a:rPr>
            <a:t>次に表紙以外のすべてのシートをまとめて選択して印刷してください。</a:t>
          </a:r>
        </a:p>
        <a:p>
          <a:pPr algn="l" rtl="0">
            <a:defRPr sz="1000"/>
          </a:pPr>
          <a:r>
            <a:rPr lang="ja-JP" altLang="en-US" sz="1100" b="0" i="0" u="none" strike="noStrike" baseline="0">
              <a:solidFill>
                <a:srgbClr val="1C1C1C"/>
              </a:solidFill>
              <a:latin typeface="Meiryo UI" panose="020B0604030504040204" pitchFamily="50" charset="-128"/>
              <a:ea typeface="Meiryo UI" panose="020B0604030504040204" pitchFamily="50" charset="-128"/>
            </a:rPr>
            <a:t>この様にすると、表紙はﾍﾟｰｼﾞ数から除外できます。</a:t>
          </a:r>
        </a:p>
        <a:p>
          <a:pPr algn="l" rtl="0">
            <a:defRPr sz="1000"/>
          </a:pPr>
          <a:r>
            <a:rPr lang="ja-JP" altLang="en-US" sz="1100" b="0" i="0" u="none" strike="noStrike" baseline="0">
              <a:solidFill>
                <a:srgbClr val="1C1C1C"/>
              </a:solidFill>
              <a:latin typeface="Meiryo UI" panose="020B0604030504040204" pitchFamily="50" charset="-128"/>
              <a:ea typeface="Meiryo UI" panose="020B0604030504040204" pitchFamily="50" charset="-128"/>
            </a:rPr>
            <a:t>また、この注釈は印刷されません。</a:t>
          </a:r>
        </a:p>
      </xdr:txBody>
    </xdr:sp>
    <xdr:clientData fPrintsWithSheet="0"/>
  </xdr:oneCellAnchor>
</xdr:wsDr>
</file>

<file path=xl/drawings/drawing10.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B2112C10-5AA8-4BA7-ACB7-36863FCAFC9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9668A2BA-0ABB-48F6-95C5-5866EB22A8D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B4AEEA82-D046-41E7-B9E6-4F2BEB6D0540}"/>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84AAD0BD-7B2F-4618-AE05-F1CBF63233C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52992E24-FC52-4CD0-87FC-0C872259B55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6931E4F4-D301-4175-8111-5B976E4023A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6B86C3CB-974B-4976-A3D6-57ECEBDC701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B3DFBAEF-AD23-41C4-A68C-82A1437B015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A268941E-DB18-4C19-93D9-0250FE85FD5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75650A0B-B2C6-49D2-81E9-C00651E59B0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A9C2753C-CBA5-47C2-AD74-86A571CC429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8BFAAF21-A131-4D80-851D-546CE80D42C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50E7193E-4125-49CF-8768-2BC2B3B1E64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89420D0C-4A42-4B49-AF5E-19DE17E97D6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04DE3F03-6130-43AD-90F5-7D8511CD827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C097432A-95FD-4348-9B41-120A98E33FE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B025FF98-AAA0-4047-B1A7-B3FC002B920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D9A0CF6C-4AFB-4540-8CB9-70501DA404E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29889FDB-24C2-4C61-A5B5-4AC484CBCD1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A1ED31BE-A15B-41DF-8BC1-3588B618628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E6647EDB-AD9A-45D8-B31F-276B7A5F25A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C2A8E267-F26B-4F96-AD37-366C55192BF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38598670-D6CA-4A4C-B06E-778E9750D32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A2106B7B-7924-4D2B-9B44-EFE168F2A02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42C64744-2730-41FC-AB48-48E43D78441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16ECBEB1-C38F-4A4B-AB85-2179605A1D4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9893DF87-A766-492F-BF4D-430E28C8DED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CB222FC6-3FD0-41F0-ABFA-595157F5BB6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7A1B716F-623E-41C5-B317-FECC3D4ACFB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5ECAA146-8D36-4582-A0B4-9DF76843BD6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E465B270-3C89-43EC-9E36-E44351B5DB0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B9104D47-6158-446F-A3D2-2F8BAE4BC63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5356E267-BC6F-4B44-B9AB-D536A11690C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1083885F-55B3-40CF-BB8C-A06470344FB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F4EC5B25-16A1-49F8-B93D-36639DA7918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34A6F08F-7AA0-4B3D-B355-65D345F1412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72971BC0-0316-4EF1-AC12-608EB4FB9C1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8606BEFB-5C25-46A4-A1E7-D2FF1EA42F4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FA36458E-EBC5-4986-AE21-ABC3ADD538F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9CE55233-1C43-4E7F-A24E-9F3FC11B60D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1DCD69FC-EA56-4A86-A8ED-92CB2FA3E40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0CCB79AA-F665-4CD1-9B69-AAAA8708940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9C67FD76-A20B-4856-8FBB-21970F058C9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B68F7128-70E7-4BDB-BF74-0F2CD0AA85A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714522FE-374B-4FF3-A473-AA99B1F389E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CA18487D-C5EE-4C91-B81D-6538E9189F6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8BD724FE-A5DB-4285-911F-2AB6B71FF08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B97F25DD-3939-4C4C-9F3E-40314220927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AF7C83C5-3D27-4CF1-A8F3-AA9AD4540A0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040BF702-F99C-40A0-A29B-0F66701CC13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D1A481FD-CBBE-4D2F-903A-B3D140ECABE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3036BC1D-4592-48B4-950B-673B7E48A49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9BFFE804-AEF3-4572-8975-32478720E72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EF3DCFBE-22B6-4817-8B07-9DBAD8C56D4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88644CE7-7866-4EA9-8D9C-D3B2554A775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DE1A4F4F-7F41-40A3-939B-D432031009E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EA77782E-57EA-4ED1-8129-DE9F80361E7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2DEFB836-DF6E-4EB8-8568-813E602CF85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4A1FFCB8-EE2D-439B-BD04-574E2FD5C9D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E414B32F-5E77-49EF-BFA6-C3B246FE1E6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A6805448-3F78-415A-BEF9-0529DB2266A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4BAA2C50-4865-4F6A-A1E7-6765FFC18F7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B749FFE5-5AAE-4F4F-8C85-A187E4F8D44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42489E5A-32E9-4F5E-BA9E-A2DE75C2086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61428148-9FCE-405C-8263-4950512E70B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EFB3F453-2F68-4911-8DB2-1D00D2B0703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30DAD6B6-0F81-4D0B-B63E-5EF978378DE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A7229A1C-7A49-4098-9AAE-502452164FA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29D263FD-218E-4F8F-A8F4-DFCC29A9461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0A613244-9726-475E-9782-A83238A8831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3CC548FD-EF92-4CE1-A2DE-0765C2E2169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AF1174C6-09D7-44BD-9B2E-CB1A676E5DC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674DA2CF-AFB3-4CEC-A913-9DA2F344EF2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165D8B85-D301-49A4-A12A-49534EDD40C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1959F69F-53BD-4B42-8D87-3ECCC044E55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DFF7949C-7835-4968-81E1-503B38E8648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C5E78DB9-4097-4AC2-BF9E-1302518D6AD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C0977985-70C1-4BA5-B9C5-25F60A8A147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AE5CAEDB-88A9-4875-BFB3-F352EE3261B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BA4A8151-C5D7-496A-B087-746BA1D3FEF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3F8BDA57-C986-483A-9B93-0C6E926E3B3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4F420297-A3CD-4F8E-8E81-B16B30436F3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93A6761E-79EB-4736-A6A1-FFAC82A3EED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B3742138-C29E-4BC6-8F18-AD81243BE5A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94529FE8-23C7-4F06-B4AC-1D981F1B4C3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08FAD86F-196B-49AB-9C55-FAFD5CD92C8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EE304B3E-DC1F-4B4B-8473-0BDE7CCF93B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65613235-4FDD-4100-8501-1264D4E8EA8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A0D966F9-84FE-418F-B5ED-F5E797A145D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2682C74F-D5B6-4028-BE0B-B898F237C45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4105C806-0877-4FF8-889A-EA84A22352D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F29D6825-67FB-4D9B-9595-1D0ACCD0295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8E72056D-2148-42E3-B36F-C1EE992A30C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0F23C672-6252-414B-8610-49FBD4924D8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52FF2BBE-BE75-4EA7-B679-B672CC188D9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BD9CCF07-172E-4905-873F-BA76CA7A2F2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2BCC4E82-F420-481F-AD96-AC32B941375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D7AEA61B-1432-4B9B-BBCD-17D8B24C97C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B5DA2AC5-F000-4C3E-A21E-268DC49F250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004F7A2E-E592-4925-B88F-B591829007E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830CBC05-176E-43CF-8569-4D19018A650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0E5CD2AC-F9A7-4619-8F1B-D376CF39897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2E70BF79-DCF9-45BE-99FA-A39443B5E0B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97C99EB7-B307-4FF5-A4C8-FDD69ACDC9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716064BE-76A9-4279-9FA9-222E6882D51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754278E5-3453-438E-8EBF-655B1125AF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0621267C-F00E-4644-BB80-80D883D725A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A96DA4BD-5059-483F-9381-66B070D705C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03C5B280-CEDC-4C28-9407-95BFC275848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DD90E4E8-A6FB-4189-8B67-5F4BB7F2A9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DF676DF8-F059-4554-838C-23E149FECD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A7286322-BA07-45D5-BDDB-01DF497D9A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3CF0BE08-2B56-47F9-BD42-21DC54ED99A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44EDE6B1-7D9D-4F35-B005-21AE9BE17AE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8E5C8D54-5E30-42FB-965D-02005F893B9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E660E58B-C219-4AF0-8A2C-AC2834442BA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2BF8F5A2-711B-4B54-A34D-0A61C6FE75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1A67AA0A-FED3-48A0-8C54-C63F32BF28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3338BC6D-5543-47B9-B2B7-10935CA0032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05F4BA17-6EF7-4298-BA16-DDFE4D4811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B4069E35-87F3-4F6E-A5CF-F5D2D2E5EE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5EAAE38A-8C29-433C-9669-EE8C88EFF12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82D809C2-1882-4478-9C0D-1D54699D1A8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65243329-CC4F-4B2A-9AA5-FECEE749697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22D31FF3-ADAF-4DD7-8872-FB2ADC367DF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61A07780-7542-48FA-BF85-003A54753B4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6309A17F-D6EA-4D4E-BDA8-7CC3567F99C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9A89140F-A4EC-411C-B705-1A6B1B2829B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AC864D20-C841-4C03-95CB-60060B9F7E2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7B1C4C1F-707D-4287-8230-0B2340DD23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B66D2782-199C-4425-997E-28EC5C30A3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4D5AE527-4761-40EC-A325-8967EE6DC5D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E12B8203-74E6-4B5C-9A77-CAB2CBAC95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9BE31D0B-ADD3-4F4F-9FF3-931FA93FAAD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DDF77835-913C-426B-BE94-79E6DD1437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DE1EFF52-FE42-4F2D-A252-5982E2A2195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83D93608-9B28-4272-B951-58F40CB297D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F6626BE7-B8D2-467D-8925-29B421FF34B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9D206A7D-59DC-45B6-A37C-2C1BE3FFAB5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8D8DC0F6-BA51-438B-B639-E676618A45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05E9951F-CF02-4753-8601-9E582E166E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A2B0B430-01A9-4055-B2C9-9439DA137F2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5AA2352D-11DE-4637-AC4E-E628C8D4CA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547B39C6-B951-47CB-9625-DE919B7B99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3B991B7F-099A-4060-8392-C5DD4D1B144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81CEBC59-A29D-4286-945E-3D3490EEA79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22226B6A-586F-47F5-A387-51065C79A6D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A952859B-B110-497D-AAAA-AC73FA0251D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FE822D0F-FBBF-4C7B-AA40-F11A5A12CDB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C3586CEF-FE20-417B-BF07-650AA173BE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04D22844-BC6F-4DA2-B72A-785BDC1F79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FBCF28F1-D753-4201-AF6C-DE33DFA32B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2C621557-C15E-4358-858F-F61D72F0D7D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236CED9E-3D20-4251-A091-64C689A0048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CE9709D3-73EF-446D-A6BA-3771E1E3E39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726B466D-4C4F-490B-B38A-E82389C64CF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23F07355-0D0B-4E12-8B23-13F5B77FA0E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900FA624-865D-487F-96A4-108105F7BA5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AC1EF8B7-C9CF-40A9-A864-3828F9EB57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807D38CB-1480-4D4F-8E23-CD9033DD51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4F1763C2-1E41-454B-8EE2-9A58687358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F53ABC83-31E3-4EF9-8075-5090599EFE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173FB3FA-93AD-4B1E-9DF3-4AC9727BD73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E74A6EAF-F165-417F-9469-BEE004E0825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742E062E-B1D5-462D-872D-7DB3EB8DAD1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B4762790-A58E-449F-92CB-9BD96583CC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8825E2A4-8AB0-46BB-B54A-CB22EBF7CC4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061CC6BF-B0BB-4D0C-A20A-A0C1CE55893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DA19545D-D42D-42D8-B1B3-E5C0091AB3A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7AC47BE0-769B-4CC3-B33E-DEA98EE320C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A22769D0-A232-4F95-BF79-7997A9EEFA8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278D02AB-3881-4CD0-BB8D-F36DF97BCD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9FD71840-9939-4E1F-A60D-CA7C8B7681E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96B730FA-E834-4DC7-A5EF-D02E804C69C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34E5C270-1BC2-4E98-BA3A-BAE9E20A7A7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33A4BAC6-CC3B-4E0D-9AD6-198BEF9D11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DDF6EE72-9DA8-42F6-980D-8B585734BF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C197BB06-D68F-4DC3-A418-1BB27C5E03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D48751DB-770E-4C41-A922-F14DEBD97F9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384DF1C1-C7EA-4A9B-9625-1BF3BB4B748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82F7902F-86D2-43E9-A25F-F76B41C3D7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4D9B83F7-1C79-439E-BE60-2F1A49CC802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2399BEE6-5630-4108-85A6-141C71183D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309B1CD4-9245-419E-BBDE-EECF3FD60B0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00AF71EE-468D-419F-B853-841665ED9F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24FE7782-1810-4426-BFEE-107A946BA0E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2730FDCB-3646-4B1D-A13C-719B0BB4550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FFD19196-598F-4322-88AA-4295D89F8C9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C608D9D5-B9F4-462F-9915-C5A6F01FC89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FDA9FEA3-5801-4E72-9072-FA22E74048D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917713F3-3358-4FAF-87A4-57A25E05C0C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C6C94C19-D5C2-481A-A8B7-E40CFB3F45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6658A053-A60A-4AE5-806B-06F10B719B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9544A7D3-B1B5-4F9F-9B4F-9B3D8EDB29C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3CCD8EE6-C679-4F30-A002-7BEDC37BF1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E6DF8A7E-8F5E-4A34-926F-328A04FCA94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DEDA7882-4CC4-468E-9674-68B03F977C1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941D679C-4ED3-47A3-89DF-AD06F5F0842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D17B67C0-E8AD-40F7-91E3-C45F894EA84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30FB24D9-30A0-403D-890D-05CC8FF08E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27929A5A-E1A7-4660-9DC1-7B03D07782B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E7AB2F11-F346-4D4D-9E1F-973BE659EE5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6045F501-3CA2-4612-A955-B2962935EAB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9F37DFA9-4A03-4B9B-BDAC-10FBEBEA3BA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FF4FA37F-25A5-4BFE-A479-A1D613DD2B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F4FF8CE1-6BDD-4271-9C37-004E721998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2B1C28BC-92E5-4EA3-AEC4-F735F2D528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737DFE26-36C9-4AEE-A7FA-6A6CF196926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DAB45A34-35B1-45FA-A100-25543FE4B4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67951B7A-16E1-4BF8-AF7C-43A31E782E9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52D728DF-0572-4E9F-AE9E-4CD4DF53098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B2D08867-8072-43BA-92BB-98DD207BC22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E7161B67-6721-40DF-ADE2-8BF116E51A8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57F415B5-48BA-4778-823E-266FCF4196E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30F3BE55-043D-4A10-9937-5837EBC69F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EF3A852B-997C-44B3-AFDE-37A90DA1691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C1D62525-4605-4E54-99CF-71EDF48598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266A58E9-BD50-446F-B801-CAE5D89E479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6AE0A3D7-9D58-48FF-9A4D-55287509A63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B7A9DE52-4A61-4195-A9F2-ACBD0F7535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5EEBFD39-5861-4035-8ABB-AF8729E28D0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923541CD-AF33-4095-BAC4-97CDEFF3F8A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C7E1D054-0249-4018-8AF5-5EB117D84D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6161459E-5A83-4855-8261-114F430F83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8E20E723-80F4-4B7B-A874-5FE93353A82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C292730B-E6EA-42FD-BC24-38DDA470762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AC165CCB-92AB-4781-9DA4-D648A2C4582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7E598B83-5F0D-424C-8FAE-F5D3C7CF391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CE09F090-BD7C-4D8F-B5BE-616595D4D87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95AC34DE-3361-4EE8-A516-CD51CF5210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9F529172-A2DA-42A9-92B3-B1E073EC702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BBCFE8F2-F5D1-4945-BEFA-EA07BCADEE6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5D75331D-6325-4930-B011-4B701A0691B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5D823339-EF37-4FF4-975A-2B135852CB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A6A8D372-AF60-4CBD-B93A-E1785D94E6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C49F9E65-3720-4BA9-964B-21DBAF27391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DE1C9FA0-46F6-45BA-8F55-0CBAFF32F6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0463CF7D-A7CB-4AE4-BF0D-C3E1977C14D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655CEC1D-E9E4-4160-A895-C600FD0492F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530F335A-B2C6-414E-B3BC-B141F9388E3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6B152ED3-256E-41DA-8ACF-7895A3E741E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2CF3D440-381D-4AE6-877F-A5B1875BB96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D5884D76-24EC-49B0-8FD7-74D1832E0A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D4AEADF0-E4DB-4A3F-AF44-6F0FFC62340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EDDFA023-70BA-4055-A8C5-B7E8A1CC93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78EFA7B2-2CE7-4E2F-B270-37021F89392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8C446566-585A-4885-99EE-BE674EF6BBA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6C7B55E6-9F42-433C-9A20-7331E7CCC08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E974474B-2982-4C31-BB0B-B77892D676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F9EA31BA-5273-4134-AC25-AAB0558540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6449A92E-162C-4B15-8830-2ACB7F67680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CB37D725-F57F-430B-9346-28F75AF2DE3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996403B6-46BF-450B-B394-8A8F6B684D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E28D4493-612E-44E2-A824-8B6560E8E43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F9E1D72B-54AB-47E5-A52E-EEDA3491781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2F948B21-81DF-4980-8ACE-4B97F778ED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7C5CFCF3-2796-4D0E-A3BE-EF502387FBF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CA6D91C0-0527-4BC0-B250-4E293FF49B1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90D735D3-78ED-494F-B634-00A888FCE61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438549AD-226B-4EFF-B529-011B7A2DF56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06E8F5AF-C647-4A5A-ADC6-8E06E1FA9FB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395EA212-4090-4490-BD13-AA57290719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99421F98-3220-4F6E-8328-D0253B90CE1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AF6C5D4E-21E6-4B0B-8340-9D386560706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894E63A1-9B53-4209-A78C-7BEBC29DCBC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49D0A4AB-F492-4870-81A1-E742FDC91B5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1A0A9A08-017D-45C3-BC9E-15448EF5FF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B38C3C30-2D5D-472A-AC65-F3709BBA095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F26FE629-C0C7-4DAB-A9D3-C2240CD866C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C1C56E92-A83A-4900-9C8A-2289CAB9BA6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53409B25-C9A6-407D-A9BF-51CF9FD3345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C82D8AD0-528F-4398-B285-65767BF2625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B01212CF-DD09-4E1E-97D0-CF10D80360D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011D7B73-F4EF-43A8-B3CC-C516F1FA36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290C42AF-3740-40CC-BFC8-E6981F130F6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FFA96240-8348-4FE5-8A69-1A3C7679E9C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537FFD55-0722-4FCB-A63C-3594C208DA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C93E5BA5-BBC7-4B0D-B2A0-CF3DEB860A8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005EE075-30AF-4913-85E8-FBA949565E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2F97F5E2-9373-447F-9038-542E137F5A5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886F5349-65F9-41BF-8140-9388F4520B5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0C4499A5-68B9-440B-BEE2-43EF8306F1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2C3AC645-F3E6-4C71-91E7-BC97F6D3D97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0F1726B2-0AE3-4D2C-8562-50207036BF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71BF508E-B5CA-494D-864C-A59FE7855CD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8EE13DBB-1906-4A5B-8F59-5C1A43352C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BF51B60E-FC30-4471-BF1A-E07F62017AE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F4FA4767-A2CC-4F6A-9863-AC7D986AB6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19EC7485-BB14-498E-8ABE-C884AE7414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37937C92-DEE1-4519-BE95-830CE616415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B95B4302-6104-4B52-A906-D8893386809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E3B98184-6766-4E05-ADFA-2336C2AC045D}"/>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B8D00682-695B-4CFE-BDA0-210DE29B90B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8C399403-4EF2-4E44-8291-9B2AE80E59E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5F238B98-6EEC-42EC-87E5-A5A44A46549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CEECC032-972A-4927-A996-6094426DA8F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76426074-C276-4157-A2AE-46132555225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0F774B2A-8ED7-4142-855B-48D6D90B186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08810DE8-3FDC-4E6B-9A6A-9A5B134809D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3654C8EF-7211-420A-AA09-43C8F4E72B6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13BAE530-7DDD-49BD-99D9-BAFF8331BD2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6A627C18-E97D-4F17-AB46-814EE6F2545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A994F413-8EBE-4B20-86E6-ED99F1866C5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E0BE0D36-BE14-4A23-B09D-142763C13AC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09D9583F-B0DA-48AA-8886-86F5B43EFA6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108BF1E1-AD54-4B3E-B61D-5EF39162E75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AAA8D51B-5FFD-421C-9B02-A6D9EFCED52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3D561D73-E701-4CBB-9593-A189A3C0E45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BF996421-C443-4B00-A366-0FFE9554E0B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D704EAAB-1B86-41E8-B96D-B679E3C1BFE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D6E5C013-337B-464C-A81B-58A3BAF6945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12E52FB3-6725-4B50-91A1-51D81964BF7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C667E506-0B89-49F8-A7FA-AF619DD5681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E6337746-C587-495F-8C3B-DD7B6EB7081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8315D1FE-5079-4FB9-88E6-CEF58F21C72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B5F18961-907F-4902-AAA9-0C42C7251E9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C89EB766-7588-40D8-B3E7-95A6AB6EAD6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1112C8FA-81A8-4759-A41B-349BE67FD91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12284402-55DC-4CEA-9102-4301E99142F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C28E4258-7B4B-444E-9F98-DBE770974CC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181BC435-26CE-4E43-BD8E-A896EE27F38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B6FB303C-74B7-4C0D-9ACA-EE4BE445F0C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D2044043-0E84-4164-BF46-469F13B4DA1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F6D7E303-53C1-4F2F-A6AF-174BFB4794A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26708E53-E398-49B3-A8FF-26F9481E882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71357E77-A4F0-4F85-9828-EF771DDB361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060941A6-F470-414D-A684-B06806E5130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F546EF19-BE6A-49BF-9B0D-0DBF63BB3D9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8D86EB55-B16C-4598-B042-B9791272E15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7021C9F3-A587-42E0-A3B4-29D2E3D1D60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464F8F47-2C6A-4B9F-8371-AD6575F10CF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F444889B-7A3E-4F66-93CE-3DBC85331F6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BB9D607D-1222-449E-9D07-D82E380B305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7ECFABD6-6F90-4FC7-BF99-D7F549EE38F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E2660025-E05C-4779-B05F-CA1B10977C7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AD5C145B-1E3C-4711-8350-0F4C7D8EBE5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2CC66CC5-6EFB-437B-B073-2BE1BE5295C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0A2CB357-4563-4F0A-B66B-BC23C63B319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2F09BB3A-6BDE-49CA-B447-C464B6E8932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6640235A-FA4D-4849-9DE4-98C926E8B01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DFB9102D-C139-4D40-8CA7-5BAB3F876ED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5B49582C-A967-439C-9165-DE1F202320C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81CAF6C5-1998-4525-8056-9EE206EBD3B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CEC8F95E-ED4D-42EA-91BC-E38AA453D56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DEE8BDCA-B7C5-47F1-BC67-E90313C7DD4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C52F9D29-2900-45D6-824D-0EDFFA67386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01B82D5A-DAE7-4B91-9E59-DAA093B1FD6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AB022373-153F-4E89-ADFE-9153432111E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E65CB46B-6CAD-4461-869F-5803EBFC5E2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1E3FB4BD-7F8A-4AA2-93CF-DCD8971FA7A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30153877-512B-45A8-BFCF-29ADEF1EA37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F4CE349D-E84C-45ED-A9DE-03940CF102C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D372B0A2-B058-4879-998B-96DD9FB7C9B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4409E44A-E82E-49D9-A0C0-BEF9255E302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09A929B5-E63A-4F9F-9214-F839D76EB40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31733D32-4AE3-41FC-B9B5-07288E4B3B3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9AB900CE-4DB6-4939-AA56-2C777F45872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9780DB69-A134-464C-A2A5-0B2CBAF4786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B2231593-C417-4362-B1C8-727E6F0DFFC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DFF63DF2-F314-464E-9CD4-FD9A100CA56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BA8C9472-8181-447A-AA2D-034D4D773D3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B93250CA-1409-4CF7-AF49-9FDFF8C26E6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B382A7C0-4C43-4940-81D2-200F37731B8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BE311331-9D22-4490-BC0D-AB8DBB92990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5C5D9639-3600-453C-B2D6-59A9DAAD787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55FA42D4-1B02-4BF9-AB40-2933FB92AB2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7197D5C3-78D4-4B3E-A392-211F85FCE8D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79310ED3-0600-4834-889A-F22B5573D9F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08EFEBC0-B297-4CD9-824E-C7658C20468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260C4807-9A9D-4CE8-ADDB-D00FB902458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ECD2B0D7-17C7-43C3-8320-CB8635E44EF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8939B4B6-7730-4BD1-9D51-7F420DC109B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047626BC-677A-409E-904B-721AAEF55C5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ADA22EEE-D644-47B9-AF15-11E608552BC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F4CE40C2-2111-40A5-ACA7-5052C162946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477DCCD9-68A3-4C75-B791-42660098FCE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D7EAA6BC-D618-4083-846C-D1FC9FBCDCB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FA9CF193-DC20-4670-A166-934299F25F4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29868A14-FB36-40FE-8822-B1AB9D2E79D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DF575303-B6C6-4B8B-8F51-8CDBCE51EE7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B51D68C3-688F-471D-B5E3-5E165224A92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1FA4C2E7-DA05-48C3-A31D-A7C3138ECF1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264BA33D-7386-4E62-9963-A84F1EB24E2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FE5C62DD-4674-422E-B969-656C7EDFE4B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00554BEC-305E-4FF8-9632-BD3E86FE3B3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B75C4AEB-FFF6-44DF-9693-04F735B9535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80F0BE20-C211-4195-93EB-F198057EF9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7B6E9E2A-F48F-4ABC-A251-F3752810460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21581184-4EE2-4873-80A4-28369FD63B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8EA99594-97FD-4F71-89DF-6388224E65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0B61CEC3-B7EC-4A51-A2C3-38D2FDD1772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B71A8ADC-F30E-4230-B669-80F25CDC3D6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E1F7116C-E699-4029-9C3C-72DE3EC74CD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B7211067-63E9-4280-BFEF-5751341F1D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F97EC15C-FB06-430F-8A66-0B6E8A4116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64F2E8D9-CCB0-459E-9368-7F5B16D1BB1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77D56838-B236-4DCB-935C-390ADFA318E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D8FF0FDC-6A6A-45C5-B086-DB96BEE2879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C3D093BA-F530-4E92-BDED-3A0B26A9B6E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CCC1CF57-7E6D-4857-900C-F0BD3B3C5F1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770144DB-4795-4CDE-BAF4-7DE1555694A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88FEEF2A-2A93-40EF-BB1F-A8F84D3A7C8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5799839A-F78F-4910-991B-842AB823B5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5754439D-9BE8-4DB3-B294-0392E57C7F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9A9FA5C4-B589-4605-A0E4-0D8063982C1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04C45316-4EAD-48ED-8740-A7DDC82044B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399F315F-B289-4F8C-9530-DE34586BAC9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14BB7B1E-62ED-47CF-857A-6A9B3D8B8D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6773EA1A-AF0E-498B-B288-D1D5E24FB1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47CA5002-C43A-4B20-8767-68B66ED9460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E6A6384C-0BAB-4B78-B366-7EA70A2666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6B9D1463-F7A5-4A4A-B659-7A4C263E25C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77FAB3A8-FCE3-4FFF-A676-08D3C58CC4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2039D081-DF61-4B91-8C43-76DE88CA845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21924581-4BE3-41A7-8DCA-6E160532C39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A00C6C3B-7264-4D3B-B185-4D69F7AEC00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E95EDC4A-359A-4980-A159-0850830D4A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C1FDF442-70E6-4D49-A8D9-AC85D74416F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AF0DEAEB-506D-46D0-8DF3-DC9D9F5AC7F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51EA8E2C-D678-40E8-901D-C57F833D037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DC7D17AE-4191-4AC8-86A0-51EE0FA52C6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A2A0098B-0360-439A-8B6D-7E38197E510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4646C624-3A52-4C64-B591-B6402EA80E2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D8E795E9-6ABF-446E-9EAC-B0BD88C3A29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F9E5D219-FB34-468D-AAEA-986261B2C9E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9291C470-5270-4FB0-B3A6-EFFC6497BE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948753CA-5258-4C78-AA88-0BEFB5905FE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68DBA2D1-36DD-4369-BF3B-06DF3DF277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25C6E227-6516-40B2-AE89-1AEA58D35C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A751137B-8E00-48AA-AB59-E66AD633238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45AEFD4C-E762-4AA8-8229-CB1A7CB1A22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8A327F89-BF01-424E-B59F-1BE9B6F288F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FEF3154C-F038-4D9A-B256-155A052C567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F5EDF4DD-E830-4450-B4BA-F8D2041E6B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1CAF0396-225F-42DC-B3C3-39F4459E89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58BFDC39-3A27-45B1-BA30-6E0D4151190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0A863257-1FB1-4E4E-A06F-336C914481E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037EE68A-73DC-4653-8DA3-244F39935B8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49C0FBE0-61CC-4913-AFAE-8300114C97A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ED8A1574-9388-4B76-8D0E-3A0C947183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A5D67EDA-744D-4E5F-B0C4-1D4A887DFE2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95076770-30F7-476D-BB79-BC3DFFD45F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C7A5F262-49D8-4E21-B7DC-12A6F94337F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ED325FD7-48D7-42AE-A9BA-45E587B13C1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D98312A5-06EF-49B6-BF85-125FFAEEEC0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4CA193B9-AE6A-43A3-A0C8-C9D5739FA0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20CE5D6C-27F9-4F37-8509-8C9E128C47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B18FC0F4-F8C1-4DF2-9114-8FF86D22BC0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D62B9D2C-3390-4BA6-9A00-32EB6B55DD5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FE83CFBF-35F3-4A2C-97E9-BA72A942AF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406D9288-AE9B-45E0-970E-8B657487621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015DC00D-D3D6-4985-9BC6-5A2182CA888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FF96D832-7A29-43AE-B876-59407882293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00D5F02F-4667-4DA8-BC91-BE4CA30D158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8AA7194C-51E6-494F-8BB8-428171C89A5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86748F47-F871-4CC3-A3EE-A5F52744A7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A6F267F7-2D59-4061-B7BD-48DF054F102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BC98A221-CBCF-452B-A1D9-BB60C95396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89586912-71BB-4DAB-9C6C-2C06D7D915D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F4754C4C-5570-4526-AF0B-04180D3EC8C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E09D58C2-5B9C-441A-A708-91912707F1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79452CC8-A738-4FDD-8331-BD94F3CF53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F08C95CE-63F5-4ADF-BDC8-DE54B33B7AD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C5538645-28EB-431D-A83A-34FEE8394A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47E46B7F-CBBA-4D0B-A342-ADBE8E112F3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C5C05B6F-E9B5-452D-8FCA-5FF9B65BDF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D71ECA29-E0FB-4308-B0A9-D80096B0644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3A99758D-B42E-41FC-9D85-10D0EFA41D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A43AB9F0-02B0-4CFB-ADEE-8A1C85474E4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07BCEDA6-1259-4787-9CF4-A92F9549EB0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5FC804A2-9FD3-4EA0-8BBF-812831F6EA9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BF990800-EEBC-4AF5-B5B5-08B9B9A8AD2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D3B6D448-FAAC-4365-8DC5-2F689F7DBC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228EA961-DF53-44B2-8324-5454801ED8D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ECB808D9-CBFB-4038-B2FF-886BCC7A114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4594C4BC-81B0-416E-9867-E14819A8D13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E78FC58D-1378-4228-8737-D1641DA8C8F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E48CC0B2-0F00-4CDF-B568-632AC6BB9FC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3FC153CE-D68D-4750-ABE3-9F4CAE4A3F4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793AA75E-80C4-45EF-9A4E-2F2044F3CE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332E5245-BB96-4B78-8BCD-10E5B87B003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897955FB-B17A-4E84-9612-80A41CDBF24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F1AD7435-C067-4D15-9C7D-BAC859F896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18B4AC2A-947B-4911-9543-91287BD52E8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3BD98D1E-CD72-43DB-83E4-1C61C817D1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DA135D9B-5E71-4055-8411-8F6723B52E6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7D536276-5002-49FB-9BA8-3ED314C455A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DC185EC5-3442-493F-A331-9D05E1C07B6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69423994-DACE-47C1-A8D1-86C6AA97C7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17BE0F4F-70D1-4442-A540-359DC6392FF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C1D707A7-7C2D-4853-8AB6-E3E1AC1EE45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DF52C968-C525-4117-933F-BD08895BADE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35B97EFF-548F-4B97-88A8-2C0448D09B5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973D06F1-BADB-4430-A38F-CE1666ADF8C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49A6D0CE-7E06-47EB-BE6C-36C3015276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3AAEB367-C39E-4051-8FD1-718A4088F7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A1902029-A36B-4B62-9DB1-24ADF65973F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40393EC8-9DCF-4B8E-9FCB-FCEF49A14C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60EB2F8E-5E4E-4744-92CA-E818A95EDE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84099C03-5C62-4C70-B524-726B75E5346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C089C8E0-1E65-4F57-81C4-1C910A50374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93C7B5D7-04DA-4B63-8E0B-8C6B335DAC6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C1522C4F-8D21-4BE2-B37E-373FF21E2DF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5174C08A-A393-49CE-A30A-39A0CEECD98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6322C8C4-6590-4239-926F-60F78063FD4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5A196387-3A2D-48E1-ABCD-4C3DA60AAE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3CCDA470-18DA-4892-A661-25963AF5681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F73B039C-E6AD-45FD-9D2E-0A9261E9B28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EDBD7266-2C89-488A-AC1F-033F1E8F31A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62F73A3A-155B-452D-8B5E-3DEEC5A010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F8044530-B86A-46B8-938B-ACAFF1E2E6B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5F9F4478-E460-4B14-9205-36A95EDA5E3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86725AA8-3B21-4CB5-A618-8A5F4F42199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77A74AF0-7E67-4300-849C-62EC2FB1A4F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476A059B-0CC2-4BD4-B6C0-0A0985BAA4A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48B6957B-EFA0-4116-9E4E-2B0B78808AA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31A8DA1F-97DD-4720-BE02-2A2D9E0D446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24D37EC5-8BE3-4899-8022-7A4E0C57FBC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40CDEC13-3FB7-4B7B-8246-B88EBB99DC9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580AB9CF-283A-4363-85C6-8E9A9A60528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7ED9ED94-22DF-4169-ABF2-83009202E9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FC6B381B-4D4A-44CD-A2E5-2C5A6EAB3E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B375C273-3890-415F-8E6B-68447293A44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1C568F95-CE4D-4637-BD81-FBC3C67B3E4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BE2656C6-EF4C-4E3D-BFDB-9237823F9CD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5EB6F83B-6491-4582-898F-0D15CD5557C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197081F0-B9C3-4B90-9C9C-DA6CF8426C8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B011D3BC-7BF8-4B99-96ED-0D8BAF9DD0E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9069484B-3B04-407E-A397-DD0FFB6C303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48808B55-8D80-42D7-938F-C47CEA2DB8C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A87D5228-62FA-4F32-9150-1C97FA58C6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3688ABA2-7552-4CF9-BF30-F2A5775D3A5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7C72A155-DA3B-4C96-A425-CD5BC6A4926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6BDC2058-1C13-4C86-BB5D-2169E9056ED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3E490965-ED21-4304-8553-B0F7094451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6AE3D82B-A533-4D88-83FC-0A38741713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00586E99-85A7-433F-AA49-9DBB58A5512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3E57AC57-CB34-49BF-8DE9-1AD357D6735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D2FFCFDA-0C7D-4575-8C12-585CF18C5ED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4FF364B1-0BE5-47C2-8685-C4AB44B239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75B3D41A-7DA6-4D5F-9BA3-57FE876FFC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2C52F4CD-37E9-4D38-9A28-C755DB36658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DFA1D483-CA30-4062-ABAC-3D6E286560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E0B9524E-7ADC-488E-974F-670CEC99EBA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4F443305-2905-438B-876E-A3AAFDCF83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0FE4D9CE-DF19-4EBB-91A4-6C8AE6E03A1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7EB738C7-4E25-45AA-926D-50F5C73554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D37585FD-F864-4D6A-8B0B-D470EC82172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0AB9033B-D29F-49A6-B774-CC6D0308C6D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DA8C65B0-FDF3-447D-B82D-D6AC8B894D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8A2C4C92-2D97-402E-AA45-9CEA0D90A3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32B19920-B0A8-4869-A713-B3BFDD766A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FAAEE6A4-15BE-4C75-8F0A-E12F28445CC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D404454C-51E7-41C3-9AF4-2BD34F3EA7F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6F141C8B-C78D-4799-B99C-5A3ADF6EE56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FDF1FA55-5013-40A6-93D7-F3884D8E0F5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2E769B18-48E1-43B1-96A0-161205038D5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962563C3-C39F-47EA-A466-CF4498E10A9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0A688C8C-586E-42FC-989C-D06C50C4E09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C7BCE86A-8030-4C72-B117-17FB6E6C4C1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A1D0839E-1318-4606-8DD5-F71E9820695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32445C61-32EB-454D-BF7F-F412AA838E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33734D01-DD01-4DE9-93D4-0321D91BFD2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B8293952-6A45-48F0-B505-A6AEAC5BA96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5795160D-E892-410B-A337-8263FBC753F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4557F2BC-0353-4021-961E-3CBF4FDB3A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4FEB097D-4E05-4649-83B8-1AC2BF62692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08C5DDE0-ABA0-494D-91C9-6B08599D42D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4F30E1F2-00F3-4FCB-9B8C-76DFE3143CD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1BE5F8FA-B27C-48DE-B709-1A3F5B7C5F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C6E039C3-A8D3-4EE7-9BFA-DBBC196233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499479BA-7688-4805-BC0B-0CB21C9119E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BCB639AA-A249-407C-9BAE-B7884A4BCD0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6EBEFA99-B2C3-4954-9256-28A2490AD8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25801808-EFCE-497C-8704-2792123B119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135770B1-C094-4FCE-A512-3EE02DC2F76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5B2BCD4A-96C2-4C03-AE17-19E2CE06B03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A162049D-D46B-41A1-9F11-3D6170D96C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105FEEF4-F39D-4898-8A5A-FA4A2F82B4B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D400B59D-8FF2-4C39-83D2-03B87C39180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0A270682-FC2A-4E64-8919-E13BA955AEE4}"/>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4FD1BBA4-2CA7-4948-8008-C3AF66C697E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147BC4E8-AA76-4A67-A60A-A33582853AE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9F9A076F-373C-4445-9E0C-F8FF65478F7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53BA48E9-81CD-474E-A392-842211D2BFE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314ED942-7B92-4178-B14F-966CDA0F7C5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A741E33F-F526-43CB-AF53-ED2D926298A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1E265EEE-6BB8-4646-8CFC-0BE973CCDCE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707966F1-0FCF-4EBB-98FE-03EF60FB96C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67B3DF39-B13A-4773-B70F-B2E7B973C4C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565EDC2B-9825-43C9-89D5-9C9F44EE97D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E2B34665-0B87-4823-8D3A-B7BAAD2682B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A298E99A-434D-4B70-A681-3EA9064B7C7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5B7984BD-F798-4975-B529-3223BCBD18A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FFC8D8FD-39A6-4B8D-AEF5-9B4A6ABD8AF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449300D1-7A6A-4114-9BE5-A36CA104C98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DB32C56F-9D6D-474A-B7DC-FD8200AC843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B54C77D5-851C-48CF-8380-AB00BF00970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44CDAEA2-B9D2-4F67-B29D-C6ADBCF9078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4848A547-913C-4E5E-8E12-FC6E1AB33B4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710D984A-8B58-40EC-ABD7-59604C9A1C7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01E22D1A-1495-4D56-A720-8260FC8FA68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E7084093-DB61-446A-80D7-97E2F023EEE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45A35C9C-7F67-46C0-8415-5E14FB75F3A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468AE92B-1251-4F66-AF71-C614AC5B6B7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EBDD4A61-497B-420C-8FF5-C93123AAB7B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153407B6-1CA7-49AF-A8D4-4C75FABB47A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AF99522D-572B-4051-89D5-C7BB3E8AAD3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76FE29FC-24E7-47D9-A911-6437EAF608B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C2227049-0805-41EE-A0FD-49FF9E6A739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A7EA7F5D-0D32-4537-9834-B7BAD9E20A6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0356CC7C-0D7D-49E6-A327-38E190C9893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F5D41626-57A5-438D-9CCF-4140E5322DD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1189E020-9F85-43E1-8B75-86D15609B25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CFAA4869-B4CB-4B15-B5A7-7A13431096A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B22F7D2A-C4F0-4B3D-A690-555EC359A12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0C679260-E7B2-4A5A-8E66-A12E270005E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7104146F-903C-41AB-9E9F-82A91C0F9DB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E224BF8C-C471-4A76-A8F1-AB129ECA81E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DCB23910-A40B-48D4-AEF9-8CFC4AE59C5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881E2F4D-78D5-47F1-856A-87B21A53622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EE74CE1C-7408-43DF-8C2C-02B554CF645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CA40A624-A1F1-4B5C-A13F-0D5BE0B72CA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AAB20725-8766-4928-977F-E59BC1EA919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7CCF2FB8-0944-4B55-BCF2-AB8BE308464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8A8EDB66-CA28-44D4-B881-31ED1D930FD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BE26B3D4-7193-41B9-B13B-82667DA0B82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E3D31A07-1FED-4730-941E-149CDA01E37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F774D936-54F7-4EAD-9721-34A1D2C9692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E77637C6-767C-4121-8623-914CE2999C2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7323BA7E-AA80-463D-A9EE-C595A2B94D3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F65595F3-5B26-4D9B-81C8-D75C2EC7A00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6513DE87-DBFC-4157-A16A-0C88B96FAE4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7A65C215-7FE6-4194-A7EA-9479F61DC04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30DC9AF9-7BBA-41A3-B235-3FD50E0CC9A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5FCE166C-ED61-4D2E-AF21-B5FE1CCDF19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9C86BFC5-34AF-49C8-98F3-CFA268FF5C5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6428A110-76A2-4756-B3E5-53CF72F7DB9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16123374-CBD2-4D7E-B9F5-312558FFFF0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0DD5FF0F-1298-4886-865D-6B1D66730CD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C9F14F7E-5BEC-4D97-BBC5-3A21A559CC0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6EA880FD-47F0-4721-B45F-BAE9ACEB63F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921C5AF0-85E6-4776-9944-4AC787E46D8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EFA1DA0C-107C-4F24-A7DD-6BF110DBD7D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53663033-0490-448E-BC6E-A07B299FD0E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BDBE2339-1DA9-4552-9B33-07E46E1FE09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5642D36F-733F-4820-B5CE-29AC9589437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82976B4A-9653-4536-B85E-14D74633AAE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02E3FB40-E9F2-4A6C-853C-5A0CED96020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07475D9A-AD5A-4D6D-AA77-CDCEAC4299F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7B4345AE-B83F-4C06-9AEF-ED3E6321777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1942CBF6-3A7B-43F6-9847-00928815814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244C37D2-54D6-4810-96D5-E92EFE79D78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33B540B9-DA15-4F98-9DFB-AAC03338729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398AF693-1D1D-4D27-9679-2E5C731BBC0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86CCAD84-1496-4AA4-9AC6-B0A1F240933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3AA1DA83-B121-4028-A8CF-F996F2A85D3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80D7A13B-00D9-44CE-A056-C69CA1804DE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0C18B4F5-DE19-4E9A-9192-42B203A3CD6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313ABFBB-02EE-45E2-84C0-B1998A01FE2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A6665EFA-CD40-4CC5-9337-7D6D93E0032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6D64B999-1A91-4EF0-AE7A-42C7AEE6BC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D17218B9-587F-4778-9B69-528D4A8C360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6DE728A1-FC01-409B-9342-D9D6D986C3D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0942EC1A-E2A5-4567-A1BD-0877F8256C3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69D7F8A4-463A-4577-AEE4-C7E02235ACA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CF3CD380-BE69-4287-8431-DA7EA3FCEC0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28B061B8-55E3-41D9-960C-C7B2E8CB752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289FBCAE-DC57-4A86-AA4D-F136D98645E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766AAF51-AC92-4E65-BCE7-346340500A9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84D8C6B0-D324-4A52-8D1A-9AF4E0D7E7F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09EC2BDD-8E81-4F10-B42D-FF712315716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326A7CBA-3AD9-4B48-8820-2CF864A3445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CF34E9EB-0954-4AED-8DE5-58E2BBAE04E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5C7CCC9D-7181-487B-9516-F9CAF1A8408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F2A56B75-D3C2-4E81-9A2A-B4910AABC75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50576617-E4FF-45AB-95EE-952DCA974DB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8FEE30B9-D27E-4ABF-9AF5-135B9230CD0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5DB54689-107B-4B42-8F88-79F83CA627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D2B358A8-82D6-4F1F-A659-2744526FD5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E93CD846-4D15-4223-9F66-805A349716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CE1153A2-DCB0-469D-AB87-ECFF411A5E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65E6B536-99FB-44EB-A7E7-199ACEB1317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2BBAD93F-94DB-4B03-A487-DAB0ADD32A1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5311EDE6-055A-4E7E-8987-CF69AB745A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E49D06C9-F31E-4D5F-9FFC-BB0AE6E207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3C2DA473-06FB-43C1-948C-B4C1073C0D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0A0B19DA-66F7-431E-8793-4FBA5E6FFD1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4DAFE53A-5703-46DA-9984-170C5A3461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23B4E9CA-03CD-45F9-8C11-83D887F5BC4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06ADDDCB-142C-41FE-8CD7-4BFEB8F08A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F651B70E-0F11-4A4D-8482-95D2CB0E939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E4FD3379-4E91-49C4-89A1-D659F00370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05F33314-88F2-4F87-B5ED-255FB724FB8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30635BA0-FE5A-4288-B41D-ECD1214DD76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7268C367-0E06-4782-9B38-235D58AC56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2FB89F31-FF75-4069-BB24-09949F146D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82135112-6EA0-4034-AC74-50EB95DCB4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5BB40644-34EC-4D06-BF16-D0995E37514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3E3FEA0E-BA14-42A3-87D2-3E365D04B5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1966FCC8-CCBF-4F05-B8D6-1126E6B2B6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2372313A-9CF7-49B0-A98E-F0739EEB19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6A3E283D-66DD-4A8F-8124-BD8D94AE063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6CCB1415-84AA-4F62-959F-34B988749C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3EEFD07B-9B27-4CCF-9C2D-7E9038A0CEE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4D25C82B-B840-4939-B408-FFA060FF361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9978D4FC-986D-40AF-93B4-D45B3F3FAE2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A2143F38-81B5-4D0D-A763-01C51BA899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6F291139-DE20-4F89-B394-3674C6CBCDC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FA4E5991-5BE6-43F4-AAFF-3D2EA08D90F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E990E56F-FADA-4FE8-8998-34D5AC00BA3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1B3EBFDC-78DE-4E1A-BCFA-332ABA64D4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E2733493-E0D9-4079-B2DD-F3B3AC00C41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E170CACE-AE48-4B96-B2B5-B7CEEE0371C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06F011D8-FE0B-4BE9-9EF6-07BD59A51C9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ECF1C659-7E2A-4680-862E-DBEA4F6CBE1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F388B8F4-22AA-4AEA-931E-881267DFA94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F166878A-84FE-4369-9B03-696FDB67902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3CF09B3A-8389-49A0-899C-E3F40948BC6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1E49B759-0C9C-4B3E-B34F-AB97415FDB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321A60D7-BF12-4A95-8739-D89DAC9C1B5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3141563F-7193-42E1-992E-024609AE40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47308C6C-7525-4D6D-9267-12B54FC17B5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A1E8F8E2-8C63-4463-9BBD-09C76B58340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816DB4C2-1D99-4535-82A6-E32AEF5382C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BA706E60-5254-4208-B99A-AFAE88FD0D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8C129D80-13C4-4547-A42D-923608AF8A0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D43A395F-4AB7-473D-8D6E-B00E3483E9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2CA376BF-3A8E-4BBE-ACCE-F36AAA8B2D4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30483A32-E934-4A33-A54F-1ED9518A475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7B4424FB-70FE-4143-BB34-FB3EF16A549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E92F05C5-4C01-407B-A684-8F590478212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70C06CE1-EF9A-4FAC-B710-88B42ED2CB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072D9177-0AF9-48DB-80BB-9C9BCA675A7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AB35CF62-8190-439B-956B-7E398F557DE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FCB8A868-B5DE-41CE-9703-D595A9BEF5E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D98F1F46-1521-4897-B610-88E2684CA3C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852F0E10-D733-4DDF-8887-CE3036B8AC4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FDB44984-1E37-44C9-9C09-EA779C31970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B3B3DD06-A03A-439B-B001-E79725BF109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6060B30D-6267-4530-B0BD-983BD9DA744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E6B854E7-199C-4F85-B229-D44E1733F0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9B01C6A2-6892-4410-87D6-329C5AE8B4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53326132-16D9-4D81-9031-A99620ABD11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05DCDCC5-9202-462D-BFC0-D5B3DC2482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46154F00-A5CC-46E6-AEBC-DD43D90319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953E93AE-28D1-4CB2-99A0-3C3D66F22DF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1FB0BB21-ED9A-40CE-8448-D955DFDAE8B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28182000-2454-4C50-9C36-1AF8D2D2331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BA430BF2-DE72-4A31-A355-C76F23BB0F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89A8BE8F-5A81-47AB-842F-64E588C322B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7CF7672F-486A-4481-9B9A-621477CDD48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0770D359-D68C-49F3-B017-4C8A0C5FFC8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79C01FB5-B9B5-472C-8B76-7A0F3CD7A17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0891449F-F2D2-495A-8CB1-09013EA0C21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F1646ACE-7782-4E9C-92F0-EF26B6DC9FA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DEE3AE70-7102-4434-AD33-0945330C62A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858A28A0-75AB-45D0-AF26-ED585408F97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99E3D58B-F21A-4E98-9ED4-918B0BD743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4FBD7971-317A-4B56-86A4-635D5E70765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36228244-B4D1-4C88-8B72-4CD85730CFC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0840C196-8A56-4097-A490-DA9B064D1C4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0CAFD895-B134-4421-B0CA-36A92D6C32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B5CFD6EA-5B98-4D3D-8187-70B4C961E90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1CFDBF2B-5C30-4968-ACA5-55F6DED928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CEFE8F7D-610A-44DB-9627-AA51BB057C0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DED076A1-414C-4302-8D03-8B0F7FBD414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122EF932-2E8D-4913-8501-5C9F77B8875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FB5C7EF0-6370-420A-8397-E1F81DF27D7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973E18AA-BE0F-4636-9645-4991894D496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DED3E1DC-3D67-4F00-9C89-7B55D02067A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B7A3A8EF-228B-4A3F-9560-4DF1355774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EC501DC2-D027-411C-9D3C-D0CD5C2408F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94521993-A39B-4D46-AA23-947AFB75AEA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52E80D03-131B-4AB0-814B-1DA4D5E353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F95BF002-777F-4F61-82A3-0440BD3A4EB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325D3B31-5D42-4D19-A849-3274E032450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CC77B795-2FCA-41BF-ADFB-BA7BDFF5BE2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B7A6E8B7-3FC3-4B58-AA6B-BE4DB8E2ECA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534122F8-570C-4134-BF43-82181CF291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4179C2FA-7A75-4708-BA04-49ACFF5A54F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76613234-3D60-4268-A50C-093CA54C17B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C216BA96-2BDB-4FDE-ACD9-2934A87B9FF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4B1914E3-238D-420D-B02B-AED89D09050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9EBA8FE5-F9A9-47CC-AA73-64D1C12253A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7DC0401A-6829-42C0-909E-54856236B0A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15CDDDA1-4CC9-4C6D-8A98-4070F781134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14832D10-3543-4912-B82B-E72BE5BA9F3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FBF5914E-4094-4897-9CD2-FE0E2D6C4B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F9E652E2-1491-42D7-B830-B74C3AAACC3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C370F740-AD34-4150-84E0-C59321441A2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1EE2ED61-46AF-46A8-B63F-164C7F9887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9BFF4AA0-E743-4497-A9C6-8820ED2EB3A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65DBB67A-BD84-4E33-88E0-80A7C09730F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1B414C53-9FA7-4E9B-8F16-FEA5870365B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0490EAD9-E524-4B0E-8FD9-85BC0DF0166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5693C6E2-F3A0-44BC-96DF-F4311439107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34F408AB-4F1D-424B-9D84-C3159CA8935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F5E8A487-8784-42FC-A68F-A30EB2B263D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5F0DD1F7-9BFB-4F7D-B9C0-5BB47657B4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4712EB62-D563-4A82-9528-9BF5549477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271DFABD-1D0E-49CA-AD0B-41FBE0F1439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136FACFB-05B4-4ED9-820F-B562C02875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B7C97780-2380-42C6-86AB-8508A291C69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028FE394-0E71-4D43-8943-D765A9EC50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F9D1A216-62E5-4EAA-B0E9-B845165F680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8855A38A-6458-4CF4-95B4-87CDC7F069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1C92B702-0916-4C44-ADE3-8B1310BE002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3599DD38-5689-40A7-AFEE-45B2389540F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A4DBEE39-F612-4B40-A96F-19880A02E3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9C5772A6-A170-4867-90A6-A5521EC265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41A2ACEA-A679-49D4-A975-0824B4ABCB5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0A1A63C8-3627-492D-A75E-7E1FA9C6649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26389F01-D59A-49A9-B07F-92E5A77FD6E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ADB94351-B37F-4B7A-BA50-A16A4237B5C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D45B1049-F242-47E3-ACED-FDEF53D09F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A29C0954-22EB-494D-8524-C0AAE24722D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F202FD5B-A048-4328-B4A0-A9DE9C60FDE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06E217A6-CEA9-4468-B5DD-16E7E4EFCBC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4FCB90D1-C219-4582-8B87-682C1C9052C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6685A554-C593-4EB7-B7F5-7F7481EFD5E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4D742661-8596-459D-A0C0-BFEB8A181A0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6D2E6521-ED6C-4ED7-8DA9-60A0F3D7E3B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4F9BDC4B-D572-4CDE-9F7C-704D1A82BB2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1F304663-7F6B-4527-8AF9-4AF7C51F0E5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07E832B1-A551-4ECB-8956-D964EC87EF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51C70283-0248-4986-9BD7-EDE998C5CA8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19D35BF7-2D20-4C3E-8C31-A480DE4373C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2D8E2828-C942-44F7-9F16-95A536950F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92CA3604-4F4D-448C-B45A-5A49C22E68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B8C9FF9E-9383-427E-A825-9F1F82490CE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FF040641-181A-44C9-94FF-650C5978D5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449322AF-77E8-4DE1-96B2-1ACF425798F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872F40A1-522C-4B47-BC87-54F50C931BE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9B0024EF-DE76-4655-9FAC-932CCD9A1AF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DFAE46D9-E17B-486C-94F7-75EC676A79F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8488FDDC-EA17-43F0-83F9-DC3EB70ACEE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5B1DA671-25F9-4BDF-955A-131BDBB9A82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1209CCD7-E6C6-447F-9ED1-905AFF0244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5843EDFA-08B6-4E57-BD24-066622CCD9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080E72E6-6238-4310-B855-CA45A476738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45BDBFDB-9253-47D1-8B83-78F35FB55A0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5B1BE69C-A178-42D1-A6FB-880D7305FD6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5841D6EB-0E71-468F-8A05-2EC718B299B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C1C9CC8F-37FD-44F0-B37C-557A24A5E18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7E53BE9C-356C-491C-9597-4050A90BD71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BC7B5E2B-7FDC-46BF-9175-A697379D29A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275E41EF-AEBA-4920-A6FD-46BE472F222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FD8622FA-834D-4BA7-A27F-7A03FC9E5A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4FDAD002-0E50-4740-9019-AA45135BE37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FA78F944-F16A-484A-A10D-63CDC027357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8E47A4A7-D084-4456-97C8-4C58B831C0D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AAAC2AE5-1429-42B4-A136-2605B177FF0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0757B227-DE41-4DF8-AAB6-911D79624E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2A7AF7FF-AFA5-4C8C-80E3-F3105EA2F9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513017DE-80DF-46BD-8421-C7D855458B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8C42A60B-724B-416E-88A0-D5437B8788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CA5AF8AA-55B4-4F12-AA3C-C4FB9BF0EB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CBD035BC-ABE5-4C62-BE45-8459C0DAD76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AE01284F-5690-4D37-9693-ACFE8CCC135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A7DC56B6-C19B-4758-BEDF-DB7E7BC30B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B19BB2A8-EC22-4B2F-A151-8153C83D85B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94B442CC-BAC6-49F4-984D-5C327BEF676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3E07D99D-A8EE-4A12-88AF-286BAEDA1E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28FB3254-5C5C-4ADC-B574-C55E3C583D9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A1FAC5AB-9F44-4C6C-A368-85B6A5F37A4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04487841-AA6D-4256-8816-2AA958E2F40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55864FBF-46DD-40AF-9258-CC071F39368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ABD11A3B-55BB-423E-980F-876B2657AAC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D8439C7E-792A-44ED-B874-765A2E8A07E8}"/>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8FF3834B-10F5-4859-BA96-C8D792CF6C6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23A75BD9-B544-47B4-8A54-3CDD2D2EA3C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BF329E84-B9C9-4DE1-8B5E-398B18386A0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2E57240D-7196-4DAD-B5BE-07740AC1FA6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AF5535E5-E202-4692-8185-72D1E0D71D1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03F431BA-48A0-4985-92A2-0D4952FBD1B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EC516ED9-2369-4069-A727-1CBCDE09449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2E4849D4-FEC7-4C8E-AF87-7C1889EC649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0CE95F72-2CB5-4DA6-931B-3C162B25696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BAF83DB1-1E46-42B8-BE3F-CAF706C2EE4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23CF1DEA-B940-4337-A70B-0C8B1EEE4AF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1E4C8C9A-A872-4A24-8C1E-800B060EF78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5B88E839-D5B8-4508-8534-54A29937425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82A86401-E907-45B9-8F29-EEA94209F0D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5D1BCE32-3572-44E3-95F6-9E88616DDFC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BEAF3890-FF91-476F-A190-AD824684B12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9851C556-6106-4A15-A103-A246EE29B42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283D325A-4B46-4408-81A6-39EC8F59F44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5596827F-1739-4064-BCCF-DF13C3689CD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846908AE-3A8C-473C-9839-FA47E443923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20F0FDED-B4BF-4D9C-A473-A6051ED6E53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D1D0F2E3-3092-4BB0-9AE5-25E1C12D137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0BFF2023-F2F4-4F6A-A6A4-13DF3733E0B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1DAF82F8-F221-4DB3-82B7-8899EEEAAE4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AB188811-05E5-492B-BE32-F1C26E3E8FC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1545C9CE-A59A-4608-B616-13F3C05EAF0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3F5AAE2F-76DC-4085-A306-89CFA1663A6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5C88DB75-4A0E-45D4-9FD9-60AB03FCCBE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3C9597B9-26ED-4FF3-B88F-4D9B78E7D58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80A50470-7E74-4C47-864D-E194DA9654E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E82FAAA9-137D-49C4-9E91-681AE641342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AE7E36FF-1513-4B13-AF71-8F72494D7A8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0F3A712F-8F09-4B8E-A6A2-6A1A7360203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F808A45C-5F27-4490-A14F-7F0130364C6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9DA0A7FD-6FDC-48CF-B34E-870245D4A26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2E7DC132-DFB4-481C-B542-551F470F45D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A0BD185A-042A-4762-BD97-1AEDA8F9D74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8FCF7C8A-1C39-4FBB-8071-1C2FC34F15E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B66B115F-B585-4093-B140-533B97D49DA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C7046ECC-D9FC-4BC8-A152-16F66845707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437139D1-7B99-43EC-8358-BB3AB0A3A5C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794D3E82-79C5-42CD-8CF9-F1CB18DB783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F268DC97-3B08-4F27-B4C8-9D1E4856A58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8DA8CAD6-D513-4BA9-96EB-41999329ACF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1E4829FB-85CC-41E4-B36E-6C54849A0F8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77615FEE-4227-40B4-A014-E950F5A2A11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5425E905-FAFC-428C-A7DA-BD456BD2E2D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AA90A81F-E445-4D81-ADAE-9283CFFEE3D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05AC19B4-7457-4891-9B06-17115704F5F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2DBCEDA9-9A23-4A00-A3F9-F1E56B5C65F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A8C295E3-5206-4222-980C-C906FC61D9B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83BBD3ED-B4E7-4B61-B8E9-645E9B3BE39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DF433D79-AB09-466F-875A-244D5E64563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E54B5966-8C24-41C9-BF5C-263BF16BFF9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DC97636F-49A1-4364-9A31-28475F4B45A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D5ED7D94-C2E0-4627-BF5C-128BBB7918D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8CCC383A-559D-420A-8016-2DA86B98688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8FCA6071-E4EA-4A49-AFA6-866CE64E186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9151FE71-7DE5-4935-8E8A-799AB685DC0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D8C2D984-D544-4799-8FCA-5D5BACCBD6B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7878DEC4-1E69-48DA-A495-A0008A063AC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DF681324-FFF0-41B9-B5C9-C72026E5DC3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7D023CB6-5679-4323-B35C-0CB8E7E4CCE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E4B6EBA0-A8B6-47CF-84A1-C142DFA1012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12C8EA82-27B5-433B-BAD0-C3B3C290530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A1A86D6F-78D0-4244-BA11-776295C6FDD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375E2E4D-F299-4939-AF3A-99545A231F8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9E984230-CF50-435A-B0E3-C33508B39CD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BEE4C77D-AEE2-4E7A-B7ED-C77B83234E0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3D9A613C-7CA7-45F8-B1F9-72F3A58777B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26CA86B7-C50F-4822-82FB-160860C5943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21B22C4C-220B-4E67-B06F-F448EBEE44B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478F569E-2624-4CB5-9BA2-29B06CFA8B1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F50D27BA-F843-4059-AA8D-4E8A381328C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550F1FD3-920F-4CCF-8F15-DE6F2B03A5B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1C025E7D-59C7-4239-8FDB-B84304B00F8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7B3C8F8C-620A-43B4-BCC4-4B607A0CCC1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1899D8E7-78AA-4B6E-AC44-577E011C0CD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F721AA8D-3A2F-49B5-BFE5-06CEF7195D4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258C6DA9-5173-495A-A552-43E0EEF055A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2AF8998E-D6C2-447D-8497-02D917EC2A1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F2494125-A8DC-4A6F-BEA6-79E3BE20FA2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1F9F2786-D2FB-4AE5-AB67-7477C32A024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549ABF4A-7F40-4042-A100-4965A92A98B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B795F8B9-7B79-47B3-9615-0DCF63D2BB2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7D28BBCB-EE6E-4821-92EC-26D8DA64554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21DF7780-0256-4A47-8655-280531373E5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D4402760-6918-4300-81AF-957D094A546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970FD93B-9212-40DE-A4BA-417C58B1BCD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14B5ED92-E469-4C45-824C-BD792A536F7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A1BE0467-A294-45EE-B764-FE734F2F481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46D75C1A-1156-4E66-8A8E-0A76D06AAB4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014333B5-FAF8-410A-B58C-C94A480AE67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A416BA32-3A85-4FAE-8B01-DE0D488E212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807F8B27-B198-4F82-9728-520CF9D550A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F35CCC85-6B8D-4B6E-B4F7-E75EADCA964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F9C10C4F-3977-45B8-A107-EB8FD35C798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7D4ECC72-A581-45A4-BA9C-74CB6AD39AD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D72472D9-A926-4632-AE09-224C2B2BB3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F4080364-E064-4040-A26A-40A2C07A452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535F7E36-FB3B-4FED-B3CF-F3EF957AA70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B1547E7E-7D7F-41C8-8640-0392D8A5B7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B7263332-84CB-4462-B83D-1490DCB421A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A5EEB1E3-271F-4DA0-85B9-950D391A47B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EEA9363B-7070-4D55-92AC-6D1DDAFCA06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B6422ECD-8F99-41D8-A6B6-CC2986EDB7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0CABACFC-F83E-444A-9BB6-B9552B6451F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79AE60DF-4DC5-4FF2-8DAD-5C2ABA053F0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A305ED83-B822-445A-BBA1-63404FD972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21B6F7D2-538A-4A08-B364-3EA7A6AC7F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6D39A019-B603-4428-94EA-B3F93AD927E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737AEC99-37F8-48A5-9FD7-E7E63F5BDFA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1549AB15-9304-4D52-B89B-6B5650FB04A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4BCBF4CA-D58F-4313-9330-C02095CA320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ABC907BC-305A-4DB7-BBFD-EB2EE30D01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C00D19DF-3500-43D1-8255-25BA3FBCDFC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F5E28711-1198-400F-9FCE-BC876E296A5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C9FA6343-7E74-46D4-A6D3-66CD04B436F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5BA25F9F-789D-4EF5-BF9E-F7743DA17B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BD6F8BF6-825B-49A1-9347-1A6B2C3E565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AF674299-2B76-41F1-980A-87D16ECCE4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53BE60C5-E221-4C64-A4E4-1755EA88087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02E09361-E2A2-4867-B8BC-E8E6F77EE56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6458C8AD-29D4-49A5-808D-6F85DB8015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23B28EB8-72D6-4BAB-AD1C-C1153F206E2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BEB8A39F-BDEE-40E0-8375-292C6F9C66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0A3A067E-5EC8-44D9-B8E3-E2B31A2C75A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49FD5DF6-E28A-418F-90CA-F7003033675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E000083E-13BF-48A1-9FCF-50DFF2F31D2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97A7D2BA-98AA-4461-A8FD-9B3853099FC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6BEA74C2-C5A9-46AD-ACAB-50EB8FFB9F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12C5912C-D954-41D4-B02A-25A59EA0095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17EF6604-CB42-48E9-941A-210539BF86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D955E8A5-2E11-496E-99B0-EAD0E80F114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C996B2C5-EC64-4E1E-8A0F-AD72718DBD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E7B06FE5-2E8A-4FF2-844C-18A0D435BCB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3B98EF46-A772-480D-AD29-47CE4B9CCB7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F361DF83-3E59-4931-9143-8530FAB34D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8CE15608-CCEC-4B66-A237-1D1B968A044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69679F3C-D947-449D-865B-74ED5E6193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91BF3A54-4431-457D-AD8D-5C0543CC0A4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9B8A861E-7492-419B-A5FC-C52FCAC79B8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9B78474D-C8AA-459F-9910-A5E251BCA88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A12AA348-2A09-402A-8CB7-A763B6D929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02D29409-67DD-48DE-9A4F-A81A5A2B46D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6E6E67C9-9D0A-439E-A64B-A49C5D158E4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244F39B5-5C6C-412C-AB3C-CE36624084E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FD9FF9D2-6998-47CC-8084-30D11FEAF2D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C3D55305-F2E3-4FF4-B13C-248981B1F7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89EBD945-06C3-447E-838D-149C61D5D18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DF6B23EF-9306-45B6-80EA-DABAF1C6A55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10832A39-D89B-4402-A156-6516BD2D26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E785941F-F2DA-4BE7-BEEE-D6C8897FB3F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2E0D74C7-0802-45F9-B2A7-9E2F999E128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DDDCD6DF-1960-491F-B875-1148365D501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6B9631A9-2EF3-49D2-8D3A-411E015044C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D923B25C-2BF8-4CA1-8B48-8AD4071B734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C5397C50-B091-4667-93D1-619E1E2762C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685DC71F-BA00-42C3-A0CF-803288067D9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F95E6872-8883-45A7-B1A1-15025DCA8E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B707911E-BED8-469D-8565-101AC98178F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7EB642F4-7D51-4A8D-AF30-EF218133826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EBD2D892-3777-43A5-8F30-F3C9853E91C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F29A1687-A628-4133-AA24-023FC1F5B49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1CAB0A9C-A222-47B9-A182-69669B40CBE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B94A7F61-385A-4FAF-9727-1731B4D689A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DC906AD7-1261-40CA-BB86-CAD796627C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D91A69FC-BCEF-4802-89A3-9813CD8F524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43CA875B-4A96-4FCA-B9C8-5735DDD5623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E4F7E7B3-6D23-499D-BABC-F468EF4014F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FC5B72C5-C907-41A4-81AE-DCA8094BE0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A89C46C0-5540-40AD-9F3A-333272DB0E6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79E11E56-7B6D-4CBA-ADCF-41DC256FE37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45E4C29A-0463-457E-8F82-BD7B55A96B3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36312788-AEC6-47AB-92B3-230D4291F0A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1E477165-D960-4285-8308-C8972A20BE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0D05038B-AF80-4832-8B70-01C17F0AF7B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411A66ED-C084-4EF8-A630-1B5753D0849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E52BF63B-9804-43F9-90D4-BAE60C47F2B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14698DFC-1117-46E1-89B0-41C9266EF1C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A1F6A46F-C2AD-49DB-884A-10C320AFF5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4FB28995-8D68-47DC-842D-1A4909FA7EB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47921CE8-66C8-4FA4-B9AB-72872C3F45A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29D1CDEE-EAD2-4394-B874-C50586498CC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A16FEC00-E7C4-4CF1-A146-FBF9A5C001B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E828EA1D-EB93-4D62-8549-5B39481C2FB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377E2779-87DB-4363-BB61-3F28BC071F7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C2990FAE-96ED-4E65-90FB-29BA920BFE8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9CF3FAE4-BD1B-49F1-A5E0-C0DBBC1FC2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9171FF64-CFF4-4E5B-A867-4FB45BFB53C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E01A7296-05A5-4204-A9C9-9AF3629E70C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CF4B717B-4B58-4349-9082-969BB10936C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F0D7429A-4398-43E6-8690-BABCE47E0B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3CC117B1-F346-469F-ACA9-2967413D19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076D51A4-DF8D-4DA1-8D10-A194DDCB5C4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E8D079B5-B1B1-4FB0-BF30-FC0EC796161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5669675E-E5F1-4D98-AAA9-8F16D66FC2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ABAA30B0-17A6-4FE3-810B-EDB6DCA030C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F3985250-FC30-4505-BA5E-D2AC23D5760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2E948EAB-37E1-484C-B874-FF17CE35C2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EE7D7041-D615-469E-A6CF-588918BEF9C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A973C92B-9174-418C-B595-B3CA2465856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7789B7EA-8724-4CDD-95E0-B6242AA0C30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4378AF34-B167-4576-B600-70D192F9FEC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417FBC5B-1B09-4ABD-B93B-83880580DEB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FA8F466E-3E51-4804-BCE2-DC5DECCEAAE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FDD79A16-4AA5-4A59-80D5-B1A88DC368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42765E5C-FE3C-4E02-81DD-933C0BA7F0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17CEA0F2-CA69-4097-833C-4A6AA5135C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C111AB9A-3FBB-435E-A04B-B0C0776E934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60E7A4C3-1BE7-4F11-BBCB-EB81ABB1CD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A84B4B89-38B6-464F-96B7-96221E357A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5C9EB2E6-A9B4-420A-B586-C871A74765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61905024-A289-4EE9-8B9D-5C327C9105E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342DA7A4-33A3-4088-8C56-AD6658618AA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6FBE6E59-1C74-4D6B-A960-2009395D0C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A6500408-65B2-4B3C-8C70-5E46042E65D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83B68E30-E47D-42C9-B2E0-043CB36BD3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EE7E01C9-575E-4189-8C90-6EB995A6EFD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13BDBCBE-A5CA-4A98-8C5E-E9BCF798BE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98E1CDAF-FD50-48EC-B8A8-C3CCB38402D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B6AE73F4-EA7B-40B3-B325-6309AEE54FD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298269F5-1841-499C-8470-7C2729A19D4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E24EA6EA-494E-442D-AD54-CF49CB80CE4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3C5FF29F-DAF6-428E-95B8-58CF4578B4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E9CA8BD9-D48B-427B-8843-ED7DB52C2A7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BB92C89D-A5F0-4605-A301-E7986E936B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D2DD7C9E-1569-422D-9B20-E13DC037495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A278E57C-9099-4019-A39D-26D48F49AAF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E807B691-1B16-4895-9DF3-1566BD0BC5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13D258F7-EF5F-4F41-BBB4-0C76AD4522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8B2AEC68-DA10-4446-B22C-D0D85D5AD6E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B9A84FA6-FF71-4569-8EEE-A222BF7481D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8B4C5378-9C7E-4E31-BAD4-2E135216AA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AA3B50EE-5A91-4A81-B336-C566E63EFE5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ABCF42FC-CE67-473D-BC82-467DB12BCFE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76FDC52F-B23D-4399-97C1-79812F82C5C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8C3F3198-4296-47C8-BFFB-C4D9ECCA53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652B193D-04EA-4382-8E31-76284085713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7D7FCF24-CD05-4583-B863-A9F93B89749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BAAE7E51-29BA-4AE0-A3EE-596581B29A5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8793FC74-5BEA-4759-B005-E9178A7C7A4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13194E5D-9E27-4E47-8C1A-4B8A0CB244E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6DE32E19-5812-4770-9037-8FCE47F384D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1759AD99-5E9A-4BE7-BF47-50B542FFC9F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56C48A41-BEE0-4D40-B4DA-2F55C3396C5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5F7D5553-B7FA-43B6-8607-1FE2FFEC2A6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24045A4D-21F7-481F-9351-D61DB54B109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D05E9E51-FA08-4349-90E3-7680C4248BF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A6DFAB60-55AA-40AA-9C34-D21CFAB880E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AC7AFE7C-A2B1-4CD5-BD73-90708812D45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C25023C8-0093-4ECC-800A-80AB0405C4F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C9E39512-9FDE-4C5F-87F2-177F137E5EE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32F7BAE2-8D99-4215-9D96-48E0334AA02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5C77D60A-4258-45B6-A92B-F7A532BA28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1B690DE6-FA37-4A75-A102-0778523E35C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85FA441F-ABFD-47C7-BEC6-533564FA7AD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F3363B8E-C844-4247-A9B9-B406A8C019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3C0B7B15-92A1-4ED9-8A3A-570BFC795B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607FACA5-9032-44AB-A1ED-15362180338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974C7A9B-5DED-4857-A73B-0F328EA9AC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33652CDA-D0D1-4087-BF8A-E9947AE49A0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541791EE-1140-42A6-98F7-40E12A22D3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9EC5BFB7-8C22-43AD-820C-522FE80B997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77F94438-D2C2-43B5-A4DD-FDF2DBC674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A43C54A4-AB3E-46AC-AFC3-A3B0F58C5A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104CC924-E195-4C22-A2AF-3BFC1E918F8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B7288E38-C4FA-4061-8592-04309F4D4C2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2D68A958-FF4E-4ECE-A9E4-AAB73B44033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5AF7575D-C016-452A-AAEB-252660E7E5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5AC5C474-E203-42BA-8370-B9145C000E6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B7E281D1-9DFE-41B7-9D12-BD286975963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8462919E-9DE8-4F91-A02F-566E45B785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4D1E56DF-E8C4-40D8-91B5-706C124DAD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1F7BDBC8-D9CE-42D1-A862-AD27CE78F4B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D1F1743B-ED73-4259-8AC0-56EA4FBAFA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7C4F2391-E4D3-41A6-B9C1-2716742146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C2CDAA66-3C41-44E3-B691-2C1286491D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BD9C5038-C1F8-47B7-8BBF-5BCE8DA9C3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7331D375-C5E3-4E54-8F27-805A2E145B4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09FC29DD-B78F-4A94-B2F6-438BC83D7A8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4CC1D8D5-BBAD-4B4C-AB22-79C536E095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E37DC21F-3ABE-479D-81E3-41DA21B78F2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A1C47CA5-559F-4299-9C01-D308FEADA7A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AF6C04E0-5B28-4703-BBD2-3691C810A72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B76B37A2-7B72-4123-92E3-24475F88E9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92FAB965-5487-471D-BCCB-B8437BDC5E2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7D92BE4A-4C58-465E-ADCC-7AE71E543BA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0F198E7E-5167-47CC-A79E-D88858034282}"/>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F3C5961A-D1DF-4396-AA84-ED805056BAD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2A9F8EA8-BB3A-4878-BB64-349665F38B7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E7E41965-71B8-4E03-96AE-CB095A4EC78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6F9C2CBD-54AB-4DF8-924A-2DA3736745C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66F5470C-51F6-40A2-8A31-7340F69666E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B17A435A-166D-4BCB-91E7-9009D43D227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D3063FCF-D1AC-479B-BD91-372FD5E473D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F6580AF4-E0D9-4F8B-9337-9BB653914CE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3125FD06-1E81-4D05-90CE-DEF83AAB3A8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9EA7900E-51E5-464D-BEE1-1E4EB8159F5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C5DD3065-5213-4D5E-86AC-9B4A1AA607A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F816F0BE-146C-4B8B-B330-3039F6F1656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9B64EE9F-43ED-47E0-BFD2-C4F3EFBEE43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A0ED09D1-4B23-4EA4-A622-969D80F9368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355E93F9-34AB-4BC0-ACA7-E1F6D937758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BDCC2029-53D4-42F6-9FA8-839B5B64D3E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9C1DC55C-DE47-4B01-BFE4-D6BB2978040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2737028B-98FA-4D40-AF9A-0452303F8B7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41D0BA1E-5683-4750-BD9A-4FE6B4C8BB4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C9D9E3A1-6EFC-41CB-8FBE-96CDB1BF487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F4B40BA8-B52D-42F1-9AAD-B98533A5418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86540D8F-2F00-4B3C-A1E3-285FE501E98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B7BB5139-3EBD-4684-8CA2-5BDD56C4B81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4C10001C-87AC-4D33-9625-5C8DF399D75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D410ABE7-A020-4418-8592-6F85919BD76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8F579FCC-786C-4416-9436-B34230959EF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5C4EE14C-41B8-4C75-8C58-A0ECDA449D7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FBCE9723-E482-4F9B-B72B-2871267CD1A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04EAC2A2-1A02-4FB1-B36E-A5ABE97AEB7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A017BB9E-BFE2-4EFA-9A3F-E543848CB74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A63A2D53-CC2E-4FFC-929A-1644542A1CD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A627891D-C3C7-43DB-BE32-8D21F6C8F3D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5D2D7614-DF26-4EBA-A52C-94954B9732B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ECBA84C5-7FC7-4680-BEDE-C03AA1FEE32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F7725832-43E8-44BE-A57F-0242C5CBFDA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7E2059EA-A8EE-41AF-84A3-2B0BB2E3F08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B82202C5-6A48-4BB2-AB9D-112FF02B7AF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D97DBBCD-4861-4171-9707-365EE79953B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28B8BA29-0F58-4A46-B80E-4F6BD1F117C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318CD18C-18E3-46F3-A2FF-1801B718355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DB90EF14-8D92-4F1B-B306-743ABBC82EC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9E7A765C-AA7A-4333-8BC7-362ABA9C314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EF569191-D6C4-466D-86B1-D8F9CBF55B5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13519EFC-B8B6-43DF-ABD3-A872E5AD57E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BE07AFD4-A49D-4499-91DC-A26AC27FFE4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D122E80B-036B-4EF5-AC56-2E27A80B4BC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B3CB02E3-67A0-45AF-92B7-0C98FA559D3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02120CE2-E022-44BE-8C0A-E12E8CEF28E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44451F25-8AA0-4F2E-86EF-6586B84E455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512C7C2B-EEFE-4BE7-9FD1-58AA3BB58E7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B64E5BEA-996C-4776-9647-D2C9F9359C0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F667AF04-6521-4FDC-B064-A344C685429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E0FE8F60-AA78-4F1B-BD8C-61D3BFB862D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42D379CA-2EE5-43F7-98BE-62E683D2F53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EEEE78A1-46C8-445C-BE8C-B8B0A437846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7B5C84F0-1FD4-4833-B6D0-038C7226587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C4E62CED-695F-4584-A06B-CDB1D68C2C3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036CC7FC-E632-4786-8A47-36E396C755B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7A9C6C2E-10DE-4BC9-B549-BBD2B6D9343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6F558B1B-0F8D-4036-881D-A71B02EB024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3DC7B94D-1A7E-4F4F-AEAD-F76930909AD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0796FF28-3573-4C1D-BD37-827889DD2FC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FA1321DC-51D8-487D-AE0D-C6A14C1568D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BE0973A7-499D-4C15-842E-5C7E4A2E4A7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5023596E-CEBB-4693-A723-15397BBD4D5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7CD2016A-1C94-43EA-A86E-0B594A9CA13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7BB85012-2E0E-42A4-960F-D2F7617E5E2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1F0B4934-C523-4D5F-B19C-35234572FDB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301636E8-22A7-4922-9D30-CE83CF08C53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54C2124D-A89B-481B-A33C-229F7866A98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B07E7413-1A09-4E11-B307-D2444574974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3DAA3D89-1A38-4828-9088-A46AB692AA9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C6D9C90B-BC59-47C0-8B56-26222A33561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134F5436-4417-4ABA-A0A4-21ED488B31A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CAE532D6-4D85-4F39-9499-A645D815E42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46E8DB15-693B-49F4-84CD-0527BB05756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A5C0A8A0-EDEC-4369-9ED2-45CB1C3EB42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AB87552D-B989-4B83-B51F-E90A35C734A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4E7E3605-BD2E-4021-A27B-A3ADB970CE4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661035DE-1D69-4F41-A47E-6EB852F26D8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4D2FFEF5-31EE-47E3-BF1C-B91DB9FA2A9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52B847BD-52C9-4EF9-B994-7CE14161763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8277657C-2230-4F65-95B9-80CB2A0B7C6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397A3F6F-490A-4AEA-AECD-D36A9211D2F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D2A1A5D8-C1E4-4C35-95DD-8A1380250DC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65E0FFCC-0239-489E-AE9E-B50A5ED00D0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7FC15468-491D-4BE6-BB87-8528ACAB6E0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5DEB63F9-4CA0-44EF-BC64-7FC3804631A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C8D0CFAC-AAF5-4244-AB74-3929687DA59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1506875C-BD94-4A5B-9E4E-E416C26CBF0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199BF48C-F74B-480B-A8F8-26E86B9F092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CA20D1DD-1922-4A0A-BFA0-03ECE6638AB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06C33837-E727-4D7D-B149-F75D6E1DB96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087700A0-B5FE-4823-838E-354B069E006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172004B0-8B22-42E2-B7C9-BB95595F34E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F7EE8DE4-2905-4A4F-977B-7989BC7C9F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EBEEA1D6-3C26-4BFD-B0C2-304398044BF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7FC39DFC-D285-4F59-BA98-8B0DEA51D45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15625FA2-6235-44E6-96E3-B383A9601F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6FE76BB3-14F4-4B93-9EBD-B4503A2DB5A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4AD6717B-0DDD-4993-B6F8-6DD02E9EA8B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25E22DBB-A0C0-4868-BB87-79CE6D89C65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D8C0AE35-25D5-4601-A4B9-8F12816CEFB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0D123B58-F977-4812-960B-302BB4F7F7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8CC115F6-B4EE-42D7-AAC4-C31681F1515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72F04444-46A6-4166-AED1-68E9C6EE4B3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733C0070-BE91-4CCB-A2C3-FB7F798E668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7DE24CA7-571F-483D-9680-7154EAC7BC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FF10ABE0-59EC-4FD3-8EBD-D99D241E770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523940AE-C3E7-4AED-9160-0D921294E42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F2DC6D73-DA0F-47DB-B163-0D55EC68D3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BD2D4BA1-E746-4533-960B-6D2445508A0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5A8DE42C-25DD-4210-8E76-E9BF4504D38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505B3AD7-5B31-429B-B5C5-ECCB4B7FBE5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622A4A92-76C8-4EC8-8D10-768304F16FE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B89902F4-92B0-4023-BEB4-A7EDB2579D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E5FE6FE7-351B-4F6B-87EA-BC6627C094C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C0AD8C04-734F-4297-9CE2-BE9CCEFD59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85EDE9B9-A258-4DF9-B03F-AE859A9190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58B6331F-0103-499E-8EAE-0AE2E9C05B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052F0708-0BCB-4678-8B53-371F11F2AAF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2608738B-8270-4FC9-9262-73216431E6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3853303A-745F-47DC-80C9-A2E8CD8D459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918EB2C6-16A4-44E9-B187-E8C3A75AAFB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5CC8B68B-5F41-48F4-B46A-8C0816B28A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6D96BE81-2CE4-4C3C-9C37-91E020123F4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CA49CDE5-762B-4179-BE06-71616CE13C3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D58AC62D-C980-411B-B3CF-0756261126A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9A39BF64-A446-49C0-8303-3735A4EDC82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E5BFFA80-32E5-4FDC-BE39-486AE5A274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53CA3C44-FB17-4E22-8646-09E0B80F215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58D339A4-AD10-4EA8-B332-CCC61715E7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F2E7CCAB-D510-4807-BE38-684B29AD18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E2979CAD-A1B3-421A-AF7B-313B8BD47B3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7F786A3F-7ADB-4858-9A6A-D97D558C3A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C6FE9349-F6E5-491E-ABDA-893EA975A8A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CEF00E4B-6F04-46CC-BD52-BCADC13BA9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826B9A95-1687-474C-BC23-3F03C1186A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A2D543F8-0E68-4A0D-A758-3684EF9AC1A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7D537554-AE01-444C-997F-65CFD744553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A02E6A12-0464-4175-BF62-A3846383341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6DEC1A4C-EFEC-480D-B1CE-B6A1634BAD8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A93BF20D-E7CB-4E72-8A95-AF1AEA21AD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51A0F60B-ABBC-4B93-9587-8858E8D5418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31F49DB6-CF6F-40C6-80BB-D47AE90EC4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0E74265E-AEC0-48CA-BF6D-F61BF58DBE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121B76C1-AC6D-4888-9E40-3AA4EB914DC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0E936674-4E04-42F5-B336-9074A694CC8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FFDB94C1-A9B9-489C-BF6F-FAAEF79EDFC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01E08DBB-11E2-4023-AAFF-7E8F216A7F7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6D850C02-A833-481F-9DD6-C4B92F846D9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26AF16B4-24A8-484E-AC2C-5336685BED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780D6533-C1EC-473D-9ABA-4F1E66BFBA7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4B0DA665-C6C1-41D7-B9FF-975C1AAF68A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D98037FA-25C5-4F0C-99C6-56DA2B0A62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D01F0B87-E745-4DD5-A165-0319B30E933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11A4D964-8097-4F34-B2A0-7F2FBC3515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B37E3D2E-30B2-4DD9-B405-740CA123BE6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7F2B2F76-1C11-46FA-9EF6-D86B273E768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8DFFBEDA-35F2-4D57-9552-A080BAA2ECD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0ADE7B79-F6FD-4C69-9FDA-056ECBEDB00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7020A400-9669-45F6-9D1F-ACB92A9F28A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8F58C017-C172-4A0E-9E3D-F17BF54547D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43A7780C-A081-4DC3-95E1-55F8FA3C20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3BA7CF63-CA79-4D08-8662-B856463E2E3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E74DB919-EF44-4194-9B44-173BB16C4F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2BB4D5BB-E2E8-418C-A14E-A16E4C50B9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F90B3978-5CA3-43F3-AED9-9E792A30722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60C12D8F-B2FD-4309-8FB6-3132CFFC6CE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00A7C4EA-CD64-40CB-BE1E-07CC5B56F4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2102F43E-21AC-450C-912C-EB08F2E3273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6AF366F8-00AB-466F-BB17-7538D107F36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4B3FFFBA-B83B-4085-AD28-ED523DAF0B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65532E73-4392-4A05-9318-A772CB1EA3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EAFB5122-6369-4163-9B53-34CB56C07D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E6FA4E51-C47A-417A-90D7-24435A0DA66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F112B4A6-FF58-49E0-81A6-E570509BFA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8B21CC21-6934-47DF-A8CA-54A1F24B3E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929E6A0A-2071-4B48-9D43-7DAB0D4EA09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45864888-43F1-4B37-BD0E-153EE6DFF95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57343B8E-E18F-418D-8C7A-1E9E18F60C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B5C74C04-8BBD-4566-B6C6-F91161EBB1F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BB6DEFC1-6E46-45D0-B143-DFAE34BF66F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B49C3E3C-25A7-4ADC-ACC4-6226241C17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DAAC2DBE-09E8-4BAC-9C63-471663DDD91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5F6A8693-7A12-444E-B6BC-60E00053A7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89062636-C386-42A3-91C6-D66C77B29F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2BC0132E-071A-4BEE-A201-D9AB8C9B700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A256937B-825C-47EC-8FBB-859B9BEDEF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3B574FCC-E328-4919-869C-729103807F6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3FC2EFC3-FEA9-4CE0-B820-ABE3A165008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B0DD6B49-939C-479A-9D9A-D56DAB1032F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E1154BAB-E7C0-42D6-A5FC-7846838B83F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617918BD-7575-48C8-A6D3-35F578C306C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E55CF7F1-D746-4E2B-8F65-A3BE284C873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D217E499-1605-4F49-9AFD-86849FD630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88D2E384-2B4F-4796-B8FE-A425411BA8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651F525E-67E7-48AA-85D8-983B8A36107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F1EE7D8F-387F-42E1-A8F3-BB5935BBA0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A9F3234A-9835-48DC-8D98-5612121FBE0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F251C725-FA35-40AD-921A-C3F34C9C27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F3FCE67F-ABE5-47BD-96C2-9D5C9033D3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628ADF19-D48D-49A7-9DAB-3F6EC3435EF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D370824E-0012-4C4B-B057-514B6648D5B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3F2E6F7D-ACAC-459E-89BB-C0DB742B511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D102977E-AA5E-43F0-AC45-B6D658C87A0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682FB8DD-03F3-486E-829F-99635BF1F7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7D95E507-4B4C-4248-B922-642CAFFDA22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48A2E5CE-DC3F-4D5F-9862-2A4DCC68F29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8A3D876A-1C30-4A96-AFCB-FA9057CBF5B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8D7D0931-F862-4270-A62A-26A0EA1EBB5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2AB5B99A-1073-489A-A258-515FACBBA1A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0E310D6D-577C-420F-A011-E77FE8655D2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056183A2-CEB8-41B5-A10D-8CCC89EC0B0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90B0A94E-476D-4060-9559-DA6D5290365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22067BDD-4C5F-48D3-AC3A-5A676C5250C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1BEAB47C-FAAC-4C65-9EBA-0759C588471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11EBA187-8C59-478E-A1ED-0C971C0C551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2CAF1DDF-6088-402A-9406-6E878AC91C1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9F390606-7362-47E0-B6BF-720AFC3A13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43001139-96F8-4972-B870-4E52113F638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87E82E72-A8E3-4361-91F1-FE5D604121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CC98082B-1ECF-4BF3-9128-9EA284EA1A3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15AF875A-4170-442C-A9DB-BE05C8EE764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59BF62BF-05ED-4A3E-B0DD-1795E8B8932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1EFB866A-A612-4ABE-A6E8-955518E1FC5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078F7E6C-3C66-4F42-B6F6-D293FEC1308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26741280-4A88-4FBC-A28E-0770836551C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051BCFC1-6536-4661-8C4E-30F2DF1A435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F8958C40-C558-4E04-9CCA-21A903C151C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2D7B408D-9BF1-4AAD-9F21-F25659E09D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2A8CC969-4A3E-48D0-A12E-6C25AA9B4FF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0572BA55-B743-43E6-80C4-93903E2F97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4FBE8C71-B873-48EB-81CA-FE2ED4EF3D3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124A125C-DFA5-46FF-ABA8-FFE64D5C38F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86536BB8-4F14-4174-99F5-CA15D27F2D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450C7ADF-F5CE-4AAC-8197-13F1F5FD46C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8676DE7D-772C-4BA1-876C-D5E3920A561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4DB37537-2265-44C4-850B-30F49AC9D6C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B0353CCD-13F5-4A41-84D1-F2C60630A36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3CC4AC1B-8C71-4D73-A99C-DB3FB3DEDA8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1D7085A6-B241-4F41-A586-E88B193FC6A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9CEFACA0-0AF2-48EA-8FC7-7D0F80E51BD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34AE41E4-FDF9-497E-A708-BF2072AD20C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AABD3C8E-2D0F-4558-8A10-7F2A26A57DF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1EE4C93C-8983-47C4-AC1C-7749D9C652E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33A0A8A7-475C-4429-AE12-5F2D9890A12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F9230464-F32C-41A2-AA88-22AAD1C768D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744A7270-92EF-4FE7-9481-4A75E5C964F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1C565150-F530-4CEE-A9CC-4DAB737061A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DD0688BB-6E2B-4F30-A17A-8404B2F5148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98E978A6-8184-4057-A1C0-2440E7D7EE8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302FA342-97E5-41F1-98EC-8CC69EE2824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C9B8F222-12DC-4DAB-B80F-5C3461A569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848E56EA-3621-4746-92B9-CC532FE305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9B456188-9939-43F7-A0AE-3446B615A5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0C2E00F7-B82C-4944-9159-CBA2FB0CC57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3A80F54D-0F96-4C13-A764-5BCAA3E8FC1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4EE13E78-6CC5-43AA-A8D6-2F57971E279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0F74D5BF-EBCD-49CB-A04E-B97F0DE8C9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5A2837B1-6633-439F-9936-E95E67E1116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E73048C7-41ED-4181-AD7C-0C011218DA3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B990802D-5607-4561-92FF-D67577456FD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7835FE92-6E07-4F1B-BDC6-F75D7E733B0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41222A82-AF65-4DC2-9552-A1BC5B3F2AC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A7C38318-74C4-4FD1-BA4F-C193E3D3B5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7C70BE3B-623E-48B5-9D63-C828126895C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5EE9A79E-08F2-4766-9B55-DE119854CE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62E2DFA4-EE55-4400-8A2C-6EB6D306EAD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E2D0369A-9863-435B-B5F0-40300251A4E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5D1E68AE-FB5E-4C13-A761-ED63259F0AA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8011E31C-5E00-4A7C-BD7D-9B299447F7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4D903B30-3ABB-4086-8E5E-1DECC1001BA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40969F63-B5AB-4B5D-9F71-A4779291257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EB272C1E-D9B9-48E8-A468-9B9E430EAF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735B54C5-FE06-4B0A-BBB1-E76571F0DA4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2E59A5BE-F025-41A6-B7AE-294496BDDC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64E49E82-F341-4416-BFD9-38A384D3EC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6BE62286-A7A1-4CBE-B7A1-8C60887EC44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7B933988-7F49-4385-9014-E568F446FC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4BF31C82-F2EA-4805-B612-974FEFFD5FE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00279050-A5E4-4194-8B2E-A4B948B6367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E885A1D3-F3DF-49E2-9D92-CA2EE867152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B40881DF-2580-4117-A6C9-97C98D288A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59355DD0-9442-4175-AFB9-BB4E3901534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69659A4F-E54B-4249-9394-80B42CBA38B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F7D94900-398F-4C63-AF29-03674E7CB1A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6975443C-0469-42CC-A76A-C5FF88E8A6F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162E9A8E-991C-482D-8599-8FD24F516DFA}"/>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7F217414-9E66-4D8E-BFE0-9B558FD221B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370DE190-6BB5-4D21-B234-082C9CB5AEA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E7FBB22E-34C9-4465-829C-4852C9D5A51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79505468-9F5A-4E5A-A38B-392ED998B5F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AE2C99B9-6136-49E8-9CB7-E17E1C8668B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5E92F59A-DA43-4C73-B863-FF5B605E716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D5714CF8-D61B-43ED-A853-913EFF0E01C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6B3371CF-D4BA-4624-8F3A-C6115A55D37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53CFE678-27CF-4959-80E7-57466760B4B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52AFD391-EAC7-4BDD-A44A-8F1D64ED844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B32FF321-AE2A-4A4D-B037-69765C67E6C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FBC30EE8-E5D0-4F3B-AE92-1745D6BCB0F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37E58BB3-4C1C-45C6-A9EE-203E27762A3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367B4817-53A8-477E-95DE-01C10E824CB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FB155C95-D79A-4AD7-A1BA-79E67B923F6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17B9F956-9D01-4413-AC3D-F0926BF03EB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CA8C07CE-9024-499B-90F8-C7DCDD13C8C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E01C992D-1ECD-486C-A6CD-190CB7AC1D4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FB0FA870-20BC-4994-885E-F2137403E93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8F1B8D65-6B9A-48FE-9642-AD1D51A75CB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C3FC8534-FCEF-4FA5-A949-1AC75880E5C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F4A2A48A-A91F-43F8-8B78-C297B3D5F94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FE2C8AF1-0F50-4290-88BF-B8A53E68E7D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AE4878F7-00AE-4F0B-9BFF-2D9430E9A6D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F60D23E4-B3D0-471E-A32E-7CEB93D846E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3E66C679-1F0F-4B2E-B317-1C91A79E7A5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1F7A46FC-08AB-4945-BE7F-483C6D47FCD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F1FD17E8-C41A-4617-8F61-B767BC66AE3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7563F813-DAD3-46C3-84D8-BEB300BDB81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FAB5D5CD-D7B5-4B00-804C-44F2C3EF26E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3F021ABD-97D2-4882-9210-1E207353A37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D2FC7E44-0FCB-4A76-89CF-9491E3F4B10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05597ACD-B579-4C42-AA1B-8DA8CC0B391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895EFA01-EF83-4A79-A417-E604285EB35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741CCFEE-CE08-4F6C-BEB8-FDCB4EEBD1D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A3DF9F83-2F11-4B95-84A4-9880BE70D9F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546F3C55-4699-443E-86B4-0DCCC1379F5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CCB1EBD3-8B58-4D18-8C83-4C75DA3014A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02DE432F-DD9A-44F7-B54D-4ABF5E0916A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7E00A556-FFC9-4A21-B4D5-0565EFD06C4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CFCDFFE8-3B09-4085-9CFB-FD40BC6220A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709C8794-9F2F-4C7F-9010-3CF66FCE75B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4359E4FC-330D-4E3F-A41B-74838312629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E7CDA1B4-E894-45A8-8DD2-34087301A62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73C7A909-2ED8-49AE-ACAC-454826BEDC7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0D866F82-ED38-4D5E-94F3-B0F747FB41E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49F4629F-D928-4DBF-98B7-9D60B8A26DA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F3A162A3-2063-4712-B7B0-C21FB6B810F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C931D23B-2AA7-4CE4-B417-9AA76EACCA6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E2A5232D-528B-4AC0-81E9-200AFBFBD05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F7C2DB3A-DE47-427E-ABBF-2F93B5C9C42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53641D98-E9C5-429A-A0A6-7A315756A64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CAFB9259-F55A-4848-A98B-930AC121CB8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9D3FF97C-AE39-4ACB-9B59-B99B2B1E1D5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E92E138F-C872-4C15-84F7-71E558945F7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1DCC1E43-C211-4A2F-AEA7-602438D2F00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D25F244E-88A1-41E5-8BF1-D870E61F771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04162944-60D4-46C9-B142-23239DDBF12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C2937C01-7B72-40AC-A8DA-53E9B0B71E4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84252D25-C085-4824-A1FB-ADEC7502E9E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47395A73-3788-41AE-992E-77030A62E89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10F4BDC1-BAC4-4446-B27F-4DF45DE64A7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F84A1532-F13E-465C-A535-BB887F4AD1C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BDAD106A-8E83-41CF-B26B-391049A2F26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E4FEE71E-BF2A-4C6F-862B-263110DB5B6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9D3D0838-CD31-4074-AEB0-FF3BB52B713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EEAC6FF6-27E3-41AF-BF0E-775E65A9F9D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5F7E6C70-0A1B-4D1F-AF5D-F76EDB7AA83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0D20C3BA-DB7F-4E87-ACEF-A4B0B9931D9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13280D1F-CEFC-4F0C-81DD-25F7AF15F97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C4E6C4AC-1357-4528-81B7-9984B11BAA9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305B7E6F-AF13-44FC-97C0-C3731C8AC87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E0D5812C-097D-4BE8-89CA-4D21E08939B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377E9CC3-ECE6-4DFE-9526-CE8F44209DE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B521CF17-5584-4A00-8FB7-C6788177A91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5254A3DA-C391-496E-8B7B-124208D2CD2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91D94591-C93E-470B-8474-C8F8B6AFE91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433C9472-2E81-4FAA-92CF-42F855F3B28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0061CF70-B8C3-49AF-A295-FB5AF944E86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9CA8F1F8-7BB3-439C-AF7A-FA6FBB5C9F9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175EA487-8985-4754-B215-D7969A8DD70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16DE9A0F-4659-4BF7-BFAD-9DCE5BAEA7D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7991E839-53DD-4C85-84E9-700F35009F6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9CA261C4-56CE-4153-BACB-426C796646C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1647EB5F-8418-4221-B749-4BE52CF9709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0161714D-FC54-4935-923B-B7B31AA5401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CAE547F6-277E-4E1B-B8DA-B09E9DFD574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81BD42FA-223B-4157-B78A-0CEDD6702D8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A72FC1AA-586D-4CB0-97AF-CCE1093CD5D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BCD7937D-2E69-4E45-A321-095BB5A36CA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B5B8B4B7-6082-41DA-8402-96934B9A5BA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D798042F-374E-4C87-AAA2-EACD8F7FDB7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73147090-F246-4B28-ABA2-F3F0A6319E9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BEB7F6BA-AA0E-499A-9F25-CBBDCF42A14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C5B3139A-CEED-4C2C-8178-8DB21C74ED3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A61AD792-4CED-4C84-8DBF-9B4D6D611A6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68B274F5-3DA7-4248-BAEE-CAFE146600E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1B16C07E-C65F-4C57-AD7B-62B16EC8F64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168FE526-3A04-4FFC-961C-A8334BF912F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1F850711-106F-4DA0-8442-1F6E882D79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4A1150D0-D978-4B33-A5B9-7D0B0B9D686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E4943A6E-FA43-4FF5-AE57-7ECF093F65E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ECF9FDBF-86FC-4CB0-9FDF-1C91E5BAB00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B6E77B65-A041-4FB1-8082-5144DEB1ACB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1F357986-54D0-46EE-8FBE-CC8A5A572D0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882E8AB4-6C8B-45F6-937C-306ED57D083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D8F55E45-ECED-4B66-AB56-13C3547EFE1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D75B7269-DD7B-4BC5-948D-244A7A9FA27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F8B0D9AC-521C-4014-A049-FB6C66B6E21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0A533749-406D-47D3-8ABA-31982D7C017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91416D7F-36A1-4893-BB82-F9863D19939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C8F100A1-F7DD-4087-9FC9-7F9890C4A58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B8FE4E5C-BBD8-447E-BDB9-76EB3A10456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CBA078D0-B689-4923-850E-85872608D8C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8AAC9183-1F56-4C65-AAA7-8FF5A8F804E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AD638E0A-B7CA-43D0-90F4-FBBC16A305B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94D47F8E-6689-4504-8C32-41505C1032B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46176136-0F60-4F7C-A6D1-35145BB69D6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EBC15758-5CF6-42A3-93A4-5CD8A9DCCA3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E5B0FDDD-715C-4F91-BF19-42353B1E4B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2B305893-BAAA-4480-A9CE-9B6878AAF7E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D7FE5974-F3ED-47C1-9B6E-42B979533F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E4E2835C-4768-4544-9214-E6864452871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6708194F-1B01-4D93-ACA0-64EFCF1C5D8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072C763E-A83D-470E-9711-D84C16EF9EB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DA31B47D-70E0-46B5-ABFB-17BC12A3BA3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9A24745B-AFF6-4C6B-9DF4-3CF7FC42448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4136BC61-0D60-4901-B56C-0C74996F89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9F33D39A-2F43-44CF-9E63-08F8D92A08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B3923ACD-EE05-4FCD-868D-1B524B16CF4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D7B00F78-FBC2-418A-ABA4-89B84504416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AD11B342-F2B9-4BBC-84E9-4CE9B17440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1903CE28-F3C2-4186-A792-5799EDB2C36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B73F11D1-E4DE-4A81-B792-A047B856DC7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8D7BF4AF-0ED4-4FFE-ACBF-D0AADF22C93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425B07B0-C859-409F-B611-35BA799DA6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21E5E562-C8BC-4AAE-A937-9178AAB42C1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09F91A27-8028-44EA-A70D-39BDCC6274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A1DBAE43-F63A-481E-B43C-E9AFC59ED28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5639BA23-A282-4465-9888-763AA5765EE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4A755EEA-8622-412A-9314-22B8BD44EA1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02F4F322-66A2-497F-8683-BC2101F8644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1DFBBA71-1E27-4853-9468-9FF2623F6E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6DA88CEF-9150-4F7F-BF92-DF9861C65F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4B117A7F-E5EE-4931-AA53-72ACD502FC2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95AC798E-2307-4F4E-84C2-1D8E5548E3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715CE07D-CFCE-4114-A1E0-3B2C9F09BA8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CB2DC5AA-E377-40EA-ACA3-32EE97B7CD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82D518A1-C136-4187-B21F-B5769D87DDB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A8A8219B-85EB-4ACB-ACF8-4FBAD366E6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39D24A4C-B6C6-4FC9-AA13-B26642D7AD0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7BED83C0-906C-4536-AF05-0711715BB92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50D49363-FEFE-4CB7-B7F7-8FA50E5C4B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85B075CF-015A-4574-AE02-4A8B6EC250A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14C71473-C9C5-4A6B-8E19-09B2961D93D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462F7FE9-1B5B-49F8-869C-5984FD302BC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CAAAC0BC-E607-4160-A38B-67A1A24CF88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EFAD850F-E861-479D-911C-CF5F93C54E2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E1F874F7-85A9-48E8-8520-DD80EE6837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005C5B88-74FA-4E50-AC18-31ADD5D3AC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54E0C19E-D5FA-45EA-A767-D142290EEA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72735CDB-3476-4BA9-AC56-24A54418EE1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64A6FEE2-1CEF-4881-AB71-A28FFB86D4A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31EE0346-CDD6-4F8B-A0FD-19B2DF11DD7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832A132A-7DF1-44B8-8B3E-24C9BC59846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2DC08D16-1BFF-4FD0-A32C-03E851B075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1003577C-6941-4773-9B50-16F2E36A8B3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F9D20E9E-B9F5-429C-9B17-3B371B9C218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3837316F-AD4A-41D5-8924-8FA8B26EE98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18C0CC90-61D7-412F-B6C7-23A865F250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89FF561D-18B6-4F81-9CA5-B3E57CD843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F1E72F7B-9956-4471-81DA-502A066B135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57C8BEB2-753E-4569-9529-BBD1E8B4C5F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65AB5220-7A4B-4224-86F1-DC7F83253BA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664E6B52-16EE-4E32-BCB4-AAE5C90A814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35B343DE-5AF4-4D5C-A4C5-1BD2B30CFE2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7B44B5BA-8D21-4D7D-964C-76D7D7D8359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C86CDBE6-0B5E-490F-9E0D-C5105113798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C725CA36-8B7B-4FEB-80F2-115885902C7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0643C3C3-A891-4110-8254-BF38237DC89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85274977-B1DB-47F1-BA0B-DF3B0B55BB8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2512B835-2D56-41FC-B4EA-F3F0ECBCDEB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8192F84A-4338-4F08-ACB6-B7006078DB0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1A1A7179-1F6D-4671-96E4-400E77C6A05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FF271F04-D2A4-4BF6-BB06-4FD90C48009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969B111A-F4A9-45C6-AF54-434D70837C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755A30BF-8FE2-482F-8F6B-98A80701ABC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4B8A0264-34C8-465A-9491-03CFE0885BC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AF2112E5-5B62-433D-BC56-FEE63CA1962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8776C2F2-B6B5-4F5E-9396-5B867D2FA07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AA401AC7-FAD4-479C-B373-B346019586C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0AE21A25-1014-4852-B886-317354AD660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BA160FE8-3655-4C32-AB3D-42B788B9FE1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C9234626-5E00-46E5-BA9D-DB5E011705B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A8F50DFB-479B-4BA0-97AD-F661D86A52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57E58752-9A17-4E7A-B120-B328F5F9455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EFDDC025-E405-4F06-9BB0-688CD73BBBA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AD226C62-2A94-40B5-B0AC-63E63487842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177110E4-5A17-4248-87A1-9B0AA71588E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0DCA2A85-0BD4-4EB5-8CB5-3713AE3D938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4CE33E2C-633A-4F7B-9C48-7B43A1ED29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D2B39131-2E60-4525-B25C-39D16184FA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BEDEC4C1-33D0-48FD-B00B-8D394B33FB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B5837807-851D-40C9-B16A-EA362325D19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D8916EC3-14F0-43A8-A376-69119C97644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D0CE4497-BDCD-4FE9-B0A0-7C8634F14D7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0725FD19-E99D-499D-9CF4-5AFF4975B1A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12D4B0E8-6883-43FD-9E7C-D4AB6DD58C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204BCA4C-68E7-4F4F-A70C-579BB4E97F6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4F167D0A-0A53-47AB-A29B-919FC78B39C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67645251-190E-417D-903E-D32A0F0CB11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AD39F62A-BE28-42E6-9ABE-455425AA7B4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FBCB8F96-5E81-487D-AF55-7544B3A988C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6E7F1EEA-174B-4E69-BCA9-F30331FAA89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2BA1CEBC-BBE8-4B34-8D4B-798ADC7E90C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53574C64-7B99-4A9E-BA6B-432C751940A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F35EF6CA-F5D3-47F8-999C-56C9D0F632C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2D67E558-54FA-419B-90A6-071CD292D7B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ABA1F6F6-EE44-4397-A81A-2FD71DF739E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233261A5-52EF-425C-84D6-CDB45F59CF6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106E0DA1-5B66-40BC-BD42-2E0CC7A2D04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8FD89091-D04E-453F-9B00-C85E351301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4D998CEE-5A00-4D34-B19D-DC976A44A50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D5D61969-DF00-45C6-A3C3-CDF2899452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09801834-9A6B-493A-B190-FF95A98555B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60731A9D-2C1B-49AA-8F8D-BAD5D74411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4DDA8ACC-3D95-4486-899C-DEAF1E3DA34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144DF4E1-1A30-4F41-B872-1AEBD75688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2992DEB7-AAC8-433C-B296-B59DCDD43EF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7D6BE4D7-765E-4FA1-91C7-4C515665F7F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988F30FA-BA50-4AE3-A0FC-63E08D6C578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65FCB8AF-DDD2-4A1B-B8FB-7CFFE1C3B4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01224045-4AFC-4917-97D2-E019828F14C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DB76C6EF-30C2-413F-8615-04580F7EF99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F6CCBD87-1F21-4B95-8147-EE626C9524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53BAA7E4-3E63-41F1-9DA9-2BD6634151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F1F5455E-3DCB-400D-BE0A-1B58BD215D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5F1FA7BA-8EFD-48A0-9757-CD1BDF62E9B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33C2A16D-F47B-4CD6-BD2B-603C3FB0B39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00A2DF81-7A8E-4CFC-8415-E3DA6E39D75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E0CB9764-EC49-4C51-B9DE-EE244EE1C1B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E91AC64D-910A-40BC-AC36-46C864767D4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45FFEDAD-8635-4217-AF14-A01913CE52B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689A41DC-3E14-4633-8E87-356E853D69F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FFCAFC26-68DC-4F42-8D7D-D70C96D366D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3C36310C-6129-4607-ABDA-D121D4EEF61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03CC3AAF-7A9D-463D-9B18-269F9A1ED4F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0855FFFA-77DF-4B2C-ABC5-DF793677DAF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F6276C52-42B1-4592-A6B2-FB98C02F418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CB6AD6E1-AEA6-4922-B9D1-B33942326FC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EAD6E5D5-2CAF-4505-A467-B10C7D85A27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588B0670-DC73-4F21-9C55-0870F98D04E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5377B54D-543B-40AC-9479-59F861D23F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CE423698-9ECA-438C-8560-9926EF1205E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3148CBA7-13ED-4B89-8A16-4A38BBA23FE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4751E819-95A5-4010-A312-08E4D5CF89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94A4D2A7-B285-4961-8370-43EE73A30D2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8DBE9F74-4325-42A2-8EE7-715370E8625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8B18DED2-25C6-419B-BB0F-52ACCACF24D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FE8C245D-80A9-4736-89C9-690B66F483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73BD56A8-9396-427F-82BC-1A596A5CB0E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97F89486-2D1B-4355-A170-85DB145ABF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6DEF10DA-69CB-4AB4-AE2E-BE5774D885C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9731B585-8DA6-4C84-BEE2-BC6B898E82B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497F1516-33E5-499C-9434-14FDD4C27F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C67B402E-E547-4461-A590-BC355CD230D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73CB7634-5A6F-4E91-9D32-9100255C644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2362A4CD-7A74-42C3-86E7-E19C11CFAA9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763B20A8-B7D8-43EA-8A0F-BB5488367CB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CD5ACB7E-DEC2-43F9-B7F5-25B4910EA0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79FCFDA5-69ED-4CC6-823F-94B24D16E6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EFC09E32-A278-43DE-BF16-A9444A0CDEB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653F78C7-1792-4929-A3B3-8846B65233C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0F03F5B2-7E01-45FB-BE1B-C244D39F326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B7F82168-16EF-4B76-88D5-25084B5C8F3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DC5202C3-1E93-4ED0-A10F-BBC9883101C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5B89D4B0-397F-4AFF-9742-00773BDAAAB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F3B509B6-C116-488A-B54C-4DE3BDE87F5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9CFC93E8-8CCE-4085-8EC6-2118F64D113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888A0A32-0EEC-43D9-AC2E-4DAFB9538E8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8A02F26B-A816-4470-B48D-C932D8C8B3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BEF741C3-2BA7-4B53-A0EE-EE811D0FCF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D50B0847-EAE3-438F-AADE-3E624BF180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9D6910A6-AF3A-4D7D-9889-5B6E780B031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7C002237-7CD9-4D35-BE77-5DCD2DFD07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20AB9F76-D02C-4118-98B4-C32B9013AD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1DCA825C-5658-4735-9FF2-302D82446E7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FE4B18F5-A560-43B8-84D7-E6E8D555DB8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81911EA0-75C8-495E-B125-2E7760718481}"/>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EEC14053-A6FE-432E-A049-F19982C641A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8237AD30-CFF6-4D72-8DD9-7202E213DC8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B0C1C195-F723-49DF-9A15-15BECFB1D42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A90C421F-9D38-404A-A0B9-C3F2A659765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78DA1150-D633-42C4-A383-51AF605EAB7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8A4C3A83-1CDE-404B-B195-5294D758DE2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5266D63A-B263-4717-A76E-622BDBE4754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116583EA-519F-4DDB-B041-070AED4736C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F276272C-0DDF-44EE-B8DE-23FBF5F185E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F45964AA-74ED-45CA-85AE-6EBB0DFEDA2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5DFEAFF2-2C27-4FEA-B673-A9ADFF26022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B0E8E10E-55C3-43FB-A0E4-A1E215FF2F2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74A3EBD3-072B-4611-8CAA-D3E0284DAAD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928CDB46-ADDE-4C9D-9A0E-11F932F9E24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9ECB6684-EA14-4026-93A6-231EF4E1B3B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9D91AF17-8C13-42CC-87C8-D739188285C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C42D6F5A-480C-437D-AD4C-D9DE5C977A9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4A3D5D8C-476E-4ED9-917A-6E21EED0A82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21A9D6C3-944C-4D3D-B482-4A695483264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999C867C-AEF5-4196-B75C-5630CB76675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31D04829-AEE0-476A-9F87-4BC601FA6DA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33F59252-8A4B-4D7F-85B2-C04CF138739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65BD05E4-59C1-4588-9A5F-BE0CA2C9C39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C66CCD19-5FB9-43C2-A5D4-D1878C82F16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932A1DB6-B070-4744-97B4-E87C4FE4CEB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1DF5A094-24C6-441D-A84C-5342DC9D91E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B1A22EA8-539A-4B55-83B5-AEBA5043DDA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AB85671E-0106-4E3A-8BA9-EE0DBFF7E60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E4E0CB2F-3502-4A43-B5BC-C3AB481681F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57105017-481F-4B7D-985D-EC0D8F8F806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84839F1A-276A-485D-A7F7-8050E7F243C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91A21F72-AAFE-4473-8B8E-77525DEC735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A31BD5DF-7409-4EBE-A81B-9A56F08FC61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35B544A6-1B67-4AD2-88DF-0031AFB1EE8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6A6A5247-C6D2-4EB5-B2CC-55820ED7CE7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E284C413-06CA-41B1-BE33-C3750878D0E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DF47E116-EBFF-4DBD-AB2F-2AA3BD1487B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36A83D91-5387-401B-99F6-2CEDEF4C6DB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678A25A1-2D0A-4579-A3D7-A8DDA60A74F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F41276B0-B650-48AF-B70B-3F63677D355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FAD5B5C6-43FD-48A8-BD2B-6176155E108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6FC6045D-5875-47DA-A7FA-344127F7FCB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880355D5-0CFB-47A1-9D9F-E804805987E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1A0E356D-39BF-49C2-A49C-26DBABA1A12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D60FF24A-51E2-4857-8503-31D3ACAC992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68B39EDE-4E2C-46E1-8B80-B16D8791135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4B7BCC7F-0A14-40B7-810A-F4E248E78DA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907BD0C0-3CC9-455E-A819-800A58DC63B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665AF617-4D5C-4580-9D8B-5D1DD586117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7CCFFEF4-5F8F-4FC9-A099-6127243C74E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57961C9F-E511-49E7-9DDA-66ED9C90470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351B8E51-ADFE-4ABD-BBAF-575F41317FA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7EDEA796-7DF3-43DE-A8ED-73FE74D9617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3F016492-B5BC-44B6-AFA6-895E8747D08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471F8DAB-3082-4F06-8058-FA98ADD19DA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BB581A67-089C-408B-BA94-CA74D2BC882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3AE8E8F4-9516-4B76-A8EE-CDFE99BAA5E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2E669400-EF79-476B-8E0F-0FADDA44F42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9A4B759A-D81B-4A27-9AC9-AC3E16A56D0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030372FF-7F2F-45E5-9F02-9D0FE693803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94EE3841-3748-4D01-B057-A65252CB6A0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0985C1D2-0905-433B-BF71-5818FBFDB85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BF539491-3C30-4B26-B914-5082E91F26D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97673379-C6D9-49F3-98A9-0AA2B54A663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607EBF55-3558-4F0E-86FC-716C43BB593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2F6FC4DE-074F-4B63-AE27-A1821F25313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DC3E01F4-48D5-4D13-8078-537CE39606B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6900C52C-704E-40D0-A525-C9B9AF30016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39CE3F3C-198F-4810-AEB2-9233D11A79B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644DCA27-4CE1-45C8-9483-01FBDEDEAD6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6094415C-7EC1-47F1-8B56-EEAD31B119B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808947FE-1391-465C-9F8A-6D252338EE7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FF268B6A-1C6F-4375-A4BB-291E5ACCAFC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04D1DAA6-DF17-4058-B1CC-757694D4458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4DD74FA9-45C4-40B0-99D4-1D488D6FD32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AF0834D5-2B37-4127-B240-B907AA807E6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EBBA7AC0-B711-4873-9942-A4EC9C57587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341D023C-2287-4D36-B31A-3852631B37D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A171FF8A-7FF5-4C03-9CB6-153A6DBF2B3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76BBC0AE-B08D-4139-9213-2F97A711351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5551CBDA-3DE7-4DFF-A5CB-5E4B3A0054D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4E29A483-DCAB-4804-9DDB-D67BC2B8F38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4E340E58-B0D8-4DF5-89E1-AA58B74ED8C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D24584D1-7C48-4F06-A0FB-7D7A8A5D7FB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5958D53F-AAC4-4DAE-BB3E-658085F3750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C32E286E-2706-4D62-96EE-BEDD6DEE10E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2EE2BE62-3B9F-41CA-8CF7-71E4ED6EBF1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EBDA2F77-30FF-43E7-A330-6AA56890D21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053847DD-9BDC-4491-B165-A439F06A65E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116CE226-3766-478D-AE63-2AE09B10501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9E1E20B8-EA4C-4D36-B85F-4E89B026F34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354F44A5-8DA5-4974-83C8-8835EA10EF1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26976535-8E62-4DE7-B8AC-61ED6AF64E7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1B19CCA9-4FFD-4769-84FB-47252400AB2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2F56D327-E1EC-4228-A00F-106C3DC8771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67EC1475-013C-482E-BB6D-78FE796886F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FFDFFBFF-3B2F-4F09-B013-295D2702485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38087E47-017B-4458-8BCB-1C70E53C2CC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FD00831F-C9B2-4FB7-A86E-0BED5522467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2F641DD5-93DC-4A62-BE46-93A3B309432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383A2167-D4AC-40C9-8970-ABA8A45E343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82D29749-3E72-4D3C-9576-8A5A5EC50AA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BB601744-FC55-435E-8C68-B0DD4AD2AE2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FB769116-700F-4D89-B7F4-9EA05F6EA27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EE70D507-ACA6-427B-951C-EED83A0F5A2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40B37B12-F013-4D38-8E8F-DD617DF45D6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ED5829AC-0B5A-46E8-BB9A-DD826882912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1022E3C5-D369-4F29-9357-1699493D3E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EE5FF05B-7EC9-4228-A292-4A7952F94E6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0DA8B6A4-4799-4033-8A18-427FA532BE3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E736F6AA-FCBE-4635-B703-59B261D2B55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32BB998F-84DB-4115-83DC-0C861E2672D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EB4B4A7E-61B6-4952-8B1E-524F2E94B7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4B034960-08A7-4B86-83EE-0C8A57DAA4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AC78CC6E-7E77-4F31-B2D6-5E1A22D371A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E922E9AA-EDC4-4926-B433-60ACC00044E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D439F10C-0C08-4715-AD9D-CD638552FB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1CC2945C-8136-4C01-8FE5-F0AF99B2E8D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18F1E91B-363C-48EA-953D-6FE5DB03D58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7FE37FB8-4F53-4240-B362-C3C095C68E8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099ADA5E-7BEA-43CA-8507-C47805CC43E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CD23B03F-1E82-4AF5-A0D9-04C787BBDB6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5C229483-61C4-48C6-9323-3B6182D2B11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8FE65385-9B0D-43E7-BA2B-31C159EA42A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B620A265-0757-4B22-ADEC-29DCADE812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47E51A24-DA05-474C-BB49-26EBA0A381D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E840771B-7637-4F9F-A2A2-23EFCD36B3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607FF044-5324-4ED9-8EF4-632155548A4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AD2F7CC5-F114-431D-820C-D092FCC3EA9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A9C4E610-E748-4803-BAA4-7212B15A45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83F4635E-FD14-41C0-B7EF-7C6D851607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C3294EA8-1F05-4BE6-B087-000F36C5DFC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E5DA0225-CF43-4A83-BC88-E0823395D75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112DD2FA-BBEC-482D-9E31-4789F1A4115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27B263E1-8357-40DF-8F1D-F1E20707D08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798C6B65-C3EB-4CCE-B929-4E8CE893C2F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471D2628-9BA5-45DF-8D0C-0C7C8F32B35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61616AC1-9582-436D-A8F7-7F550676768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DF2A69A1-4F98-429F-9EBB-B021395F6E2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2E7BA85B-09A6-457B-A72E-A8D591F58C9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CC32623B-AE0D-4F07-BF74-6FA5114604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C13CFF0D-3D94-46D7-A85F-33A68D46516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13A644B2-BC70-4E83-A9F6-A420E00F7A0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F2E6DFDE-3060-41DA-BCC8-DD088BFBE8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9C8E70E3-A497-4762-A785-0B2BC416104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EEA799EE-2106-451F-A483-35724FAC0F3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37B18CBE-B355-4432-9545-677DA263E9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B1734F1A-F236-4B40-8F9A-38E75CD23BA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764613A8-A5A6-450C-BF1B-4925CCF27A2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A6AE995D-46E6-4718-84B2-FF6E33C250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EFA5E482-0236-46D7-B947-046E667BD72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BEB5B7FA-9D0B-4C46-AB8E-93CA64AA8E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C9AF750F-2580-4D0F-94CE-6D2BB0B531D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ACCC2F19-420B-47AA-816F-2611CA146B3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A2146747-F21A-4C2D-A6B0-70458772AA0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EBE5A1C2-12B0-40AE-8D9D-5B177150EA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D0A77750-AF45-4C30-9F70-A5CE7D8DFEF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0932C8F3-9E6B-4128-95BF-54D2CD03DC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DC3E74EA-CD10-4E5F-B93E-12B0AEE9BD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740DD036-DC80-4F44-9E1B-49F928D9EE5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945AEAD0-4C8F-4E90-963D-99B73A89AB8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399F9A0C-862A-47EA-8E2D-E9CE42B2147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A18FBF58-8AC9-4D71-B40F-94DF1E0ACD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ECEC5C06-DB8F-4A2B-BACE-B250C6E7F3D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2D2C973F-A62B-46DC-9E22-F56D12A3596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9FCF93A8-098D-4FD9-BE4D-032E96F1A1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DEAB176C-F015-4C34-851C-62E28E3037D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F9123BDF-B754-481B-845C-3D9202492D1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147C3F3D-C3AF-4614-9CC9-DCAC99B2B3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89CE75EF-807E-4289-A071-FBF758260F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5193AD29-9F09-4F87-BC60-9C496AB6BB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2AEC6735-E87B-449C-991B-C707E53E409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ACC7059F-DC29-46FD-8F60-3FF08BABDF6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07D2B904-0D35-4AF8-AFCD-80D1E1B9E7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A38C02A2-C1C7-421D-A68D-7F7256737CA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4B2F1A50-0887-464D-848A-6F7982C1AAE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B2F78718-D40E-43DA-85A1-DAFA1D8D9D0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A80E942F-9CB3-4CF0-82F2-A81E301AEF4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703628F3-23EB-47AE-8C7E-E1A9A146047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C724A04E-D30F-4EF8-A384-54D9DF92EB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47A918DB-AF9C-48EC-9DF4-5DF0D94186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FB6598DB-51B6-45C5-8A38-A03E90C50FE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6225A825-BD86-4ED1-98E2-448FD1DFB59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62A107B2-CE47-44FF-A137-1456085890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70E3CB09-8307-4FE9-A090-E729DB50CEB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A9C7A9C0-0D4E-43FF-97B5-B48063F016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EE65922E-7DF3-4D0E-A357-01A05A2AE60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6B191261-F28A-43ED-B93C-3E1E58B5FC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7035EE48-7A5D-428F-B3CC-E43B85280B0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41EDF237-2AA5-4A73-AA91-C0B12E3B9EA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816A3517-2A4A-4955-BC1A-9E7930007C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FD21BC0B-0E5E-4CB5-A289-29B2EBF7DFA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1FC559EF-AC97-4EBA-BC57-16083A9CE3C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C8E8459D-F033-42F8-B997-0C7EA8CB88F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9607F28C-4A93-4A01-A0FE-91A78116A8D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BE6CD255-1518-4391-8DAF-F14BF1F484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0AD1B551-1AAE-45FA-AFC5-4176DCD2D1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DA3C91FF-67D2-4D5A-8CC4-0CBF6EA60CD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802C1B87-1572-42FD-BEA6-4C64760E078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9C57636F-5D36-4451-BC4F-C791CDF4393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14A7D028-046D-47F0-9F4D-CD4B503FF5F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FFD374EF-4E45-4D25-8589-9BE9B8A2349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CCAD3519-A0B3-486A-A5C7-C35165C5280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EE86CDD6-AFF2-4044-BF9A-0E967AB1A1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0A594AEC-23A4-458C-9BD4-7573B506DCB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87A06931-B176-4945-AB11-4FBF3DF3C4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C9DB1EDB-9C52-45DE-9FA2-DFCC45D52F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7F085B46-1F34-4BF0-B8A5-234C812DB15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C746D92E-B66D-4281-9AF8-45F80A432CD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B70A5E38-EA3B-4BC1-A5D8-89F5EF859B3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D53C5819-C3DB-4766-AEB4-2472C058C0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4E787913-3E23-400C-B165-0781388B336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A614C969-C8FD-47B6-8BDA-330886B07B9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E991B1BE-6960-4F9D-A5DE-9784AF5C81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30B745E5-50F2-4561-9F4B-594E9A2F6A4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A9F0DAF4-2ACF-4817-9D14-610F1048C10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7905F972-0BCD-4A2E-AD01-8C37645ED98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F547AB94-8FB1-4425-9A4E-BFEEE43149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A51E4269-6C13-4775-B3B9-398BC1F976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DBD61332-65D8-4776-83A4-5B6EC2AED93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CB3DD217-B0FD-407F-924D-C19BE70CCBE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7A2FBABD-E109-41B4-84C0-00732414D17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94642EEA-77A2-43FC-B5B0-D1B4C3CF52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1DC3D77A-AC2A-4727-86B1-5EEE0B64C50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C0F5FDA3-BF03-45DE-8AF9-DC4D0CE0E1A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9B9B9C90-6DE7-4FC0-A875-D92F4938DA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32BF46A4-7830-44D3-9DB7-C66F2DA33E9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0980FA4F-DD28-400B-AEC0-388FA43607B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E4E6840C-2BC9-4461-BBA7-943C5C30B54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F9DDF317-AB64-422C-B63A-5DC14EF0D49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DB232EFD-0D53-4322-9F5B-7E095B391F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690ABBC7-DF86-4AEA-A1E1-264D0B1903A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E06D6B8C-DD7A-4275-BD7B-6EC9363897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A94098AF-FC74-4A00-BDC7-9D3960F08B5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83AB1AB6-7429-41B4-8915-3332538398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532DEA83-B660-42FB-96F5-595DE23FC5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B2499ECF-DD65-48C2-8C1F-E181DB3993B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CE17AA6F-63DC-4DC5-8AC8-CEEDA71E5F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916E4616-9B51-413A-9517-FF8DF391D6C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8AEC8E1B-C3C7-4496-8903-C488B799E6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DBFFDC00-1570-4315-98BA-988444B1EA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3EAD8FC3-C0BC-41FB-8FA6-CE932BAD714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413C05CB-9093-412C-AF9A-8E91346C165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622C0F06-26E5-4C6F-9366-B7481F543F6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67347B8F-A2F3-463D-A2D2-AD1364129D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C51F5E40-58B6-4AB4-99E2-C447D91866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04E20ABB-E63B-4DD6-8EA5-451B9E8FDC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21D374C1-0C03-4A59-AE3A-9FB03AFCF2E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F3F66B60-15FE-4067-BFF3-9A27C63BB1B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AB0C0F75-E0F3-4F4C-A5DC-1D7A92A98F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022773CD-46FE-485B-86DB-6CFAEF2731A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EF6AC493-2685-46D2-A4F9-2653AF68F88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9D8AF3CC-431C-4D75-8DFA-960A02D8461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59F5A01D-C9B5-47B8-B77A-C039EC9D659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B5AC2205-C3BB-480E-8C04-16E21465E2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21291DF4-E51F-4D1A-89EF-2E1D5F04B8E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94CFF5D4-0109-48D6-B092-C8C98E0B931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E1D95F76-BEB6-43F4-8797-A9BD9071BC9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CFF674BF-1265-4DD7-BE1F-7A1BF8DC47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22227152-828A-412C-8D01-18E236A653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5EC78E83-EF4C-4FF5-B9BA-7D78104039C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E4CF66FD-BEB5-403F-8C4D-CA1A42DB949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921C58E2-1AE8-4F36-9AD2-564231105A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011F9CA5-3866-4BC2-9BB1-6540E43DECB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3712B8D1-7EBA-4342-A035-9455F05F0A3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2DA56105-EF6A-4951-B578-31CC598727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42D35C59-C720-41F1-8150-AA7AD6A89AF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C0F1FB05-33CC-4B86-B8A5-0EEED51FD2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6F549B3F-EFA7-4605-9850-29D79E54D7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5549518A-C77C-435B-9DAF-C7F35693FE0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7A5CB137-C92A-4EB5-930B-CFA99D1DD5F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ED2FC4D7-12AB-42FD-ADAA-03E655D39F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F8F2A69E-5BDE-4C42-B9A0-C1589925FF3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5337F728-7DD9-4965-85E5-76A183538C3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278CD606-A8D2-4746-B379-4AC9CAD521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0D7D6CEC-2CA5-4D4F-9C27-FEABAD1D2EF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F68A4196-2017-4672-B5DF-92AED42852C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93F96A69-C3B0-4AD3-AE1D-F5E49AE7625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84D60EB9-4894-4E2C-A058-454ED583DE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2CCF1632-CA6C-4B6B-A658-0E32AECC6BC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976C4FEB-B844-48DD-AFA8-DF694512426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9A2EB1B7-29DA-438E-97FA-9F087578ABC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4A143D4B-7AEF-4EA4-BD3F-E37A73C23D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22B5C0D9-A467-4115-9DE4-1CB78BD0AB6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D71B3946-4D31-40F8-9AD7-074C0E5E0E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050BC2B8-E845-4F1E-887F-2FFDBAA21AF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8D76235C-8026-443F-B8D1-FBF850BB826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F7FFC986-D3C4-4002-BC8F-1AC8AE28002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560EDED3-BBC9-4537-A19C-582DC4654D27}"/>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3879D0E4-B97B-4C01-B622-5CC51EA22D3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755E8953-46D1-4DC5-B24D-2F7955BE215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73B28A8C-AA75-4ABC-9969-1957E6CBA9C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BDCBA88F-F8A6-4C07-8F1C-968973B1F1B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E1F9580C-19BB-42C1-8368-008FE3FD591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64E6E41A-31BF-4EEA-BC71-0E66D0E4E57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2CFBB4A9-17B4-43FA-BD11-A8723AB6D0F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EC0102F4-D15D-451C-A2EE-1A330B65852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C2FC671B-D66B-4457-92A4-8B4A2A96244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F952D990-2644-4BBF-82CA-E38BC963998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6789E033-886E-4381-A93E-C2A6FA77AA3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B3377733-E8D3-4327-A6C2-183437AD7FE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412F18E7-BF80-4FB1-A646-3FDB944A1B6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4C631590-2DEA-4904-9C41-F60906B7B49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5646A6EE-F88C-4C94-82E6-BB51E8C93BE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A8C896B9-0C9D-43A3-95B7-BCB3B0ED2DB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E53FF74D-6F6A-40BE-BDAB-209931E266A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BBC0651D-CDE8-4054-BA1B-E1A9579FA9F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C086E399-D018-4F2A-8E7A-82778C8CC75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E1F8D3CF-4589-4932-953E-99EEBC3115B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E7B11273-BE56-453B-9CEF-57B498D5D81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3D839B29-B8CC-4572-847C-F72764C4620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6F3B1148-CAB8-4E04-8084-D007728D230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A5D306A5-2897-4177-96D9-13EF6BC2238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1662F443-09B6-4A3F-8FFC-6E365F7A21F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D6CF06E2-CE01-44F9-8500-70E0DC5F151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D7F7E583-9D16-44D8-8C8D-50D2F5DB8E8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F05C3912-5B44-4B95-B6AD-EF3BC6CAE7B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138D3315-5153-4E90-A518-DD358F8D2B4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DFDF01E7-707C-404F-9CA8-33B09D247A5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7270446B-9CBB-4B6B-BD28-D9E82659B66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658BE2F2-F015-4010-A320-7FAB43AE81E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6CB4DED2-D454-49BC-AEEC-131D2E2668A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74050788-B8DF-4C6C-83E5-AF8B07DA762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C7AC8819-91AB-4DBC-B164-8FDC031381C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7B0D1291-C9E1-449B-9AD4-1E302FF0F6D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38063CD8-F5E5-4236-B0AA-563A547ED5B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F39164B4-FE05-45EF-BCD4-04673D74461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553F9202-3274-43AF-B0F9-C5A2CB8A12C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CE260361-CA37-48E5-8515-441B84F5E3F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7E06CD08-F59B-41C7-AB3E-7676263DD14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875CFFA2-42F1-4C33-B9CF-2E9A5B9AECA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F0059A11-DE5E-4AC1-B3C7-0CDDC7FF0A2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7A147DFE-E428-477C-AEE3-B2CAD7B2B7D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F273468B-C0C1-4430-B780-964BF2C52E2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92F3298B-8299-4D5F-96EC-E748EF8A74B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6494D81A-61CC-451E-8570-1CC0CE583C5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936D9CAD-B073-4B98-91F4-7558D7F4EB8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88383C36-8855-4169-ABFC-7EACCF52A5D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09789B7E-C63B-4A7E-9A95-AA8E41F0B65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B07B84FC-F0B4-4CBB-BDCE-5BCF2AF6137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F3BC663E-1434-46BA-A568-58CE207BC37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76637B4B-C20B-4874-9433-F846FB69F15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1A1558EF-B7F6-4D11-BF4E-6C14D2A2F40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61D5381A-2EDD-4AA8-8690-EFC6B907833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6946CBA4-5CC1-44D2-929B-4EA9AC1CA0C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1C831889-C933-45B1-BD2B-074BB8E7008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B1F70E5C-9D1A-4C80-B20E-3EB34314CEB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CBCB2F68-7AC2-4F2B-A2AB-67F617397B6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28C7B488-2B6C-41CE-AB03-46D7357A59C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4295F9E3-98E4-408F-ADBD-0382C52AFEC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EE4D664D-D097-4177-9E5E-E116FAAA91E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7C8BB646-F48F-4F10-BD0E-30FDDD905FF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E854CEB0-0C77-4051-924E-33897272FB7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CAD4C1FC-2A71-4082-8094-34F04E8FD56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90F079E7-4EA2-4C91-BAF2-B0B80FBF18B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50CF3766-E1F0-4418-8C10-EC07E3C3D5E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1916505F-B8AD-4513-A85A-019FE5E5CA3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7D2660AF-7D80-45E3-85E6-57C3DD24F2A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3F2CCDDA-1695-4DD3-80AE-623C4459518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AB7189B3-CF1B-4ACA-84BE-82DB8B487E4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577F462F-D15E-4AB0-A2BD-6E110D0CECA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080CFD96-21F4-4D07-8BA1-8942E2E6FC3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FD438761-76BE-47BF-8579-0FC69F6FE0D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340D0BA7-E864-4A7A-94B7-AEDE854FDF6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7BDB68EC-94C0-4925-8A09-249284EFD14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B5891F5F-1976-46E0-B75E-56670C89C59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B709339A-4BA0-48F1-907A-17E0A62CE46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45FFAB19-C158-4FE0-9747-BEA2E689FB5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25360B87-304B-48F2-8DEC-D168B4492FF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4C831F01-5748-41DD-B40B-890E1340FB4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E4931EAB-A687-45A6-9C61-318F2A27BE8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55A31CB3-9EDF-4BA6-8BE8-F9A77FFB9B2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51799AD0-D70E-4BE9-AE75-01DDC3FF72A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B7A013FD-A9F9-45B2-B829-E3296FC5B4F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A618EF42-74D3-4E98-9A79-19F076C6922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25CE84BD-068F-41E2-A91D-A6159F6558E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ED23C4F1-2E3A-44B1-98C3-2BE72D0871B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0C1F00AE-A1B1-4345-B93D-47C4228DF00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3EA9233C-EA3E-470B-8852-5C9D0CC38D4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D9B747C4-250C-460D-8F34-F9BCEE193DA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A10E63AF-2496-4B33-893E-61FC620C551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0FA53094-028F-40D7-9C2D-CCBD31B01A5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F6EBEDE6-3501-4732-AE1E-BF644B9E71C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EDE8BF95-157F-44C5-87D7-98DB2A3E6A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A27BCF8C-757E-40EE-A8ED-64EE81A3A03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E8C6DBFD-E17D-48B5-8E59-49044C93F7B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DC3C856E-351E-4F1A-8551-1D7DA699CD1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DEE0D8D8-041A-43E5-8A1A-7E27FD31BC1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37C3710C-D6A1-4871-9528-5005BF91610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EA326D24-9718-4150-947F-C086AA97181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EB11B26F-FED4-4CF5-88F3-68A558078A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1E1E7648-6880-43C0-AE2F-10FAA21CE4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9981194B-46BC-4E0E-9E64-ED03E255BFE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B7DC60A3-CA0A-488C-85BC-3E9AE51F4A5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69D59449-4D24-44FB-90CC-490B62E744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6D86A690-554E-4AAF-AE30-FAD653B30C0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D86AEBA9-DF42-427D-B21E-B6EFDC062F1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B850A8F5-FCA7-493D-A6AD-978BCAF77C5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55B1702F-B889-4D3A-89D8-D620D1E1BA1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572A45DE-1404-4141-9E51-CE716773EB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A09E91F6-1136-46C1-9C39-3F739D63E5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88BEEB6D-5602-4FB5-ABF8-0C85BB17808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3F622A3B-A87D-49EF-BE18-8FAA8C6760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8C2C52B3-426B-439C-AFBD-15091B45E75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A589C6F8-57B1-4805-ACDD-45573877E42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6801342B-0EEC-4AC4-8099-6A33FCB9153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8FA7990F-E129-4A1F-A367-9319506B83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F15162B4-FBEF-4E8A-AC60-4E086DCCCD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0E7C4982-505D-49C7-9236-F9BDE38B28F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82458F08-0739-4DDF-9F2B-37E28716F4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8566BDDA-7205-45F5-9532-3F5F8E4824C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7457BC5A-EB1C-4237-B18E-E3A6A8EB15A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17CA5038-6700-42EA-BD81-88C109714A1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43832BB0-91A1-437D-A9C9-F97DC12092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29A36E29-E27C-4B0D-AEC9-4ACAF5F3157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0AF53D56-21D0-4270-9A5E-355078CB41E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D6C20512-4D33-4492-92CA-00716655B6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EE2BBC8A-226E-4E81-9421-A457DED8C1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3A561AF8-5F92-4B0E-BAFE-FAED20AB0EB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EDF8FA41-BC79-4D63-93B2-2A1044277B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F58C68C2-2F8B-40DA-A78F-56D72683C2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6CCBE33F-1DBD-4F16-B309-36C49F83B52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FFBB836A-64CE-4D2C-A251-E4747A7EA25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6C4D1BAD-A57E-4DD0-98A1-20F4E8D45FF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292C7C12-84EF-42FD-AE29-D727DFF5A66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1615B99C-DCA4-4CF3-9E97-E6F0C6312B0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9C79DC4A-E1C5-4577-AD51-0FD2F8B21BF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E568D305-E05D-4CDC-9EAC-959FBB0618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E488A982-AAD8-43C0-A534-104E61687C3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F41A819C-8E40-4626-BA77-7E3FB218D90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607D7AE6-15FF-4340-A499-D37D45F8E75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C0085EE7-1337-4340-98D8-9DD15B403A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98AAD8C1-2FE7-4CC4-B512-B8CA45ACB0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84FF13AE-05E0-482A-8432-D5CB5CD45E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04FDC0BC-A6B0-4F62-8C8C-061CCF19DF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B9F9805E-6C28-4117-B5F5-A936CA526D7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4DB164E5-362F-42A5-B738-28B128DFEA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5E7F255C-15F2-407C-9A24-578DA02AEA5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4A4C98CC-9215-4192-A768-7CE69D35749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29780D06-AA70-4419-ABE4-447BA6CF8D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71D253A2-790F-480F-8652-5B47A6C9158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D3D311A6-0E56-41BB-9403-D316F4E4764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69D973EB-0339-42D0-8E26-6D11AD8CB2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AF78BE49-CB84-465F-8A34-B59841585C1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1F1A93BC-06D6-4B04-B5CD-C4C5C727CBA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9D78598F-3C62-4BF6-B286-D69BFF28F94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51CF91C7-8BCF-4789-A1B0-2D7C3321B40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D89593A7-B810-4078-ADDC-E9F2AE834A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9695BDAC-465B-4054-B9F8-DF3B4403A7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AD937393-A012-4EEB-BE81-860CF3E616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2744549D-6FD6-4D65-86A7-5EB1F0B7565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B8813631-724F-48DC-B925-8A9A60B00EC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D5FE9429-6765-4886-A3FB-B16B3C9A740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454E3DF4-2E60-43D8-97E3-7BE61924E2D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A39F1A63-60C2-4C21-B9C8-DB48953A14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77975C37-F32F-4E66-B3CF-7F19F920DA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1DDE96FF-CE53-42E1-A89A-D9F2B3E405E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374C4E18-DDC1-4DE0-BA2E-6002ECCA15A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C123648A-4C8A-428B-9F10-16989BA6003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C9D1171F-9930-43B8-89E0-1C76E136121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C33E274A-6C10-44E8-A01C-BFF284E6186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E0FB48EC-2884-49DE-AD73-41A79689F2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AC2DC8AC-B5E5-4778-B580-B737655407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DA4ADFD0-636E-45AC-9D5B-62AE7F47D9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B571DF15-167B-4BAC-8C09-772848C7396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9461B405-6AE3-4953-84AC-0C7E7144CF2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0A786261-7B7E-4B35-8C60-33F5FC96768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5748B13A-29C3-4095-B406-6C2271CA01C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7255D1DF-7385-457B-9042-CACC67DDDFA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2F95AA55-32CC-4EB1-9FBF-4297F48B65A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F7135272-A689-4139-8C0E-9C429DDB11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09F1F416-9EC9-4CD4-8752-00D54088FC8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BA5D06FC-4CC0-4542-9E16-A4AA288315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AD98A68A-072E-4DFA-A5FC-ECD993E9226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46A52BFA-92AD-4733-A614-ED6FBAEA100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8540C9F3-DBAE-4619-8332-A500425B5E9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2C656141-4A71-43F8-8FD5-57B5D6326F8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5353475C-FADA-4CC0-A740-AE08DB10C4A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33BC616D-357D-4BEC-8A26-035E2879268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EE8F7E94-6B5D-4C6C-921F-5D0C6A3F761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B1719547-FC3A-411F-982C-FC558709DD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16BEC4DD-3C45-47E3-8759-DD63FACE2FB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858D020A-08B0-4AE7-A4EA-A37B6FE7AA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7AC50AE9-99E0-4661-807E-9C4EA241083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7BE287CA-3611-43C1-B500-C863BDAF401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8A22ADAD-51E1-4EF5-8F74-34BE1455639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83A73DEF-04BF-4BE2-AD95-CD0036804E9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067F090F-EA38-4121-9412-8A541997D4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EE70799F-6DAB-4142-B8CF-71FADBA9F6D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AD39B7D6-40D7-44CA-A2AE-12AAA24C16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C4E1B88A-67E0-4A8D-B7C5-2AF0ABE8CDA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63EAE21D-F93C-43C2-A9BE-2D2F9263C2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E8BC376D-EF64-4B6B-8184-D89706026A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616D4EEA-2BDF-414A-8A4B-CFD33F9E384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5D6CB32F-7D7B-4E63-B4E3-B4CBC8841F4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751B9AF0-95BD-4D5B-82C7-5E8C909E02E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ADB9B1DF-FB13-4B7F-A32B-37696756C96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5F366D90-BD51-4E71-A9E5-799B9C62284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6BF9E457-880A-424A-9713-81FC4D203D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EEF551AA-ECF2-4A7E-923C-60535407028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9A4890E7-497F-4B46-821D-F0E13F363DC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AFDAD0EB-1EA9-4A99-95CA-AE7AF895D1E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D7F8C2B0-3DD9-4A6D-B24A-AA0865546FE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137CE8C7-F796-4FCC-81FC-5E88B06EFEB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CABEB676-1ABF-486E-96A1-AED28383837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DAF974AE-050D-4846-BBAB-61C8DB8325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45DC9350-5EA4-4382-A86F-CDCCBAD61EC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6FB5DAD6-BAD2-4DF3-A445-C06CF03F1FE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EF10AAAF-2E31-4919-8778-A0BF0B0247F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C8953D47-EAC5-477E-9074-4781B287A12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2C2641E0-98BC-4C5D-B847-35AA51B28D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B1ACA460-01D5-4603-B953-98778E6B80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2ACDE192-AFDC-49B6-B239-0692D5B30AD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AEA8F9FB-F5D7-4293-AAD9-9B183D6DE0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C5C4F119-0A6B-41D4-ADAD-6821FDE3EA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D87E81EC-1D17-4F65-8A58-2B3C3172805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126DEFAE-DF57-4931-8408-CD10E5853A2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BC63EC5D-074D-4DBA-97A6-F0B9F93BD51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E27A9DEB-75D7-4F44-883D-B0752AB948D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124EDEB9-2C7E-4E5F-8D38-B9C5C94F4B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4484EB54-2894-4790-A331-920DF727B2C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B4286E05-EC03-4C1F-BACC-B5429F53587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B48986BC-8465-4C0D-8541-A8F110BA63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05559237-C112-44FF-9543-1FB5A2B7238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061A6565-D843-439C-B014-0E612D495F2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AB293BBA-DFA9-47E3-8EE2-CFE6F9228C6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AEA0FF8A-D616-4A09-9813-FB71F60E72A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571FCFF3-DEAD-492A-A5B8-A98F0DE6CC9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6251BF8F-67A0-47E3-B89D-5980EED8E9C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75AAFFC2-450C-46EE-B4C8-CBBC1A570F3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F1DCC52F-C2CB-4802-A220-1337A6C3365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3DC5918D-556C-4324-A726-3C6ED48A2E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F4D05CC1-09A1-4E8C-903B-383C824BE0F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08D64540-8001-4020-BB49-CA7EFF92A8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527F9D02-77EC-4E67-B955-C3D61AE475A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CA76556B-AEF6-49D6-8C1F-494783C6B9F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25AA30B7-DD2E-4A16-90C9-47A5FD2E79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FBFC469C-3D3A-42CE-BB43-2D5C9B2E77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F2CB03D6-A529-4A9B-B515-EA0B011128C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9D7A9052-1CF9-4C28-A021-5D0C5F8D837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C9882980-CC41-4838-83B8-7096A85EBB1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FD427231-22E7-47D0-8BE2-5C6363FFC1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D45E96BF-DBC4-4369-8BF0-F4E3D1C330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357C08A5-A593-48E5-A585-2B7138C662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8E794DCB-3C9D-4010-916C-5E89E24F53B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C873A042-AC85-43CC-843A-7A649D2FD8A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443BC489-62F3-495B-956B-29754B699A3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1BD59A42-66F8-4C39-B8AC-3E5B28D468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94DEBF2A-DAB8-49AB-A445-92D39A08F08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9F181729-DDCB-42BD-8489-BBC5696440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05E3D0C0-BD40-4161-AF23-451D755A592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250F1F65-82E5-48CB-A220-417443FED1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C5EB8AE4-0478-4980-BD3B-2E3B59BA7BF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0C66DBA7-280F-4A55-B4CF-1DB6B7C15CF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1B949994-020C-464A-A75C-8807890022B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28D0ABF4-9064-4400-BAB1-9B67A2E57AD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530FE7DD-86D7-4263-8CC6-F34AE3CC392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E3478719-6B08-46D5-98BE-3FFB6DD7A59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167BFD08-9840-4CD1-84A9-33D872939E6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1CCE2C27-2805-4071-969C-AF21262E52C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ED38A623-F0FD-4058-BCAE-0FB8BB6E6A6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7403F21E-0C04-4FFE-81CC-FC218131650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B0CD1640-F756-4F79-BDDD-F66AEEFF85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696E63A8-BB4B-474B-9CBC-4E7B244C33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4BECBE96-7F27-489E-A963-C9B72FCEE0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0FF3C0DE-12B0-4C5E-8523-CA8412838BA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6635DC84-BC84-4FF6-A639-CA36198D92E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07525192-34B6-47B2-8E4C-A57EEB642B4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1A4EB60C-D854-4877-AD14-09BCCD5F31B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BF49B645-FC6D-4CB1-A7EA-EDAB58E5D62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735EB794-3A77-4581-A2EC-F0B9404B448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88A6AE51-3702-4685-8F10-3B1AA7F05A0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A2EA0402-0F94-41C0-9EF7-E1C732A970F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B9255ABF-C2E0-4AA5-A3D8-BB5E6D902D0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9DB24936-BDD6-493D-BE7F-8DBA48608D2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E9C63F46-08AD-477F-8F91-2B75AF3B3EE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C1B72D5A-171F-43F8-9867-9E3A230E37D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1CB7F8FB-1E80-4C72-BD38-9CC84DC33B45}"/>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15B66E9A-793A-46CB-A501-ACF6804D043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9703B027-FF3E-4BF7-B4CB-53D2D36C16F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9E82D655-D915-4FE0-BF33-59D7A91DC40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BC4A30E5-C8CE-4D53-8217-D6F2E860FAA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8A9AFF33-4477-4546-A3C6-EFC8267617A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0D60437F-C153-4ECA-896D-1F2345A5331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FEA38DB3-3CE4-418A-885B-BBA651E6480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8E39A9DA-1EF3-4C03-BA89-83FC65E2C52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BECD7D21-3863-426F-93FD-3CA22F3302E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7941ECEA-6021-45D8-99B7-0EEB88B21FB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F4FFD789-93DD-4248-BED9-727243B3674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1ABC13AE-F358-4A4E-A69E-3B8267197C1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25DD01B3-9DA8-4847-A719-E3FC3CFFA4C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43FCCBF8-9FBD-41EC-93F4-3420F7A610D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D92C0F2D-3430-4A26-9652-ABA7FEB8DDE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E4CDE69A-A33E-4F83-9E5C-C05E5BDE03E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6F9A1F05-97DF-434E-A1AF-9036F0AB744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6F4B0E5E-8D1D-431B-977C-11E1E68D2D9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9DA1AD54-14DB-4477-A3A7-66301A3DFD9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AAA7E81C-FE1E-4FBD-A879-E44308CFD59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F7C771AF-44D8-4AD9-BE59-4928288420F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1453D9B4-9CF6-4A7C-907F-240F383CB0B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4C16F54E-1FC7-4AE1-8335-156699391B1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CB53D296-325D-40A8-A26F-93DA613F1F9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5DB1A779-FF46-45E6-8823-784869E5063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4E3FBC53-22C4-4ED3-938E-CACC4A73EC7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CD25BF67-11A3-4AA5-A26C-7516B30F31C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CA503A20-245C-431A-979E-56555418B58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771A9D11-0F78-49BB-BA57-883ADBDA70C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67A41AC1-9B68-4851-B815-2A64A8D520E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F51C6DB8-CDCB-4F45-9DED-56140A9B244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75018121-2094-4906-8418-F35960FEFE3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862C9008-6D31-46E0-A61B-A4AC3CD1F4A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54CBDC66-2E7E-4D4E-9460-8CC2BDA4036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BF02C94E-5CF5-49D7-96C9-B0D96B288EF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A0F74515-98E2-4CA4-935B-09498100EEC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C1184A54-974A-4E68-92F4-18A1E1651D6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B72569A4-D59B-4E2E-A6FA-4BF061304CF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EDC711BD-D4A2-43EB-8545-89503A90448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1A790994-2D54-447E-A845-6D477DFE380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74D20190-868C-4355-9E7F-52A21F5121D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7A2F9200-8A0C-40F4-B5E0-DEFD06E17D8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D3D5A025-168E-49F7-B81A-35AB5A10840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D4CEABD5-0BF3-4B8C-B9DA-5E007B3E0A9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4A360748-A22D-4E5B-89E9-AF01D1D256E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6B989D18-A64B-4E2C-AE6A-4F0B78A4DDD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2BC1EA87-E29D-4D00-BBC1-03BA159D871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430B2BB4-FA1B-4079-8A3C-1E664E8B135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965D41A0-628C-4F80-80E2-10F1541838A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5DF61AA9-D84D-4C87-A918-138AFE4FA3A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342A4A07-DDE8-4574-9E80-9FF8EDE141C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967C87BF-5192-41D1-B9A7-7C033195E9E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3C5256B0-983C-4CDC-A79A-7F378E01B6B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D3769FE2-3CAC-453E-A2A3-12E8148663A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DA50F9AF-A61A-4B4F-B53A-919F5B2215A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4CD03068-1533-4D83-84D1-04D211A2113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3BD01F29-E0D3-40E8-899A-CF661240591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259560CA-BF5E-48DB-A6A0-09AB074B8AD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D17C0A20-8E1B-47F8-8B54-9BFDBD0E4B2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98D9CDAA-7198-4822-9DE5-26804866FAE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CB8B3949-0043-43C3-B873-438CF976368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ECE2A477-83AE-4F87-8C6F-A6C38CD346B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CE445BA8-CC45-4357-AA39-41885CF29BC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C65FF8E6-A465-4EA2-B85E-64E1D567F24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C2EA3902-B25C-4003-911B-45AF5A7F017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AA4C6674-FF54-476D-ACE6-B42A8D3EC22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79E4AB60-4A37-4BF6-91E3-3CFC96BBCD8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E86D7F16-F344-47C4-A792-B693C0A733C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7A6C490B-81D3-4B9B-9555-3836E08E6FF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F489D16F-8217-4615-98B1-A5DEE89CEA0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699E98A9-4DEE-42D6-993C-4D67E743121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F382EB6A-B592-4BF2-9665-28789A9707E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D5ED1C6D-ADCE-4EA6-9596-84220DC4E5D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1572B029-9B7C-4210-8005-E274D9D5FAD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576491BA-8296-47B1-9BF4-784FE6ACC33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87EA5EAF-2416-4367-97CC-F67FCA0C9D7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1A7F5B91-725A-4E53-ACE0-A7518827D90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79311A2D-1E23-4336-9C85-BC8B31654D2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C464EEEC-BEB9-4B05-AB71-9B9AE722B4A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BE53DBFA-6C6E-4B59-BDC6-73A307496EC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29AAADE5-C92D-42A9-871F-26218CE47A1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48ADA505-6D98-46D1-A8BF-FC5291E114F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31AD5A1D-5465-4842-94E7-82D4A7AFBB2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9596DC57-68BD-4AC4-9A10-B8E14C2D9C5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AF1F628A-1E70-4B5A-943B-5BBA1EDBAF3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EAC7BE48-901E-478F-824B-3454D2BA3B4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EB537308-ED66-4AB4-BF32-2020E2C7182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29EBC4E9-1484-433B-AA06-60A4B4408DE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71AFB410-E2D8-4909-AE2F-AD7D5DE45EC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C0E889FF-8EDA-46AD-A9CD-D131B50261B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9B27E2D5-CDA9-4476-A498-C0D357EE25E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6B4549CC-A121-4184-8AA7-126A66C0415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E396376E-8DD3-485E-8415-24B52422727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9EC4AACB-933B-4985-809E-BB0554A8CF2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6AA9387E-2F4C-4C8D-A81E-745D81B0948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259F2B51-9E3A-4986-9344-6F61FCFD1CF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E4204D91-34E9-407C-B4F3-D4C7B51C94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1E46EC4A-C4A0-4A38-B38C-D955C817C18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9F8F01B9-1CE3-4098-AC3C-B1DB553EBDE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09DDC98F-EE9F-48B8-9645-AF577306DAE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50282D97-05D3-4F92-9918-DB00FB87FDA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EB35F219-5006-4412-98B8-9B2E876E2AF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6965A829-5D02-440A-B61F-9B7989CFCAE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00783320-4C43-4DF7-A474-306AC52C02E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E3BAF988-AF44-44F3-838E-86A20D438A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6501A432-F337-47D2-8633-D1BEFD422E6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18844162-E58C-4758-8BCB-8D50CCE006C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7ABA3414-A2FA-4921-B1FC-D7B969B562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1A38D172-387F-4130-839E-1FC44FCB3FB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488BE7F0-D1B3-4954-BCF5-DCC4722B77A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7996A643-1A71-41ED-A780-925061B6617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9581E662-A8B1-4E30-8897-2E1FD45FC2B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DA13F578-D522-41A8-879D-65D2F263B8E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E8B561FA-116B-473D-80E4-447DB28A5D3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51DE41A2-5C6B-48CA-A009-C4C21A49FAF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28DE0FE4-DCA1-46EB-BD8A-220B6F1807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F99AF244-EE4E-46E6-A1E9-67445497874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8587E78D-952B-4ACD-A5E5-6BE0896A88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76D0EE2D-5C03-4FB4-932E-AA5157B9DB5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3A658039-548C-422A-8821-0564E399B3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86F3A08B-F4C3-4E93-B5F7-2264633B3CC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684643FA-F1D0-4868-9528-19E967EB18D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9D931D1A-6495-4C84-8042-7110DDA75AA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B77558E1-B775-47E5-9B35-F9EA02963D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81E2E106-7FBC-4054-A46D-E37871ADDD6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206F5A21-F4AB-40AB-850C-BF9402FDDD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83E87020-4DAF-4CBD-B8E3-E16FED13BFA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4FB6B0AF-51CE-4F49-8711-50523ABF50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9BEE49B6-F003-43FC-B95B-4FA4326A96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527748F7-0F1F-4E55-84EC-A747827E7CF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4F2F6327-E7CC-41F1-8241-195496DE01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3309B97E-29FD-4BD7-88B5-813E149FC37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73160BFC-A2FA-48F5-97EC-D9C993CA5F8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A01CF5D3-D743-4BD4-8CD6-F75A6DDE040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B70C263F-39B0-4CDC-B95D-457EFA50A24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74E08539-80D5-4B36-8428-D49DD9C309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15118ECE-4433-456B-A85B-3E453D97A79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7FDAD452-3313-46CB-A24F-0F6B925B59A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60E520C1-74F9-4FEF-B477-39DFF223E3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42B27C16-E1A9-42AA-8A8A-37CD9BCA6C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763ECB46-FA54-4EE1-B76B-1001BD0D585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476E86C4-F483-45CA-B088-BEC316D933F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D67E722F-00C7-45F2-8076-90BE095D71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2EFB68B4-523E-47CF-92F3-85E0503049F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6E567657-446E-40BD-B4C7-369F0B8295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57286A17-B473-4981-9762-519AC920DF1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E6643308-C1CD-4B81-98C1-6BE24D67CD0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FC580CFE-8A2D-4491-ACFC-EEB7252B317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655741C6-360E-4B9C-A6FA-F6EFD097B06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EDA34084-D1BB-40FC-89B7-4C2D04739E7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FF21FDB0-3F05-4598-8690-4AD96BAE045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06200827-4B83-4B3D-9A6E-EF1727BDEB9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C662A5EB-97E7-43C9-AE67-2D50CECD4A5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D319BA83-7681-41BA-BCBF-392A0442FC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D1758248-118F-4A8B-A90B-7814F293B31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A9BE4C89-3AE0-4A65-9615-738975D8076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B7A42A4E-9CC1-40FC-9036-D3CB2DA4E68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3F51EF67-D33C-4BDC-A84E-DDB45AA380C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F495BE06-10C9-48D6-A956-A7DEE64411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9EE5101C-714C-4FF3-B8CB-B084488E61A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43B77BE2-2F7E-4913-9C45-F8140B56C1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9628DDC9-1DA3-4891-8E03-6E3A9945AA3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4F7DBA96-267D-42F6-9D8B-DA21D3CC8E8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0C111E8E-5E15-4079-AA3B-C1C2A91F33E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FF2F1ECD-FCF4-4501-A931-1EB78FF3822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1CFC6243-B08E-4DCD-A452-91D8B387448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5E008A98-0D86-4F2A-8162-7E3220641F6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E7AAB061-CCD6-4178-AF0D-B44363AE09E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FD483EC4-1338-42E6-9984-D791E5E26CE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94DD0F5F-489A-421F-AFB4-F8DC9C17DA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845EAD7F-7BF3-4432-802E-508CF604D74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CFBE5D01-0CF2-4223-BAA5-E9E96348694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9D589017-B01C-4FBF-933A-E0523EBA55B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C665C3FE-397C-472A-9252-71B97DB7987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E2A98626-2617-4AC9-8E07-A04DA6671D0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5D0EE7CC-89F5-4C7B-AE69-5519E71126F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BEC3B88D-42E6-45FD-AAB4-1FDE4D9C2FE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76D63138-9FE2-4F14-9334-F30FC0A405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EBDA8678-F03A-40E4-94E2-37FE9C4620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FE896FE4-ADB4-4672-B6C5-AB115446A2E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49DD6740-3063-4047-99DE-D9449CE516B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0D650B21-6C94-46C0-94DE-D1466FA6270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3357170F-6E42-455C-BF42-FB032C827F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4E801345-4609-4D82-9087-6009C3DE765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5E217944-010C-41D9-8D29-DEE706BD4C2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B97A24DC-461D-4A6F-9039-56C5C5D31B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591D4606-0E9F-48A1-B22A-8F0EE98241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33401EEF-4599-4AA3-8456-F5195860FC5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683E7D69-9535-4209-B7FE-40297A0641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4B349D42-9E01-42DF-97A8-A2459E0A4D9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BB0524C9-17F2-442C-B7BF-D6D0808194C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D79418E6-97B9-43A3-8789-C61D0E89AED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6159C2A1-DF23-4E2B-8036-B4753755E6E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F4103EF1-E67B-4081-A582-34769FAF11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1AC7406F-027B-4B2B-9585-98ECE9D3C20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291BB628-CFA3-4F5D-A0E3-D8F0E5D01C6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DC39B6A1-9C8C-4A40-B0A6-8408EDC85D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2A114DCE-A120-4358-90D5-A710FB6016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EF7BB071-F324-4FF4-84C0-6A6D5366C32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466E636C-00A2-4F93-9FA5-EE61116995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54E15327-9C45-4406-AD1A-58150188992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0381E716-9D4B-4E17-A55B-02E3AE63E5F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BB65D239-B67E-4EBB-B9D2-DFBC0BF4E81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1B45A9F8-23AF-4428-A796-D2AF6BE44B2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D5ED4F69-8BF8-4916-8D47-00972AB58F7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F2528E3E-A86D-4A00-AB42-48BAF73D8F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2F2A6F27-4F5A-4CE3-913B-CEF1FBE1276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22269A39-8EB7-43E3-9414-086E5172046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D8950989-0708-4C3A-BB7D-FA17B23B722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8A589873-BE4A-4F66-8535-1D54B798A85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0A2A0CD4-9122-4E34-8F28-2D6CF858D1A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C91F0360-B7F1-4675-BD17-E2CA17085D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D661FBCA-C80E-4D72-952B-759B1B4612E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99682F9E-9618-42AA-9C97-2FE1A42E7C3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67294C3C-63EE-4F4D-9C79-A2815566092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3C8FCF8C-CFE3-460E-A10D-92311970CD4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30342E68-AEBB-4A35-807D-575423DCA94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671EE26C-5FBF-4499-90D6-28A62354593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25797A22-BA25-4858-A198-6A05A465D35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48D19C6B-BCE5-4EC9-86DD-D4B4B93868C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B3C21D29-1FE3-4075-B1B6-B19160237D7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271BF196-66E9-488E-AC5A-74C7DEEB57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BDB3CE26-80C9-4379-8109-5BB445E86A8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98C09F4C-693C-44A9-B894-9A7D70888D5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47898371-CD3E-4AD7-8779-BF34D822357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A023A41F-4596-4396-AA2B-F83279107F2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26788529-BC32-4C9B-B075-E32582388C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911E286E-7422-4FEF-8464-61921FBBF3F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779E41F6-9B27-453F-B50D-39E7ECF65DE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2A8CD45B-14D2-44CC-85EC-5D3DC274FFF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8D17361D-B169-4E63-95D9-6591A9DB108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53868F14-BCFA-4717-8762-3381A9BFFB1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3EBC39C4-1195-47AD-A8BE-88B0C58DC17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909E233A-E39F-4679-8897-2594ED3D39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D75D5916-D6EE-4217-9857-9A4A5A05A9E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66C62631-BE20-47A9-AC9A-4C0735DACB9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BA529387-7957-409C-8091-7FF04D9BEE3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B2994DD1-59F7-4121-B808-EEFB7ADFD0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8E56160B-F13F-4A2F-A133-2B134F0DDBD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587AC897-C28D-41A5-9656-D6DFA0DD631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53522257-8D96-407F-B660-C08755F082F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6DF13CED-1BDA-4411-90F9-F1CD35B452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0E7312C5-146A-447D-9456-1C60B8FE10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C6C71FEF-AE22-4ED9-9DAB-A2D40F1E899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9C84AE4E-CE40-4793-9DB4-A7AABB754DF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983AE064-BC53-47C5-9F38-93B632A9BD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6AE29A98-B9FE-4A40-AC47-50E52D80A59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2ECADF4A-C6DE-4792-967F-456675A1BC7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A785397A-5368-42F2-97A5-7DD7075A586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98F28DF9-3F3E-446E-AC86-2C30126F81D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CA63475F-B3E6-4490-8416-F3E3DBAE80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D678C7F4-2C8A-49B9-9DD4-EC892033182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ADB9C8AD-EC96-42D5-A285-1196E6731A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AA2B9D93-45D8-4B84-AA09-77E103B26DB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3A01F073-4A35-41E2-A27F-A080EE6D80E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D96E9382-0409-4C31-9A09-44DD87591CD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13448C85-7B4F-4719-A30F-BAD15AA8FBE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388DAD6C-0879-4E86-81F2-816C9D4150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A428301D-5E7A-43FF-BE15-9209F94F7F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5C1035BB-0B31-41E1-8A70-5391F6E9998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7FF76EB6-01FB-45AC-937D-31760652C7C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D4FA59C5-1433-40E6-91A8-4E740E8FFC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EC3377AB-FBDD-4185-9ECF-8A075E3C507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1BED3406-F267-49B2-8ABF-25D8A17AB72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106930F8-A59D-4A5A-9830-0CBA7D8E972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B87963C6-34EF-47FC-A236-C677FFB8E62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6E0DD41A-A546-41BC-A861-7FD66DFCEC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EA18A75C-EAA2-453F-B743-BBC2A006C9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39BD20DB-8E5D-4277-AC0E-916E69C3DF5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E4059EAC-FB97-47BE-975A-7FB629CAFF6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475CE1F0-EA00-4988-B175-4828217F92A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0234E325-C3BE-4FA4-90F3-50D3ECA4FA6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725CDEAF-8F22-4408-96EB-F2FCA6A16B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C09D7567-EBBE-400F-A556-F5D957B24A5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4BE13F39-38DC-4152-AC47-90866DF5509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A4818BE0-42DB-4691-BEAA-1A7C8B393E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1FD7B976-5D51-4471-A6A3-87082B01A1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277F983E-3873-41C9-8AAA-4F2C1F6D04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A229627D-271A-4A4B-8B25-776E4547FDC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760C532B-ADF7-40CC-A236-8B6643C51DC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313CC561-51CF-49D4-8812-639F960513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A676D76E-BA82-4102-BA26-31E70DD9E7D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24A17A17-593B-4A4A-8525-67BBB151843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F91EBD63-AB94-43D5-AA90-E28173741FC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46742B11-3A4B-4813-AB70-0789B75C9C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4A6167D7-1824-4E15-9168-0BC2295441A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12</xdr:col>
      <xdr:colOff>0</xdr:colOff>
      <xdr:row>28</xdr:row>
      <xdr:rowOff>0</xdr:rowOff>
    </xdr:to>
    <xdr:grpSp>
      <xdr:nvGrpSpPr>
        <xdr:cNvPr id="2" name="グループ化 1">
          <a:extLst>
            <a:ext uri="{FF2B5EF4-FFF2-40B4-BE49-F238E27FC236}">
              <a16:creationId xmlns:a16="http://schemas.microsoft.com/office/drawing/2014/main" id="{6B1EF62C-3324-4006-B75F-72B08BD9B55A}"/>
            </a:ext>
          </a:extLst>
        </xdr:cNvPr>
        <xdr:cNvGrpSpPr/>
      </xdr:nvGrpSpPr>
      <xdr:grpSpPr>
        <a:xfrm>
          <a:off x="0" y="352425"/>
          <a:ext cx="7315200" cy="5943600"/>
          <a:chOff x="0" y="352425"/>
          <a:chExt cx="7315200" cy="5943600"/>
        </a:xfrm>
      </xdr:grpSpPr>
      <xdr:graphicFrame macro="">
        <xdr:nvGraphicFramePr>
          <xdr:cNvPr id="3" name="HXC_V1_LA7">
            <a:extLst>
              <a:ext uri="{FF2B5EF4-FFF2-40B4-BE49-F238E27FC236}">
                <a16:creationId xmlns:a16="http://schemas.microsoft.com/office/drawing/2014/main" id="{64E39BE6-2CF4-4EEB-ADEE-5168D1DDC63C}"/>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HXC_V1_LA6">
            <a:extLst>
              <a:ext uri="{FF2B5EF4-FFF2-40B4-BE49-F238E27FC236}">
                <a16:creationId xmlns:a16="http://schemas.microsoft.com/office/drawing/2014/main" id="{8B4922EF-AE20-4E92-B827-EC1681825746}"/>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HXC_V1_LA5">
            <a:extLst>
              <a:ext uri="{FF2B5EF4-FFF2-40B4-BE49-F238E27FC236}">
                <a16:creationId xmlns:a16="http://schemas.microsoft.com/office/drawing/2014/main" id="{DF338966-1B32-49B0-91E9-E725B71A1448}"/>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HXC_V1_LA4">
            <a:extLst>
              <a:ext uri="{FF2B5EF4-FFF2-40B4-BE49-F238E27FC236}">
                <a16:creationId xmlns:a16="http://schemas.microsoft.com/office/drawing/2014/main" id="{E2D6D83B-4469-496C-BEA6-F533764AE103}"/>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HXC_V1_LA3">
            <a:extLst>
              <a:ext uri="{FF2B5EF4-FFF2-40B4-BE49-F238E27FC236}">
                <a16:creationId xmlns:a16="http://schemas.microsoft.com/office/drawing/2014/main" id="{EBCE2C82-65B1-4D0E-A5C5-FA1DEBDB687B}"/>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HXC_V1_LA2">
            <a:extLst>
              <a:ext uri="{FF2B5EF4-FFF2-40B4-BE49-F238E27FC236}">
                <a16:creationId xmlns:a16="http://schemas.microsoft.com/office/drawing/2014/main" id="{CB398CF2-4620-4ADE-8838-B6B43F742303}"/>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HXC_V1_LA1">
            <a:extLst>
              <a:ext uri="{FF2B5EF4-FFF2-40B4-BE49-F238E27FC236}">
                <a16:creationId xmlns:a16="http://schemas.microsoft.com/office/drawing/2014/main" id="{28CCA6D3-954B-4A2C-95CC-0C2FFE1DC1B0}"/>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HXC_V1_LA0">
            <a:extLst>
              <a:ext uri="{FF2B5EF4-FFF2-40B4-BE49-F238E27FC236}">
                <a16:creationId xmlns:a16="http://schemas.microsoft.com/office/drawing/2014/main" id="{CC44DDB3-96E6-4FA3-9914-9954EAB4D981}"/>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9</xdr:row>
      <xdr:rowOff>0</xdr:rowOff>
    </xdr:from>
    <xdr:ext cx="4433455" cy="3013364"/>
    <xdr:sp macro="" textlink="">
      <xdr:nvSpPr>
        <xdr:cNvPr id="2" name="建屋1">
          <a:extLst>
            <a:ext uri="{FF2B5EF4-FFF2-40B4-BE49-F238E27FC236}">
              <a16:creationId xmlns:a16="http://schemas.microsoft.com/office/drawing/2014/main" id="{8A8701A1-1B67-4E01-9FD6-0518291C77B1}"/>
            </a:ext>
          </a:extLst>
        </xdr:cNvPr>
        <xdr:cNvSpPr>
          <a:spLocks noChangeArrowheads="1"/>
        </xdr:cNvSpPr>
      </xdr:nvSpPr>
      <xdr:spPr bwMode="auto">
        <a:xfrm rot="1200000">
          <a:off x="1714500" y="2381250"/>
          <a:ext cx="4433455" cy="3013364"/>
        </a:xfrm>
        <a:prstGeom prst="rect">
          <a:avLst/>
        </a:prstGeom>
        <a:gradFill flip="none" rotWithShape="1">
          <a:gsLst>
            <a:gs pos="91500">
              <a:srgbClr val="EAEAEA"/>
            </a:gs>
            <a:gs pos="68000">
              <a:srgbClr val="DDDDDD"/>
            </a:gs>
            <a:gs pos="99000">
              <a:srgbClr val="F8F8F8"/>
            </a:gs>
          </a:gsLst>
          <a:path path="circle">
            <a:fillToRect r="100000" b="100000"/>
          </a:path>
          <a:tileRect l="-100000" t="-100000"/>
        </a:gradFill>
        <a:ln w="19050">
          <a:solidFill>
            <a:srgbClr val="5F5F5F"/>
          </a:solidFill>
          <a:miter lim="800000"/>
          <a:headEnd/>
          <a:tailEnd/>
        </a:ln>
        <a:effectLst>
          <a:outerShdw blurRad="50800" dist="38100" algn="l" rotWithShape="0">
            <a:prstClr val="black">
              <a:alpha val="0"/>
            </a:prstClr>
          </a:outerShdw>
        </a:effectLst>
        <a:scene3d>
          <a:camera prst="orthographicFront"/>
          <a:lightRig rig="threePt" dir="t"/>
        </a:scene3d>
        <a:sp3d>
          <a:bevelT prst="slope"/>
        </a:sp3d>
        <a:extLst/>
      </xdr:spPr>
    </xdr:sp>
    <xdr:clientData/>
  </xdr:oneCellAnchor>
  <xdr:oneCellAnchor>
    <xdr:from>
      <xdr:col>6</xdr:col>
      <xdr:colOff>545911</xdr:colOff>
      <xdr:row>7</xdr:row>
      <xdr:rowOff>160714</xdr:rowOff>
    </xdr:from>
    <xdr:ext cx="401782" cy="171450"/>
    <xdr:sp macro="" textlink="">
      <xdr:nvSpPr>
        <xdr:cNvPr id="3" name="北面1">
          <a:extLst>
            <a:ext uri="{FF2B5EF4-FFF2-40B4-BE49-F238E27FC236}">
              <a16:creationId xmlns:a16="http://schemas.microsoft.com/office/drawing/2014/main" id="{EC4B3330-98D5-4B69-B446-54E9F19026E9}"/>
            </a:ext>
          </a:extLst>
        </xdr:cNvPr>
        <xdr:cNvSpPr txBox="1">
          <a:spLocks noChangeArrowheads="1"/>
        </xdr:cNvSpPr>
      </xdr:nvSpPr>
      <xdr:spPr bwMode="auto">
        <a:xfrm>
          <a:off x="3917761" y="2046664"/>
          <a:ext cx="401782"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N</a:t>
          </a:r>
          <a:endParaRPr lang="ja-JP" altLang="en-US" sz="1200" b="1"/>
        </a:p>
      </xdr:txBody>
    </xdr:sp>
    <xdr:clientData/>
  </xdr:oneCellAnchor>
  <xdr:oneCellAnchor>
    <xdr:from>
      <xdr:col>11</xdr:col>
      <xdr:colOff>134170</xdr:colOff>
      <xdr:row>16</xdr:row>
      <xdr:rowOff>229383</xdr:rowOff>
    </xdr:from>
    <xdr:ext cx="400050" cy="174914"/>
    <xdr:sp macro="" textlink="">
      <xdr:nvSpPr>
        <xdr:cNvPr id="4" name="東面1">
          <a:extLst>
            <a:ext uri="{FF2B5EF4-FFF2-40B4-BE49-F238E27FC236}">
              <a16:creationId xmlns:a16="http://schemas.microsoft.com/office/drawing/2014/main" id="{33F90C91-44D7-4157-95B5-CFDBB4035700}"/>
            </a:ext>
          </a:extLst>
        </xdr:cNvPr>
        <xdr:cNvSpPr txBox="1">
          <a:spLocks noChangeArrowheads="1"/>
        </xdr:cNvSpPr>
      </xdr:nvSpPr>
      <xdr:spPr bwMode="auto">
        <a:xfrm>
          <a:off x="6268270" y="4344183"/>
          <a:ext cx="400050" cy="17491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E</a:t>
          </a:r>
          <a:endParaRPr lang="ja-JP" altLang="en-US" sz="1200" b="1"/>
        </a:p>
      </xdr:txBody>
    </xdr:sp>
    <xdr:clientData/>
  </xdr:oneCellAnchor>
  <xdr:oneCellAnchor>
    <xdr:from>
      <xdr:col>6</xdr:col>
      <xdr:colOff>171062</xdr:colOff>
      <xdr:row>21</xdr:row>
      <xdr:rowOff>204700</xdr:rowOff>
    </xdr:from>
    <xdr:ext cx="400050" cy="174913"/>
    <xdr:sp macro="" textlink="">
      <xdr:nvSpPr>
        <xdr:cNvPr id="5" name="南面1">
          <a:extLst>
            <a:ext uri="{FF2B5EF4-FFF2-40B4-BE49-F238E27FC236}">
              <a16:creationId xmlns:a16="http://schemas.microsoft.com/office/drawing/2014/main" id="{DE898A40-0D9C-4E46-A5D2-31F2FFC11C7D}"/>
            </a:ext>
          </a:extLst>
        </xdr:cNvPr>
        <xdr:cNvSpPr txBox="1">
          <a:spLocks noChangeArrowheads="1"/>
        </xdr:cNvSpPr>
      </xdr:nvSpPr>
      <xdr:spPr bwMode="auto">
        <a:xfrm>
          <a:off x="3542912" y="5557750"/>
          <a:ext cx="400050" cy="17491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S</a:t>
          </a:r>
          <a:endParaRPr lang="ja-JP" altLang="en-US" sz="1200" b="1"/>
        </a:p>
      </xdr:txBody>
    </xdr:sp>
    <xdr:clientData/>
  </xdr:oneCellAnchor>
  <xdr:oneCellAnchor>
    <xdr:from>
      <xdr:col>2</xdr:col>
      <xdr:colOff>30353</xdr:colOff>
      <xdr:row>12</xdr:row>
      <xdr:rowOff>132566</xdr:rowOff>
    </xdr:from>
    <xdr:ext cx="401782" cy="171450"/>
    <xdr:sp macro="" textlink="">
      <xdr:nvSpPr>
        <xdr:cNvPr id="6" name="西面1">
          <a:extLst>
            <a:ext uri="{FF2B5EF4-FFF2-40B4-BE49-F238E27FC236}">
              <a16:creationId xmlns:a16="http://schemas.microsoft.com/office/drawing/2014/main" id="{1E1ADAB3-2BDA-4407-9734-C7627AD1E570}"/>
            </a:ext>
          </a:extLst>
        </xdr:cNvPr>
        <xdr:cNvSpPr txBox="1">
          <a:spLocks noChangeArrowheads="1"/>
        </xdr:cNvSpPr>
      </xdr:nvSpPr>
      <xdr:spPr bwMode="auto">
        <a:xfrm>
          <a:off x="1192403" y="3256766"/>
          <a:ext cx="401782"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W</a:t>
          </a:r>
        </a:p>
      </xdr:txBody>
    </xdr:sp>
    <xdr:clientData/>
  </xdr:oneCellAnchor>
  <xdr:oneCellAnchor>
    <xdr:from>
      <xdr:col>7</xdr:col>
      <xdr:colOff>0</xdr:colOff>
      <xdr:row>8</xdr:row>
      <xdr:rowOff>0</xdr:rowOff>
    </xdr:from>
    <xdr:ext cx="0" cy="3515591"/>
    <xdr:sp macro="" textlink="">
      <xdr:nvSpPr>
        <xdr:cNvPr id="7" name="垂直線21">
          <a:extLst>
            <a:ext uri="{FF2B5EF4-FFF2-40B4-BE49-F238E27FC236}">
              <a16:creationId xmlns:a16="http://schemas.microsoft.com/office/drawing/2014/main" id="{AE0A1C05-4994-4E57-A3FD-E1E21AFDDEE4}"/>
            </a:ext>
          </a:extLst>
        </xdr:cNvPr>
        <xdr:cNvSpPr>
          <a:spLocks noChangeShapeType="1"/>
        </xdr:cNvSpPr>
      </xdr:nvSpPr>
      <xdr:spPr bwMode="auto">
        <a:xfrm rot="1200000" flipV="1">
          <a:off x="3924300" y="2133600"/>
          <a:ext cx="0" cy="3515591"/>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0</xdr:colOff>
      <xdr:row>15</xdr:row>
      <xdr:rowOff>0</xdr:rowOff>
    </xdr:from>
    <xdr:ext cx="5541818" cy="0"/>
    <xdr:sp macro="" textlink="">
      <xdr:nvSpPr>
        <xdr:cNvPr id="8" name="水平線21">
          <a:extLst>
            <a:ext uri="{FF2B5EF4-FFF2-40B4-BE49-F238E27FC236}">
              <a16:creationId xmlns:a16="http://schemas.microsoft.com/office/drawing/2014/main" id="{A795FB5D-0A63-4123-99A9-B59EC565B7E1}"/>
            </a:ext>
          </a:extLst>
        </xdr:cNvPr>
        <xdr:cNvSpPr>
          <a:spLocks noChangeShapeType="1"/>
        </xdr:cNvSpPr>
      </xdr:nvSpPr>
      <xdr:spPr bwMode="auto">
        <a:xfrm rot="1200000">
          <a:off x="1162050" y="3867150"/>
          <a:ext cx="5541818" cy="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507276</xdr:colOff>
      <xdr:row>9</xdr:row>
      <xdr:rowOff>0</xdr:rowOff>
    </xdr:from>
    <xdr:ext cx="4419600" cy="2971800"/>
    <xdr:sp macro="" textlink="">
      <xdr:nvSpPr>
        <xdr:cNvPr id="9" name="建屋2">
          <a:extLst>
            <a:ext uri="{FF2B5EF4-FFF2-40B4-BE49-F238E27FC236}">
              <a16:creationId xmlns:a16="http://schemas.microsoft.com/office/drawing/2014/main" id="{C72E3AB1-41AE-46AC-914E-B105F7AE612B}"/>
            </a:ext>
          </a:extLst>
        </xdr:cNvPr>
        <xdr:cNvSpPr>
          <a:spLocks noChangeArrowheads="1"/>
        </xdr:cNvSpPr>
      </xdr:nvSpPr>
      <xdr:spPr bwMode="auto">
        <a:xfrm rot="1200000">
          <a:off x="9517926" y="2381250"/>
          <a:ext cx="4419600" cy="2971800"/>
        </a:xfrm>
        <a:prstGeom prst="rect">
          <a:avLst/>
        </a:prstGeom>
        <a:gradFill flip="none" rotWithShape="1">
          <a:gsLst>
            <a:gs pos="91500">
              <a:srgbClr val="EAEAEA"/>
            </a:gs>
            <a:gs pos="68000">
              <a:srgbClr val="DDDDDD"/>
            </a:gs>
            <a:gs pos="99000">
              <a:srgbClr val="F8F8F8"/>
            </a:gs>
          </a:gsLst>
          <a:path path="circle">
            <a:fillToRect r="100000" b="100000"/>
          </a:path>
          <a:tileRect l="-100000" t="-100000"/>
        </a:gradFill>
        <a:ln w="19050">
          <a:solidFill>
            <a:srgbClr val="5F5F5F"/>
          </a:solidFill>
          <a:miter lim="800000"/>
          <a:headEnd/>
          <a:tailEnd/>
        </a:ln>
        <a:effectLst>
          <a:outerShdw blurRad="50800" dist="38100" algn="l" rotWithShape="0">
            <a:prstClr val="black">
              <a:alpha val="0"/>
            </a:prstClr>
          </a:outerShdw>
        </a:effectLst>
        <a:scene3d>
          <a:camera prst="orthographicFront"/>
          <a:lightRig rig="threePt" dir="t"/>
        </a:scene3d>
        <a:sp3d>
          <a:bevelT prst="slope"/>
        </a:sp3d>
        <a:extLst/>
      </xdr:spPr>
    </xdr:sp>
    <xdr:clientData/>
  </xdr:oneCellAnchor>
  <xdr:oneCellAnchor>
    <xdr:from>
      <xdr:col>20</xdr:col>
      <xdr:colOff>488434</xdr:colOff>
      <xdr:row>7</xdr:row>
      <xdr:rowOff>159461</xdr:rowOff>
    </xdr:from>
    <xdr:ext cx="400050" cy="171450"/>
    <xdr:sp macro="" textlink="">
      <xdr:nvSpPr>
        <xdr:cNvPr id="10" name="北面2">
          <a:extLst>
            <a:ext uri="{FF2B5EF4-FFF2-40B4-BE49-F238E27FC236}">
              <a16:creationId xmlns:a16="http://schemas.microsoft.com/office/drawing/2014/main" id="{6399ABB3-B300-408E-9900-2BBA303FDF3B}"/>
            </a:ext>
          </a:extLst>
        </xdr:cNvPr>
        <xdr:cNvSpPr txBox="1">
          <a:spLocks noChangeArrowheads="1"/>
        </xdr:cNvSpPr>
      </xdr:nvSpPr>
      <xdr:spPr bwMode="auto">
        <a:xfrm>
          <a:off x="11708884" y="2045411"/>
          <a:ext cx="4000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a:latin typeface="ＭＳ Ｐゴシック" panose="020B0600070205080204" pitchFamily="50" charset="-128"/>
              <a:ea typeface="ＭＳ Ｐゴシック" panose="020B0600070205080204" pitchFamily="50" charset="-128"/>
            </a:rPr>
            <a:t>N</a:t>
          </a:r>
          <a:endParaRPr lang="ja-JP" altLang="en-US" sz="1200" b="1">
            <a:latin typeface="ＭＳ Ｐゴシック" panose="020B0600070205080204" pitchFamily="50" charset="-128"/>
            <a:ea typeface="ＭＳ Ｐゴシック" panose="020B0600070205080204" pitchFamily="50" charset="-128"/>
          </a:endParaRPr>
        </a:p>
      </xdr:txBody>
    </xdr:sp>
    <xdr:clientData/>
  </xdr:oneCellAnchor>
  <xdr:oneCellAnchor>
    <xdr:from>
      <xdr:col>20</xdr:col>
      <xdr:colOff>126068</xdr:colOff>
      <xdr:row>21</xdr:row>
      <xdr:rowOff>164389</xdr:rowOff>
    </xdr:from>
    <xdr:ext cx="400050" cy="171450"/>
    <xdr:sp macro="" textlink="">
      <xdr:nvSpPr>
        <xdr:cNvPr id="11" name="南面2">
          <a:extLst>
            <a:ext uri="{FF2B5EF4-FFF2-40B4-BE49-F238E27FC236}">
              <a16:creationId xmlns:a16="http://schemas.microsoft.com/office/drawing/2014/main" id="{0698B9F5-4324-42E9-855A-D8F97549D319}"/>
            </a:ext>
          </a:extLst>
        </xdr:cNvPr>
        <xdr:cNvSpPr txBox="1">
          <a:spLocks noChangeArrowheads="1"/>
        </xdr:cNvSpPr>
      </xdr:nvSpPr>
      <xdr:spPr bwMode="auto">
        <a:xfrm>
          <a:off x="11346518" y="5517439"/>
          <a:ext cx="4000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S</a:t>
          </a:r>
          <a:endParaRPr lang="ja-JP" altLang="en-US" sz="1200" b="1"/>
        </a:p>
      </xdr:txBody>
    </xdr:sp>
    <xdr:clientData/>
  </xdr:oneCellAnchor>
  <xdr:oneCellAnchor>
    <xdr:from>
      <xdr:col>15</xdr:col>
      <xdr:colOff>538943</xdr:colOff>
      <xdr:row>12</xdr:row>
      <xdr:rowOff>114154</xdr:rowOff>
    </xdr:from>
    <xdr:ext cx="400050" cy="171450"/>
    <xdr:sp macro="" textlink="">
      <xdr:nvSpPr>
        <xdr:cNvPr id="12" name="西面2">
          <a:extLst>
            <a:ext uri="{FF2B5EF4-FFF2-40B4-BE49-F238E27FC236}">
              <a16:creationId xmlns:a16="http://schemas.microsoft.com/office/drawing/2014/main" id="{98A77E0D-8930-47C5-A8A9-C48108C8EB65}"/>
            </a:ext>
          </a:extLst>
        </xdr:cNvPr>
        <xdr:cNvSpPr txBox="1">
          <a:spLocks noChangeArrowheads="1"/>
        </xdr:cNvSpPr>
      </xdr:nvSpPr>
      <xdr:spPr bwMode="auto">
        <a:xfrm>
          <a:off x="8997143" y="3238354"/>
          <a:ext cx="4000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a:latin typeface="ＭＳ Ｐゴシック" panose="020B0600070205080204" pitchFamily="50" charset="-128"/>
              <a:ea typeface="ＭＳ Ｐゴシック" panose="020B0600070205080204" pitchFamily="50" charset="-128"/>
            </a:rPr>
            <a:t>W</a:t>
          </a:r>
          <a:endParaRPr lang="ja-JP" altLang="en-US" sz="1200" b="1">
            <a:latin typeface="ＭＳ Ｐゴシック" panose="020B0600070205080204" pitchFamily="50" charset="-128"/>
            <a:ea typeface="ＭＳ Ｐゴシック" panose="020B0600070205080204" pitchFamily="50" charset="-128"/>
          </a:endParaRPr>
        </a:p>
      </xdr:txBody>
    </xdr:sp>
    <xdr:clientData/>
  </xdr:oneCellAnchor>
  <xdr:oneCellAnchor>
    <xdr:from>
      <xdr:col>20</xdr:col>
      <xdr:colOff>498472</xdr:colOff>
      <xdr:row>8</xdr:row>
      <xdr:rowOff>0</xdr:rowOff>
    </xdr:from>
    <xdr:ext cx="0" cy="3467100"/>
    <xdr:sp macro="" textlink="">
      <xdr:nvSpPr>
        <xdr:cNvPr id="13" name="垂直線22">
          <a:extLst>
            <a:ext uri="{FF2B5EF4-FFF2-40B4-BE49-F238E27FC236}">
              <a16:creationId xmlns:a16="http://schemas.microsoft.com/office/drawing/2014/main" id="{EFC9D539-48CC-4B8B-8029-421215CFA0AE}"/>
            </a:ext>
          </a:extLst>
        </xdr:cNvPr>
        <xdr:cNvSpPr>
          <a:spLocks noChangeShapeType="1"/>
        </xdr:cNvSpPr>
      </xdr:nvSpPr>
      <xdr:spPr bwMode="auto">
        <a:xfrm rot="1200000" flipV="1">
          <a:off x="11718922" y="2133600"/>
          <a:ext cx="0" cy="346710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20</xdr:col>
      <xdr:colOff>373380</xdr:colOff>
      <xdr:row>27</xdr:row>
      <xdr:rowOff>57150</xdr:rowOff>
    </xdr:from>
    <xdr:ext cx="266700" cy="180975"/>
    <xdr:sp macro="" textlink="">
      <xdr:nvSpPr>
        <xdr:cNvPr id="14" name="Text Box 13">
          <a:extLst>
            <a:ext uri="{FF2B5EF4-FFF2-40B4-BE49-F238E27FC236}">
              <a16:creationId xmlns:a16="http://schemas.microsoft.com/office/drawing/2014/main" id="{3901E6D0-D778-456F-8E48-6CB183C7670E}"/>
            </a:ext>
          </a:extLst>
        </xdr:cNvPr>
        <xdr:cNvSpPr txBox="1">
          <a:spLocks noChangeArrowheads="1"/>
        </xdr:cNvSpPr>
      </xdr:nvSpPr>
      <xdr:spPr bwMode="auto">
        <a:xfrm>
          <a:off x="11593830" y="6896100"/>
          <a:ext cx="26670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endParaRPr lang="ja-JP" altLang="en-US" sz="1200"/>
        </a:p>
      </xdr:txBody>
    </xdr:sp>
    <xdr:clientData/>
  </xdr:oneCellAnchor>
  <xdr:oneCellAnchor>
    <xdr:from>
      <xdr:col>16</xdr:col>
      <xdr:colOff>0</xdr:colOff>
      <xdr:row>14</xdr:row>
      <xdr:rowOff>236220</xdr:rowOff>
    </xdr:from>
    <xdr:ext cx="5524500" cy="0"/>
    <xdr:sp macro="" textlink="">
      <xdr:nvSpPr>
        <xdr:cNvPr id="15" name="水平線22">
          <a:extLst>
            <a:ext uri="{FF2B5EF4-FFF2-40B4-BE49-F238E27FC236}">
              <a16:creationId xmlns:a16="http://schemas.microsoft.com/office/drawing/2014/main" id="{020E0473-A509-428C-8608-E41AEE741878}"/>
            </a:ext>
          </a:extLst>
        </xdr:cNvPr>
        <xdr:cNvSpPr>
          <a:spLocks noChangeShapeType="1"/>
        </xdr:cNvSpPr>
      </xdr:nvSpPr>
      <xdr:spPr bwMode="auto">
        <a:xfrm rot="1200000">
          <a:off x="9010650" y="3855720"/>
          <a:ext cx="5524500" cy="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6</xdr:col>
      <xdr:colOff>428169</xdr:colOff>
      <xdr:row>27</xdr:row>
      <xdr:rowOff>53541</xdr:rowOff>
    </xdr:from>
    <xdr:to>
      <xdr:col>7</xdr:col>
      <xdr:colOff>143216</xdr:colOff>
      <xdr:row>27</xdr:row>
      <xdr:rowOff>238125</xdr:rowOff>
    </xdr:to>
    <xdr:sp macro="" textlink="">
      <xdr:nvSpPr>
        <xdr:cNvPr id="16" name="Text Box 13">
          <a:extLst>
            <a:ext uri="{FF2B5EF4-FFF2-40B4-BE49-F238E27FC236}">
              <a16:creationId xmlns:a16="http://schemas.microsoft.com/office/drawing/2014/main" id="{E3A7C452-BF59-4F1D-A15F-1DCFB05305C8}"/>
            </a:ext>
          </a:extLst>
        </xdr:cNvPr>
        <xdr:cNvSpPr txBox="1">
          <a:spLocks noChangeArrowheads="1"/>
        </xdr:cNvSpPr>
      </xdr:nvSpPr>
      <xdr:spPr bwMode="auto">
        <a:xfrm>
          <a:off x="3800019" y="6892491"/>
          <a:ext cx="267497" cy="18458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南</a:t>
          </a:r>
          <a:endParaRPr lang="ja-JP" altLang="en-US" sz="1200"/>
        </a:p>
      </xdr:txBody>
    </xdr:sp>
    <xdr:clientData/>
  </xdr:twoCellAnchor>
  <xdr:twoCellAnchor>
    <xdr:from>
      <xdr:col>12</xdr:col>
      <xdr:colOff>257813</xdr:colOff>
      <xdr:row>14</xdr:row>
      <xdr:rowOff>142852</xdr:rowOff>
    </xdr:from>
    <xdr:to>
      <xdr:col>12</xdr:col>
      <xdr:colOff>523875</xdr:colOff>
      <xdr:row>15</xdr:row>
      <xdr:rowOff>74702</xdr:rowOff>
    </xdr:to>
    <xdr:sp macro="" textlink="">
      <xdr:nvSpPr>
        <xdr:cNvPr id="17" name="Text Box 14">
          <a:extLst>
            <a:ext uri="{FF2B5EF4-FFF2-40B4-BE49-F238E27FC236}">
              <a16:creationId xmlns:a16="http://schemas.microsoft.com/office/drawing/2014/main" id="{73F41BA2-C6F2-484E-A5BA-42D9B0271E4E}"/>
            </a:ext>
          </a:extLst>
        </xdr:cNvPr>
        <xdr:cNvSpPr txBox="1">
          <a:spLocks noChangeArrowheads="1"/>
        </xdr:cNvSpPr>
      </xdr:nvSpPr>
      <xdr:spPr bwMode="auto">
        <a:xfrm>
          <a:off x="6944363" y="3762352"/>
          <a:ext cx="266062" cy="179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東</a:t>
          </a:r>
          <a:endParaRPr lang="ja-JP" altLang="en-US" sz="1200"/>
        </a:p>
      </xdr:txBody>
    </xdr:sp>
    <xdr:clientData/>
  </xdr:twoCellAnchor>
  <xdr:twoCellAnchor>
    <xdr:from>
      <xdr:col>1</xdr:col>
      <xdr:colOff>0</xdr:colOff>
      <xdr:row>14</xdr:row>
      <xdr:rowOff>162282</xdr:rowOff>
    </xdr:from>
    <xdr:to>
      <xdr:col>1</xdr:col>
      <xdr:colOff>266062</xdr:colOff>
      <xdr:row>15</xdr:row>
      <xdr:rowOff>94132</xdr:rowOff>
    </xdr:to>
    <xdr:sp macro="" textlink="">
      <xdr:nvSpPr>
        <xdr:cNvPr id="18" name="Text Box 15">
          <a:extLst>
            <a:ext uri="{FF2B5EF4-FFF2-40B4-BE49-F238E27FC236}">
              <a16:creationId xmlns:a16="http://schemas.microsoft.com/office/drawing/2014/main" id="{E801F5A4-08DF-4FC5-AFDD-23484B332078}"/>
            </a:ext>
          </a:extLst>
        </xdr:cNvPr>
        <xdr:cNvSpPr txBox="1">
          <a:spLocks noChangeArrowheads="1"/>
        </xdr:cNvSpPr>
      </xdr:nvSpPr>
      <xdr:spPr bwMode="auto">
        <a:xfrm>
          <a:off x="609600" y="3781782"/>
          <a:ext cx="266062" cy="179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西</a:t>
          </a:r>
          <a:endParaRPr lang="ja-JP" altLang="en-US" sz="1200"/>
        </a:p>
      </xdr:txBody>
    </xdr:sp>
    <xdr:clientData/>
  </xdr:twoCellAnchor>
  <xdr:twoCellAnchor>
    <xdr:from>
      <xdr:col>6</xdr:col>
      <xdr:colOff>407264</xdr:colOff>
      <xdr:row>2</xdr:row>
      <xdr:rowOff>57150</xdr:rowOff>
    </xdr:from>
    <xdr:to>
      <xdr:col>7</xdr:col>
      <xdr:colOff>141316</xdr:colOff>
      <xdr:row>2</xdr:row>
      <xdr:rowOff>241734</xdr:rowOff>
    </xdr:to>
    <xdr:sp macro="" textlink="">
      <xdr:nvSpPr>
        <xdr:cNvPr id="19" name="Text Box 16">
          <a:extLst>
            <a:ext uri="{FF2B5EF4-FFF2-40B4-BE49-F238E27FC236}">
              <a16:creationId xmlns:a16="http://schemas.microsoft.com/office/drawing/2014/main" id="{0EBF3437-9342-4D9E-9168-206D1B49A75A}"/>
            </a:ext>
          </a:extLst>
        </xdr:cNvPr>
        <xdr:cNvSpPr txBox="1">
          <a:spLocks noChangeArrowheads="1"/>
        </xdr:cNvSpPr>
      </xdr:nvSpPr>
      <xdr:spPr bwMode="auto">
        <a:xfrm>
          <a:off x="3779114" y="704850"/>
          <a:ext cx="286502" cy="18458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北</a:t>
          </a:r>
          <a:endParaRPr lang="ja-JP" altLang="en-US" sz="1200"/>
        </a:p>
      </xdr:txBody>
    </xdr:sp>
    <xdr:clientData/>
  </xdr:twoCellAnchor>
  <xdr:twoCellAnchor>
    <xdr:from>
      <xdr:col>6</xdr:col>
      <xdr:colOff>442423</xdr:colOff>
      <xdr:row>2</xdr:row>
      <xdr:rowOff>241734</xdr:rowOff>
    </xdr:from>
    <xdr:to>
      <xdr:col>7</xdr:col>
      <xdr:colOff>683</xdr:colOff>
      <xdr:row>4</xdr:row>
      <xdr:rowOff>124865</xdr:rowOff>
    </xdr:to>
    <xdr:cxnSp macro="">
      <xdr:nvCxnSpPr>
        <xdr:cNvPr id="20" name="直線コネクタ 19">
          <a:extLst>
            <a:ext uri="{FF2B5EF4-FFF2-40B4-BE49-F238E27FC236}">
              <a16:creationId xmlns:a16="http://schemas.microsoft.com/office/drawing/2014/main" id="{8D7025AD-8652-4E07-9DB0-E620540D3BFC}"/>
            </a:ext>
          </a:extLst>
        </xdr:cNvPr>
        <xdr:cNvCxnSpPr/>
      </xdr:nvCxnSpPr>
      <xdr:spPr bwMode="auto">
        <a:xfrm flipH="1">
          <a:off x="3814273" y="889434"/>
          <a:ext cx="110710" cy="378431"/>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444798</xdr:colOff>
      <xdr:row>4</xdr:row>
      <xdr:rowOff>120008</xdr:rowOff>
    </xdr:from>
    <xdr:to>
      <xdr:col>7</xdr:col>
      <xdr:colOff>5435</xdr:colOff>
      <xdr:row>4</xdr:row>
      <xdr:rowOff>214728</xdr:rowOff>
    </xdr:to>
    <xdr:cxnSp macro="">
      <xdr:nvCxnSpPr>
        <xdr:cNvPr id="21" name="直線コネクタ 20">
          <a:extLst>
            <a:ext uri="{FF2B5EF4-FFF2-40B4-BE49-F238E27FC236}">
              <a16:creationId xmlns:a16="http://schemas.microsoft.com/office/drawing/2014/main" id="{88970AF9-40DF-4640-8A18-F4F134547DD7}"/>
            </a:ext>
          </a:extLst>
        </xdr:cNvPr>
        <xdr:cNvCxnSpPr/>
      </xdr:nvCxnSpPr>
      <xdr:spPr bwMode="auto">
        <a:xfrm>
          <a:off x="3816648" y="1263008"/>
          <a:ext cx="113087" cy="9472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xdr:col>
      <xdr:colOff>228053</xdr:colOff>
      <xdr:row>14</xdr:row>
      <xdr:rowOff>248097</xdr:rowOff>
    </xdr:from>
    <xdr:to>
      <xdr:col>12</xdr:col>
      <xdr:colOff>286320</xdr:colOff>
      <xdr:row>14</xdr:row>
      <xdr:rowOff>248097</xdr:rowOff>
    </xdr:to>
    <xdr:sp macro="" textlink="">
      <xdr:nvSpPr>
        <xdr:cNvPr id="22" name="水平線1">
          <a:extLst>
            <a:ext uri="{FF2B5EF4-FFF2-40B4-BE49-F238E27FC236}">
              <a16:creationId xmlns:a16="http://schemas.microsoft.com/office/drawing/2014/main" id="{A85CB6D7-BFAB-4A80-A5DE-13A32CD68B8C}"/>
            </a:ext>
          </a:extLst>
        </xdr:cNvPr>
        <xdr:cNvSpPr>
          <a:spLocks noChangeShapeType="1"/>
        </xdr:cNvSpPr>
      </xdr:nvSpPr>
      <xdr:spPr bwMode="auto">
        <a:xfrm>
          <a:off x="837653" y="3867597"/>
          <a:ext cx="6135217"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684</xdr:colOff>
      <xdr:row>2</xdr:row>
      <xdr:rowOff>249829</xdr:rowOff>
    </xdr:from>
    <xdr:to>
      <xdr:col>7</xdr:col>
      <xdr:colOff>684</xdr:colOff>
      <xdr:row>26</xdr:row>
      <xdr:rowOff>246364</xdr:rowOff>
    </xdr:to>
    <xdr:sp macro="" textlink="">
      <xdr:nvSpPr>
        <xdr:cNvPr id="23" name="垂直線1">
          <a:extLst>
            <a:ext uri="{FF2B5EF4-FFF2-40B4-BE49-F238E27FC236}">
              <a16:creationId xmlns:a16="http://schemas.microsoft.com/office/drawing/2014/main" id="{55B0541C-9EDA-4874-8D77-044F031240EA}"/>
            </a:ext>
          </a:extLst>
        </xdr:cNvPr>
        <xdr:cNvSpPr>
          <a:spLocks noChangeShapeType="1"/>
        </xdr:cNvSpPr>
      </xdr:nvSpPr>
      <xdr:spPr bwMode="auto">
        <a:xfrm>
          <a:off x="3924984" y="897529"/>
          <a:ext cx="0" cy="5940135"/>
        </a:xfrm>
        <a:prstGeom prst="line">
          <a:avLst/>
        </a:prstGeom>
        <a:noFill/>
        <a:ln w="19050" cap="rnd">
          <a:solidFill>
            <a:srgbClr xmlns:mc="http://schemas.openxmlformats.org/markup-compatibility/2006" xmlns:a14="http://schemas.microsoft.com/office/drawing/2010/main" val="000000" mc:Ignorable="a14" a14:legacySpreadsheetColorIndex="64"/>
          </a:solidFill>
          <a:miter lim="800000"/>
          <a:headEnd type="none" w="med" len="lg"/>
          <a:tailEnd type="none"/>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373675</xdr:colOff>
      <xdr:row>27</xdr:row>
      <xdr:rowOff>44016</xdr:rowOff>
    </xdr:from>
    <xdr:to>
      <xdr:col>21</xdr:col>
      <xdr:colOff>88581</xdr:colOff>
      <xdr:row>27</xdr:row>
      <xdr:rowOff>228600</xdr:rowOff>
    </xdr:to>
    <xdr:sp macro="" textlink="">
      <xdr:nvSpPr>
        <xdr:cNvPr id="24" name="Text Box 13">
          <a:extLst>
            <a:ext uri="{FF2B5EF4-FFF2-40B4-BE49-F238E27FC236}">
              <a16:creationId xmlns:a16="http://schemas.microsoft.com/office/drawing/2014/main" id="{FC778165-18DC-43FB-A87C-D88A3319F01F}"/>
            </a:ext>
          </a:extLst>
        </xdr:cNvPr>
        <xdr:cNvSpPr txBox="1">
          <a:spLocks noChangeArrowheads="1"/>
        </xdr:cNvSpPr>
      </xdr:nvSpPr>
      <xdr:spPr bwMode="auto">
        <a:xfrm>
          <a:off x="11594125" y="6882966"/>
          <a:ext cx="267356" cy="18458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南</a:t>
          </a:r>
          <a:endParaRPr lang="ja-JP" altLang="en-US" sz="1200"/>
        </a:p>
      </xdr:txBody>
    </xdr:sp>
    <xdr:clientData/>
  </xdr:twoCellAnchor>
  <xdr:twoCellAnchor>
    <xdr:from>
      <xdr:col>26</xdr:col>
      <xdr:colOff>201668</xdr:colOff>
      <xdr:row>14</xdr:row>
      <xdr:rowOff>133327</xdr:rowOff>
    </xdr:from>
    <xdr:to>
      <xdr:col>26</xdr:col>
      <xdr:colOff>467591</xdr:colOff>
      <xdr:row>15</xdr:row>
      <xdr:rowOff>65177</xdr:rowOff>
    </xdr:to>
    <xdr:sp macro="" textlink="">
      <xdr:nvSpPr>
        <xdr:cNvPr id="25" name="Text Box 14">
          <a:extLst>
            <a:ext uri="{FF2B5EF4-FFF2-40B4-BE49-F238E27FC236}">
              <a16:creationId xmlns:a16="http://schemas.microsoft.com/office/drawing/2014/main" id="{C03CE782-50BF-48CD-8385-C4CC8A5CC4C3}"/>
            </a:ext>
          </a:extLst>
        </xdr:cNvPr>
        <xdr:cNvSpPr txBox="1">
          <a:spLocks noChangeArrowheads="1"/>
        </xdr:cNvSpPr>
      </xdr:nvSpPr>
      <xdr:spPr bwMode="auto">
        <a:xfrm>
          <a:off x="14736818" y="3752827"/>
          <a:ext cx="265923" cy="179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東</a:t>
          </a:r>
          <a:endParaRPr lang="ja-JP" altLang="en-US" sz="1200"/>
        </a:p>
      </xdr:txBody>
    </xdr:sp>
    <xdr:clientData/>
  </xdr:twoCellAnchor>
  <xdr:twoCellAnchor>
    <xdr:from>
      <xdr:col>14</xdr:col>
      <xdr:colOff>553316</xdr:colOff>
      <xdr:row>14</xdr:row>
      <xdr:rowOff>152757</xdr:rowOff>
    </xdr:from>
    <xdr:to>
      <xdr:col>15</xdr:col>
      <xdr:colOff>213103</xdr:colOff>
      <xdr:row>15</xdr:row>
      <xdr:rowOff>84607</xdr:rowOff>
    </xdr:to>
    <xdr:sp macro="" textlink="">
      <xdr:nvSpPr>
        <xdr:cNvPr id="26" name="Text Box 15">
          <a:extLst>
            <a:ext uri="{FF2B5EF4-FFF2-40B4-BE49-F238E27FC236}">
              <a16:creationId xmlns:a16="http://schemas.microsoft.com/office/drawing/2014/main" id="{FFA8D900-7E42-4A64-943D-D12FAB687B55}"/>
            </a:ext>
          </a:extLst>
        </xdr:cNvPr>
        <xdr:cNvSpPr txBox="1">
          <a:spLocks noChangeArrowheads="1"/>
        </xdr:cNvSpPr>
      </xdr:nvSpPr>
      <xdr:spPr bwMode="auto">
        <a:xfrm>
          <a:off x="8401916" y="3772257"/>
          <a:ext cx="269387" cy="179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西</a:t>
          </a:r>
          <a:endParaRPr lang="ja-JP" altLang="en-US" sz="1200"/>
        </a:p>
      </xdr:txBody>
    </xdr:sp>
    <xdr:clientData/>
  </xdr:twoCellAnchor>
  <xdr:twoCellAnchor>
    <xdr:from>
      <xdr:col>20</xdr:col>
      <xdr:colOff>352781</xdr:colOff>
      <xdr:row>2</xdr:row>
      <xdr:rowOff>47625</xdr:rowOff>
    </xdr:from>
    <xdr:to>
      <xdr:col>21</xdr:col>
      <xdr:colOff>86682</xdr:colOff>
      <xdr:row>2</xdr:row>
      <xdr:rowOff>232209</xdr:rowOff>
    </xdr:to>
    <xdr:sp macro="" textlink="">
      <xdr:nvSpPr>
        <xdr:cNvPr id="27" name="Text Box 16">
          <a:extLst>
            <a:ext uri="{FF2B5EF4-FFF2-40B4-BE49-F238E27FC236}">
              <a16:creationId xmlns:a16="http://schemas.microsoft.com/office/drawing/2014/main" id="{FFB9F09E-6A05-4716-AC35-7BAC4693298C}"/>
            </a:ext>
          </a:extLst>
        </xdr:cNvPr>
        <xdr:cNvSpPr txBox="1">
          <a:spLocks noChangeArrowheads="1"/>
        </xdr:cNvSpPr>
      </xdr:nvSpPr>
      <xdr:spPr bwMode="auto">
        <a:xfrm>
          <a:off x="11573231" y="695325"/>
          <a:ext cx="286351" cy="18458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北</a:t>
          </a:r>
          <a:endParaRPr lang="ja-JP" altLang="en-US" sz="1200"/>
        </a:p>
      </xdr:txBody>
    </xdr:sp>
    <xdr:clientData/>
  </xdr:twoCellAnchor>
  <xdr:twoCellAnchor>
    <xdr:from>
      <xdr:col>20</xdr:col>
      <xdr:colOff>387922</xdr:colOff>
      <xdr:row>2</xdr:row>
      <xdr:rowOff>232209</xdr:rowOff>
    </xdr:from>
    <xdr:to>
      <xdr:col>20</xdr:col>
      <xdr:colOff>500306</xdr:colOff>
      <xdr:row>4</xdr:row>
      <xdr:rowOff>115340</xdr:rowOff>
    </xdr:to>
    <xdr:cxnSp macro="">
      <xdr:nvCxnSpPr>
        <xdr:cNvPr id="28" name="直線コネクタ 27">
          <a:extLst>
            <a:ext uri="{FF2B5EF4-FFF2-40B4-BE49-F238E27FC236}">
              <a16:creationId xmlns:a16="http://schemas.microsoft.com/office/drawing/2014/main" id="{CB737CEB-D21C-447D-902F-B7F3B856625C}"/>
            </a:ext>
          </a:extLst>
        </xdr:cNvPr>
        <xdr:cNvCxnSpPr/>
      </xdr:nvCxnSpPr>
      <xdr:spPr bwMode="auto">
        <a:xfrm flipH="1">
          <a:off x="11608372" y="879909"/>
          <a:ext cx="112384" cy="378431"/>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20</xdr:col>
      <xdr:colOff>390296</xdr:colOff>
      <xdr:row>4</xdr:row>
      <xdr:rowOff>110483</xdr:rowOff>
    </xdr:from>
    <xdr:to>
      <xdr:col>20</xdr:col>
      <xdr:colOff>505055</xdr:colOff>
      <xdr:row>4</xdr:row>
      <xdr:rowOff>205203</xdr:rowOff>
    </xdr:to>
    <xdr:cxnSp macro="">
      <xdr:nvCxnSpPr>
        <xdr:cNvPr id="29" name="直線コネクタ 28">
          <a:extLst>
            <a:ext uri="{FF2B5EF4-FFF2-40B4-BE49-F238E27FC236}">
              <a16:creationId xmlns:a16="http://schemas.microsoft.com/office/drawing/2014/main" id="{9D68E728-7883-4A53-9153-D8B38C421395}"/>
            </a:ext>
          </a:extLst>
        </xdr:cNvPr>
        <xdr:cNvCxnSpPr/>
      </xdr:nvCxnSpPr>
      <xdr:spPr bwMode="auto">
        <a:xfrm>
          <a:off x="11610746" y="1253483"/>
          <a:ext cx="114759" cy="9472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175114</xdr:colOff>
      <xdr:row>14</xdr:row>
      <xdr:rowOff>238572</xdr:rowOff>
    </xdr:from>
    <xdr:to>
      <xdr:col>26</xdr:col>
      <xdr:colOff>230160</xdr:colOff>
      <xdr:row>14</xdr:row>
      <xdr:rowOff>238572</xdr:rowOff>
    </xdr:to>
    <xdr:sp macro="" textlink="">
      <xdr:nvSpPr>
        <xdr:cNvPr id="30" name="水平線1">
          <a:extLst>
            <a:ext uri="{FF2B5EF4-FFF2-40B4-BE49-F238E27FC236}">
              <a16:creationId xmlns:a16="http://schemas.microsoft.com/office/drawing/2014/main" id="{46883BB0-88C1-49F1-931D-6BF30BA6B7C5}"/>
            </a:ext>
          </a:extLst>
        </xdr:cNvPr>
        <xdr:cNvSpPr>
          <a:spLocks noChangeShapeType="1"/>
        </xdr:cNvSpPr>
      </xdr:nvSpPr>
      <xdr:spPr bwMode="auto">
        <a:xfrm>
          <a:off x="8633314" y="3858072"/>
          <a:ext cx="6131996"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500305</xdr:colOff>
      <xdr:row>2</xdr:row>
      <xdr:rowOff>240304</xdr:rowOff>
    </xdr:from>
    <xdr:to>
      <xdr:col>20</xdr:col>
      <xdr:colOff>500305</xdr:colOff>
      <xdr:row>26</xdr:row>
      <xdr:rowOff>236839</xdr:rowOff>
    </xdr:to>
    <xdr:sp macro="" textlink="">
      <xdr:nvSpPr>
        <xdr:cNvPr id="31" name="垂直線1">
          <a:extLst>
            <a:ext uri="{FF2B5EF4-FFF2-40B4-BE49-F238E27FC236}">
              <a16:creationId xmlns:a16="http://schemas.microsoft.com/office/drawing/2014/main" id="{5D2CAA50-B6CF-4E7D-8DFF-433D96B66A3A}"/>
            </a:ext>
          </a:extLst>
        </xdr:cNvPr>
        <xdr:cNvSpPr>
          <a:spLocks noChangeShapeType="1"/>
        </xdr:cNvSpPr>
      </xdr:nvSpPr>
      <xdr:spPr bwMode="auto">
        <a:xfrm>
          <a:off x="11720755" y="888004"/>
          <a:ext cx="0" cy="5940135"/>
        </a:xfrm>
        <a:prstGeom prst="line">
          <a:avLst/>
        </a:prstGeom>
        <a:noFill/>
        <a:ln w="19050" cap="rnd">
          <a:solidFill>
            <a:srgbClr xmlns:mc="http://schemas.openxmlformats.org/markup-compatibility/2006" xmlns:a14="http://schemas.microsoft.com/office/drawing/2010/main" val="000000" mc:Ignorable="a14" a14:legacySpreadsheetColorIndex="64"/>
          </a:solidFill>
          <a:miter lim="800000"/>
          <a:headEnd type="none" w="med" len="lg"/>
          <a:tailEnd type="none"/>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25</xdr:col>
      <xdr:colOff>75558</xdr:colOff>
      <xdr:row>16</xdr:row>
      <xdr:rowOff>206232</xdr:rowOff>
    </xdr:from>
    <xdr:ext cx="400050" cy="174914"/>
    <xdr:sp macro="" textlink="">
      <xdr:nvSpPr>
        <xdr:cNvPr id="32" name="東面2">
          <a:extLst>
            <a:ext uri="{FF2B5EF4-FFF2-40B4-BE49-F238E27FC236}">
              <a16:creationId xmlns:a16="http://schemas.microsoft.com/office/drawing/2014/main" id="{6DD68198-5102-47EF-9E7D-3A54E99941DD}"/>
            </a:ext>
          </a:extLst>
        </xdr:cNvPr>
        <xdr:cNvSpPr txBox="1">
          <a:spLocks noChangeArrowheads="1"/>
        </xdr:cNvSpPr>
      </xdr:nvSpPr>
      <xdr:spPr bwMode="auto">
        <a:xfrm>
          <a:off x="14058258" y="4321032"/>
          <a:ext cx="400050" cy="17491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E</a:t>
          </a:r>
          <a:endParaRPr lang="ja-JP" altLang="en-US" sz="1200" b="1"/>
        </a:p>
      </xdr:txBody>
    </xdr:sp>
    <xdr:clientData/>
  </xdr:oneCellAnchor>
  <xdr:twoCellAnchor>
    <xdr:from>
      <xdr:col>6</xdr:col>
      <xdr:colOff>172891</xdr:colOff>
      <xdr:row>19</xdr:row>
      <xdr:rowOff>92046</xdr:rowOff>
    </xdr:from>
    <xdr:to>
      <xdr:col>7</xdr:col>
      <xdr:colOff>6928</xdr:colOff>
      <xdr:row>19</xdr:row>
      <xdr:rowOff>160194</xdr:rowOff>
    </xdr:to>
    <xdr:sp macro="" textlink="">
      <xdr:nvSpPr>
        <xdr:cNvPr id="33" name="フリーフォーム: 図形 32">
          <a:extLst>
            <a:ext uri="{FF2B5EF4-FFF2-40B4-BE49-F238E27FC236}">
              <a16:creationId xmlns:a16="http://schemas.microsoft.com/office/drawing/2014/main" id="{9A10721F-300C-4009-B017-B30FEE828628}"/>
            </a:ext>
          </a:extLst>
        </xdr:cNvPr>
        <xdr:cNvSpPr/>
      </xdr:nvSpPr>
      <xdr:spPr>
        <a:xfrm>
          <a:off x="3544741" y="4949796"/>
          <a:ext cx="386487" cy="68148"/>
        </a:xfrm>
        <a:custGeom>
          <a:avLst/>
          <a:gdLst/>
          <a:ahLst/>
          <a:cxnLst/>
          <a:rect l="0" t="0" r="0" b="0"/>
          <a:pathLst>
            <a:path w="386487" h="68148">
              <a:moveTo>
                <a:pt x="0" y="0"/>
              </a:moveTo>
              <a:cubicBezTo>
                <a:pt x="94018" y="29643"/>
                <a:pt x="94018" y="29643"/>
                <a:pt x="94018" y="29643"/>
              </a:cubicBezTo>
              <a:cubicBezTo>
                <a:pt x="190262" y="50980"/>
                <a:pt x="190262" y="50980"/>
                <a:pt x="190262" y="50980"/>
              </a:cubicBezTo>
              <a:cubicBezTo>
                <a:pt x="287999" y="63848"/>
                <a:pt x="287999" y="63848"/>
                <a:pt x="287999" y="63848"/>
              </a:cubicBezTo>
              <a:cubicBezTo>
                <a:pt x="386486" y="68147"/>
                <a:pt x="386486" y="68147"/>
                <a:pt x="386486" y="68147"/>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352023</xdr:colOff>
      <xdr:row>18</xdr:row>
      <xdr:rowOff>11454</xdr:rowOff>
    </xdr:from>
    <xdr:to>
      <xdr:col>6</xdr:col>
      <xdr:colOff>519257</xdr:colOff>
      <xdr:row>19</xdr:row>
      <xdr:rowOff>70683</xdr:rowOff>
    </xdr:to>
    <xdr:sp macro="" textlink="">
      <xdr:nvSpPr>
        <xdr:cNvPr id="34" name="テキスト ボックス 33">
          <a:extLst>
            <a:ext uri="{FF2B5EF4-FFF2-40B4-BE49-F238E27FC236}">
              <a16:creationId xmlns:a16="http://schemas.microsoft.com/office/drawing/2014/main" id="{245A2143-2A65-44CB-BFEF-6AD6E56F71FB}"/>
            </a:ext>
          </a:extLst>
        </xdr:cNvPr>
        <xdr:cNvSpPr txBox="1"/>
      </xdr:nvSpPr>
      <xdr:spPr>
        <a:xfrm>
          <a:off x="3171423" y="4621554"/>
          <a:ext cx="71968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α=20[°]</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7</xdr:col>
      <xdr:colOff>6927</xdr:colOff>
      <xdr:row>16</xdr:row>
      <xdr:rowOff>202562</xdr:rowOff>
    </xdr:from>
    <xdr:to>
      <xdr:col>9</xdr:col>
      <xdr:colOff>81877</xdr:colOff>
      <xdr:row>20</xdr:row>
      <xdr:rowOff>38101</xdr:rowOff>
    </xdr:to>
    <xdr:sp macro="" textlink="">
      <xdr:nvSpPr>
        <xdr:cNvPr id="35" name="フリーフォーム: 図形 34">
          <a:extLst>
            <a:ext uri="{FF2B5EF4-FFF2-40B4-BE49-F238E27FC236}">
              <a16:creationId xmlns:a16="http://schemas.microsoft.com/office/drawing/2014/main" id="{7D7B3303-3A6B-4BDC-81E9-4CC7BED05801}"/>
            </a:ext>
          </a:extLst>
        </xdr:cNvPr>
        <xdr:cNvSpPr/>
      </xdr:nvSpPr>
      <xdr:spPr>
        <a:xfrm>
          <a:off x="3931227" y="4317362"/>
          <a:ext cx="1179850" cy="826139"/>
        </a:xfrm>
        <a:custGeom>
          <a:avLst/>
          <a:gdLst/>
          <a:ahLst/>
          <a:cxnLst/>
          <a:rect l="0" t="0" r="0" b="0"/>
          <a:pathLst>
            <a:path w="1179850" h="826139">
              <a:moveTo>
                <a:pt x="0" y="826138"/>
              </a:moveTo>
              <a:cubicBezTo>
                <a:pt x="109431" y="821360"/>
                <a:pt x="109431" y="821360"/>
                <a:pt x="109431" y="821360"/>
              </a:cubicBezTo>
              <a:cubicBezTo>
                <a:pt x="218027" y="807064"/>
                <a:pt x="218027" y="807064"/>
                <a:pt x="218027" y="807064"/>
              </a:cubicBezTo>
              <a:cubicBezTo>
                <a:pt x="324966" y="783356"/>
                <a:pt x="324966" y="783356"/>
                <a:pt x="324966" y="783356"/>
              </a:cubicBezTo>
              <a:cubicBezTo>
                <a:pt x="429430" y="750418"/>
                <a:pt x="429430" y="750418"/>
                <a:pt x="429430" y="750418"/>
              </a:cubicBezTo>
              <a:cubicBezTo>
                <a:pt x="530627" y="708501"/>
                <a:pt x="530627" y="708501"/>
                <a:pt x="530627" y="708501"/>
              </a:cubicBezTo>
              <a:cubicBezTo>
                <a:pt x="627785" y="657924"/>
                <a:pt x="627785" y="657924"/>
                <a:pt x="627785" y="657924"/>
              </a:cubicBezTo>
              <a:cubicBezTo>
                <a:pt x="720165" y="599072"/>
                <a:pt x="720165" y="599072"/>
                <a:pt x="720165" y="599072"/>
              </a:cubicBezTo>
              <a:cubicBezTo>
                <a:pt x="807064" y="532391"/>
                <a:pt x="807064" y="532391"/>
                <a:pt x="807064" y="532391"/>
              </a:cubicBezTo>
              <a:cubicBezTo>
                <a:pt x="887821" y="458391"/>
                <a:pt x="887821" y="458391"/>
                <a:pt x="887821" y="458391"/>
              </a:cubicBezTo>
              <a:cubicBezTo>
                <a:pt x="961822" y="377634"/>
                <a:pt x="961822" y="377634"/>
                <a:pt x="961822" y="377634"/>
              </a:cubicBezTo>
              <a:cubicBezTo>
                <a:pt x="1028502" y="290735"/>
                <a:pt x="1028502" y="290735"/>
                <a:pt x="1028502" y="290735"/>
              </a:cubicBezTo>
              <a:cubicBezTo>
                <a:pt x="1087354" y="198355"/>
                <a:pt x="1087354" y="198355"/>
                <a:pt x="1087354" y="198355"/>
              </a:cubicBezTo>
              <a:cubicBezTo>
                <a:pt x="1137932" y="101197"/>
                <a:pt x="1137932" y="101197"/>
                <a:pt x="1137932" y="101197"/>
              </a:cubicBezTo>
              <a:cubicBezTo>
                <a:pt x="1179849" y="0"/>
                <a:pt x="1179849" y="0"/>
                <a:pt x="1179849" y="0"/>
              </a:cubicBezTo>
            </a:path>
          </a:pathLst>
        </a:custGeom>
        <a:ln>
          <a:headEnd type="oval" w="sm" len="sm"/>
          <a:tailEnd type="arrow"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87793</xdr:colOff>
      <xdr:row>18</xdr:row>
      <xdr:rowOff>52183</xdr:rowOff>
    </xdr:from>
    <xdr:to>
      <xdr:col>8</xdr:col>
      <xdr:colOff>319147</xdr:colOff>
      <xdr:row>19</xdr:row>
      <xdr:rowOff>111412</xdr:rowOff>
    </xdr:to>
    <xdr:sp macro="" textlink="">
      <xdr:nvSpPr>
        <xdr:cNvPr id="36" name="テキスト ボックス 35">
          <a:extLst>
            <a:ext uri="{FF2B5EF4-FFF2-40B4-BE49-F238E27FC236}">
              <a16:creationId xmlns:a16="http://schemas.microsoft.com/office/drawing/2014/main" id="{7F5FAE27-8AA7-4ED8-BDCC-0B68C7B20875}"/>
            </a:ext>
          </a:extLst>
        </xdr:cNvPr>
        <xdr:cNvSpPr txBox="1"/>
      </xdr:nvSpPr>
      <xdr:spPr>
        <a:xfrm>
          <a:off x="4012093" y="4662283"/>
          <a:ext cx="78380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α=-70[°]</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4</xdr:col>
      <xdr:colOff>358486</xdr:colOff>
      <xdr:row>13</xdr:row>
      <xdr:rowOff>69475</xdr:rowOff>
    </xdr:from>
    <xdr:to>
      <xdr:col>7</xdr:col>
      <xdr:colOff>6928</xdr:colOff>
      <xdr:row>20</xdr:row>
      <xdr:rowOff>88324</xdr:rowOff>
    </xdr:to>
    <xdr:sp macro="" textlink="">
      <xdr:nvSpPr>
        <xdr:cNvPr id="37" name="フリーフォーム: 図形 36">
          <a:extLst>
            <a:ext uri="{FF2B5EF4-FFF2-40B4-BE49-F238E27FC236}">
              <a16:creationId xmlns:a16="http://schemas.microsoft.com/office/drawing/2014/main" id="{CF96EF9E-C193-46DD-83C6-340EE12E16AB}"/>
            </a:ext>
          </a:extLst>
        </xdr:cNvPr>
        <xdr:cNvSpPr/>
      </xdr:nvSpPr>
      <xdr:spPr>
        <a:xfrm>
          <a:off x="2625436" y="3441325"/>
          <a:ext cx="1305792" cy="1752399"/>
        </a:xfrm>
        <a:custGeom>
          <a:avLst/>
          <a:gdLst/>
          <a:ahLst/>
          <a:cxnLst/>
          <a:rect l="0" t="0" r="0" b="0"/>
          <a:pathLst>
            <a:path w="1305792" h="1752399">
              <a:moveTo>
                <a:pt x="78749" y="0"/>
              </a:moveTo>
              <a:cubicBezTo>
                <a:pt x="44494" y="108643"/>
                <a:pt x="44494" y="108643"/>
                <a:pt x="44494" y="108643"/>
              </a:cubicBezTo>
              <a:cubicBezTo>
                <a:pt x="19838" y="219859"/>
                <a:pt x="19838" y="219859"/>
                <a:pt x="19838" y="219859"/>
              </a:cubicBezTo>
              <a:cubicBezTo>
                <a:pt x="4969" y="332800"/>
                <a:pt x="4969" y="332800"/>
                <a:pt x="4969" y="332800"/>
              </a:cubicBezTo>
              <a:cubicBezTo>
                <a:pt x="0" y="446607"/>
                <a:pt x="0" y="446607"/>
                <a:pt x="0" y="446607"/>
              </a:cubicBezTo>
              <a:cubicBezTo>
                <a:pt x="4969" y="560414"/>
                <a:pt x="4969" y="560414"/>
                <a:pt x="4969" y="560414"/>
              </a:cubicBezTo>
              <a:cubicBezTo>
                <a:pt x="19838" y="673355"/>
                <a:pt x="19838" y="673355"/>
                <a:pt x="19838" y="673355"/>
              </a:cubicBezTo>
              <a:cubicBezTo>
                <a:pt x="44494" y="784571"/>
                <a:pt x="44494" y="784571"/>
                <a:pt x="44494" y="784571"/>
              </a:cubicBezTo>
              <a:cubicBezTo>
                <a:pt x="78749" y="893214"/>
                <a:pt x="78749" y="893214"/>
                <a:pt x="78749" y="893214"/>
              </a:cubicBezTo>
              <a:cubicBezTo>
                <a:pt x="122343" y="998458"/>
                <a:pt x="122343" y="998458"/>
                <a:pt x="122343" y="998458"/>
              </a:cubicBezTo>
              <a:cubicBezTo>
                <a:pt x="174943" y="1099502"/>
                <a:pt x="174943" y="1099502"/>
                <a:pt x="174943" y="1099502"/>
              </a:cubicBezTo>
              <a:cubicBezTo>
                <a:pt x="236150" y="1195578"/>
                <a:pt x="236150" y="1195578"/>
                <a:pt x="236150" y="1195578"/>
              </a:cubicBezTo>
              <a:cubicBezTo>
                <a:pt x="305497" y="1285953"/>
                <a:pt x="305497" y="1285953"/>
                <a:pt x="305497" y="1285953"/>
              </a:cubicBezTo>
              <a:cubicBezTo>
                <a:pt x="382458" y="1369941"/>
                <a:pt x="382458" y="1369941"/>
                <a:pt x="382458" y="1369941"/>
              </a:cubicBezTo>
              <a:cubicBezTo>
                <a:pt x="466445" y="1446901"/>
                <a:pt x="466445" y="1446901"/>
                <a:pt x="466445" y="1446901"/>
              </a:cubicBezTo>
              <a:cubicBezTo>
                <a:pt x="556820" y="1516248"/>
                <a:pt x="556820" y="1516248"/>
                <a:pt x="556820" y="1516248"/>
              </a:cubicBezTo>
              <a:cubicBezTo>
                <a:pt x="652896" y="1577455"/>
                <a:pt x="652896" y="1577455"/>
                <a:pt x="652896" y="1577455"/>
              </a:cubicBezTo>
              <a:cubicBezTo>
                <a:pt x="753940" y="1630055"/>
                <a:pt x="753940" y="1630055"/>
                <a:pt x="753940" y="1630055"/>
              </a:cubicBezTo>
              <a:cubicBezTo>
                <a:pt x="859184" y="1673649"/>
                <a:pt x="859184" y="1673649"/>
                <a:pt x="859184" y="1673649"/>
              </a:cubicBezTo>
              <a:cubicBezTo>
                <a:pt x="967827" y="1707904"/>
                <a:pt x="967827" y="1707904"/>
                <a:pt x="967827" y="1707904"/>
              </a:cubicBezTo>
              <a:cubicBezTo>
                <a:pt x="1079043" y="1732560"/>
                <a:pt x="1079043" y="1732560"/>
                <a:pt x="1079043" y="1732560"/>
              </a:cubicBezTo>
              <a:cubicBezTo>
                <a:pt x="1191984" y="1747429"/>
                <a:pt x="1191984" y="1747429"/>
                <a:pt x="1191984" y="1747429"/>
              </a:cubicBezTo>
              <a:cubicBezTo>
                <a:pt x="1305791" y="1752398"/>
                <a:pt x="1305791" y="1752398"/>
                <a:pt x="1305791" y="1752398"/>
              </a:cubicBezTo>
              <a:cubicBezTo>
                <a:pt x="1305791" y="1752398"/>
                <a:pt x="1305791" y="1752398"/>
                <a:pt x="1305791" y="1752398"/>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493648</xdr:colOff>
      <xdr:row>17</xdr:row>
      <xdr:rowOff>20302</xdr:rowOff>
    </xdr:from>
    <xdr:to>
      <xdr:col>5</xdr:col>
      <xdr:colOff>172552</xdr:colOff>
      <xdr:row>18</xdr:row>
      <xdr:rowOff>79531</xdr:rowOff>
    </xdr:to>
    <xdr:sp macro="" textlink="">
      <xdr:nvSpPr>
        <xdr:cNvPr id="38" name="テキスト ボックス 37">
          <a:extLst>
            <a:ext uri="{FF2B5EF4-FFF2-40B4-BE49-F238E27FC236}">
              <a16:creationId xmlns:a16="http://schemas.microsoft.com/office/drawing/2014/main" id="{799D533C-A3DF-4686-A8BD-DE94A20917C1}"/>
            </a:ext>
          </a:extLst>
        </xdr:cNvPr>
        <xdr:cNvSpPr txBox="1"/>
      </xdr:nvSpPr>
      <xdr:spPr>
        <a:xfrm>
          <a:off x="2208148" y="4382752"/>
          <a:ext cx="78380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α=110[°]</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4</xdr:col>
      <xdr:colOff>232930</xdr:colOff>
      <xdr:row>9</xdr:row>
      <xdr:rowOff>75334</xdr:rowOff>
    </xdr:from>
    <xdr:to>
      <xdr:col>7</xdr:col>
      <xdr:colOff>496478</xdr:colOff>
      <xdr:row>20</xdr:row>
      <xdr:rowOff>213881</xdr:rowOff>
    </xdr:to>
    <xdr:sp macro="" textlink="">
      <xdr:nvSpPr>
        <xdr:cNvPr id="39" name="フリーフォーム: 図形 38">
          <a:extLst>
            <a:ext uri="{FF2B5EF4-FFF2-40B4-BE49-F238E27FC236}">
              <a16:creationId xmlns:a16="http://schemas.microsoft.com/office/drawing/2014/main" id="{7AB3C849-8A7D-4056-9935-A06E541D97EE}"/>
            </a:ext>
          </a:extLst>
        </xdr:cNvPr>
        <xdr:cNvSpPr/>
      </xdr:nvSpPr>
      <xdr:spPr>
        <a:xfrm>
          <a:off x="2499880" y="2456584"/>
          <a:ext cx="1920898" cy="2862697"/>
        </a:xfrm>
        <a:custGeom>
          <a:avLst/>
          <a:gdLst/>
          <a:ahLst/>
          <a:cxnLst/>
          <a:rect l="0" t="0" r="0" b="0"/>
          <a:pathLst>
            <a:path w="1920898" h="2862697">
              <a:moveTo>
                <a:pt x="1920897" y="86321"/>
              </a:moveTo>
              <a:cubicBezTo>
                <a:pt x="1801807" y="48772"/>
                <a:pt x="1801807" y="48772"/>
                <a:pt x="1801807" y="48772"/>
              </a:cubicBezTo>
              <a:cubicBezTo>
                <a:pt x="1679899" y="21746"/>
                <a:pt x="1679899" y="21746"/>
                <a:pt x="1679899" y="21746"/>
              </a:cubicBezTo>
              <a:cubicBezTo>
                <a:pt x="1556098" y="5447"/>
                <a:pt x="1556098" y="5447"/>
                <a:pt x="1556098" y="5447"/>
              </a:cubicBezTo>
              <a:cubicBezTo>
                <a:pt x="1431347" y="0"/>
                <a:pt x="1431347" y="0"/>
                <a:pt x="1431347" y="0"/>
              </a:cubicBezTo>
              <a:cubicBezTo>
                <a:pt x="1306597" y="5447"/>
                <a:pt x="1306597" y="5447"/>
                <a:pt x="1306597" y="5447"/>
              </a:cubicBezTo>
              <a:cubicBezTo>
                <a:pt x="1182797" y="21746"/>
                <a:pt x="1182797" y="21746"/>
                <a:pt x="1182797" y="21746"/>
              </a:cubicBezTo>
              <a:cubicBezTo>
                <a:pt x="1060888" y="48772"/>
                <a:pt x="1060888" y="48772"/>
                <a:pt x="1060888" y="48772"/>
              </a:cubicBezTo>
              <a:cubicBezTo>
                <a:pt x="941798" y="86321"/>
                <a:pt x="941798" y="86321"/>
                <a:pt x="941798" y="86321"/>
              </a:cubicBezTo>
              <a:cubicBezTo>
                <a:pt x="826434" y="134106"/>
                <a:pt x="826434" y="134106"/>
                <a:pt x="826434" y="134106"/>
              </a:cubicBezTo>
              <a:cubicBezTo>
                <a:pt x="715674" y="191764"/>
                <a:pt x="715674" y="191764"/>
                <a:pt x="715674" y="191764"/>
              </a:cubicBezTo>
              <a:cubicBezTo>
                <a:pt x="610360" y="258856"/>
                <a:pt x="610360" y="258856"/>
                <a:pt x="610360" y="258856"/>
              </a:cubicBezTo>
              <a:cubicBezTo>
                <a:pt x="511295" y="334872"/>
                <a:pt x="511295" y="334872"/>
                <a:pt x="511295" y="334872"/>
              </a:cubicBezTo>
              <a:cubicBezTo>
                <a:pt x="419232" y="419232"/>
                <a:pt x="419232" y="419232"/>
                <a:pt x="419232" y="419232"/>
              </a:cubicBezTo>
              <a:cubicBezTo>
                <a:pt x="334872" y="511295"/>
                <a:pt x="334872" y="511295"/>
                <a:pt x="334872" y="511295"/>
              </a:cubicBezTo>
              <a:cubicBezTo>
                <a:pt x="258856" y="610360"/>
                <a:pt x="258856" y="610360"/>
                <a:pt x="258856" y="610360"/>
              </a:cubicBezTo>
              <a:cubicBezTo>
                <a:pt x="191764" y="715674"/>
                <a:pt x="191764" y="715674"/>
                <a:pt x="191764" y="715674"/>
              </a:cubicBezTo>
              <a:cubicBezTo>
                <a:pt x="134106" y="826434"/>
                <a:pt x="134106" y="826434"/>
                <a:pt x="134106" y="826434"/>
              </a:cubicBezTo>
              <a:cubicBezTo>
                <a:pt x="86321" y="941798"/>
                <a:pt x="86321" y="941798"/>
                <a:pt x="86321" y="941798"/>
              </a:cubicBezTo>
              <a:cubicBezTo>
                <a:pt x="48772" y="1060887"/>
                <a:pt x="48772" y="1060887"/>
                <a:pt x="48772" y="1060887"/>
              </a:cubicBezTo>
              <a:cubicBezTo>
                <a:pt x="21745" y="1182797"/>
                <a:pt x="21745" y="1182797"/>
                <a:pt x="21745" y="1182797"/>
              </a:cubicBezTo>
              <a:cubicBezTo>
                <a:pt x="5446" y="1306597"/>
                <a:pt x="5446" y="1306597"/>
                <a:pt x="5446" y="1306597"/>
              </a:cubicBezTo>
              <a:cubicBezTo>
                <a:pt x="0" y="1431348"/>
                <a:pt x="0" y="1431348"/>
                <a:pt x="0" y="1431348"/>
              </a:cubicBezTo>
              <a:cubicBezTo>
                <a:pt x="5446" y="1556098"/>
                <a:pt x="5446" y="1556098"/>
                <a:pt x="5446" y="1556098"/>
              </a:cubicBezTo>
              <a:cubicBezTo>
                <a:pt x="21745" y="1679898"/>
                <a:pt x="21745" y="1679898"/>
                <a:pt x="21745" y="1679898"/>
              </a:cubicBezTo>
              <a:cubicBezTo>
                <a:pt x="48771" y="1801808"/>
                <a:pt x="48771" y="1801808"/>
                <a:pt x="48771" y="1801808"/>
              </a:cubicBezTo>
              <a:cubicBezTo>
                <a:pt x="86320" y="1920897"/>
                <a:pt x="86320" y="1920897"/>
                <a:pt x="86320" y="1920897"/>
              </a:cubicBezTo>
              <a:cubicBezTo>
                <a:pt x="134105" y="2036261"/>
                <a:pt x="134105" y="2036261"/>
                <a:pt x="134105" y="2036261"/>
              </a:cubicBezTo>
              <a:cubicBezTo>
                <a:pt x="191763" y="2147021"/>
                <a:pt x="191763" y="2147021"/>
                <a:pt x="191763" y="2147021"/>
              </a:cubicBezTo>
              <a:cubicBezTo>
                <a:pt x="258855" y="2252335"/>
                <a:pt x="258855" y="2252335"/>
                <a:pt x="258855" y="2252335"/>
              </a:cubicBezTo>
              <a:cubicBezTo>
                <a:pt x="334871" y="2351400"/>
                <a:pt x="334871" y="2351400"/>
                <a:pt x="334871" y="2351400"/>
              </a:cubicBezTo>
              <a:cubicBezTo>
                <a:pt x="419231" y="2443463"/>
                <a:pt x="419231" y="2443463"/>
                <a:pt x="419231" y="2443463"/>
              </a:cubicBezTo>
              <a:cubicBezTo>
                <a:pt x="511294" y="2527824"/>
                <a:pt x="511294" y="2527824"/>
                <a:pt x="511294" y="2527824"/>
              </a:cubicBezTo>
              <a:cubicBezTo>
                <a:pt x="610360" y="2603839"/>
                <a:pt x="610360" y="2603839"/>
                <a:pt x="610360" y="2603839"/>
              </a:cubicBezTo>
              <a:cubicBezTo>
                <a:pt x="715673" y="2670931"/>
                <a:pt x="715673" y="2670931"/>
                <a:pt x="715673" y="2670931"/>
              </a:cubicBezTo>
              <a:cubicBezTo>
                <a:pt x="826433" y="2728589"/>
                <a:pt x="826433" y="2728589"/>
                <a:pt x="826433" y="2728589"/>
              </a:cubicBezTo>
              <a:cubicBezTo>
                <a:pt x="941797" y="2776375"/>
                <a:pt x="941797" y="2776375"/>
                <a:pt x="941797" y="2776375"/>
              </a:cubicBezTo>
              <a:cubicBezTo>
                <a:pt x="1060887" y="2813924"/>
                <a:pt x="1060887" y="2813924"/>
                <a:pt x="1060887" y="2813924"/>
              </a:cubicBezTo>
              <a:cubicBezTo>
                <a:pt x="1182796" y="2840950"/>
                <a:pt x="1182796" y="2840950"/>
                <a:pt x="1182796" y="2840950"/>
              </a:cubicBezTo>
              <a:cubicBezTo>
                <a:pt x="1306597" y="2857249"/>
                <a:pt x="1306597" y="2857249"/>
                <a:pt x="1306597" y="2857249"/>
              </a:cubicBezTo>
              <a:cubicBezTo>
                <a:pt x="1431347" y="2862696"/>
                <a:pt x="1431347" y="2862696"/>
                <a:pt x="1431347" y="2862696"/>
              </a:cubicBezTo>
              <a:cubicBezTo>
                <a:pt x="1431347" y="2862696"/>
                <a:pt x="1431347" y="2862696"/>
                <a:pt x="1431347" y="2862696"/>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153687</xdr:colOff>
      <xdr:row>13</xdr:row>
      <xdr:rowOff>13380</xdr:rowOff>
    </xdr:from>
    <xdr:to>
      <xdr:col>4</xdr:col>
      <xdr:colOff>385041</xdr:colOff>
      <xdr:row>14</xdr:row>
      <xdr:rowOff>72609</xdr:rowOff>
    </xdr:to>
    <xdr:sp macro="" textlink="">
      <xdr:nvSpPr>
        <xdr:cNvPr id="40" name="テキスト ボックス 39">
          <a:extLst>
            <a:ext uri="{FF2B5EF4-FFF2-40B4-BE49-F238E27FC236}">
              <a16:creationId xmlns:a16="http://schemas.microsoft.com/office/drawing/2014/main" id="{B93F6C1A-916D-42CC-B512-A872C1746499}"/>
            </a:ext>
          </a:extLst>
        </xdr:cNvPr>
        <xdr:cNvSpPr txBox="1"/>
      </xdr:nvSpPr>
      <xdr:spPr>
        <a:xfrm>
          <a:off x="1868187" y="3385230"/>
          <a:ext cx="78380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α=200[°]</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5</xdr:col>
      <xdr:colOff>510495</xdr:colOff>
      <xdr:row>15</xdr:row>
      <xdr:rowOff>20782</xdr:rowOff>
    </xdr:from>
    <xdr:to>
      <xdr:col>7</xdr:col>
      <xdr:colOff>6927</xdr:colOff>
      <xdr:row>28</xdr:row>
      <xdr:rowOff>177197</xdr:rowOff>
    </xdr:to>
    <xdr:cxnSp macro="">
      <xdr:nvCxnSpPr>
        <xdr:cNvPr id="41" name="直線コネクタ 40">
          <a:extLst>
            <a:ext uri="{FF2B5EF4-FFF2-40B4-BE49-F238E27FC236}">
              <a16:creationId xmlns:a16="http://schemas.microsoft.com/office/drawing/2014/main" id="{D7C1503C-E3C2-4A66-9D56-E3AD6ECEDCDB}"/>
            </a:ext>
          </a:extLst>
        </xdr:cNvPr>
        <xdr:cNvCxnSpPr/>
      </xdr:nvCxnSpPr>
      <xdr:spPr>
        <a:xfrm flipH="1">
          <a:off x="3329895" y="3887932"/>
          <a:ext cx="601332" cy="3375865"/>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472395</xdr:colOff>
      <xdr:row>28</xdr:row>
      <xdr:rowOff>139097</xdr:rowOff>
    </xdr:from>
    <xdr:to>
      <xdr:col>5</xdr:col>
      <xdr:colOff>548595</xdr:colOff>
      <xdr:row>29</xdr:row>
      <xdr:rowOff>43847</xdr:rowOff>
    </xdr:to>
    <xdr:sp macro="" textlink="">
      <xdr:nvSpPr>
        <xdr:cNvPr id="42" name="矢印: 右 41">
          <a:extLst>
            <a:ext uri="{FF2B5EF4-FFF2-40B4-BE49-F238E27FC236}">
              <a16:creationId xmlns:a16="http://schemas.microsoft.com/office/drawing/2014/main" id="{BE1E008D-4124-49B9-9B14-AD505546920A}"/>
            </a:ext>
          </a:extLst>
        </xdr:cNvPr>
        <xdr:cNvSpPr/>
      </xdr:nvSpPr>
      <xdr:spPr>
        <a:xfrm rot="16800000">
          <a:off x="3253695" y="7263797"/>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126884</xdr:colOff>
      <xdr:row>28</xdr:row>
      <xdr:rowOff>235625</xdr:rowOff>
    </xdr:from>
    <xdr:to>
      <xdr:col>6</xdr:col>
      <xdr:colOff>15580</xdr:colOff>
      <xdr:row>30</xdr:row>
      <xdr:rowOff>94829</xdr:rowOff>
    </xdr:to>
    <xdr:sp macro="" textlink="">
      <xdr:nvSpPr>
        <xdr:cNvPr id="43" name="テキスト ボックス 42">
          <a:extLst>
            <a:ext uri="{FF2B5EF4-FFF2-40B4-BE49-F238E27FC236}">
              <a16:creationId xmlns:a16="http://schemas.microsoft.com/office/drawing/2014/main" id="{1F356B8E-A889-4BBC-8D3A-6B5843FCEEE8}"/>
            </a:ext>
          </a:extLst>
        </xdr:cNvPr>
        <xdr:cNvSpPr txBox="1"/>
      </xdr:nvSpPr>
      <xdr:spPr>
        <a:xfrm>
          <a:off x="2946284" y="7322225"/>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12</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6</xdr:col>
      <xdr:colOff>194933</xdr:colOff>
      <xdr:row>23</xdr:row>
      <xdr:rowOff>85560</xdr:rowOff>
    </xdr:from>
    <xdr:to>
      <xdr:col>7</xdr:col>
      <xdr:colOff>6928</xdr:colOff>
      <xdr:row>23</xdr:row>
      <xdr:rowOff>117767</xdr:rowOff>
    </xdr:to>
    <xdr:sp macro="" textlink="">
      <xdr:nvSpPr>
        <xdr:cNvPr id="44" name="フリーフォーム: 図形 43">
          <a:extLst>
            <a:ext uri="{FF2B5EF4-FFF2-40B4-BE49-F238E27FC236}">
              <a16:creationId xmlns:a16="http://schemas.microsoft.com/office/drawing/2014/main" id="{9012D138-FDC6-4BCB-9908-5D18ADC34088}"/>
            </a:ext>
          </a:extLst>
        </xdr:cNvPr>
        <xdr:cNvSpPr/>
      </xdr:nvSpPr>
      <xdr:spPr>
        <a:xfrm>
          <a:off x="3566783" y="5933910"/>
          <a:ext cx="364445" cy="32207"/>
        </a:xfrm>
        <a:custGeom>
          <a:avLst/>
          <a:gdLst/>
          <a:ahLst/>
          <a:cxnLst/>
          <a:rect l="0" t="0" r="0" b="0"/>
          <a:pathLst>
            <a:path w="364445" h="32207">
              <a:moveTo>
                <a:pt x="0" y="0"/>
              </a:moveTo>
              <a:cubicBezTo>
                <a:pt x="179705" y="23978"/>
                <a:pt x="179705" y="23978"/>
                <a:pt x="179705" y="23978"/>
              </a:cubicBezTo>
              <a:cubicBezTo>
                <a:pt x="360817" y="32203"/>
                <a:pt x="360817" y="32203"/>
                <a:pt x="360817" y="32203"/>
              </a:cubicBezTo>
              <a:cubicBezTo>
                <a:pt x="364444" y="32206"/>
                <a:pt x="364444" y="32206"/>
                <a:pt x="364444" y="32206"/>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253175</xdr:colOff>
      <xdr:row>22</xdr:row>
      <xdr:rowOff>103198</xdr:rowOff>
    </xdr:from>
    <xdr:to>
      <xdr:col>6</xdr:col>
      <xdr:colOff>510562</xdr:colOff>
      <xdr:row>23</xdr:row>
      <xdr:rowOff>162427</xdr:rowOff>
    </xdr:to>
    <xdr:sp macro="" textlink="">
      <xdr:nvSpPr>
        <xdr:cNvPr id="45" name="テキスト ボックス 44">
          <a:extLst>
            <a:ext uri="{FF2B5EF4-FFF2-40B4-BE49-F238E27FC236}">
              <a16:creationId xmlns:a16="http://schemas.microsoft.com/office/drawing/2014/main" id="{E4FE4B13-5EE8-4CE4-ACD9-BA1EC243DBC0}"/>
            </a:ext>
          </a:extLst>
        </xdr:cNvPr>
        <xdr:cNvSpPr txBox="1"/>
      </xdr:nvSpPr>
      <xdr:spPr>
        <a:xfrm>
          <a:off x="3072575" y="5703898"/>
          <a:ext cx="80983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γ=10.1[°]</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7</xdr:col>
      <xdr:colOff>6927</xdr:colOff>
      <xdr:row>15</xdr:row>
      <xdr:rowOff>20782</xdr:rowOff>
    </xdr:from>
    <xdr:to>
      <xdr:col>13</xdr:col>
      <xdr:colOff>16459</xdr:colOff>
      <xdr:row>18</xdr:row>
      <xdr:rowOff>118992</xdr:rowOff>
    </xdr:to>
    <xdr:cxnSp macro="">
      <xdr:nvCxnSpPr>
        <xdr:cNvPr id="46" name="直線コネクタ 45">
          <a:extLst>
            <a:ext uri="{FF2B5EF4-FFF2-40B4-BE49-F238E27FC236}">
              <a16:creationId xmlns:a16="http://schemas.microsoft.com/office/drawing/2014/main" id="{DA5AF441-887F-465B-919A-6885C1EC90B5}"/>
            </a:ext>
          </a:extLst>
        </xdr:cNvPr>
        <xdr:cNvCxnSpPr/>
      </xdr:nvCxnSpPr>
      <xdr:spPr>
        <a:xfrm>
          <a:off x="3931227" y="3887932"/>
          <a:ext cx="3324232" cy="841160"/>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492709</xdr:colOff>
      <xdr:row>18</xdr:row>
      <xdr:rowOff>118992</xdr:rowOff>
    </xdr:from>
    <xdr:to>
      <xdr:col>13</xdr:col>
      <xdr:colOff>92659</xdr:colOff>
      <xdr:row>18</xdr:row>
      <xdr:rowOff>195192</xdr:rowOff>
    </xdr:to>
    <xdr:sp macro="" textlink="">
      <xdr:nvSpPr>
        <xdr:cNvPr id="47" name="矢印: 右 46">
          <a:extLst>
            <a:ext uri="{FF2B5EF4-FFF2-40B4-BE49-F238E27FC236}">
              <a16:creationId xmlns:a16="http://schemas.microsoft.com/office/drawing/2014/main" id="{17C41E24-CA36-4FC0-9C1D-080EF013FB9C}"/>
            </a:ext>
          </a:extLst>
        </xdr:cNvPr>
        <xdr:cNvSpPr/>
      </xdr:nvSpPr>
      <xdr:spPr>
        <a:xfrm rot="11640000">
          <a:off x="7179259" y="4729092"/>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64131</xdr:colOff>
      <xdr:row>17</xdr:row>
      <xdr:rowOff>190377</xdr:rowOff>
    </xdr:from>
    <xdr:to>
      <xdr:col>13</xdr:col>
      <xdr:colOff>441157</xdr:colOff>
      <xdr:row>19</xdr:row>
      <xdr:rowOff>1956</xdr:rowOff>
    </xdr:to>
    <xdr:sp macro="" textlink="">
      <xdr:nvSpPr>
        <xdr:cNvPr id="48" name="テキスト ボックス 47">
          <a:extLst>
            <a:ext uri="{FF2B5EF4-FFF2-40B4-BE49-F238E27FC236}">
              <a16:creationId xmlns:a16="http://schemas.microsoft.com/office/drawing/2014/main" id="{8D026E86-6949-4633-B100-A025B9E50479}"/>
            </a:ext>
          </a:extLst>
        </xdr:cNvPr>
        <xdr:cNvSpPr txBox="1"/>
      </xdr:nvSpPr>
      <xdr:spPr>
        <a:xfrm>
          <a:off x="7303131" y="4552827"/>
          <a:ext cx="37702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9</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7</xdr:col>
      <xdr:colOff>6927</xdr:colOff>
      <xdr:row>17</xdr:row>
      <xdr:rowOff>86256</xdr:rowOff>
    </xdr:from>
    <xdr:to>
      <xdr:col>11</xdr:col>
      <xdr:colOff>13282</xdr:colOff>
      <xdr:row>24</xdr:row>
      <xdr:rowOff>77935</xdr:rowOff>
    </xdr:to>
    <xdr:sp macro="" textlink="">
      <xdr:nvSpPr>
        <xdr:cNvPr id="49" name="フリーフォーム: 図形 48">
          <a:extLst>
            <a:ext uri="{FF2B5EF4-FFF2-40B4-BE49-F238E27FC236}">
              <a16:creationId xmlns:a16="http://schemas.microsoft.com/office/drawing/2014/main" id="{994B49CA-103A-485C-87E0-384A5CAF5062}"/>
            </a:ext>
          </a:extLst>
        </xdr:cNvPr>
        <xdr:cNvSpPr/>
      </xdr:nvSpPr>
      <xdr:spPr>
        <a:xfrm>
          <a:off x="3931227" y="4448706"/>
          <a:ext cx="2216155" cy="1725229"/>
        </a:xfrm>
        <a:custGeom>
          <a:avLst/>
          <a:gdLst/>
          <a:ahLst/>
          <a:cxnLst/>
          <a:rect l="0" t="0" r="0" b="0"/>
          <a:pathLst>
            <a:path w="2216155" h="1725229">
              <a:moveTo>
                <a:pt x="0" y="1725228"/>
              </a:moveTo>
              <a:cubicBezTo>
                <a:pt x="199239" y="1716529"/>
                <a:pt x="199239" y="1716529"/>
                <a:pt x="199239" y="1716529"/>
              </a:cubicBezTo>
              <a:cubicBezTo>
                <a:pt x="396960" y="1690498"/>
                <a:pt x="396960" y="1690498"/>
                <a:pt x="396960" y="1690498"/>
              </a:cubicBezTo>
              <a:cubicBezTo>
                <a:pt x="591661" y="1647334"/>
                <a:pt x="591661" y="1647334"/>
                <a:pt x="591661" y="1647334"/>
              </a:cubicBezTo>
              <a:cubicBezTo>
                <a:pt x="781859" y="1587365"/>
                <a:pt x="781859" y="1587365"/>
                <a:pt x="781859" y="1587365"/>
              </a:cubicBezTo>
              <a:cubicBezTo>
                <a:pt x="966107" y="1511048"/>
                <a:pt x="966107" y="1511048"/>
                <a:pt x="966107" y="1511048"/>
              </a:cubicBezTo>
              <a:cubicBezTo>
                <a:pt x="1143001" y="1418962"/>
                <a:pt x="1143001" y="1418962"/>
                <a:pt x="1143001" y="1418962"/>
              </a:cubicBezTo>
              <a:cubicBezTo>
                <a:pt x="1311197" y="1311809"/>
                <a:pt x="1311197" y="1311809"/>
                <a:pt x="1311197" y="1311809"/>
              </a:cubicBezTo>
              <a:cubicBezTo>
                <a:pt x="1469414" y="1190405"/>
                <a:pt x="1469414" y="1190405"/>
                <a:pt x="1469414" y="1190405"/>
              </a:cubicBezTo>
              <a:cubicBezTo>
                <a:pt x="1616448" y="1055674"/>
                <a:pt x="1616448" y="1055674"/>
                <a:pt x="1616448" y="1055674"/>
              </a:cubicBezTo>
              <a:cubicBezTo>
                <a:pt x="1751179" y="908640"/>
                <a:pt x="1751179" y="908640"/>
                <a:pt x="1751179" y="908640"/>
              </a:cubicBezTo>
              <a:cubicBezTo>
                <a:pt x="1872583" y="750423"/>
                <a:pt x="1872583" y="750423"/>
                <a:pt x="1872583" y="750423"/>
              </a:cubicBezTo>
              <a:cubicBezTo>
                <a:pt x="1979736" y="582228"/>
                <a:pt x="1979736" y="582228"/>
                <a:pt x="1979736" y="582228"/>
              </a:cubicBezTo>
              <a:cubicBezTo>
                <a:pt x="2071822" y="405333"/>
                <a:pt x="2071822" y="405333"/>
                <a:pt x="2071822" y="405333"/>
              </a:cubicBezTo>
              <a:cubicBezTo>
                <a:pt x="2148140" y="221085"/>
                <a:pt x="2148140" y="221085"/>
                <a:pt x="2148140" y="221085"/>
              </a:cubicBezTo>
              <a:cubicBezTo>
                <a:pt x="2208109" y="30888"/>
                <a:pt x="2208109" y="30888"/>
                <a:pt x="2208109" y="30888"/>
              </a:cubicBezTo>
              <a:cubicBezTo>
                <a:pt x="2216154" y="0"/>
                <a:pt x="2216154" y="0"/>
                <a:pt x="2216154" y="0"/>
              </a:cubicBezTo>
            </a:path>
          </a:pathLst>
        </a:custGeom>
        <a:ln>
          <a:headEnd type="oval" w="sm" len="sm"/>
          <a:tailEnd type="arrow"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129347</xdr:colOff>
      <xdr:row>21</xdr:row>
      <xdr:rowOff>84580</xdr:rowOff>
    </xdr:from>
    <xdr:to>
      <xdr:col>9</xdr:col>
      <xdr:colOff>450854</xdr:colOff>
      <xdr:row>22</xdr:row>
      <xdr:rowOff>143809</xdr:rowOff>
    </xdr:to>
    <xdr:sp macro="" textlink="">
      <xdr:nvSpPr>
        <xdr:cNvPr id="50" name="テキスト ボックス 49">
          <a:extLst>
            <a:ext uri="{FF2B5EF4-FFF2-40B4-BE49-F238E27FC236}">
              <a16:creationId xmlns:a16="http://schemas.microsoft.com/office/drawing/2014/main" id="{E73723AF-19F2-4C3D-A558-3E2C7BF1D0CF}"/>
            </a:ext>
          </a:extLst>
        </xdr:cNvPr>
        <xdr:cNvSpPr txBox="1"/>
      </xdr:nvSpPr>
      <xdr:spPr>
        <a:xfrm>
          <a:off x="4606097" y="5437630"/>
          <a:ext cx="87395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γ=-75.8[°]</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xdr:col>
      <xdr:colOff>142311</xdr:colOff>
      <xdr:row>15</xdr:row>
      <xdr:rowOff>20782</xdr:rowOff>
    </xdr:from>
    <xdr:to>
      <xdr:col>7</xdr:col>
      <xdr:colOff>6927</xdr:colOff>
      <xdr:row>20</xdr:row>
      <xdr:rowOff>67059</xdr:rowOff>
    </xdr:to>
    <xdr:cxnSp macro="">
      <xdr:nvCxnSpPr>
        <xdr:cNvPr id="51" name="直線コネクタ 50">
          <a:extLst>
            <a:ext uri="{FF2B5EF4-FFF2-40B4-BE49-F238E27FC236}">
              <a16:creationId xmlns:a16="http://schemas.microsoft.com/office/drawing/2014/main" id="{560B3A8C-6A62-4DFC-8BD2-A77D463FDA97}"/>
            </a:ext>
          </a:extLst>
        </xdr:cNvPr>
        <xdr:cNvCxnSpPr/>
      </xdr:nvCxnSpPr>
      <xdr:spPr>
        <a:xfrm flipH="1">
          <a:off x="751911" y="3887932"/>
          <a:ext cx="3179316" cy="1284527"/>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66111</xdr:colOff>
      <xdr:row>20</xdr:row>
      <xdr:rowOff>67059</xdr:rowOff>
    </xdr:from>
    <xdr:to>
      <xdr:col>1</xdr:col>
      <xdr:colOff>218511</xdr:colOff>
      <xdr:row>20</xdr:row>
      <xdr:rowOff>143259</xdr:rowOff>
    </xdr:to>
    <xdr:sp macro="" textlink="">
      <xdr:nvSpPr>
        <xdr:cNvPr id="52" name="矢印: 右 51">
          <a:extLst>
            <a:ext uri="{FF2B5EF4-FFF2-40B4-BE49-F238E27FC236}">
              <a16:creationId xmlns:a16="http://schemas.microsoft.com/office/drawing/2014/main" id="{4CF47896-2280-4686-BCC8-4DF4E0740024}"/>
            </a:ext>
          </a:extLst>
        </xdr:cNvPr>
        <xdr:cNvSpPr/>
      </xdr:nvSpPr>
      <xdr:spPr>
        <a:xfrm rot="20280000">
          <a:off x="675711" y="5172459"/>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129598</xdr:colOff>
      <xdr:row>19</xdr:row>
      <xdr:rowOff>179496</xdr:rowOff>
    </xdr:from>
    <xdr:to>
      <xdr:col>0</xdr:col>
      <xdr:colOff>570744</xdr:colOff>
      <xdr:row>20</xdr:row>
      <xdr:rowOff>238725</xdr:rowOff>
    </xdr:to>
    <xdr:sp macro="" textlink="">
      <xdr:nvSpPr>
        <xdr:cNvPr id="53" name="テキスト ボックス 52">
          <a:extLst>
            <a:ext uri="{FF2B5EF4-FFF2-40B4-BE49-F238E27FC236}">
              <a16:creationId xmlns:a16="http://schemas.microsoft.com/office/drawing/2014/main" id="{8017C192-3BF5-45C5-BC79-64E1F607FD5D}"/>
            </a:ext>
          </a:extLst>
        </xdr:cNvPr>
        <xdr:cNvSpPr txBox="1"/>
      </xdr:nvSpPr>
      <xdr:spPr>
        <a:xfrm>
          <a:off x="129598" y="5037246"/>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14</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2</xdr:col>
      <xdr:colOff>456948</xdr:colOff>
      <xdr:row>18</xdr:row>
      <xdr:rowOff>212034</xdr:rowOff>
    </xdr:from>
    <xdr:to>
      <xdr:col>7</xdr:col>
      <xdr:colOff>6928</xdr:colOff>
      <xdr:row>25</xdr:row>
      <xdr:rowOff>38103</xdr:rowOff>
    </xdr:to>
    <xdr:sp macro="" textlink="">
      <xdr:nvSpPr>
        <xdr:cNvPr id="54" name="フリーフォーム: 図形 53">
          <a:extLst>
            <a:ext uri="{FF2B5EF4-FFF2-40B4-BE49-F238E27FC236}">
              <a16:creationId xmlns:a16="http://schemas.microsoft.com/office/drawing/2014/main" id="{CB168797-20C1-4BF8-B85B-F88DAF9B56E8}"/>
            </a:ext>
          </a:extLst>
        </xdr:cNvPr>
        <xdr:cNvSpPr/>
      </xdr:nvSpPr>
      <xdr:spPr>
        <a:xfrm>
          <a:off x="1618998" y="4822134"/>
          <a:ext cx="2312230" cy="1559619"/>
        </a:xfrm>
        <a:custGeom>
          <a:avLst/>
          <a:gdLst/>
          <a:ahLst/>
          <a:cxnLst/>
          <a:rect l="0" t="0" r="0" b="0"/>
          <a:pathLst>
            <a:path w="2312230" h="1559619">
              <a:moveTo>
                <a:pt x="0" y="0"/>
              </a:moveTo>
              <a:cubicBezTo>
                <a:pt x="90219" y="197969"/>
                <a:pt x="90219" y="197969"/>
                <a:pt x="90219" y="197969"/>
              </a:cubicBezTo>
              <a:cubicBezTo>
                <a:pt x="197350" y="387322"/>
                <a:pt x="197350" y="387322"/>
                <a:pt x="197350" y="387322"/>
              </a:cubicBezTo>
              <a:cubicBezTo>
                <a:pt x="320576" y="566617"/>
                <a:pt x="320576" y="566617"/>
                <a:pt x="320576" y="566617"/>
              </a:cubicBezTo>
              <a:cubicBezTo>
                <a:pt x="458960" y="734490"/>
                <a:pt x="458960" y="734490"/>
                <a:pt x="458960" y="734490"/>
              </a:cubicBezTo>
              <a:cubicBezTo>
                <a:pt x="611448" y="889663"/>
                <a:pt x="611448" y="889663"/>
                <a:pt x="611448" y="889663"/>
              </a:cubicBezTo>
              <a:cubicBezTo>
                <a:pt x="776880" y="1030955"/>
                <a:pt x="776880" y="1030955"/>
                <a:pt x="776880" y="1030955"/>
              </a:cubicBezTo>
              <a:cubicBezTo>
                <a:pt x="953997" y="1157292"/>
                <a:pt x="953997" y="1157292"/>
                <a:pt x="953997" y="1157292"/>
              </a:cubicBezTo>
              <a:cubicBezTo>
                <a:pt x="1141452" y="1267711"/>
                <a:pt x="1141452" y="1267711"/>
                <a:pt x="1141452" y="1267711"/>
              </a:cubicBezTo>
              <a:cubicBezTo>
                <a:pt x="1337816" y="1361372"/>
                <a:pt x="1337816" y="1361372"/>
                <a:pt x="1337816" y="1361372"/>
              </a:cubicBezTo>
              <a:cubicBezTo>
                <a:pt x="1541596" y="1437562"/>
                <a:pt x="1541596" y="1437562"/>
                <a:pt x="1541596" y="1437562"/>
              </a:cubicBezTo>
              <a:cubicBezTo>
                <a:pt x="1751242" y="1495702"/>
                <a:pt x="1751242" y="1495702"/>
                <a:pt x="1751242" y="1495702"/>
              </a:cubicBezTo>
              <a:cubicBezTo>
                <a:pt x="1965156" y="1535348"/>
                <a:pt x="1965156" y="1535348"/>
                <a:pt x="1965156" y="1535348"/>
              </a:cubicBezTo>
              <a:cubicBezTo>
                <a:pt x="2181713" y="1556201"/>
                <a:pt x="2181713" y="1556201"/>
                <a:pt x="2181713" y="1556201"/>
              </a:cubicBezTo>
              <a:cubicBezTo>
                <a:pt x="2312229" y="1559618"/>
                <a:pt x="2312229" y="1559618"/>
                <a:pt x="2312229" y="1559618"/>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245098</xdr:colOff>
      <xdr:row>22</xdr:row>
      <xdr:rowOff>100552</xdr:rowOff>
    </xdr:from>
    <xdr:to>
      <xdr:col>4</xdr:col>
      <xdr:colOff>412332</xdr:colOff>
      <xdr:row>23</xdr:row>
      <xdr:rowOff>159781</xdr:rowOff>
    </xdr:to>
    <xdr:sp macro="" textlink="">
      <xdr:nvSpPr>
        <xdr:cNvPr id="55" name="テキスト ボックス 54">
          <a:extLst>
            <a:ext uri="{FF2B5EF4-FFF2-40B4-BE49-F238E27FC236}">
              <a16:creationId xmlns:a16="http://schemas.microsoft.com/office/drawing/2014/main" id="{5D798522-43E5-401C-9B34-F334078F395E}"/>
            </a:ext>
          </a:extLst>
        </xdr:cNvPr>
        <xdr:cNvSpPr txBox="1"/>
      </xdr:nvSpPr>
      <xdr:spPr>
        <a:xfrm>
          <a:off x="1959598" y="5701252"/>
          <a:ext cx="71968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γ=68[°]</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0</xdr:col>
      <xdr:colOff>502245</xdr:colOff>
      <xdr:row>15</xdr:row>
      <xdr:rowOff>8813</xdr:rowOff>
    </xdr:from>
    <xdr:to>
      <xdr:col>7</xdr:col>
      <xdr:colOff>6927</xdr:colOff>
      <xdr:row>15</xdr:row>
      <xdr:rowOff>20782</xdr:rowOff>
    </xdr:to>
    <xdr:cxnSp macro="">
      <xdr:nvCxnSpPr>
        <xdr:cNvPr id="56" name="直線コネクタ 55">
          <a:extLst>
            <a:ext uri="{FF2B5EF4-FFF2-40B4-BE49-F238E27FC236}">
              <a16:creationId xmlns:a16="http://schemas.microsoft.com/office/drawing/2014/main" id="{E4BF3AAB-4EE1-4E51-BD17-0AD3A82B350F}"/>
            </a:ext>
          </a:extLst>
        </xdr:cNvPr>
        <xdr:cNvCxnSpPr/>
      </xdr:nvCxnSpPr>
      <xdr:spPr>
        <a:xfrm flipH="1" flipV="1">
          <a:off x="502245" y="3875963"/>
          <a:ext cx="3428982" cy="11969"/>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426045</xdr:colOff>
      <xdr:row>15</xdr:row>
      <xdr:rowOff>8813</xdr:rowOff>
    </xdr:from>
    <xdr:to>
      <xdr:col>0</xdr:col>
      <xdr:colOff>578445</xdr:colOff>
      <xdr:row>15</xdr:row>
      <xdr:rowOff>85013</xdr:rowOff>
    </xdr:to>
    <xdr:sp macro="" textlink="">
      <xdr:nvSpPr>
        <xdr:cNvPr id="57" name="矢印: 右 56">
          <a:extLst>
            <a:ext uri="{FF2B5EF4-FFF2-40B4-BE49-F238E27FC236}">
              <a16:creationId xmlns:a16="http://schemas.microsoft.com/office/drawing/2014/main" id="{B303FD8E-CE81-410C-8E3C-38FCF1F96CA6}"/>
            </a:ext>
          </a:extLst>
        </xdr:cNvPr>
        <xdr:cNvSpPr/>
      </xdr:nvSpPr>
      <xdr:spPr>
        <a:xfrm>
          <a:off x="426045" y="3875963"/>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13786</xdr:colOff>
      <xdr:row>14</xdr:row>
      <xdr:rowOff>1204</xdr:rowOff>
    </xdr:from>
    <xdr:to>
      <xdr:col>0</xdr:col>
      <xdr:colOff>454932</xdr:colOff>
      <xdr:row>15</xdr:row>
      <xdr:rowOff>60433</xdr:rowOff>
    </xdr:to>
    <xdr:sp macro="" textlink="">
      <xdr:nvSpPr>
        <xdr:cNvPr id="58" name="テキスト ボックス 57">
          <a:extLst>
            <a:ext uri="{FF2B5EF4-FFF2-40B4-BE49-F238E27FC236}">
              <a16:creationId xmlns:a16="http://schemas.microsoft.com/office/drawing/2014/main" id="{9844D54E-9F67-4E48-82F2-74B9B1DFDDA8}"/>
            </a:ext>
          </a:extLst>
        </xdr:cNvPr>
        <xdr:cNvSpPr txBox="1"/>
      </xdr:nvSpPr>
      <xdr:spPr>
        <a:xfrm>
          <a:off x="13786" y="3620704"/>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16</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2</xdr:col>
      <xdr:colOff>67555</xdr:colOff>
      <xdr:row>15</xdr:row>
      <xdr:rowOff>11352</xdr:rowOff>
    </xdr:from>
    <xdr:to>
      <xdr:col>7</xdr:col>
      <xdr:colOff>6928</xdr:colOff>
      <xdr:row>25</xdr:row>
      <xdr:rowOff>245922</xdr:rowOff>
    </xdr:to>
    <xdr:sp macro="" textlink="">
      <xdr:nvSpPr>
        <xdr:cNvPr id="59" name="フリーフォーム: 図形 58">
          <a:extLst>
            <a:ext uri="{FF2B5EF4-FFF2-40B4-BE49-F238E27FC236}">
              <a16:creationId xmlns:a16="http://schemas.microsoft.com/office/drawing/2014/main" id="{C9955E65-F18F-4136-B8AF-5E68211F5D2C}"/>
            </a:ext>
          </a:extLst>
        </xdr:cNvPr>
        <xdr:cNvSpPr/>
      </xdr:nvSpPr>
      <xdr:spPr>
        <a:xfrm>
          <a:off x="1229605" y="3878502"/>
          <a:ext cx="2701623" cy="2711070"/>
        </a:xfrm>
        <a:custGeom>
          <a:avLst/>
          <a:gdLst/>
          <a:ahLst/>
          <a:cxnLst/>
          <a:rect l="0" t="0" r="0" b="0"/>
          <a:pathLst>
            <a:path w="2701623" h="2711070">
              <a:moveTo>
                <a:pt x="0" y="0"/>
              </a:moveTo>
              <a:cubicBezTo>
                <a:pt x="9459" y="235498"/>
                <a:pt x="9459" y="235498"/>
                <a:pt x="9459" y="235498"/>
              </a:cubicBezTo>
              <a:cubicBezTo>
                <a:pt x="39406" y="469275"/>
                <a:pt x="39406" y="469275"/>
                <a:pt x="39406" y="469275"/>
              </a:cubicBezTo>
              <a:cubicBezTo>
                <a:pt x="89615" y="699552"/>
                <a:pt x="89615" y="699552"/>
                <a:pt x="89615" y="699552"/>
              </a:cubicBezTo>
              <a:cubicBezTo>
                <a:pt x="159703" y="924578"/>
                <a:pt x="159703" y="924578"/>
                <a:pt x="159703" y="924578"/>
              </a:cubicBezTo>
              <a:cubicBezTo>
                <a:pt x="249136" y="1142638"/>
                <a:pt x="249136" y="1142638"/>
                <a:pt x="249136" y="1142638"/>
              </a:cubicBezTo>
              <a:cubicBezTo>
                <a:pt x="357234" y="1352074"/>
                <a:pt x="357234" y="1352074"/>
                <a:pt x="357234" y="1352074"/>
              </a:cubicBezTo>
              <a:cubicBezTo>
                <a:pt x="483174" y="1551292"/>
                <a:pt x="483174" y="1551292"/>
                <a:pt x="483174" y="1551292"/>
              </a:cubicBezTo>
              <a:cubicBezTo>
                <a:pt x="625998" y="1738775"/>
                <a:pt x="625998" y="1738775"/>
                <a:pt x="625998" y="1738775"/>
              </a:cubicBezTo>
              <a:cubicBezTo>
                <a:pt x="784619" y="1913097"/>
                <a:pt x="784619" y="1913097"/>
                <a:pt x="784619" y="1913097"/>
              </a:cubicBezTo>
              <a:cubicBezTo>
                <a:pt x="957829" y="2072931"/>
                <a:pt x="957829" y="2072931"/>
                <a:pt x="957829" y="2072931"/>
              </a:cubicBezTo>
              <a:cubicBezTo>
                <a:pt x="1144310" y="2217060"/>
                <a:pt x="1144310" y="2217060"/>
                <a:pt x="1144310" y="2217060"/>
              </a:cubicBezTo>
              <a:cubicBezTo>
                <a:pt x="1342644" y="2344388"/>
                <a:pt x="1342644" y="2344388"/>
                <a:pt x="1342644" y="2344388"/>
              </a:cubicBezTo>
              <a:cubicBezTo>
                <a:pt x="1551320" y="2453946"/>
                <a:pt x="1551320" y="2453946"/>
                <a:pt x="1551320" y="2453946"/>
              </a:cubicBezTo>
              <a:cubicBezTo>
                <a:pt x="1768751" y="2544899"/>
                <a:pt x="1768751" y="2544899"/>
                <a:pt x="1768751" y="2544899"/>
              </a:cubicBezTo>
              <a:cubicBezTo>
                <a:pt x="1993281" y="2616556"/>
                <a:pt x="1993281" y="2616556"/>
                <a:pt x="1993281" y="2616556"/>
              </a:cubicBezTo>
              <a:cubicBezTo>
                <a:pt x="2223203" y="2668371"/>
                <a:pt x="2223203" y="2668371"/>
                <a:pt x="2223203" y="2668371"/>
              </a:cubicBezTo>
              <a:cubicBezTo>
                <a:pt x="2456765" y="2699950"/>
                <a:pt x="2456765" y="2699950"/>
                <a:pt x="2456765" y="2699950"/>
              </a:cubicBezTo>
              <a:cubicBezTo>
                <a:pt x="2692191" y="2711052"/>
                <a:pt x="2692191" y="2711052"/>
                <a:pt x="2692191" y="2711052"/>
              </a:cubicBezTo>
              <a:cubicBezTo>
                <a:pt x="2701622" y="2711069"/>
                <a:pt x="2701622" y="2711069"/>
                <a:pt x="2701622" y="2711069"/>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179779</xdr:colOff>
      <xdr:row>21</xdr:row>
      <xdr:rowOff>187741</xdr:rowOff>
    </xdr:from>
    <xdr:to>
      <xdr:col>3</xdr:col>
      <xdr:colOff>437166</xdr:colOff>
      <xdr:row>22</xdr:row>
      <xdr:rowOff>246970</xdr:rowOff>
    </xdr:to>
    <xdr:sp macro="" textlink="">
      <xdr:nvSpPr>
        <xdr:cNvPr id="60" name="テキスト ボックス 59">
          <a:extLst>
            <a:ext uri="{FF2B5EF4-FFF2-40B4-BE49-F238E27FC236}">
              <a16:creationId xmlns:a16="http://schemas.microsoft.com/office/drawing/2014/main" id="{4A8A7BA6-614A-461E-9C71-F329B2E0CEF2}"/>
            </a:ext>
          </a:extLst>
        </xdr:cNvPr>
        <xdr:cNvSpPr txBox="1"/>
      </xdr:nvSpPr>
      <xdr:spPr>
        <a:xfrm>
          <a:off x="1341829" y="5540791"/>
          <a:ext cx="80983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γ=90.2[°]</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20</xdr:col>
      <xdr:colOff>126120</xdr:colOff>
      <xdr:row>19</xdr:row>
      <xdr:rowOff>56617</xdr:rowOff>
    </xdr:from>
    <xdr:to>
      <xdr:col>20</xdr:col>
      <xdr:colOff>507277</xdr:colOff>
      <xdr:row>19</xdr:row>
      <xdr:rowOff>123826</xdr:rowOff>
    </xdr:to>
    <xdr:sp macro="" textlink="">
      <xdr:nvSpPr>
        <xdr:cNvPr id="61" name="フリーフォーム: 図形 60">
          <a:extLst>
            <a:ext uri="{FF2B5EF4-FFF2-40B4-BE49-F238E27FC236}">
              <a16:creationId xmlns:a16="http://schemas.microsoft.com/office/drawing/2014/main" id="{064718CF-6F1B-47CD-9D9C-C18884D416D7}"/>
            </a:ext>
          </a:extLst>
        </xdr:cNvPr>
        <xdr:cNvSpPr/>
      </xdr:nvSpPr>
      <xdr:spPr>
        <a:xfrm>
          <a:off x="11346570" y="4914367"/>
          <a:ext cx="381157" cy="67209"/>
        </a:xfrm>
        <a:custGeom>
          <a:avLst/>
          <a:gdLst/>
          <a:ahLst/>
          <a:cxnLst/>
          <a:rect l="0" t="0" r="0" b="0"/>
          <a:pathLst>
            <a:path w="381157" h="67209">
              <a:moveTo>
                <a:pt x="0" y="0"/>
              </a:moveTo>
              <a:cubicBezTo>
                <a:pt x="92722" y="29235"/>
                <a:pt x="92722" y="29235"/>
                <a:pt x="92722" y="29235"/>
              </a:cubicBezTo>
              <a:cubicBezTo>
                <a:pt x="187638" y="50277"/>
                <a:pt x="187638" y="50277"/>
                <a:pt x="187638" y="50277"/>
              </a:cubicBezTo>
              <a:cubicBezTo>
                <a:pt x="284028" y="62967"/>
                <a:pt x="284028" y="62967"/>
                <a:pt x="284028" y="62967"/>
              </a:cubicBezTo>
              <a:cubicBezTo>
                <a:pt x="381156" y="67208"/>
                <a:pt x="381156" y="67208"/>
                <a:pt x="381156" y="67208"/>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302629</xdr:colOff>
      <xdr:row>17</xdr:row>
      <xdr:rowOff>222973</xdr:rowOff>
    </xdr:from>
    <xdr:to>
      <xdr:col>20</xdr:col>
      <xdr:colOff>469863</xdr:colOff>
      <xdr:row>19</xdr:row>
      <xdr:rowOff>34552</xdr:rowOff>
    </xdr:to>
    <xdr:sp macro="" textlink="">
      <xdr:nvSpPr>
        <xdr:cNvPr id="62" name="テキスト ボックス 61">
          <a:extLst>
            <a:ext uri="{FF2B5EF4-FFF2-40B4-BE49-F238E27FC236}">
              <a16:creationId xmlns:a16="http://schemas.microsoft.com/office/drawing/2014/main" id="{96537CC5-5F9D-43FF-AF9B-89BDD7854ACD}"/>
            </a:ext>
          </a:extLst>
        </xdr:cNvPr>
        <xdr:cNvSpPr txBox="1"/>
      </xdr:nvSpPr>
      <xdr:spPr>
        <a:xfrm>
          <a:off x="10970629" y="4585423"/>
          <a:ext cx="71968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α=20[°]</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20</xdr:col>
      <xdr:colOff>507276</xdr:colOff>
      <xdr:row>16</xdr:row>
      <xdr:rowOff>175857</xdr:rowOff>
    </xdr:from>
    <xdr:to>
      <xdr:col>23</xdr:col>
      <xdr:colOff>13501</xdr:colOff>
      <xdr:row>20</xdr:row>
      <xdr:rowOff>1</xdr:rowOff>
    </xdr:to>
    <xdr:sp macro="" textlink="">
      <xdr:nvSpPr>
        <xdr:cNvPr id="63" name="フリーフォーム: 図形 62">
          <a:extLst>
            <a:ext uri="{FF2B5EF4-FFF2-40B4-BE49-F238E27FC236}">
              <a16:creationId xmlns:a16="http://schemas.microsoft.com/office/drawing/2014/main" id="{C5BF8BDD-D128-405D-9734-0E68DDF7AF84}"/>
            </a:ext>
          </a:extLst>
        </xdr:cNvPr>
        <xdr:cNvSpPr/>
      </xdr:nvSpPr>
      <xdr:spPr>
        <a:xfrm>
          <a:off x="11727726" y="4290657"/>
          <a:ext cx="1163575" cy="814744"/>
        </a:xfrm>
        <a:custGeom>
          <a:avLst/>
          <a:gdLst/>
          <a:ahLst/>
          <a:cxnLst/>
          <a:rect l="0" t="0" r="0" b="0"/>
          <a:pathLst>
            <a:path w="1163575" h="814744">
              <a:moveTo>
                <a:pt x="0" y="814743"/>
              </a:moveTo>
              <a:cubicBezTo>
                <a:pt x="107921" y="810031"/>
                <a:pt x="107921" y="810031"/>
                <a:pt x="107921" y="810031"/>
              </a:cubicBezTo>
              <a:cubicBezTo>
                <a:pt x="215020" y="795931"/>
                <a:pt x="215020" y="795931"/>
                <a:pt x="215020" y="795931"/>
              </a:cubicBezTo>
              <a:cubicBezTo>
                <a:pt x="320483" y="772551"/>
                <a:pt x="320483" y="772551"/>
                <a:pt x="320483" y="772551"/>
              </a:cubicBezTo>
              <a:cubicBezTo>
                <a:pt x="423507" y="740067"/>
                <a:pt x="423507" y="740067"/>
                <a:pt x="423507" y="740067"/>
              </a:cubicBezTo>
              <a:cubicBezTo>
                <a:pt x="523307" y="698729"/>
                <a:pt x="523307" y="698729"/>
                <a:pt x="523307" y="698729"/>
              </a:cubicBezTo>
              <a:cubicBezTo>
                <a:pt x="619125" y="648849"/>
                <a:pt x="619125" y="648849"/>
                <a:pt x="619125" y="648849"/>
              </a:cubicBezTo>
              <a:cubicBezTo>
                <a:pt x="710231" y="590808"/>
                <a:pt x="710231" y="590808"/>
                <a:pt x="710231" y="590808"/>
              </a:cubicBezTo>
              <a:cubicBezTo>
                <a:pt x="795931" y="525048"/>
                <a:pt x="795931" y="525048"/>
                <a:pt x="795931" y="525048"/>
              </a:cubicBezTo>
              <a:cubicBezTo>
                <a:pt x="875574" y="452068"/>
                <a:pt x="875574" y="452068"/>
                <a:pt x="875574" y="452068"/>
              </a:cubicBezTo>
              <a:cubicBezTo>
                <a:pt x="948555" y="372425"/>
                <a:pt x="948555" y="372425"/>
                <a:pt x="948555" y="372425"/>
              </a:cubicBezTo>
              <a:cubicBezTo>
                <a:pt x="1014315" y="286724"/>
                <a:pt x="1014315" y="286724"/>
                <a:pt x="1014315" y="286724"/>
              </a:cubicBezTo>
              <a:cubicBezTo>
                <a:pt x="1072355" y="195618"/>
                <a:pt x="1072355" y="195618"/>
                <a:pt x="1072355" y="195618"/>
              </a:cubicBezTo>
              <a:cubicBezTo>
                <a:pt x="1122235" y="99800"/>
                <a:pt x="1122235" y="99800"/>
                <a:pt x="1122235" y="99800"/>
              </a:cubicBezTo>
              <a:cubicBezTo>
                <a:pt x="1163574" y="0"/>
                <a:pt x="1163574" y="0"/>
                <a:pt x="1163574" y="0"/>
              </a:cubicBezTo>
            </a:path>
          </a:pathLst>
        </a:custGeom>
        <a:ln>
          <a:headEnd type="oval" w="sm" len="sm"/>
          <a:tailEnd type="arrow"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25758</xdr:colOff>
      <xdr:row>18</xdr:row>
      <xdr:rowOff>17214</xdr:rowOff>
    </xdr:from>
    <xdr:to>
      <xdr:col>22</xdr:col>
      <xdr:colOff>257112</xdr:colOff>
      <xdr:row>19</xdr:row>
      <xdr:rowOff>76443</xdr:rowOff>
    </xdr:to>
    <xdr:sp macro="" textlink="">
      <xdr:nvSpPr>
        <xdr:cNvPr id="64" name="テキスト ボックス 63">
          <a:extLst>
            <a:ext uri="{FF2B5EF4-FFF2-40B4-BE49-F238E27FC236}">
              <a16:creationId xmlns:a16="http://schemas.microsoft.com/office/drawing/2014/main" id="{546694DE-0929-4482-A669-5A07EE8857A3}"/>
            </a:ext>
          </a:extLst>
        </xdr:cNvPr>
        <xdr:cNvSpPr txBox="1"/>
      </xdr:nvSpPr>
      <xdr:spPr>
        <a:xfrm>
          <a:off x="11798658" y="4627314"/>
          <a:ext cx="78380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α=-70[°]</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18</xdr:col>
      <xdr:colOff>324396</xdr:colOff>
      <xdr:row>13</xdr:row>
      <xdr:rowOff>54853</xdr:rowOff>
    </xdr:from>
    <xdr:to>
      <xdr:col>20</xdr:col>
      <xdr:colOff>507277</xdr:colOff>
      <xdr:row>20</xdr:row>
      <xdr:rowOff>49531</xdr:rowOff>
    </xdr:to>
    <xdr:sp macro="" textlink="">
      <xdr:nvSpPr>
        <xdr:cNvPr id="65" name="フリーフォーム: 図形 64">
          <a:extLst>
            <a:ext uri="{FF2B5EF4-FFF2-40B4-BE49-F238E27FC236}">
              <a16:creationId xmlns:a16="http://schemas.microsoft.com/office/drawing/2014/main" id="{6FAF1519-C3EB-4705-95D6-731AFE65FF1D}"/>
            </a:ext>
          </a:extLst>
        </xdr:cNvPr>
        <xdr:cNvSpPr/>
      </xdr:nvSpPr>
      <xdr:spPr>
        <a:xfrm>
          <a:off x="10439946" y="3426703"/>
          <a:ext cx="1287781" cy="1728228"/>
        </a:xfrm>
        <a:custGeom>
          <a:avLst/>
          <a:gdLst/>
          <a:ahLst/>
          <a:cxnLst/>
          <a:rect l="0" t="0" r="0" b="0"/>
          <a:pathLst>
            <a:path w="1287781" h="1728228">
              <a:moveTo>
                <a:pt x="77662" y="0"/>
              </a:moveTo>
              <a:cubicBezTo>
                <a:pt x="43880" y="107145"/>
                <a:pt x="43880" y="107145"/>
                <a:pt x="43880" y="107145"/>
              </a:cubicBezTo>
              <a:cubicBezTo>
                <a:pt x="19564" y="216826"/>
                <a:pt x="19564" y="216826"/>
                <a:pt x="19564" y="216826"/>
              </a:cubicBezTo>
              <a:cubicBezTo>
                <a:pt x="4900" y="328209"/>
                <a:pt x="4900" y="328209"/>
                <a:pt x="4900" y="328209"/>
              </a:cubicBezTo>
              <a:cubicBezTo>
                <a:pt x="0" y="440447"/>
                <a:pt x="0" y="440447"/>
                <a:pt x="0" y="440447"/>
              </a:cubicBezTo>
              <a:cubicBezTo>
                <a:pt x="4900" y="552684"/>
                <a:pt x="4900" y="552684"/>
                <a:pt x="4900" y="552684"/>
              </a:cubicBezTo>
              <a:cubicBezTo>
                <a:pt x="19564" y="664067"/>
                <a:pt x="19564" y="664067"/>
                <a:pt x="19564" y="664067"/>
              </a:cubicBezTo>
              <a:cubicBezTo>
                <a:pt x="43880" y="773749"/>
                <a:pt x="43880" y="773749"/>
                <a:pt x="43880" y="773749"/>
              </a:cubicBezTo>
              <a:cubicBezTo>
                <a:pt x="77662" y="880893"/>
                <a:pt x="77662" y="880893"/>
                <a:pt x="77662" y="880893"/>
              </a:cubicBezTo>
              <a:cubicBezTo>
                <a:pt x="120655" y="984686"/>
                <a:pt x="120655" y="984686"/>
                <a:pt x="120655" y="984686"/>
              </a:cubicBezTo>
              <a:cubicBezTo>
                <a:pt x="172529" y="1084337"/>
                <a:pt x="172529" y="1084337"/>
                <a:pt x="172529" y="1084337"/>
              </a:cubicBezTo>
              <a:cubicBezTo>
                <a:pt x="232892" y="1179087"/>
                <a:pt x="232892" y="1179087"/>
                <a:pt x="232892" y="1179087"/>
              </a:cubicBezTo>
              <a:cubicBezTo>
                <a:pt x="301283" y="1268216"/>
                <a:pt x="301283" y="1268216"/>
                <a:pt x="301283" y="1268216"/>
              </a:cubicBezTo>
              <a:cubicBezTo>
                <a:pt x="377182" y="1351045"/>
                <a:pt x="377182" y="1351045"/>
                <a:pt x="377182" y="1351045"/>
              </a:cubicBezTo>
              <a:cubicBezTo>
                <a:pt x="460010" y="1426943"/>
                <a:pt x="460010" y="1426943"/>
                <a:pt x="460010" y="1426943"/>
              </a:cubicBezTo>
              <a:cubicBezTo>
                <a:pt x="549139" y="1495335"/>
                <a:pt x="549139" y="1495335"/>
                <a:pt x="549139" y="1495335"/>
              </a:cubicBezTo>
              <a:cubicBezTo>
                <a:pt x="643890" y="1555697"/>
                <a:pt x="643890" y="1555697"/>
                <a:pt x="643890" y="1555697"/>
              </a:cubicBezTo>
              <a:cubicBezTo>
                <a:pt x="743540" y="1607572"/>
                <a:pt x="743540" y="1607572"/>
                <a:pt x="743540" y="1607572"/>
              </a:cubicBezTo>
              <a:cubicBezTo>
                <a:pt x="847332" y="1650564"/>
                <a:pt x="847332" y="1650564"/>
                <a:pt x="847332" y="1650564"/>
              </a:cubicBezTo>
              <a:cubicBezTo>
                <a:pt x="954478" y="1684347"/>
                <a:pt x="954478" y="1684347"/>
                <a:pt x="954478" y="1684347"/>
              </a:cubicBezTo>
              <a:cubicBezTo>
                <a:pt x="1064159" y="1708663"/>
                <a:pt x="1064159" y="1708663"/>
                <a:pt x="1064159" y="1708663"/>
              </a:cubicBezTo>
              <a:cubicBezTo>
                <a:pt x="1175542" y="1723326"/>
                <a:pt x="1175542" y="1723326"/>
                <a:pt x="1175542" y="1723326"/>
              </a:cubicBezTo>
              <a:cubicBezTo>
                <a:pt x="1287779" y="1728227"/>
                <a:pt x="1287779" y="1728227"/>
                <a:pt x="1287779" y="1728227"/>
              </a:cubicBezTo>
              <a:cubicBezTo>
                <a:pt x="1287780" y="1728227"/>
                <a:pt x="1287780" y="1728227"/>
                <a:pt x="1287780" y="1728227"/>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456300</xdr:colOff>
      <xdr:row>16</xdr:row>
      <xdr:rowOff>236839</xdr:rowOff>
    </xdr:from>
    <xdr:to>
      <xdr:col>19</xdr:col>
      <xdr:colOff>135204</xdr:colOff>
      <xdr:row>18</xdr:row>
      <xdr:rowOff>48418</xdr:rowOff>
    </xdr:to>
    <xdr:sp macro="" textlink="">
      <xdr:nvSpPr>
        <xdr:cNvPr id="66" name="テキスト ボックス 65">
          <a:extLst>
            <a:ext uri="{FF2B5EF4-FFF2-40B4-BE49-F238E27FC236}">
              <a16:creationId xmlns:a16="http://schemas.microsoft.com/office/drawing/2014/main" id="{80C05B5E-9B66-454F-8135-C9B0BCAC9013}"/>
            </a:ext>
          </a:extLst>
        </xdr:cNvPr>
        <xdr:cNvSpPr txBox="1"/>
      </xdr:nvSpPr>
      <xdr:spPr>
        <a:xfrm>
          <a:off x="10019400" y="4351639"/>
          <a:ext cx="78380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α=110[°]</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18</xdr:col>
      <xdr:colOff>200571</xdr:colOff>
      <xdr:row>9</xdr:row>
      <xdr:rowOff>74295</xdr:rowOff>
    </xdr:from>
    <xdr:to>
      <xdr:col>21</xdr:col>
      <xdr:colOff>437625</xdr:colOff>
      <xdr:row>20</xdr:row>
      <xdr:rowOff>173356</xdr:rowOff>
    </xdr:to>
    <xdr:sp macro="" textlink="">
      <xdr:nvSpPr>
        <xdr:cNvPr id="67" name="フリーフォーム: 図形 66">
          <a:extLst>
            <a:ext uri="{FF2B5EF4-FFF2-40B4-BE49-F238E27FC236}">
              <a16:creationId xmlns:a16="http://schemas.microsoft.com/office/drawing/2014/main" id="{1707BEF0-2794-4344-944F-6409A85CCDFA}"/>
            </a:ext>
          </a:extLst>
        </xdr:cNvPr>
        <xdr:cNvSpPr/>
      </xdr:nvSpPr>
      <xdr:spPr>
        <a:xfrm>
          <a:off x="10316121" y="2455545"/>
          <a:ext cx="1894404" cy="2823211"/>
        </a:xfrm>
        <a:custGeom>
          <a:avLst/>
          <a:gdLst/>
          <a:ahLst/>
          <a:cxnLst/>
          <a:rect l="0" t="0" r="0" b="0"/>
          <a:pathLst>
            <a:path w="1894404" h="2823211">
              <a:moveTo>
                <a:pt x="1894403" y="85130"/>
              </a:moveTo>
              <a:cubicBezTo>
                <a:pt x="1776956" y="48099"/>
                <a:pt x="1776956" y="48099"/>
                <a:pt x="1776956" y="48099"/>
              </a:cubicBezTo>
              <a:cubicBezTo>
                <a:pt x="1656728" y="21445"/>
                <a:pt x="1656728" y="21445"/>
                <a:pt x="1656728" y="21445"/>
              </a:cubicBezTo>
              <a:cubicBezTo>
                <a:pt x="1534635" y="5372"/>
                <a:pt x="1534635" y="5372"/>
                <a:pt x="1534635" y="5372"/>
              </a:cubicBezTo>
              <a:cubicBezTo>
                <a:pt x="1411605" y="0"/>
                <a:pt x="1411605" y="0"/>
                <a:pt x="1411605" y="0"/>
              </a:cubicBezTo>
              <a:cubicBezTo>
                <a:pt x="1288575" y="5372"/>
                <a:pt x="1288575" y="5372"/>
                <a:pt x="1288575" y="5372"/>
              </a:cubicBezTo>
              <a:cubicBezTo>
                <a:pt x="1166483" y="21445"/>
                <a:pt x="1166483" y="21445"/>
                <a:pt x="1166483" y="21445"/>
              </a:cubicBezTo>
              <a:cubicBezTo>
                <a:pt x="1046255" y="48099"/>
                <a:pt x="1046255" y="48099"/>
                <a:pt x="1046255" y="48099"/>
              </a:cubicBezTo>
              <a:cubicBezTo>
                <a:pt x="928808" y="85130"/>
                <a:pt x="928808" y="85130"/>
                <a:pt x="928808" y="85130"/>
              </a:cubicBezTo>
              <a:cubicBezTo>
                <a:pt x="815035" y="132256"/>
                <a:pt x="815035" y="132256"/>
                <a:pt x="815035" y="132256"/>
              </a:cubicBezTo>
              <a:cubicBezTo>
                <a:pt x="705802" y="189119"/>
                <a:pt x="705802" y="189119"/>
                <a:pt x="705802" y="189119"/>
              </a:cubicBezTo>
              <a:cubicBezTo>
                <a:pt x="601942" y="255286"/>
                <a:pt x="601942" y="255286"/>
                <a:pt x="601942" y="255286"/>
              </a:cubicBezTo>
              <a:cubicBezTo>
                <a:pt x="504243" y="330253"/>
                <a:pt x="504243" y="330253"/>
                <a:pt x="504243" y="330253"/>
              </a:cubicBezTo>
              <a:cubicBezTo>
                <a:pt x="413450" y="413449"/>
                <a:pt x="413450" y="413449"/>
                <a:pt x="413450" y="413449"/>
              </a:cubicBezTo>
              <a:cubicBezTo>
                <a:pt x="330253" y="504243"/>
                <a:pt x="330253" y="504243"/>
                <a:pt x="330253" y="504243"/>
              </a:cubicBezTo>
              <a:cubicBezTo>
                <a:pt x="255286" y="601941"/>
                <a:pt x="255286" y="601941"/>
                <a:pt x="255286" y="601941"/>
              </a:cubicBezTo>
              <a:cubicBezTo>
                <a:pt x="189119" y="705802"/>
                <a:pt x="189119" y="705802"/>
                <a:pt x="189119" y="705802"/>
              </a:cubicBezTo>
              <a:cubicBezTo>
                <a:pt x="132257" y="815034"/>
                <a:pt x="132257" y="815034"/>
                <a:pt x="132257" y="815034"/>
              </a:cubicBezTo>
              <a:cubicBezTo>
                <a:pt x="85130" y="928807"/>
                <a:pt x="85130" y="928807"/>
                <a:pt x="85130" y="928807"/>
              </a:cubicBezTo>
              <a:cubicBezTo>
                <a:pt x="48099" y="1046254"/>
                <a:pt x="48099" y="1046254"/>
                <a:pt x="48099" y="1046254"/>
              </a:cubicBezTo>
              <a:cubicBezTo>
                <a:pt x="21446" y="1166482"/>
                <a:pt x="21446" y="1166482"/>
                <a:pt x="21446" y="1166482"/>
              </a:cubicBezTo>
              <a:cubicBezTo>
                <a:pt x="5371" y="1288575"/>
                <a:pt x="5371" y="1288575"/>
                <a:pt x="5371" y="1288575"/>
              </a:cubicBezTo>
              <a:cubicBezTo>
                <a:pt x="0" y="1411605"/>
                <a:pt x="0" y="1411605"/>
                <a:pt x="0" y="1411605"/>
              </a:cubicBezTo>
              <a:cubicBezTo>
                <a:pt x="5371" y="1534634"/>
                <a:pt x="5371" y="1534634"/>
                <a:pt x="5371" y="1534634"/>
              </a:cubicBezTo>
              <a:cubicBezTo>
                <a:pt x="21446" y="1656727"/>
                <a:pt x="21446" y="1656727"/>
                <a:pt x="21446" y="1656727"/>
              </a:cubicBezTo>
              <a:cubicBezTo>
                <a:pt x="48099" y="1776955"/>
                <a:pt x="48099" y="1776955"/>
                <a:pt x="48099" y="1776955"/>
              </a:cubicBezTo>
              <a:cubicBezTo>
                <a:pt x="85130" y="1894402"/>
                <a:pt x="85130" y="1894402"/>
                <a:pt x="85130" y="1894402"/>
              </a:cubicBezTo>
              <a:cubicBezTo>
                <a:pt x="132256" y="2008174"/>
                <a:pt x="132256" y="2008174"/>
                <a:pt x="132256" y="2008174"/>
              </a:cubicBezTo>
              <a:cubicBezTo>
                <a:pt x="189119" y="2117407"/>
                <a:pt x="189119" y="2117407"/>
                <a:pt x="189119" y="2117407"/>
              </a:cubicBezTo>
              <a:cubicBezTo>
                <a:pt x="255286" y="2221268"/>
                <a:pt x="255286" y="2221268"/>
                <a:pt x="255286" y="2221268"/>
              </a:cubicBezTo>
              <a:cubicBezTo>
                <a:pt x="330252" y="2318967"/>
                <a:pt x="330252" y="2318967"/>
                <a:pt x="330252" y="2318967"/>
              </a:cubicBezTo>
              <a:cubicBezTo>
                <a:pt x="413449" y="2409760"/>
                <a:pt x="413449" y="2409760"/>
                <a:pt x="413449" y="2409760"/>
              </a:cubicBezTo>
              <a:cubicBezTo>
                <a:pt x="504243" y="2492957"/>
                <a:pt x="504243" y="2492957"/>
                <a:pt x="504243" y="2492957"/>
              </a:cubicBezTo>
              <a:cubicBezTo>
                <a:pt x="601941" y="2567924"/>
                <a:pt x="601941" y="2567924"/>
                <a:pt x="601941" y="2567924"/>
              </a:cubicBezTo>
              <a:cubicBezTo>
                <a:pt x="705802" y="2634090"/>
                <a:pt x="705802" y="2634090"/>
                <a:pt x="705802" y="2634090"/>
              </a:cubicBezTo>
              <a:cubicBezTo>
                <a:pt x="815034" y="2690953"/>
                <a:pt x="815034" y="2690953"/>
                <a:pt x="815034" y="2690953"/>
              </a:cubicBezTo>
              <a:cubicBezTo>
                <a:pt x="928807" y="2738079"/>
                <a:pt x="928807" y="2738079"/>
                <a:pt x="928807" y="2738079"/>
              </a:cubicBezTo>
              <a:cubicBezTo>
                <a:pt x="1046254" y="2775111"/>
                <a:pt x="1046254" y="2775111"/>
                <a:pt x="1046254" y="2775111"/>
              </a:cubicBezTo>
              <a:cubicBezTo>
                <a:pt x="1166482" y="2801764"/>
                <a:pt x="1166482" y="2801764"/>
                <a:pt x="1166482" y="2801764"/>
              </a:cubicBezTo>
              <a:cubicBezTo>
                <a:pt x="1288575" y="2817839"/>
                <a:pt x="1288575" y="2817839"/>
                <a:pt x="1288575" y="2817839"/>
              </a:cubicBezTo>
              <a:cubicBezTo>
                <a:pt x="1411604" y="2823210"/>
                <a:pt x="1411604" y="2823210"/>
                <a:pt x="1411604" y="2823210"/>
              </a:cubicBezTo>
              <a:cubicBezTo>
                <a:pt x="1411605" y="2823210"/>
                <a:pt x="1411605" y="2823210"/>
                <a:pt x="1411605" y="2823210"/>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121029</xdr:colOff>
      <xdr:row>12</xdr:row>
      <xdr:rowOff>243676</xdr:rowOff>
    </xdr:from>
    <xdr:to>
      <xdr:col>18</xdr:col>
      <xdr:colOff>352383</xdr:colOff>
      <xdr:row>14</xdr:row>
      <xdr:rowOff>55255</xdr:rowOff>
    </xdr:to>
    <xdr:sp macro="" textlink="">
      <xdr:nvSpPr>
        <xdr:cNvPr id="68" name="テキスト ボックス 67">
          <a:extLst>
            <a:ext uri="{FF2B5EF4-FFF2-40B4-BE49-F238E27FC236}">
              <a16:creationId xmlns:a16="http://schemas.microsoft.com/office/drawing/2014/main" id="{AB36F7C0-121E-4A38-BEFD-1FAF100CBCFD}"/>
            </a:ext>
          </a:extLst>
        </xdr:cNvPr>
        <xdr:cNvSpPr txBox="1"/>
      </xdr:nvSpPr>
      <xdr:spPr>
        <a:xfrm>
          <a:off x="9684129" y="3367876"/>
          <a:ext cx="78380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α=200[°]</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19</xdr:col>
      <xdr:colOff>420261</xdr:colOff>
      <xdr:row>15</xdr:row>
      <xdr:rowOff>0</xdr:rowOff>
    </xdr:from>
    <xdr:to>
      <xdr:col>20</xdr:col>
      <xdr:colOff>507276</xdr:colOff>
      <xdr:row>28</xdr:row>
      <xdr:rowOff>101246</xdr:rowOff>
    </xdr:to>
    <xdr:cxnSp macro="">
      <xdr:nvCxnSpPr>
        <xdr:cNvPr id="69" name="直線コネクタ 68">
          <a:extLst>
            <a:ext uri="{FF2B5EF4-FFF2-40B4-BE49-F238E27FC236}">
              <a16:creationId xmlns:a16="http://schemas.microsoft.com/office/drawing/2014/main" id="{452EA8EB-F466-4E66-BDB7-7DE8D6A15AEF}"/>
            </a:ext>
          </a:extLst>
        </xdr:cNvPr>
        <xdr:cNvCxnSpPr/>
      </xdr:nvCxnSpPr>
      <xdr:spPr>
        <a:xfrm flipH="1">
          <a:off x="11088261" y="3867150"/>
          <a:ext cx="639465" cy="3320696"/>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382161</xdr:colOff>
      <xdr:row>28</xdr:row>
      <xdr:rowOff>63146</xdr:rowOff>
    </xdr:from>
    <xdr:to>
      <xdr:col>19</xdr:col>
      <xdr:colOff>458361</xdr:colOff>
      <xdr:row>28</xdr:row>
      <xdr:rowOff>215546</xdr:rowOff>
    </xdr:to>
    <xdr:sp macro="" textlink="">
      <xdr:nvSpPr>
        <xdr:cNvPr id="70" name="矢印: 右 69">
          <a:extLst>
            <a:ext uri="{FF2B5EF4-FFF2-40B4-BE49-F238E27FC236}">
              <a16:creationId xmlns:a16="http://schemas.microsoft.com/office/drawing/2014/main" id="{9DF8FC63-5E08-47BE-BECB-FEAD211F990D}"/>
            </a:ext>
          </a:extLst>
        </xdr:cNvPr>
        <xdr:cNvSpPr/>
      </xdr:nvSpPr>
      <xdr:spPr>
        <a:xfrm rot="16860000">
          <a:off x="11012061" y="7187846"/>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32290</xdr:colOff>
      <xdr:row>28</xdr:row>
      <xdr:rowOff>158866</xdr:rowOff>
    </xdr:from>
    <xdr:to>
      <xdr:col>19</xdr:col>
      <xdr:colOff>473436</xdr:colOff>
      <xdr:row>30</xdr:row>
      <xdr:rowOff>18070</xdr:rowOff>
    </xdr:to>
    <xdr:sp macro="" textlink="">
      <xdr:nvSpPr>
        <xdr:cNvPr id="71" name="テキスト ボックス 70">
          <a:extLst>
            <a:ext uri="{FF2B5EF4-FFF2-40B4-BE49-F238E27FC236}">
              <a16:creationId xmlns:a16="http://schemas.microsoft.com/office/drawing/2014/main" id="{CF0645EC-BEE3-4B7E-A53F-2D27A31AEEB6}"/>
            </a:ext>
          </a:extLst>
        </xdr:cNvPr>
        <xdr:cNvSpPr txBox="1"/>
      </xdr:nvSpPr>
      <xdr:spPr>
        <a:xfrm>
          <a:off x="10700290" y="7245466"/>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12</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20</xdr:col>
      <xdr:colOff>119721</xdr:colOff>
      <xdr:row>23</xdr:row>
      <xdr:rowOff>31343</xdr:rowOff>
    </xdr:from>
    <xdr:to>
      <xdr:col>20</xdr:col>
      <xdr:colOff>507277</xdr:colOff>
      <xdr:row>23</xdr:row>
      <xdr:rowOff>68320</xdr:rowOff>
    </xdr:to>
    <xdr:sp macro="" textlink="">
      <xdr:nvSpPr>
        <xdr:cNvPr id="72" name="フリーフォーム: 図形 71">
          <a:extLst>
            <a:ext uri="{FF2B5EF4-FFF2-40B4-BE49-F238E27FC236}">
              <a16:creationId xmlns:a16="http://schemas.microsoft.com/office/drawing/2014/main" id="{7ED7045D-97C0-4D30-9D70-F4EBD3B9F2D4}"/>
            </a:ext>
          </a:extLst>
        </xdr:cNvPr>
        <xdr:cNvSpPr/>
      </xdr:nvSpPr>
      <xdr:spPr>
        <a:xfrm>
          <a:off x="11340171" y="5879693"/>
          <a:ext cx="387556" cy="36977"/>
        </a:xfrm>
        <a:custGeom>
          <a:avLst/>
          <a:gdLst/>
          <a:ahLst/>
          <a:cxnLst/>
          <a:rect l="0" t="0" r="0" b="0"/>
          <a:pathLst>
            <a:path w="387556" h="36977">
              <a:moveTo>
                <a:pt x="0" y="0"/>
              </a:moveTo>
              <a:cubicBezTo>
                <a:pt x="176880" y="26119"/>
                <a:pt x="176880" y="26119"/>
                <a:pt x="176880" y="26119"/>
              </a:cubicBezTo>
              <a:cubicBezTo>
                <a:pt x="355362" y="36723"/>
                <a:pt x="355362" y="36723"/>
                <a:pt x="355362" y="36723"/>
              </a:cubicBezTo>
              <a:cubicBezTo>
                <a:pt x="387555" y="36976"/>
                <a:pt x="387555" y="36976"/>
                <a:pt x="387555" y="36976"/>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189349</xdr:colOff>
      <xdr:row>22</xdr:row>
      <xdr:rowOff>52553</xdr:rowOff>
    </xdr:from>
    <xdr:to>
      <xdr:col>20</xdr:col>
      <xdr:colOff>446736</xdr:colOff>
      <xdr:row>23</xdr:row>
      <xdr:rowOff>111782</xdr:rowOff>
    </xdr:to>
    <xdr:sp macro="" textlink="">
      <xdr:nvSpPr>
        <xdr:cNvPr id="73" name="テキスト ボックス 72">
          <a:extLst>
            <a:ext uri="{FF2B5EF4-FFF2-40B4-BE49-F238E27FC236}">
              <a16:creationId xmlns:a16="http://schemas.microsoft.com/office/drawing/2014/main" id="{2256F2BC-152C-4A3B-B72B-08C8D9CADB62}"/>
            </a:ext>
          </a:extLst>
        </xdr:cNvPr>
        <xdr:cNvSpPr txBox="1"/>
      </xdr:nvSpPr>
      <xdr:spPr>
        <a:xfrm>
          <a:off x="10857349" y="5653253"/>
          <a:ext cx="80983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γ=10.9[°]</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20</xdr:col>
      <xdr:colOff>507276</xdr:colOff>
      <xdr:row>15</xdr:row>
      <xdr:rowOff>0</xdr:rowOff>
    </xdr:from>
    <xdr:to>
      <xdr:col>26</xdr:col>
      <xdr:colOff>35125</xdr:colOff>
      <xdr:row>22</xdr:row>
      <xdr:rowOff>98348</xdr:rowOff>
    </xdr:to>
    <xdr:cxnSp macro="">
      <xdr:nvCxnSpPr>
        <xdr:cNvPr id="74" name="直線コネクタ 73">
          <a:extLst>
            <a:ext uri="{FF2B5EF4-FFF2-40B4-BE49-F238E27FC236}">
              <a16:creationId xmlns:a16="http://schemas.microsoft.com/office/drawing/2014/main" id="{C17C30E6-A761-4E4A-9954-78988243693C}"/>
            </a:ext>
          </a:extLst>
        </xdr:cNvPr>
        <xdr:cNvCxnSpPr/>
      </xdr:nvCxnSpPr>
      <xdr:spPr>
        <a:xfrm>
          <a:off x="11727726" y="3867150"/>
          <a:ext cx="2842549" cy="1831898"/>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511375</xdr:colOff>
      <xdr:row>22</xdr:row>
      <xdr:rowOff>98348</xdr:rowOff>
    </xdr:from>
    <xdr:to>
      <xdr:col>26</xdr:col>
      <xdr:colOff>111325</xdr:colOff>
      <xdr:row>22</xdr:row>
      <xdr:rowOff>174548</xdr:rowOff>
    </xdr:to>
    <xdr:sp macro="" textlink="">
      <xdr:nvSpPr>
        <xdr:cNvPr id="75" name="矢印: 右 74">
          <a:extLst>
            <a:ext uri="{FF2B5EF4-FFF2-40B4-BE49-F238E27FC236}">
              <a16:creationId xmlns:a16="http://schemas.microsoft.com/office/drawing/2014/main" id="{49F06054-247F-42E9-9E11-2644E25D23D7}"/>
            </a:ext>
          </a:extLst>
        </xdr:cNvPr>
        <xdr:cNvSpPr/>
      </xdr:nvSpPr>
      <xdr:spPr>
        <a:xfrm rot="12780000">
          <a:off x="14494075" y="5699048"/>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41878</xdr:colOff>
      <xdr:row>22</xdr:row>
      <xdr:rowOff>16189</xdr:rowOff>
    </xdr:from>
    <xdr:to>
      <xdr:col>26</xdr:col>
      <xdr:colOff>418904</xdr:colOff>
      <xdr:row>23</xdr:row>
      <xdr:rowOff>75418</xdr:rowOff>
    </xdr:to>
    <xdr:sp macro="" textlink="">
      <xdr:nvSpPr>
        <xdr:cNvPr id="76" name="テキスト ボックス 75">
          <a:extLst>
            <a:ext uri="{FF2B5EF4-FFF2-40B4-BE49-F238E27FC236}">
              <a16:creationId xmlns:a16="http://schemas.microsoft.com/office/drawing/2014/main" id="{06716FAC-2250-4F50-8EAD-3A16DF0F7B41}"/>
            </a:ext>
          </a:extLst>
        </xdr:cNvPr>
        <xdr:cNvSpPr txBox="1"/>
      </xdr:nvSpPr>
      <xdr:spPr>
        <a:xfrm>
          <a:off x="14577028" y="5616889"/>
          <a:ext cx="37702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9</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20</xdr:col>
      <xdr:colOff>507276</xdr:colOff>
      <xdr:row>19</xdr:row>
      <xdr:rowOff>230665</xdr:rowOff>
    </xdr:from>
    <xdr:to>
      <xdr:col>24</xdr:col>
      <xdr:colOff>192510</xdr:colOff>
      <xdr:row>24</xdr:row>
      <xdr:rowOff>25622</xdr:rowOff>
    </xdr:to>
    <xdr:sp macro="" textlink="">
      <xdr:nvSpPr>
        <xdr:cNvPr id="77" name="フリーフォーム: 図形 76">
          <a:extLst>
            <a:ext uri="{FF2B5EF4-FFF2-40B4-BE49-F238E27FC236}">
              <a16:creationId xmlns:a16="http://schemas.microsoft.com/office/drawing/2014/main" id="{91E41301-9CE3-4C78-98BE-0466906E6DF6}"/>
            </a:ext>
          </a:extLst>
        </xdr:cNvPr>
        <xdr:cNvSpPr/>
      </xdr:nvSpPr>
      <xdr:spPr>
        <a:xfrm>
          <a:off x="11727726" y="5088415"/>
          <a:ext cx="1895034" cy="1033207"/>
        </a:xfrm>
        <a:custGeom>
          <a:avLst/>
          <a:gdLst/>
          <a:ahLst/>
          <a:cxnLst/>
          <a:rect l="0" t="0" r="0" b="0"/>
          <a:pathLst>
            <a:path w="1895034" h="1033207">
              <a:moveTo>
                <a:pt x="0" y="1033206"/>
              </a:moveTo>
              <a:cubicBezTo>
                <a:pt x="196490" y="1024627"/>
                <a:pt x="196490" y="1024627"/>
                <a:pt x="196490" y="1024627"/>
              </a:cubicBezTo>
              <a:cubicBezTo>
                <a:pt x="391485" y="998955"/>
                <a:pt x="391485" y="998955"/>
                <a:pt x="391485" y="998955"/>
              </a:cubicBezTo>
              <a:cubicBezTo>
                <a:pt x="583500" y="956387"/>
                <a:pt x="583500" y="956387"/>
                <a:pt x="583500" y="956387"/>
              </a:cubicBezTo>
              <a:cubicBezTo>
                <a:pt x="771075" y="897244"/>
                <a:pt x="771075" y="897244"/>
                <a:pt x="771075" y="897244"/>
              </a:cubicBezTo>
              <a:cubicBezTo>
                <a:pt x="952781" y="821979"/>
                <a:pt x="952781" y="821979"/>
                <a:pt x="952781" y="821979"/>
              </a:cubicBezTo>
              <a:cubicBezTo>
                <a:pt x="1127235" y="731164"/>
                <a:pt x="1127235" y="731164"/>
                <a:pt x="1127235" y="731164"/>
              </a:cubicBezTo>
              <a:cubicBezTo>
                <a:pt x="1293112" y="625489"/>
                <a:pt x="1293112" y="625489"/>
                <a:pt x="1293112" y="625489"/>
              </a:cubicBezTo>
              <a:cubicBezTo>
                <a:pt x="1449146" y="505760"/>
                <a:pt x="1449146" y="505760"/>
                <a:pt x="1449146" y="505760"/>
              </a:cubicBezTo>
              <a:cubicBezTo>
                <a:pt x="1594151" y="372887"/>
                <a:pt x="1594151" y="372887"/>
                <a:pt x="1594151" y="372887"/>
              </a:cubicBezTo>
              <a:cubicBezTo>
                <a:pt x="1727025" y="227881"/>
                <a:pt x="1727025" y="227881"/>
                <a:pt x="1727025" y="227881"/>
              </a:cubicBezTo>
              <a:cubicBezTo>
                <a:pt x="1846754" y="71847"/>
                <a:pt x="1846754" y="71847"/>
                <a:pt x="1846754" y="71847"/>
              </a:cubicBezTo>
              <a:cubicBezTo>
                <a:pt x="1895033" y="0"/>
                <a:pt x="1895033" y="0"/>
                <a:pt x="1895033" y="0"/>
              </a:cubicBezTo>
            </a:path>
          </a:pathLst>
        </a:custGeom>
        <a:ln>
          <a:headEnd type="oval" w="sm" len="sm"/>
          <a:tailEnd type="arrow"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304635</xdr:colOff>
      <xdr:row>21</xdr:row>
      <xdr:rowOff>239336</xdr:rowOff>
    </xdr:from>
    <xdr:to>
      <xdr:col>23</xdr:col>
      <xdr:colOff>73692</xdr:colOff>
      <xdr:row>23</xdr:row>
      <xdr:rowOff>50915</xdr:rowOff>
    </xdr:to>
    <xdr:sp macro="" textlink="">
      <xdr:nvSpPr>
        <xdr:cNvPr id="78" name="テキスト ボックス 77">
          <a:extLst>
            <a:ext uri="{FF2B5EF4-FFF2-40B4-BE49-F238E27FC236}">
              <a16:creationId xmlns:a16="http://schemas.microsoft.com/office/drawing/2014/main" id="{67812EFC-2E1B-4051-8C81-354DE221C52B}"/>
            </a:ext>
          </a:extLst>
        </xdr:cNvPr>
        <xdr:cNvSpPr txBox="1"/>
      </xdr:nvSpPr>
      <xdr:spPr>
        <a:xfrm>
          <a:off x="12077535" y="5592386"/>
          <a:ext cx="87395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γ=-57.2[°]</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15</xdr:col>
      <xdr:colOff>533669</xdr:colOff>
      <xdr:row>15</xdr:row>
      <xdr:rowOff>0</xdr:rowOff>
    </xdr:from>
    <xdr:to>
      <xdr:col>20</xdr:col>
      <xdr:colOff>507276</xdr:colOff>
      <xdr:row>23</xdr:row>
      <xdr:rowOff>6517</xdr:rowOff>
    </xdr:to>
    <xdr:cxnSp macro="">
      <xdr:nvCxnSpPr>
        <xdr:cNvPr id="79" name="直線コネクタ 78">
          <a:extLst>
            <a:ext uri="{FF2B5EF4-FFF2-40B4-BE49-F238E27FC236}">
              <a16:creationId xmlns:a16="http://schemas.microsoft.com/office/drawing/2014/main" id="{98401BFD-1F03-4D5B-8395-051698BDC016}"/>
            </a:ext>
          </a:extLst>
        </xdr:cNvPr>
        <xdr:cNvCxnSpPr/>
      </xdr:nvCxnSpPr>
      <xdr:spPr>
        <a:xfrm flipH="1">
          <a:off x="8991869" y="3867150"/>
          <a:ext cx="2735857" cy="1987717"/>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457469</xdr:colOff>
      <xdr:row>23</xdr:row>
      <xdr:rowOff>6517</xdr:rowOff>
    </xdr:from>
    <xdr:to>
      <xdr:col>16</xdr:col>
      <xdr:colOff>57419</xdr:colOff>
      <xdr:row>23</xdr:row>
      <xdr:rowOff>82717</xdr:rowOff>
    </xdr:to>
    <xdr:sp macro="" textlink="">
      <xdr:nvSpPr>
        <xdr:cNvPr id="80" name="矢印: 右 79">
          <a:extLst>
            <a:ext uri="{FF2B5EF4-FFF2-40B4-BE49-F238E27FC236}">
              <a16:creationId xmlns:a16="http://schemas.microsoft.com/office/drawing/2014/main" id="{47E1AB3E-9A5A-43DF-9C04-1AA9DEF15DC7}"/>
            </a:ext>
          </a:extLst>
        </xdr:cNvPr>
        <xdr:cNvSpPr/>
      </xdr:nvSpPr>
      <xdr:spPr>
        <a:xfrm rot="19440000">
          <a:off x="8915669" y="5854867"/>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558474</xdr:colOff>
      <xdr:row>22</xdr:row>
      <xdr:rowOff>186638</xdr:rowOff>
    </xdr:from>
    <xdr:to>
      <xdr:col>15</xdr:col>
      <xdr:colOff>390020</xdr:colOff>
      <xdr:row>23</xdr:row>
      <xdr:rowOff>245867</xdr:rowOff>
    </xdr:to>
    <xdr:sp macro="" textlink="">
      <xdr:nvSpPr>
        <xdr:cNvPr id="81" name="テキスト ボックス 80">
          <a:extLst>
            <a:ext uri="{FF2B5EF4-FFF2-40B4-BE49-F238E27FC236}">
              <a16:creationId xmlns:a16="http://schemas.microsoft.com/office/drawing/2014/main" id="{2931CA7C-7016-4AFF-80ED-99B972FC6890}"/>
            </a:ext>
          </a:extLst>
        </xdr:cNvPr>
        <xdr:cNvSpPr txBox="1"/>
      </xdr:nvSpPr>
      <xdr:spPr>
        <a:xfrm>
          <a:off x="8407074" y="5787338"/>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14</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17</xdr:col>
      <xdr:colOff>174911</xdr:colOff>
      <xdr:row>20</xdr:row>
      <xdr:rowOff>207363</xdr:rowOff>
    </xdr:from>
    <xdr:to>
      <xdr:col>20</xdr:col>
      <xdr:colOff>507277</xdr:colOff>
      <xdr:row>24</xdr:row>
      <xdr:rowOff>230574</xdr:rowOff>
    </xdr:to>
    <xdr:sp macro="" textlink="">
      <xdr:nvSpPr>
        <xdr:cNvPr id="82" name="フリーフォーム: 図形 81">
          <a:extLst>
            <a:ext uri="{FF2B5EF4-FFF2-40B4-BE49-F238E27FC236}">
              <a16:creationId xmlns:a16="http://schemas.microsoft.com/office/drawing/2014/main" id="{33D84F08-8477-41C4-B46A-B9B61E89391B}"/>
            </a:ext>
          </a:extLst>
        </xdr:cNvPr>
        <xdr:cNvSpPr/>
      </xdr:nvSpPr>
      <xdr:spPr>
        <a:xfrm>
          <a:off x="9738011" y="5312763"/>
          <a:ext cx="1989716" cy="1013811"/>
        </a:xfrm>
        <a:custGeom>
          <a:avLst/>
          <a:gdLst/>
          <a:ahLst/>
          <a:cxnLst/>
          <a:rect l="0" t="0" r="0" b="0"/>
          <a:pathLst>
            <a:path w="1989716" h="1013811">
              <a:moveTo>
                <a:pt x="0" y="0"/>
              </a:moveTo>
              <a:cubicBezTo>
                <a:pt x="133566" y="167914"/>
                <a:pt x="133566" y="167914"/>
                <a:pt x="133566" y="167914"/>
              </a:cubicBezTo>
              <a:cubicBezTo>
                <a:pt x="281257" y="323548"/>
                <a:pt x="281257" y="323548"/>
                <a:pt x="281257" y="323548"/>
              </a:cubicBezTo>
              <a:cubicBezTo>
                <a:pt x="441951" y="465718"/>
                <a:pt x="441951" y="465718"/>
                <a:pt x="441951" y="465718"/>
              </a:cubicBezTo>
              <a:cubicBezTo>
                <a:pt x="614423" y="593341"/>
                <a:pt x="614423" y="593341"/>
                <a:pt x="614423" y="593341"/>
              </a:cubicBezTo>
              <a:cubicBezTo>
                <a:pt x="797363" y="705447"/>
                <a:pt x="797363" y="705447"/>
                <a:pt x="797363" y="705447"/>
              </a:cubicBezTo>
              <a:cubicBezTo>
                <a:pt x="989378" y="801182"/>
                <a:pt x="989378" y="801182"/>
                <a:pt x="989378" y="801182"/>
              </a:cubicBezTo>
              <a:cubicBezTo>
                <a:pt x="1189005" y="879817"/>
                <a:pt x="1189005" y="879817"/>
                <a:pt x="1189005" y="879817"/>
              </a:cubicBezTo>
              <a:cubicBezTo>
                <a:pt x="1394727" y="940755"/>
                <a:pt x="1394727" y="940755"/>
                <a:pt x="1394727" y="940755"/>
              </a:cubicBezTo>
              <a:cubicBezTo>
                <a:pt x="1604976" y="983530"/>
                <a:pt x="1604976" y="983530"/>
                <a:pt x="1604976" y="983530"/>
              </a:cubicBezTo>
              <a:cubicBezTo>
                <a:pt x="1818154" y="1007819"/>
                <a:pt x="1818154" y="1007819"/>
                <a:pt x="1818154" y="1007819"/>
              </a:cubicBezTo>
              <a:cubicBezTo>
                <a:pt x="1989715" y="1013810"/>
                <a:pt x="1989715" y="1013810"/>
                <a:pt x="1989715" y="1013810"/>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470968</xdr:colOff>
      <xdr:row>22</xdr:row>
      <xdr:rowOff>203661</xdr:rowOff>
    </xdr:from>
    <xdr:to>
      <xdr:col>19</xdr:col>
      <xdr:colOff>85752</xdr:colOff>
      <xdr:row>24</xdr:row>
      <xdr:rowOff>15240</xdr:rowOff>
    </xdr:to>
    <xdr:sp macro="" textlink="">
      <xdr:nvSpPr>
        <xdr:cNvPr id="83" name="テキスト ボックス 82">
          <a:extLst>
            <a:ext uri="{FF2B5EF4-FFF2-40B4-BE49-F238E27FC236}">
              <a16:creationId xmlns:a16="http://schemas.microsoft.com/office/drawing/2014/main" id="{4410D9B8-B4D4-4966-9039-0A5F6C22BBE4}"/>
            </a:ext>
          </a:extLst>
        </xdr:cNvPr>
        <xdr:cNvSpPr txBox="1"/>
      </xdr:nvSpPr>
      <xdr:spPr>
        <a:xfrm>
          <a:off x="10034068" y="5804361"/>
          <a:ext cx="71968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γ=54[°]</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14</xdr:col>
      <xdr:colOff>570096</xdr:colOff>
      <xdr:row>15</xdr:row>
      <xdr:rowOff>0</xdr:rowOff>
    </xdr:from>
    <xdr:to>
      <xdr:col>20</xdr:col>
      <xdr:colOff>507276</xdr:colOff>
      <xdr:row>17</xdr:row>
      <xdr:rowOff>202022</xdr:rowOff>
    </xdr:to>
    <xdr:cxnSp macro="">
      <xdr:nvCxnSpPr>
        <xdr:cNvPr id="84" name="直線コネクタ 83">
          <a:extLst>
            <a:ext uri="{FF2B5EF4-FFF2-40B4-BE49-F238E27FC236}">
              <a16:creationId xmlns:a16="http://schemas.microsoft.com/office/drawing/2014/main" id="{C58280BC-E439-45AC-840C-D01CB86B8A04}"/>
            </a:ext>
          </a:extLst>
        </xdr:cNvPr>
        <xdr:cNvCxnSpPr/>
      </xdr:nvCxnSpPr>
      <xdr:spPr>
        <a:xfrm flipH="1">
          <a:off x="8418696" y="3867150"/>
          <a:ext cx="3309030" cy="697322"/>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493896</xdr:colOff>
      <xdr:row>17</xdr:row>
      <xdr:rowOff>202022</xdr:rowOff>
    </xdr:from>
    <xdr:to>
      <xdr:col>15</xdr:col>
      <xdr:colOff>36696</xdr:colOff>
      <xdr:row>18</xdr:row>
      <xdr:rowOff>30572</xdr:rowOff>
    </xdr:to>
    <xdr:sp macro="" textlink="">
      <xdr:nvSpPr>
        <xdr:cNvPr id="85" name="矢印: 右 84">
          <a:extLst>
            <a:ext uri="{FF2B5EF4-FFF2-40B4-BE49-F238E27FC236}">
              <a16:creationId xmlns:a16="http://schemas.microsoft.com/office/drawing/2014/main" id="{708992BF-4C54-4DB7-AF5C-0FF6FCF6EDB6}"/>
            </a:ext>
          </a:extLst>
        </xdr:cNvPr>
        <xdr:cNvSpPr/>
      </xdr:nvSpPr>
      <xdr:spPr>
        <a:xfrm rot="20880000">
          <a:off x="8342496" y="4564472"/>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541088</xdr:colOff>
      <xdr:row>17</xdr:row>
      <xdr:rowOff>13340</xdr:rowOff>
    </xdr:from>
    <xdr:to>
      <xdr:col>14</xdr:col>
      <xdr:colOff>372634</xdr:colOff>
      <xdr:row>18</xdr:row>
      <xdr:rowOff>72569</xdr:rowOff>
    </xdr:to>
    <xdr:sp macro="" textlink="">
      <xdr:nvSpPr>
        <xdr:cNvPr id="86" name="テキスト ボックス 85">
          <a:extLst>
            <a:ext uri="{FF2B5EF4-FFF2-40B4-BE49-F238E27FC236}">
              <a16:creationId xmlns:a16="http://schemas.microsoft.com/office/drawing/2014/main" id="{F186EAF1-3335-47EB-9D34-EC8189A704C2}"/>
            </a:ext>
          </a:extLst>
        </xdr:cNvPr>
        <xdr:cNvSpPr txBox="1"/>
      </xdr:nvSpPr>
      <xdr:spPr>
        <a:xfrm>
          <a:off x="7780088" y="4375790"/>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16</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16</xdr:col>
      <xdr:colOff>109962</xdr:colOff>
      <xdr:row>17</xdr:row>
      <xdr:rowOff>54105</xdr:rowOff>
    </xdr:from>
    <xdr:to>
      <xdr:col>20</xdr:col>
      <xdr:colOff>507277</xdr:colOff>
      <xdr:row>25</xdr:row>
      <xdr:rowOff>187876</xdr:rowOff>
    </xdr:to>
    <xdr:sp macro="" textlink="">
      <xdr:nvSpPr>
        <xdr:cNvPr id="87" name="フリーフォーム: 図形 86">
          <a:extLst>
            <a:ext uri="{FF2B5EF4-FFF2-40B4-BE49-F238E27FC236}">
              <a16:creationId xmlns:a16="http://schemas.microsoft.com/office/drawing/2014/main" id="{93E37FC1-F392-4627-9EC8-6D8313B7947F}"/>
            </a:ext>
          </a:extLst>
        </xdr:cNvPr>
        <xdr:cNvSpPr/>
      </xdr:nvSpPr>
      <xdr:spPr>
        <a:xfrm>
          <a:off x="9120612" y="4416555"/>
          <a:ext cx="2607115" cy="2114971"/>
        </a:xfrm>
        <a:custGeom>
          <a:avLst/>
          <a:gdLst/>
          <a:ahLst/>
          <a:cxnLst/>
          <a:rect l="0" t="0" r="0" b="0"/>
          <a:pathLst>
            <a:path w="2607115" h="2114971">
              <a:moveTo>
                <a:pt x="0" y="0"/>
              </a:moveTo>
              <a:cubicBezTo>
                <a:pt x="57805" y="225135"/>
                <a:pt x="57805" y="225135"/>
                <a:pt x="57805" y="225135"/>
              </a:cubicBezTo>
              <a:cubicBezTo>
                <a:pt x="135011" y="444374"/>
                <a:pt x="135011" y="444374"/>
                <a:pt x="135011" y="444374"/>
              </a:cubicBezTo>
              <a:cubicBezTo>
                <a:pt x="231031" y="656050"/>
                <a:pt x="231031" y="656050"/>
                <a:pt x="231031" y="656050"/>
              </a:cubicBezTo>
              <a:cubicBezTo>
                <a:pt x="345135" y="858552"/>
                <a:pt x="345135" y="858552"/>
                <a:pt x="345135" y="858552"/>
              </a:cubicBezTo>
              <a:cubicBezTo>
                <a:pt x="476454" y="1050339"/>
                <a:pt x="476454" y="1050339"/>
                <a:pt x="476454" y="1050339"/>
              </a:cubicBezTo>
              <a:cubicBezTo>
                <a:pt x="623989" y="1229951"/>
                <a:pt x="623989" y="1229951"/>
                <a:pt x="623989" y="1229951"/>
              </a:cubicBezTo>
              <a:cubicBezTo>
                <a:pt x="786617" y="1396020"/>
                <a:pt x="786617" y="1396020"/>
                <a:pt x="786617" y="1396020"/>
              </a:cubicBezTo>
              <a:cubicBezTo>
                <a:pt x="963100" y="1547285"/>
                <a:pt x="963100" y="1547285"/>
                <a:pt x="963100" y="1547285"/>
              </a:cubicBezTo>
              <a:cubicBezTo>
                <a:pt x="1152094" y="1682591"/>
                <a:pt x="1152094" y="1682591"/>
                <a:pt x="1152094" y="1682591"/>
              </a:cubicBezTo>
              <a:cubicBezTo>
                <a:pt x="1352162" y="1800912"/>
                <a:pt x="1352162" y="1800912"/>
                <a:pt x="1352162" y="1800912"/>
              </a:cubicBezTo>
              <a:cubicBezTo>
                <a:pt x="1561781" y="1901344"/>
                <a:pt x="1561781" y="1901344"/>
                <a:pt x="1561781" y="1901344"/>
              </a:cubicBezTo>
              <a:cubicBezTo>
                <a:pt x="1779355" y="1983125"/>
                <a:pt x="1779355" y="1983125"/>
                <a:pt x="1779355" y="1983125"/>
              </a:cubicBezTo>
              <a:cubicBezTo>
                <a:pt x="2003230" y="2045632"/>
                <a:pt x="2003230" y="2045632"/>
                <a:pt x="2003230" y="2045632"/>
              </a:cubicBezTo>
              <a:cubicBezTo>
                <a:pt x="2231700" y="2088389"/>
                <a:pt x="2231700" y="2088389"/>
                <a:pt x="2231700" y="2088389"/>
              </a:cubicBezTo>
              <a:cubicBezTo>
                <a:pt x="2463027" y="2111071"/>
                <a:pt x="2463027" y="2111071"/>
                <a:pt x="2463027" y="2111071"/>
              </a:cubicBezTo>
              <a:cubicBezTo>
                <a:pt x="2607114" y="2114970"/>
                <a:pt x="2607114" y="2114970"/>
                <a:pt x="2607114" y="2114970"/>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362805</xdr:colOff>
      <xdr:row>22</xdr:row>
      <xdr:rowOff>81443</xdr:rowOff>
    </xdr:from>
    <xdr:to>
      <xdr:col>18</xdr:col>
      <xdr:colOff>67742</xdr:colOff>
      <xdr:row>23</xdr:row>
      <xdr:rowOff>140672</xdr:rowOff>
    </xdr:to>
    <xdr:sp macro="" textlink="">
      <xdr:nvSpPr>
        <xdr:cNvPr id="88" name="テキスト ボックス 87">
          <a:extLst>
            <a:ext uri="{FF2B5EF4-FFF2-40B4-BE49-F238E27FC236}">
              <a16:creationId xmlns:a16="http://schemas.microsoft.com/office/drawing/2014/main" id="{F5B6BF46-8B66-458E-A63E-7B9814B7A444}"/>
            </a:ext>
          </a:extLst>
        </xdr:cNvPr>
        <xdr:cNvSpPr txBox="1"/>
      </xdr:nvSpPr>
      <xdr:spPr>
        <a:xfrm>
          <a:off x="9373455" y="5682143"/>
          <a:ext cx="80983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γ=78.1[°]</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12</xdr:col>
      <xdr:colOff>0</xdr:colOff>
      <xdr:row>28</xdr:row>
      <xdr:rowOff>0</xdr:rowOff>
    </xdr:to>
    <xdr:grpSp>
      <xdr:nvGrpSpPr>
        <xdr:cNvPr id="2" name="グループ化 1">
          <a:extLst>
            <a:ext uri="{FF2B5EF4-FFF2-40B4-BE49-F238E27FC236}">
              <a16:creationId xmlns:a16="http://schemas.microsoft.com/office/drawing/2014/main" id="{859D5967-B038-49B9-A9C8-6334CD8B4BBD}"/>
            </a:ext>
          </a:extLst>
        </xdr:cNvPr>
        <xdr:cNvGrpSpPr/>
      </xdr:nvGrpSpPr>
      <xdr:grpSpPr>
        <a:xfrm>
          <a:off x="0" y="352425"/>
          <a:ext cx="7315200" cy="5943600"/>
          <a:chOff x="0" y="352425"/>
          <a:chExt cx="7315200" cy="5943600"/>
        </a:xfrm>
      </xdr:grpSpPr>
      <xdr:graphicFrame macro="">
        <xdr:nvGraphicFramePr>
          <xdr:cNvPr id="3" name="HXC_V1_LA7">
            <a:extLst>
              <a:ext uri="{FF2B5EF4-FFF2-40B4-BE49-F238E27FC236}">
                <a16:creationId xmlns:a16="http://schemas.microsoft.com/office/drawing/2014/main" id="{3C5481B3-61E0-4AB9-AE49-83454F005EB8}"/>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HXC_V1_LA6">
            <a:extLst>
              <a:ext uri="{FF2B5EF4-FFF2-40B4-BE49-F238E27FC236}">
                <a16:creationId xmlns:a16="http://schemas.microsoft.com/office/drawing/2014/main" id="{E27ED7FA-CA84-4FA7-982E-F0339ADCBE2B}"/>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HXC_V1_LA5">
            <a:extLst>
              <a:ext uri="{FF2B5EF4-FFF2-40B4-BE49-F238E27FC236}">
                <a16:creationId xmlns:a16="http://schemas.microsoft.com/office/drawing/2014/main" id="{848238C1-3A94-4B29-8FE1-AA4011BA326F}"/>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HXC_V1_LA4">
            <a:extLst>
              <a:ext uri="{FF2B5EF4-FFF2-40B4-BE49-F238E27FC236}">
                <a16:creationId xmlns:a16="http://schemas.microsoft.com/office/drawing/2014/main" id="{9C8822BE-EB96-449C-89E2-0084975B026C}"/>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HXC_V1_LA3">
            <a:extLst>
              <a:ext uri="{FF2B5EF4-FFF2-40B4-BE49-F238E27FC236}">
                <a16:creationId xmlns:a16="http://schemas.microsoft.com/office/drawing/2014/main" id="{52B2C5EE-AAD5-454D-A9CE-4C128BF4DE79}"/>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HXC_V1_LA2">
            <a:extLst>
              <a:ext uri="{FF2B5EF4-FFF2-40B4-BE49-F238E27FC236}">
                <a16:creationId xmlns:a16="http://schemas.microsoft.com/office/drawing/2014/main" id="{45AD055E-303C-464D-96E0-2B0EE2BBEED5}"/>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HXC_V1_LA1">
            <a:extLst>
              <a:ext uri="{FF2B5EF4-FFF2-40B4-BE49-F238E27FC236}">
                <a16:creationId xmlns:a16="http://schemas.microsoft.com/office/drawing/2014/main" id="{D378CB15-BA50-4F60-A840-4A51BDD6263D}"/>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HXC_V1_LA0">
            <a:extLst>
              <a:ext uri="{FF2B5EF4-FFF2-40B4-BE49-F238E27FC236}">
                <a16:creationId xmlns:a16="http://schemas.microsoft.com/office/drawing/2014/main" id="{56E07D2C-B0B8-4F48-8BB5-26A8336A61B9}"/>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0</xdr:rowOff>
    </xdr:from>
    <xdr:to>
      <xdr:col>12</xdr:col>
      <xdr:colOff>0</xdr:colOff>
      <xdr:row>28</xdr:row>
      <xdr:rowOff>0</xdr:rowOff>
    </xdr:to>
    <xdr:grpSp>
      <xdr:nvGrpSpPr>
        <xdr:cNvPr id="2" name="グループ化 1">
          <a:extLst>
            <a:ext uri="{FF2B5EF4-FFF2-40B4-BE49-F238E27FC236}">
              <a16:creationId xmlns:a16="http://schemas.microsoft.com/office/drawing/2014/main" id="{B46649F2-2BDB-4E5C-BA0D-A74C749EB82D}"/>
            </a:ext>
          </a:extLst>
        </xdr:cNvPr>
        <xdr:cNvGrpSpPr/>
      </xdr:nvGrpSpPr>
      <xdr:grpSpPr>
        <a:xfrm>
          <a:off x="0" y="352425"/>
          <a:ext cx="7315200" cy="5943600"/>
          <a:chOff x="0" y="352425"/>
          <a:chExt cx="7315200" cy="5943600"/>
        </a:xfrm>
      </xdr:grpSpPr>
      <xdr:graphicFrame macro="">
        <xdr:nvGraphicFramePr>
          <xdr:cNvPr id="3" name="HXC_V1_LA7">
            <a:extLst>
              <a:ext uri="{FF2B5EF4-FFF2-40B4-BE49-F238E27FC236}">
                <a16:creationId xmlns:a16="http://schemas.microsoft.com/office/drawing/2014/main" id="{565E951F-9B28-48B7-BC9A-7F6B9B0DB8CF}"/>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HXC_V1_LA6">
            <a:extLst>
              <a:ext uri="{FF2B5EF4-FFF2-40B4-BE49-F238E27FC236}">
                <a16:creationId xmlns:a16="http://schemas.microsoft.com/office/drawing/2014/main" id="{B555230C-4E01-42B0-8C88-AB34B31ED967}"/>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HXC_V1_LA5">
            <a:extLst>
              <a:ext uri="{FF2B5EF4-FFF2-40B4-BE49-F238E27FC236}">
                <a16:creationId xmlns:a16="http://schemas.microsoft.com/office/drawing/2014/main" id="{F4A25837-6B80-4E26-9FDE-E5F06BE2BF52}"/>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HXC_V1_LA4">
            <a:extLst>
              <a:ext uri="{FF2B5EF4-FFF2-40B4-BE49-F238E27FC236}">
                <a16:creationId xmlns:a16="http://schemas.microsoft.com/office/drawing/2014/main" id="{95DD4BBD-FC7B-4E88-8C5B-9C4006ECD408}"/>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HXC_V1_LA3">
            <a:extLst>
              <a:ext uri="{FF2B5EF4-FFF2-40B4-BE49-F238E27FC236}">
                <a16:creationId xmlns:a16="http://schemas.microsoft.com/office/drawing/2014/main" id="{2F885CBC-EEF3-4C60-A8B9-1F4900E57E7D}"/>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HXC_V1_LA2">
            <a:extLst>
              <a:ext uri="{FF2B5EF4-FFF2-40B4-BE49-F238E27FC236}">
                <a16:creationId xmlns:a16="http://schemas.microsoft.com/office/drawing/2014/main" id="{386EB03C-0ACF-4E4B-91BD-C392841EF96E}"/>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HXC_V1_LA1">
            <a:extLst>
              <a:ext uri="{FF2B5EF4-FFF2-40B4-BE49-F238E27FC236}">
                <a16:creationId xmlns:a16="http://schemas.microsoft.com/office/drawing/2014/main" id="{64C71AB8-4463-4FE7-8F7B-11CE5F044E5E}"/>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HXC_V1_LA0">
            <a:extLst>
              <a:ext uri="{FF2B5EF4-FFF2-40B4-BE49-F238E27FC236}">
                <a16:creationId xmlns:a16="http://schemas.microsoft.com/office/drawing/2014/main" id="{0123EF8D-609C-4DDA-B6B6-40B6FB1369EF}"/>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285750</xdr:colOff>
      <xdr:row>1</xdr:row>
      <xdr:rowOff>3626</xdr:rowOff>
    </xdr:from>
    <xdr:to>
      <xdr:col>7</xdr:col>
      <xdr:colOff>495300</xdr:colOff>
      <xdr:row>8</xdr:row>
      <xdr:rowOff>74757</xdr:rowOff>
    </xdr:to>
    <xdr:grpSp>
      <xdr:nvGrpSpPr>
        <xdr:cNvPr id="2" name="グループ化 1">
          <a:extLst>
            <a:ext uri="{FF2B5EF4-FFF2-40B4-BE49-F238E27FC236}">
              <a16:creationId xmlns:a16="http://schemas.microsoft.com/office/drawing/2014/main" id="{40119CFD-BEDC-4078-AE8C-1BB8D46E06EE}"/>
            </a:ext>
          </a:extLst>
        </xdr:cNvPr>
        <xdr:cNvGrpSpPr/>
      </xdr:nvGrpSpPr>
      <xdr:grpSpPr>
        <a:xfrm>
          <a:off x="2343150" y="327476"/>
          <a:ext cx="1752600" cy="1404631"/>
          <a:chOff x="2346614" y="371637"/>
          <a:chExt cx="1755197" cy="1404631"/>
        </a:xfrm>
      </xdr:grpSpPr>
      <xdr:sp macro="" textlink="">
        <xdr:nvSpPr>
          <xdr:cNvPr id="3" name="Line 2">
            <a:extLst>
              <a:ext uri="{FF2B5EF4-FFF2-40B4-BE49-F238E27FC236}">
                <a16:creationId xmlns:a16="http://schemas.microsoft.com/office/drawing/2014/main" id="{E6959C2D-D483-4C6B-97AC-36B137ECBAF6}"/>
              </a:ext>
            </a:extLst>
          </xdr:cNvPr>
          <xdr:cNvSpPr>
            <a:spLocks noChangeShapeType="1"/>
          </xdr:cNvSpPr>
        </xdr:nvSpPr>
        <xdr:spPr bwMode="auto">
          <a:xfrm flipV="1">
            <a:off x="3701761" y="1093643"/>
            <a:ext cx="0" cy="295275"/>
          </a:xfrm>
          <a:prstGeom prst="line">
            <a:avLst/>
          </a:prstGeom>
          <a:noFill/>
          <a:ln w="1">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4" name="Line 4">
            <a:extLst>
              <a:ext uri="{FF2B5EF4-FFF2-40B4-BE49-F238E27FC236}">
                <a16:creationId xmlns:a16="http://schemas.microsoft.com/office/drawing/2014/main" id="{B0995104-8BF4-4C08-A3EE-FBAD93853DE1}"/>
              </a:ext>
            </a:extLst>
          </xdr:cNvPr>
          <xdr:cNvSpPr>
            <a:spLocks noChangeShapeType="1"/>
          </xdr:cNvSpPr>
        </xdr:nvSpPr>
        <xdr:spPr bwMode="auto">
          <a:xfrm>
            <a:off x="3129395" y="665018"/>
            <a:ext cx="0"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 name="Line 5">
            <a:extLst>
              <a:ext uri="{FF2B5EF4-FFF2-40B4-BE49-F238E27FC236}">
                <a16:creationId xmlns:a16="http://schemas.microsoft.com/office/drawing/2014/main" id="{90E9BA1A-23F9-4F53-89E0-5C5DF34E22BF}"/>
              </a:ext>
            </a:extLst>
          </xdr:cNvPr>
          <xdr:cNvSpPr>
            <a:spLocks noChangeShapeType="1"/>
          </xdr:cNvSpPr>
        </xdr:nvSpPr>
        <xdr:spPr bwMode="auto">
          <a:xfrm>
            <a:off x="3129395" y="941243"/>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 name="Line 6">
            <a:extLst>
              <a:ext uri="{FF2B5EF4-FFF2-40B4-BE49-F238E27FC236}">
                <a16:creationId xmlns:a16="http://schemas.microsoft.com/office/drawing/2014/main" id="{995B5FBB-5E97-41FD-95AF-57218625FFAB}"/>
              </a:ext>
            </a:extLst>
          </xdr:cNvPr>
          <xdr:cNvSpPr>
            <a:spLocks noChangeShapeType="1"/>
          </xdr:cNvSpPr>
        </xdr:nvSpPr>
        <xdr:spPr bwMode="auto">
          <a:xfrm flipV="1">
            <a:off x="3243695" y="884093"/>
            <a:ext cx="0" cy="57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 name="Line 7">
            <a:extLst>
              <a:ext uri="{FF2B5EF4-FFF2-40B4-BE49-F238E27FC236}">
                <a16:creationId xmlns:a16="http://schemas.microsoft.com/office/drawing/2014/main" id="{16A0D9AB-742E-4A40-B866-1C722D114D14}"/>
              </a:ext>
            </a:extLst>
          </xdr:cNvPr>
          <xdr:cNvSpPr>
            <a:spLocks noChangeShapeType="1"/>
          </xdr:cNvSpPr>
        </xdr:nvSpPr>
        <xdr:spPr bwMode="auto">
          <a:xfrm>
            <a:off x="3129395" y="6650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 name="Line 8">
            <a:extLst>
              <a:ext uri="{FF2B5EF4-FFF2-40B4-BE49-F238E27FC236}">
                <a16:creationId xmlns:a16="http://schemas.microsoft.com/office/drawing/2014/main" id="{C4A5E98B-C312-401E-BF80-63063D734BC0}"/>
              </a:ext>
            </a:extLst>
          </xdr:cNvPr>
          <xdr:cNvSpPr>
            <a:spLocks noChangeShapeType="1"/>
          </xdr:cNvSpPr>
        </xdr:nvSpPr>
        <xdr:spPr bwMode="auto">
          <a:xfrm>
            <a:off x="3243695" y="665018"/>
            <a:ext cx="0" cy="10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 name="Line 9">
            <a:extLst>
              <a:ext uri="{FF2B5EF4-FFF2-40B4-BE49-F238E27FC236}">
                <a16:creationId xmlns:a16="http://schemas.microsoft.com/office/drawing/2014/main" id="{0501FBB4-FB74-425D-B33A-414C468B84A1}"/>
              </a:ext>
            </a:extLst>
          </xdr:cNvPr>
          <xdr:cNvSpPr>
            <a:spLocks noChangeShapeType="1"/>
          </xdr:cNvSpPr>
        </xdr:nvSpPr>
        <xdr:spPr bwMode="auto">
          <a:xfrm>
            <a:off x="3243695" y="769793"/>
            <a:ext cx="57236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 name="Line 10">
            <a:extLst>
              <a:ext uri="{FF2B5EF4-FFF2-40B4-BE49-F238E27FC236}">
                <a16:creationId xmlns:a16="http://schemas.microsoft.com/office/drawing/2014/main" id="{2306E5ED-3A1F-4DD7-B909-EB233B465E8B}"/>
              </a:ext>
            </a:extLst>
          </xdr:cNvPr>
          <xdr:cNvSpPr>
            <a:spLocks noChangeShapeType="1"/>
          </xdr:cNvSpPr>
        </xdr:nvSpPr>
        <xdr:spPr bwMode="auto">
          <a:xfrm>
            <a:off x="3243695" y="884093"/>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 name="Line 11">
            <a:extLst>
              <a:ext uri="{FF2B5EF4-FFF2-40B4-BE49-F238E27FC236}">
                <a16:creationId xmlns:a16="http://schemas.microsoft.com/office/drawing/2014/main" id="{2F864E4A-AD7C-432C-95EC-3C18E98EA4F1}"/>
              </a:ext>
            </a:extLst>
          </xdr:cNvPr>
          <xdr:cNvSpPr>
            <a:spLocks noChangeShapeType="1"/>
          </xdr:cNvSpPr>
        </xdr:nvSpPr>
        <xdr:spPr bwMode="auto">
          <a:xfrm>
            <a:off x="3644611" y="884093"/>
            <a:ext cx="0"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 name="Line 12">
            <a:extLst>
              <a:ext uri="{FF2B5EF4-FFF2-40B4-BE49-F238E27FC236}">
                <a16:creationId xmlns:a16="http://schemas.microsoft.com/office/drawing/2014/main" id="{6D0A3119-1497-4CCB-BDB3-3FF110593724}"/>
              </a:ext>
            </a:extLst>
          </xdr:cNvPr>
          <xdr:cNvSpPr>
            <a:spLocks noChangeShapeType="1"/>
          </xdr:cNvSpPr>
        </xdr:nvSpPr>
        <xdr:spPr bwMode="auto">
          <a:xfrm>
            <a:off x="3644611" y="1093643"/>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 name="Line 13">
            <a:extLst>
              <a:ext uri="{FF2B5EF4-FFF2-40B4-BE49-F238E27FC236}">
                <a16:creationId xmlns:a16="http://schemas.microsoft.com/office/drawing/2014/main" id="{546ED829-583F-429F-B516-DC6407A34ABA}"/>
              </a:ext>
            </a:extLst>
          </xdr:cNvPr>
          <xdr:cNvSpPr>
            <a:spLocks noChangeShapeType="1"/>
          </xdr:cNvSpPr>
        </xdr:nvSpPr>
        <xdr:spPr bwMode="auto">
          <a:xfrm flipV="1">
            <a:off x="3758911" y="884093"/>
            <a:ext cx="0"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 name="Line 14">
            <a:extLst>
              <a:ext uri="{FF2B5EF4-FFF2-40B4-BE49-F238E27FC236}">
                <a16:creationId xmlns:a16="http://schemas.microsoft.com/office/drawing/2014/main" id="{BB7FA8F5-48E4-40CC-BD31-186EFAF056B0}"/>
              </a:ext>
            </a:extLst>
          </xdr:cNvPr>
          <xdr:cNvSpPr>
            <a:spLocks noChangeShapeType="1"/>
          </xdr:cNvSpPr>
        </xdr:nvSpPr>
        <xdr:spPr bwMode="auto">
          <a:xfrm>
            <a:off x="3758911" y="884093"/>
            <a:ext cx="5715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5" name="Line 15">
            <a:extLst>
              <a:ext uri="{FF2B5EF4-FFF2-40B4-BE49-F238E27FC236}">
                <a16:creationId xmlns:a16="http://schemas.microsoft.com/office/drawing/2014/main" id="{F2729F8B-F00C-4E07-B7E9-45D8354F0C64}"/>
              </a:ext>
            </a:extLst>
          </xdr:cNvPr>
          <xdr:cNvSpPr>
            <a:spLocks noChangeShapeType="1"/>
          </xdr:cNvSpPr>
        </xdr:nvSpPr>
        <xdr:spPr bwMode="auto">
          <a:xfrm flipV="1">
            <a:off x="3644611" y="1388917"/>
            <a:ext cx="0" cy="3857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 name="Line 16">
            <a:extLst>
              <a:ext uri="{FF2B5EF4-FFF2-40B4-BE49-F238E27FC236}">
                <a16:creationId xmlns:a16="http://schemas.microsoft.com/office/drawing/2014/main" id="{58F69E7F-629F-4A12-BCB4-BB91E8D349FD}"/>
              </a:ext>
            </a:extLst>
          </xdr:cNvPr>
          <xdr:cNvSpPr>
            <a:spLocks noChangeShapeType="1"/>
          </xdr:cNvSpPr>
        </xdr:nvSpPr>
        <xdr:spPr bwMode="auto">
          <a:xfrm flipV="1">
            <a:off x="3758911" y="1384155"/>
            <a:ext cx="0" cy="20478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 name="Line 17">
            <a:extLst>
              <a:ext uri="{FF2B5EF4-FFF2-40B4-BE49-F238E27FC236}">
                <a16:creationId xmlns:a16="http://schemas.microsoft.com/office/drawing/2014/main" id="{F6AC9E42-E491-4E39-AC22-93CB76F179F3}"/>
              </a:ext>
            </a:extLst>
          </xdr:cNvPr>
          <xdr:cNvSpPr>
            <a:spLocks noChangeShapeType="1"/>
          </xdr:cNvSpPr>
        </xdr:nvSpPr>
        <xdr:spPr bwMode="auto">
          <a:xfrm>
            <a:off x="3644611" y="13889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 name="Line 18">
            <a:extLst>
              <a:ext uri="{FF2B5EF4-FFF2-40B4-BE49-F238E27FC236}">
                <a16:creationId xmlns:a16="http://schemas.microsoft.com/office/drawing/2014/main" id="{FC845811-577F-4DAC-8DE9-9F94A6EFDD75}"/>
              </a:ext>
            </a:extLst>
          </xdr:cNvPr>
          <xdr:cNvSpPr>
            <a:spLocks noChangeShapeType="1"/>
          </xdr:cNvSpPr>
        </xdr:nvSpPr>
        <xdr:spPr bwMode="auto">
          <a:xfrm>
            <a:off x="3758911" y="1588943"/>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9" name="Line 19">
            <a:extLst>
              <a:ext uri="{FF2B5EF4-FFF2-40B4-BE49-F238E27FC236}">
                <a16:creationId xmlns:a16="http://schemas.microsoft.com/office/drawing/2014/main" id="{2C045DC1-457C-4D8A-A150-77187982D3F9}"/>
              </a:ext>
            </a:extLst>
          </xdr:cNvPr>
          <xdr:cNvSpPr>
            <a:spLocks noChangeShapeType="1"/>
          </xdr:cNvSpPr>
        </xdr:nvSpPr>
        <xdr:spPr bwMode="auto">
          <a:xfrm flipH="1">
            <a:off x="3758911" y="1703243"/>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0" name="Line 20">
            <a:extLst>
              <a:ext uri="{FF2B5EF4-FFF2-40B4-BE49-F238E27FC236}">
                <a16:creationId xmlns:a16="http://schemas.microsoft.com/office/drawing/2014/main" id="{327876A2-9A65-468D-9317-83A3623E66C4}"/>
              </a:ext>
            </a:extLst>
          </xdr:cNvPr>
          <xdr:cNvSpPr>
            <a:spLocks noChangeShapeType="1"/>
          </xdr:cNvSpPr>
        </xdr:nvSpPr>
        <xdr:spPr bwMode="auto">
          <a:xfrm>
            <a:off x="3758911" y="1703243"/>
            <a:ext cx="0" cy="73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 name="Line 21">
            <a:extLst>
              <a:ext uri="{FF2B5EF4-FFF2-40B4-BE49-F238E27FC236}">
                <a16:creationId xmlns:a16="http://schemas.microsoft.com/office/drawing/2014/main" id="{B2E7D194-B9A2-42EB-8991-8573E18744AD}"/>
              </a:ext>
            </a:extLst>
          </xdr:cNvPr>
          <xdr:cNvSpPr>
            <a:spLocks noChangeShapeType="1"/>
          </xdr:cNvSpPr>
        </xdr:nvSpPr>
        <xdr:spPr bwMode="auto">
          <a:xfrm>
            <a:off x="3644611" y="17699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 name="Line 3">
            <a:extLst>
              <a:ext uri="{FF2B5EF4-FFF2-40B4-BE49-F238E27FC236}">
                <a16:creationId xmlns:a16="http://schemas.microsoft.com/office/drawing/2014/main" id="{E4B3E7AB-2A25-4DC2-974D-7D2FCF43A4D7}"/>
              </a:ext>
            </a:extLst>
          </xdr:cNvPr>
          <xdr:cNvSpPr>
            <a:spLocks noChangeShapeType="1"/>
          </xdr:cNvSpPr>
        </xdr:nvSpPr>
        <xdr:spPr bwMode="auto">
          <a:xfrm flipV="1">
            <a:off x="3754677" y="535901"/>
            <a:ext cx="0" cy="176742"/>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3" name="Line 22">
            <a:extLst>
              <a:ext uri="{FF2B5EF4-FFF2-40B4-BE49-F238E27FC236}">
                <a16:creationId xmlns:a16="http://schemas.microsoft.com/office/drawing/2014/main" id="{55E8DA61-8C73-4766-9755-290D6370FD43}"/>
              </a:ext>
            </a:extLst>
          </xdr:cNvPr>
          <xdr:cNvSpPr>
            <a:spLocks noChangeShapeType="1"/>
          </xdr:cNvSpPr>
        </xdr:nvSpPr>
        <xdr:spPr bwMode="auto">
          <a:xfrm flipV="1">
            <a:off x="3129395" y="535901"/>
            <a:ext cx="0" cy="100995"/>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4" name="Line 23">
            <a:extLst>
              <a:ext uri="{FF2B5EF4-FFF2-40B4-BE49-F238E27FC236}">
                <a16:creationId xmlns:a16="http://schemas.microsoft.com/office/drawing/2014/main" id="{CA3AB19A-C21E-4E28-8A5A-5C858E66CD68}"/>
              </a:ext>
            </a:extLst>
          </xdr:cNvPr>
          <xdr:cNvSpPr>
            <a:spLocks noChangeShapeType="1"/>
          </xdr:cNvSpPr>
        </xdr:nvSpPr>
        <xdr:spPr bwMode="auto">
          <a:xfrm>
            <a:off x="3129395" y="535901"/>
            <a:ext cx="625282"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25" name="Line 24">
            <a:extLst>
              <a:ext uri="{FF2B5EF4-FFF2-40B4-BE49-F238E27FC236}">
                <a16:creationId xmlns:a16="http://schemas.microsoft.com/office/drawing/2014/main" id="{3A1098ED-15AA-4A29-9E52-B2677826E5D0}"/>
              </a:ext>
            </a:extLst>
          </xdr:cNvPr>
          <xdr:cNvSpPr>
            <a:spLocks noChangeShapeType="1"/>
          </xdr:cNvSpPr>
        </xdr:nvSpPr>
        <xdr:spPr bwMode="auto">
          <a:xfrm flipH="1">
            <a:off x="2499014" y="931718"/>
            <a:ext cx="5723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6" name="Line 25">
            <a:extLst>
              <a:ext uri="{FF2B5EF4-FFF2-40B4-BE49-F238E27FC236}">
                <a16:creationId xmlns:a16="http://schemas.microsoft.com/office/drawing/2014/main" id="{1D0450CE-6495-4891-9E38-946F80A30123}"/>
              </a:ext>
            </a:extLst>
          </xdr:cNvPr>
          <xdr:cNvSpPr>
            <a:spLocks noChangeShapeType="1"/>
          </xdr:cNvSpPr>
        </xdr:nvSpPr>
        <xdr:spPr bwMode="auto">
          <a:xfrm flipH="1">
            <a:off x="2499014" y="1731818"/>
            <a:ext cx="1030431"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7" name="Line 26">
            <a:extLst>
              <a:ext uri="{FF2B5EF4-FFF2-40B4-BE49-F238E27FC236}">
                <a16:creationId xmlns:a16="http://schemas.microsoft.com/office/drawing/2014/main" id="{41F1702E-0CFD-4270-AD0C-319175DC711A}"/>
              </a:ext>
            </a:extLst>
          </xdr:cNvPr>
          <xdr:cNvSpPr>
            <a:spLocks noChangeShapeType="1"/>
          </xdr:cNvSpPr>
        </xdr:nvSpPr>
        <xdr:spPr bwMode="auto">
          <a:xfrm flipV="1">
            <a:off x="2499014" y="931717"/>
            <a:ext cx="0" cy="809625"/>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28" name="Line 27">
            <a:extLst>
              <a:ext uri="{FF2B5EF4-FFF2-40B4-BE49-F238E27FC236}">
                <a16:creationId xmlns:a16="http://schemas.microsoft.com/office/drawing/2014/main" id="{FE3A4DC4-E27A-439C-8797-168A0710249D}"/>
              </a:ext>
            </a:extLst>
          </xdr:cNvPr>
          <xdr:cNvSpPr>
            <a:spLocks noChangeShapeType="1"/>
          </xdr:cNvSpPr>
        </xdr:nvSpPr>
        <xdr:spPr bwMode="auto">
          <a:xfrm flipH="1">
            <a:off x="2728480" y="1388918"/>
            <a:ext cx="800965"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9" name="Line 28">
            <a:extLst>
              <a:ext uri="{FF2B5EF4-FFF2-40B4-BE49-F238E27FC236}">
                <a16:creationId xmlns:a16="http://schemas.microsoft.com/office/drawing/2014/main" id="{584E41EE-0807-4A6C-9C7D-BD0C1BC7DFBA}"/>
              </a:ext>
            </a:extLst>
          </xdr:cNvPr>
          <xdr:cNvSpPr>
            <a:spLocks noChangeShapeType="1"/>
          </xdr:cNvSpPr>
        </xdr:nvSpPr>
        <xdr:spPr bwMode="auto">
          <a:xfrm flipV="1">
            <a:off x="2728480" y="1388918"/>
            <a:ext cx="0" cy="34290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30" name="Line 29">
            <a:extLst>
              <a:ext uri="{FF2B5EF4-FFF2-40B4-BE49-F238E27FC236}">
                <a16:creationId xmlns:a16="http://schemas.microsoft.com/office/drawing/2014/main" id="{8793964B-4DC6-4799-A894-0FB37C9BC87D}"/>
              </a:ext>
            </a:extLst>
          </xdr:cNvPr>
          <xdr:cNvSpPr>
            <a:spLocks noChangeShapeType="1"/>
          </xdr:cNvSpPr>
        </xdr:nvSpPr>
        <xdr:spPr bwMode="auto">
          <a:xfrm flipV="1">
            <a:off x="2728480" y="1088881"/>
            <a:ext cx="0" cy="296574"/>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31" name="Line 30">
            <a:extLst>
              <a:ext uri="{FF2B5EF4-FFF2-40B4-BE49-F238E27FC236}">
                <a16:creationId xmlns:a16="http://schemas.microsoft.com/office/drawing/2014/main" id="{96B48093-D236-4D28-948E-65CB69CE43C3}"/>
              </a:ext>
            </a:extLst>
          </xdr:cNvPr>
          <xdr:cNvSpPr>
            <a:spLocks noChangeShapeType="1"/>
          </xdr:cNvSpPr>
        </xdr:nvSpPr>
        <xdr:spPr bwMode="auto">
          <a:xfrm flipH="1">
            <a:off x="2728480" y="1093643"/>
            <a:ext cx="858115"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32" name="テキスト 63">
            <a:extLst>
              <a:ext uri="{FF2B5EF4-FFF2-40B4-BE49-F238E27FC236}">
                <a16:creationId xmlns:a16="http://schemas.microsoft.com/office/drawing/2014/main" id="{CBD748B9-EA53-4A6E-8636-7EA9BC685B86}"/>
              </a:ext>
            </a:extLst>
          </xdr:cNvPr>
          <xdr:cNvSpPr txBox="1">
            <a:spLocks noChangeArrowheads="1"/>
          </xdr:cNvSpPr>
        </xdr:nvSpPr>
        <xdr:spPr bwMode="auto">
          <a:xfrm>
            <a:off x="2346614" y="1222232"/>
            <a:ext cx="190500" cy="138112"/>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3" name="テキスト 64">
            <a:extLst>
              <a:ext uri="{FF2B5EF4-FFF2-40B4-BE49-F238E27FC236}">
                <a16:creationId xmlns:a16="http://schemas.microsoft.com/office/drawing/2014/main" id="{49CB342C-590F-4CC4-B096-4447CCBFA678}"/>
              </a:ext>
            </a:extLst>
          </xdr:cNvPr>
          <xdr:cNvSpPr txBox="1">
            <a:spLocks noChangeArrowheads="1"/>
          </xdr:cNvSpPr>
        </xdr:nvSpPr>
        <xdr:spPr bwMode="auto">
          <a:xfrm>
            <a:off x="2576080" y="1198418"/>
            <a:ext cx="209550" cy="1238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4" name="テキスト 65">
            <a:extLst>
              <a:ext uri="{FF2B5EF4-FFF2-40B4-BE49-F238E27FC236}">
                <a16:creationId xmlns:a16="http://schemas.microsoft.com/office/drawing/2014/main" id="{C13558A0-1720-40BA-A955-F60FF3DEF519}"/>
              </a:ext>
            </a:extLst>
          </xdr:cNvPr>
          <xdr:cNvSpPr txBox="1">
            <a:spLocks noChangeArrowheads="1"/>
          </xdr:cNvSpPr>
        </xdr:nvSpPr>
        <xdr:spPr bwMode="auto">
          <a:xfrm>
            <a:off x="2576080" y="1450831"/>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5" name="テキスト 66">
            <a:extLst>
              <a:ext uri="{FF2B5EF4-FFF2-40B4-BE49-F238E27FC236}">
                <a16:creationId xmlns:a16="http://schemas.microsoft.com/office/drawing/2014/main" id="{50560A8E-425C-425C-A3B2-644CE3D4410A}"/>
              </a:ext>
            </a:extLst>
          </xdr:cNvPr>
          <xdr:cNvSpPr txBox="1">
            <a:spLocks noChangeArrowheads="1"/>
          </xdr:cNvSpPr>
        </xdr:nvSpPr>
        <xdr:spPr bwMode="auto">
          <a:xfrm>
            <a:off x="3359856" y="371637"/>
            <a:ext cx="133606" cy="20364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W</a:t>
            </a:r>
            <a:endParaRPr lang="ja-JP" altLang="en-US"/>
          </a:p>
        </xdr:txBody>
      </xdr:sp>
    </xdr:grpSp>
    <xdr:clientData/>
  </xdr:twoCellAnchor>
  <xdr:twoCellAnchor>
    <xdr:from>
      <xdr:col>8</xdr:col>
      <xdr:colOff>152399</xdr:colOff>
      <xdr:row>3</xdr:row>
      <xdr:rowOff>24246</xdr:rowOff>
    </xdr:from>
    <xdr:to>
      <xdr:col>13</xdr:col>
      <xdr:colOff>304799</xdr:colOff>
      <xdr:row>8</xdr:row>
      <xdr:rowOff>50827</xdr:rowOff>
    </xdr:to>
    <xdr:grpSp>
      <xdr:nvGrpSpPr>
        <xdr:cNvPr id="36" name="グループ化 35">
          <a:extLst>
            <a:ext uri="{FF2B5EF4-FFF2-40B4-BE49-F238E27FC236}">
              <a16:creationId xmlns:a16="http://schemas.microsoft.com/office/drawing/2014/main" id="{793D0E91-C634-401B-A0B3-173EB379F9B7}"/>
            </a:ext>
          </a:extLst>
        </xdr:cNvPr>
        <xdr:cNvGrpSpPr/>
      </xdr:nvGrpSpPr>
      <xdr:grpSpPr>
        <a:xfrm>
          <a:off x="4267199" y="729096"/>
          <a:ext cx="2724150" cy="979081"/>
          <a:chOff x="4274127" y="855518"/>
          <a:chExt cx="2728480" cy="979081"/>
        </a:xfrm>
      </xdr:grpSpPr>
      <xdr:sp macro="" textlink="">
        <xdr:nvSpPr>
          <xdr:cNvPr id="37" name="Line 37">
            <a:extLst>
              <a:ext uri="{FF2B5EF4-FFF2-40B4-BE49-F238E27FC236}">
                <a16:creationId xmlns:a16="http://schemas.microsoft.com/office/drawing/2014/main" id="{8905557C-F096-4D25-ACDF-BF5AEC89B17B}"/>
              </a:ext>
            </a:extLst>
          </xdr:cNvPr>
          <xdr:cNvSpPr>
            <a:spLocks noChangeShapeType="1"/>
          </xdr:cNvSpPr>
        </xdr:nvSpPr>
        <xdr:spPr bwMode="auto">
          <a:xfrm>
            <a:off x="4770293" y="855518"/>
            <a:ext cx="6295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8" name="Line 38">
            <a:extLst>
              <a:ext uri="{FF2B5EF4-FFF2-40B4-BE49-F238E27FC236}">
                <a16:creationId xmlns:a16="http://schemas.microsoft.com/office/drawing/2014/main" id="{42FABA54-B91F-4515-A8B4-10D321C67C79}"/>
              </a:ext>
            </a:extLst>
          </xdr:cNvPr>
          <xdr:cNvSpPr>
            <a:spLocks noChangeShapeType="1"/>
          </xdr:cNvSpPr>
        </xdr:nvSpPr>
        <xdr:spPr bwMode="auto">
          <a:xfrm>
            <a:off x="5399809" y="855518"/>
            <a:ext cx="0" cy="115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9" name="Line 39">
            <a:extLst>
              <a:ext uri="{FF2B5EF4-FFF2-40B4-BE49-F238E27FC236}">
                <a16:creationId xmlns:a16="http://schemas.microsoft.com/office/drawing/2014/main" id="{E8C4B748-991C-43AC-9471-8586CACCCE44}"/>
              </a:ext>
            </a:extLst>
          </xdr:cNvPr>
          <xdr:cNvSpPr>
            <a:spLocks noChangeShapeType="1"/>
          </xdr:cNvSpPr>
        </xdr:nvSpPr>
        <xdr:spPr bwMode="auto">
          <a:xfrm flipH="1">
            <a:off x="4998893" y="970704"/>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0" name="Line 40">
            <a:extLst>
              <a:ext uri="{FF2B5EF4-FFF2-40B4-BE49-F238E27FC236}">
                <a16:creationId xmlns:a16="http://schemas.microsoft.com/office/drawing/2014/main" id="{EC8F120E-E521-4FD4-9B68-C06CE781D1B1}"/>
              </a:ext>
            </a:extLst>
          </xdr:cNvPr>
          <xdr:cNvSpPr>
            <a:spLocks noChangeShapeType="1"/>
          </xdr:cNvSpPr>
        </xdr:nvSpPr>
        <xdr:spPr bwMode="auto">
          <a:xfrm>
            <a:off x="4998893"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1" name="Line 41">
            <a:extLst>
              <a:ext uri="{FF2B5EF4-FFF2-40B4-BE49-F238E27FC236}">
                <a16:creationId xmlns:a16="http://schemas.microsoft.com/office/drawing/2014/main" id="{4C5A6ED9-DCB1-4FD7-9A7E-E4C275BFDC20}"/>
              </a:ext>
            </a:extLst>
          </xdr:cNvPr>
          <xdr:cNvSpPr>
            <a:spLocks noChangeShapeType="1"/>
          </xdr:cNvSpPr>
        </xdr:nvSpPr>
        <xdr:spPr bwMode="auto">
          <a:xfrm flipH="1">
            <a:off x="4884593" y="120107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2" name="Line 42">
            <a:extLst>
              <a:ext uri="{FF2B5EF4-FFF2-40B4-BE49-F238E27FC236}">
                <a16:creationId xmlns:a16="http://schemas.microsoft.com/office/drawing/2014/main" id="{B24207CF-7A38-423C-B04E-A5A883A0BA36}"/>
              </a:ext>
            </a:extLst>
          </xdr:cNvPr>
          <xdr:cNvSpPr>
            <a:spLocks noChangeShapeType="1"/>
          </xdr:cNvSpPr>
        </xdr:nvSpPr>
        <xdr:spPr bwMode="auto">
          <a:xfrm flipV="1">
            <a:off x="4884593"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3" name="Line 43">
            <a:extLst>
              <a:ext uri="{FF2B5EF4-FFF2-40B4-BE49-F238E27FC236}">
                <a16:creationId xmlns:a16="http://schemas.microsoft.com/office/drawing/2014/main" id="{A8024714-B799-4C5E-BA7F-3EAA271CD46E}"/>
              </a:ext>
            </a:extLst>
          </xdr:cNvPr>
          <xdr:cNvSpPr>
            <a:spLocks noChangeShapeType="1"/>
          </xdr:cNvSpPr>
        </xdr:nvSpPr>
        <xdr:spPr bwMode="auto">
          <a:xfrm flipH="1">
            <a:off x="4770293" y="970704"/>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4" name="Line 44">
            <a:extLst>
              <a:ext uri="{FF2B5EF4-FFF2-40B4-BE49-F238E27FC236}">
                <a16:creationId xmlns:a16="http://schemas.microsoft.com/office/drawing/2014/main" id="{900DF579-3CAC-4476-B415-6C026090DF34}"/>
              </a:ext>
            </a:extLst>
          </xdr:cNvPr>
          <xdr:cNvSpPr>
            <a:spLocks noChangeShapeType="1"/>
          </xdr:cNvSpPr>
        </xdr:nvSpPr>
        <xdr:spPr bwMode="auto">
          <a:xfrm flipV="1">
            <a:off x="6315941" y="855518"/>
            <a:ext cx="68666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5" name="Line 45">
            <a:extLst>
              <a:ext uri="{FF2B5EF4-FFF2-40B4-BE49-F238E27FC236}">
                <a16:creationId xmlns:a16="http://schemas.microsoft.com/office/drawing/2014/main" id="{EE1E842B-45AE-4B13-8844-2A9F68080CB2}"/>
              </a:ext>
            </a:extLst>
          </xdr:cNvPr>
          <xdr:cNvSpPr>
            <a:spLocks noChangeShapeType="1"/>
          </xdr:cNvSpPr>
        </xdr:nvSpPr>
        <xdr:spPr bwMode="auto">
          <a:xfrm>
            <a:off x="6315941" y="855518"/>
            <a:ext cx="0" cy="115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6" name="Line 46">
            <a:extLst>
              <a:ext uri="{FF2B5EF4-FFF2-40B4-BE49-F238E27FC236}">
                <a16:creationId xmlns:a16="http://schemas.microsoft.com/office/drawing/2014/main" id="{F2FCFC4D-B831-4337-82F4-61C9675C56BE}"/>
              </a:ext>
            </a:extLst>
          </xdr:cNvPr>
          <xdr:cNvSpPr>
            <a:spLocks noChangeShapeType="1"/>
          </xdr:cNvSpPr>
        </xdr:nvSpPr>
        <xdr:spPr bwMode="auto">
          <a:xfrm>
            <a:off x="6315941" y="970704"/>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7" name="Line 47">
            <a:extLst>
              <a:ext uri="{FF2B5EF4-FFF2-40B4-BE49-F238E27FC236}">
                <a16:creationId xmlns:a16="http://schemas.microsoft.com/office/drawing/2014/main" id="{D5FA3A64-7E8C-4B31-A593-B4D8ED8EB6A9}"/>
              </a:ext>
            </a:extLst>
          </xdr:cNvPr>
          <xdr:cNvSpPr>
            <a:spLocks noChangeShapeType="1"/>
          </xdr:cNvSpPr>
        </xdr:nvSpPr>
        <xdr:spPr bwMode="auto">
          <a:xfrm>
            <a:off x="5399809" y="913111"/>
            <a:ext cx="916132" cy="0"/>
          </a:xfrm>
          <a:prstGeom prst="line">
            <a:avLst/>
          </a:prstGeom>
          <a:noFill/>
          <a:ln w="1">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48" name="Line 48">
            <a:extLst>
              <a:ext uri="{FF2B5EF4-FFF2-40B4-BE49-F238E27FC236}">
                <a16:creationId xmlns:a16="http://schemas.microsoft.com/office/drawing/2014/main" id="{2038EAB9-76B3-431D-B0F3-B94C6CECFFA1}"/>
              </a:ext>
            </a:extLst>
          </xdr:cNvPr>
          <xdr:cNvSpPr>
            <a:spLocks noChangeShapeType="1"/>
          </xdr:cNvSpPr>
        </xdr:nvSpPr>
        <xdr:spPr bwMode="auto">
          <a:xfrm>
            <a:off x="6831157"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9" name="Line 49">
            <a:extLst>
              <a:ext uri="{FF2B5EF4-FFF2-40B4-BE49-F238E27FC236}">
                <a16:creationId xmlns:a16="http://schemas.microsoft.com/office/drawing/2014/main" id="{80184738-473A-49B4-8672-F0B9BEC2D85C}"/>
              </a:ext>
            </a:extLst>
          </xdr:cNvPr>
          <xdr:cNvSpPr>
            <a:spLocks noChangeShapeType="1"/>
          </xdr:cNvSpPr>
        </xdr:nvSpPr>
        <xdr:spPr bwMode="auto">
          <a:xfrm flipH="1">
            <a:off x="6716857" y="120107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0" name="Line 50">
            <a:extLst>
              <a:ext uri="{FF2B5EF4-FFF2-40B4-BE49-F238E27FC236}">
                <a16:creationId xmlns:a16="http://schemas.microsoft.com/office/drawing/2014/main" id="{C631507D-F614-4B15-84DF-1062893534A2}"/>
              </a:ext>
            </a:extLst>
          </xdr:cNvPr>
          <xdr:cNvSpPr>
            <a:spLocks noChangeShapeType="1"/>
          </xdr:cNvSpPr>
        </xdr:nvSpPr>
        <xdr:spPr bwMode="auto">
          <a:xfrm flipV="1">
            <a:off x="6716857"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1" name="Line 51">
            <a:extLst>
              <a:ext uri="{FF2B5EF4-FFF2-40B4-BE49-F238E27FC236}">
                <a16:creationId xmlns:a16="http://schemas.microsoft.com/office/drawing/2014/main" id="{03D02DCA-EA7D-4268-91D2-164C2D6AD5BB}"/>
              </a:ext>
            </a:extLst>
          </xdr:cNvPr>
          <xdr:cNvSpPr>
            <a:spLocks noChangeShapeType="1"/>
          </xdr:cNvSpPr>
        </xdr:nvSpPr>
        <xdr:spPr bwMode="auto">
          <a:xfrm>
            <a:off x="6831157" y="970704"/>
            <a:ext cx="171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2" name="Line 52">
            <a:extLst>
              <a:ext uri="{FF2B5EF4-FFF2-40B4-BE49-F238E27FC236}">
                <a16:creationId xmlns:a16="http://schemas.microsoft.com/office/drawing/2014/main" id="{426A7F51-64CF-4BF4-805A-0C9D3D02B3B7}"/>
              </a:ext>
            </a:extLst>
          </xdr:cNvPr>
          <xdr:cNvSpPr>
            <a:spLocks noChangeShapeType="1"/>
          </xdr:cNvSpPr>
        </xdr:nvSpPr>
        <xdr:spPr bwMode="auto">
          <a:xfrm>
            <a:off x="5399809" y="1028297"/>
            <a:ext cx="0" cy="460744"/>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3" name="Line 53">
            <a:extLst>
              <a:ext uri="{FF2B5EF4-FFF2-40B4-BE49-F238E27FC236}">
                <a16:creationId xmlns:a16="http://schemas.microsoft.com/office/drawing/2014/main" id="{62DEF83A-409A-4D18-ADF3-7E609CBE968D}"/>
              </a:ext>
            </a:extLst>
          </xdr:cNvPr>
          <xdr:cNvSpPr>
            <a:spLocks noChangeShapeType="1"/>
          </xdr:cNvSpPr>
        </xdr:nvSpPr>
        <xdr:spPr bwMode="auto">
          <a:xfrm>
            <a:off x="6315941" y="1028297"/>
            <a:ext cx="0" cy="460744"/>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4" name="Line 54">
            <a:extLst>
              <a:ext uri="{FF2B5EF4-FFF2-40B4-BE49-F238E27FC236}">
                <a16:creationId xmlns:a16="http://schemas.microsoft.com/office/drawing/2014/main" id="{AD920A5F-D14C-4BB5-9057-85823A68653D}"/>
              </a:ext>
            </a:extLst>
          </xdr:cNvPr>
          <xdr:cNvSpPr>
            <a:spLocks noChangeShapeType="1"/>
          </xdr:cNvSpPr>
        </xdr:nvSpPr>
        <xdr:spPr bwMode="auto">
          <a:xfrm>
            <a:off x="4998893" y="1258669"/>
            <a:ext cx="0" cy="57593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5" name="Line 55">
            <a:extLst>
              <a:ext uri="{FF2B5EF4-FFF2-40B4-BE49-F238E27FC236}">
                <a16:creationId xmlns:a16="http://schemas.microsoft.com/office/drawing/2014/main" id="{0EBF0D4D-871F-4C8C-B719-AAF080AE2F8C}"/>
              </a:ext>
            </a:extLst>
          </xdr:cNvPr>
          <xdr:cNvSpPr>
            <a:spLocks noChangeShapeType="1"/>
          </xdr:cNvSpPr>
        </xdr:nvSpPr>
        <xdr:spPr bwMode="auto">
          <a:xfrm>
            <a:off x="6716857" y="1258669"/>
            <a:ext cx="0" cy="57593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6" name="Line 56">
            <a:extLst>
              <a:ext uri="{FF2B5EF4-FFF2-40B4-BE49-F238E27FC236}">
                <a16:creationId xmlns:a16="http://schemas.microsoft.com/office/drawing/2014/main" id="{26C7CF4A-4A5B-4858-A6E7-D93ACEB27BDF}"/>
              </a:ext>
            </a:extLst>
          </xdr:cNvPr>
          <xdr:cNvSpPr>
            <a:spLocks noChangeShapeType="1"/>
          </xdr:cNvSpPr>
        </xdr:nvSpPr>
        <xdr:spPr bwMode="auto">
          <a:xfrm flipH="1">
            <a:off x="4426527" y="913111"/>
            <a:ext cx="2294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7" name="Line 57">
            <a:extLst>
              <a:ext uri="{FF2B5EF4-FFF2-40B4-BE49-F238E27FC236}">
                <a16:creationId xmlns:a16="http://schemas.microsoft.com/office/drawing/2014/main" id="{31D972E7-2E3C-4E72-B840-3FE07BFD761B}"/>
              </a:ext>
            </a:extLst>
          </xdr:cNvPr>
          <xdr:cNvSpPr>
            <a:spLocks noChangeShapeType="1"/>
          </xdr:cNvSpPr>
        </xdr:nvSpPr>
        <xdr:spPr bwMode="auto">
          <a:xfrm flipH="1">
            <a:off x="4426527" y="1201076"/>
            <a:ext cx="3437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8" name="Line 58">
            <a:extLst>
              <a:ext uri="{FF2B5EF4-FFF2-40B4-BE49-F238E27FC236}">
                <a16:creationId xmlns:a16="http://schemas.microsoft.com/office/drawing/2014/main" id="{75DE00DB-B86A-45C7-AD0B-ABE753402069}"/>
              </a:ext>
            </a:extLst>
          </xdr:cNvPr>
          <xdr:cNvSpPr>
            <a:spLocks noChangeShapeType="1"/>
          </xdr:cNvSpPr>
        </xdr:nvSpPr>
        <xdr:spPr bwMode="auto">
          <a:xfrm>
            <a:off x="4998893" y="1489041"/>
            <a:ext cx="400916"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59" name="Line 59">
            <a:extLst>
              <a:ext uri="{FF2B5EF4-FFF2-40B4-BE49-F238E27FC236}">
                <a16:creationId xmlns:a16="http://schemas.microsoft.com/office/drawing/2014/main" id="{CFDD9062-0B05-49A4-BEEF-B93E7832C298}"/>
              </a:ext>
            </a:extLst>
          </xdr:cNvPr>
          <xdr:cNvSpPr>
            <a:spLocks noChangeShapeType="1"/>
          </xdr:cNvSpPr>
        </xdr:nvSpPr>
        <xdr:spPr bwMode="auto">
          <a:xfrm>
            <a:off x="5399809" y="1489041"/>
            <a:ext cx="916132"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0" name="Line 60">
            <a:extLst>
              <a:ext uri="{FF2B5EF4-FFF2-40B4-BE49-F238E27FC236}">
                <a16:creationId xmlns:a16="http://schemas.microsoft.com/office/drawing/2014/main" id="{74F39B21-76FA-4D93-A43E-CCBB14786C2E}"/>
              </a:ext>
            </a:extLst>
          </xdr:cNvPr>
          <xdr:cNvSpPr>
            <a:spLocks noChangeShapeType="1"/>
          </xdr:cNvSpPr>
        </xdr:nvSpPr>
        <xdr:spPr bwMode="auto">
          <a:xfrm>
            <a:off x="6315941" y="1489041"/>
            <a:ext cx="400916"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1" name="Line 61">
            <a:extLst>
              <a:ext uri="{FF2B5EF4-FFF2-40B4-BE49-F238E27FC236}">
                <a16:creationId xmlns:a16="http://schemas.microsoft.com/office/drawing/2014/main" id="{4FCC61BE-FAC9-4CF2-A849-CCB553871670}"/>
              </a:ext>
            </a:extLst>
          </xdr:cNvPr>
          <xdr:cNvSpPr>
            <a:spLocks noChangeShapeType="1"/>
          </xdr:cNvSpPr>
        </xdr:nvSpPr>
        <xdr:spPr bwMode="auto">
          <a:xfrm flipV="1">
            <a:off x="4426527" y="913111"/>
            <a:ext cx="0" cy="287965"/>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2" name="Line 62">
            <a:extLst>
              <a:ext uri="{FF2B5EF4-FFF2-40B4-BE49-F238E27FC236}">
                <a16:creationId xmlns:a16="http://schemas.microsoft.com/office/drawing/2014/main" id="{CB2E20C4-8956-4F5C-AB39-590F16538266}"/>
              </a:ext>
            </a:extLst>
          </xdr:cNvPr>
          <xdr:cNvSpPr>
            <a:spLocks noChangeShapeType="1"/>
          </xdr:cNvSpPr>
        </xdr:nvSpPr>
        <xdr:spPr bwMode="auto">
          <a:xfrm>
            <a:off x="4998893" y="1777006"/>
            <a:ext cx="1717964"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3" name="テキスト 62">
            <a:extLst>
              <a:ext uri="{FF2B5EF4-FFF2-40B4-BE49-F238E27FC236}">
                <a16:creationId xmlns:a16="http://schemas.microsoft.com/office/drawing/2014/main" id="{9A1C302B-EB83-4B36-8A21-2B2867D0067B}"/>
              </a:ext>
            </a:extLst>
          </xdr:cNvPr>
          <xdr:cNvSpPr txBox="1">
            <a:spLocks noChangeArrowheads="1"/>
          </xdr:cNvSpPr>
        </xdr:nvSpPr>
        <xdr:spPr bwMode="auto">
          <a:xfrm>
            <a:off x="4274127" y="1018698"/>
            <a:ext cx="180975" cy="105587"/>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V</a:t>
            </a:r>
            <a:endParaRPr lang="ja-JP" altLang="en-US"/>
          </a:p>
        </xdr:txBody>
      </xdr:sp>
      <xdr:sp macro="" textlink="">
        <xdr:nvSpPr>
          <xdr:cNvPr id="64" name="テキスト 67">
            <a:extLst>
              <a:ext uri="{FF2B5EF4-FFF2-40B4-BE49-F238E27FC236}">
                <a16:creationId xmlns:a16="http://schemas.microsoft.com/office/drawing/2014/main" id="{2BFD2E8B-900D-4B0A-A74E-5CD3AE9B06B2}"/>
              </a:ext>
            </a:extLst>
          </xdr:cNvPr>
          <xdr:cNvSpPr txBox="1">
            <a:spLocks noChangeArrowheads="1"/>
          </xdr:cNvSpPr>
        </xdr:nvSpPr>
        <xdr:spPr bwMode="auto">
          <a:xfrm>
            <a:off x="5132243" y="1306663"/>
            <a:ext cx="162791"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5" name="テキスト 68">
            <a:extLst>
              <a:ext uri="{FF2B5EF4-FFF2-40B4-BE49-F238E27FC236}">
                <a16:creationId xmlns:a16="http://schemas.microsoft.com/office/drawing/2014/main" id="{951259FD-C3AB-4BA8-B06C-C079B5AD74DE}"/>
              </a:ext>
            </a:extLst>
          </xdr:cNvPr>
          <xdr:cNvSpPr txBox="1">
            <a:spLocks noChangeArrowheads="1"/>
          </xdr:cNvSpPr>
        </xdr:nvSpPr>
        <xdr:spPr bwMode="auto">
          <a:xfrm>
            <a:off x="5791200" y="1306663"/>
            <a:ext cx="10477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6" name="テキスト 69">
            <a:extLst>
              <a:ext uri="{FF2B5EF4-FFF2-40B4-BE49-F238E27FC236}">
                <a16:creationId xmlns:a16="http://schemas.microsoft.com/office/drawing/2014/main" id="{34871F8E-1056-4852-8E95-B706C9031E97}"/>
              </a:ext>
            </a:extLst>
          </xdr:cNvPr>
          <xdr:cNvSpPr txBox="1">
            <a:spLocks noChangeArrowheads="1"/>
          </xdr:cNvSpPr>
        </xdr:nvSpPr>
        <xdr:spPr bwMode="auto">
          <a:xfrm>
            <a:off x="6439766" y="1306663"/>
            <a:ext cx="16192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7" name="テキスト 70">
            <a:extLst>
              <a:ext uri="{FF2B5EF4-FFF2-40B4-BE49-F238E27FC236}">
                <a16:creationId xmlns:a16="http://schemas.microsoft.com/office/drawing/2014/main" id="{68E946C9-56BF-403E-A857-1E618EF7C95F}"/>
              </a:ext>
            </a:extLst>
          </xdr:cNvPr>
          <xdr:cNvSpPr txBox="1">
            <a:spLocks noChangeArrowheads="1"/>
          </xdr:cNvSpPr>
        </xdr:nvSpPr>
        <xdr:spPr bwMode="auto">
          <a:xfrm>
            <a:off x="5791200" y="1565832"/>
            <a:ext cx="10477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285750</xdr:colOff>
      <xdr:row>1</xdr:row>
      <xdr:rowOff>3626</xdr:rowOff>
    </xdr:from>
    <xdr:to>
      <xdr:col>7</xdr:col>
      <xdr:colOff>495300</xdr:colOff>
      <xdr:row>8</xdr:row>
      <xdr:rowOff>74757</xdr:rowOff>
    </xdr:to>
    <xdr:grpSp>
      <xdr:nvGrpSpPr>
        <xdr:cNvPr id="2" name="グループ化 1">
          <a:extLst>
            <a:ext uri="{FF2B5EF4-FFF2-40B4-BE49-F238E27FC236}">
              <a16:creationId xmlns:a16="http://schemas.microsoft.com/office/drawing/2014/main" id="{4D9FD53E-F263-4244-8871-872106B71FF2}"/>
            </a:ext>
          </a:extLst>
        </xdr:cNvPr>
        <xdr:cNvGrpSpPr/>
      </xdr:nvGrpSpPr>
      <xdr:grpSpPr>
        <a:xfrm>
          <a:off x="2343150" y="327476"/>
          <a:ext cx="1752600" cy="1404631"/>
          <a:chOff x="2346614" y="371637"/>
          <a:chExt cx="1755197" cy="1404631"/>
        </a:xfrm>
      </xdr:grpSpPr>
      <xdr:sp macro="" textlink="">
        <xdr:nvSpPr>
          <xdr:cNvPr id="3" name="Line 2">
            <a:extLst>
              <a:ext uri="{FF2B5EF4-FFF2-40B4-BE49-F238E27FC236}">
                <a16:creationId xmlns:a16="http://schemas.microsoft.com/office/drawing/2014/main" id="{08369A5B-13F1-4D80-B6CB-CE98056232D1}"/>
              </a:ext>
            </a:extLst>
          </xdr:cNvPr>
          <xdr:cNvSpPr>
            <a:spLocks noChangeShapeType="1"/>
          </xdr:cNvSpPr>
        </xdr:nvSpPr>
        <xdr:spPr bwMode="auto">
          <a:xfrm flipV="1">
            <a:off x="3701761" y="1093643"/>
            <a:ext cx="0" cy="295275"/>
          </a:xfrm>
          <a:prstGeom prst="line">
            <a:avLst/>
          </a:prstGeom>
          <a:noFill/>
          <a:ln w="1">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4" name="Line 4">
            <a:extLst>
              <a:ext uri="{FF2B5EF4-FFF2-40B4-BE49-F238E27FC236}">
                <a16:creationId xmlns:a16="http://schemas.microsoft.com/office/drawing/2014/main" id="{1890CD56-FE08-4DF2-8270-79D8EE6C6E27}"/>
              </a:ext>
            </a:extLst>
          </xdr:cNvPr>
          <xdr:cNvSpPr>
            <a:spLocks noChangeShapeType="1"/>
          </xdr:cNvSpPr>
        </xdr:nvSpPr>
        <xdr:spPr bwMode="auto">
          <a:xfrm>
            <a:off x="3129395" y="665018"/>
            <a:ext cx="0"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 name="Line 5">
            <a:extLst>
              <a:ext uri="{FF2B5EF4-FFF2-40B4-BE49-F238E27FC236}">
                <a16:creationId xmlns:a16="http://schemas.microsoft.com/office/drawing/2014/main" id="{E8ADD399-62DA-4F00-B446-4A44C5B2F81B}"/>
              </a:ext>
            </a:extLst>
          </xdr:cNvPr>
          <xdr:cNvSpPr>
            <a:spLocks noChangeShapeType="1"/>
          </xdr:cNvSpPr>
        </xdr:nvSpPr>
        <xdr:spPr bwMode="auto">
          <a:xfrm>
            <a:off x="3129395" y="941243"/>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 name="Line 6">
            <a:extLst>
              <a:ext uri="{FF2B5EF4-FFF2-40B4-BE49-F238E27FC236}">
                <a16:creationId xmlns:a16="http://schemas.microsoft.com/office/drawing/2014/main" id="{5E2EAB51-C26B-4B22-A765-93EC32923E9E}"/>
              </a:ext>
            </a:extLst>
          </xdr:cNvPr>
          <xdr:cNvSpPr>
            <a:spLocks noChangeShapeType="1"/>
          </xdr:cNvSpPr>
        </xdr:nvSpPr>
        <xdr:spPr bwMode="auto">
          <a:xfrm flipV="1">
            <a:off x="3243695" y="884093"/>
            <a:ext cx="0" cy="57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 name="Line 7">
            <a:extLst>
              <a:ext uri="{FF2B5EF4-FFF2-40B4-BE49-F238E27FC236}">
                <a16:creationId xmlns:a16="http://schemas.microsoft.com/office/drawing/2014/main" id="{1AB51F3D-8CF6-4AA1-986B-74AA38B2DCA1}"/>
              </a:ext>
            </a:extLst>
          </xdr:cNvPr>
          <xdr:cNvSpPr>
            <a:spLocks noChangeShapeType="1"/>
          </xdr:cNvSpPr>
        </xdr:nvSpPr>
        <xdr:spPr bwMode="auto">
          <a:xfrm>
            <a:off x="3129395" y="6650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 name="Line 8">
            <a:extLst>
              <a:ext uri="{FF2B5EF4-FFF2-40B4-BE49-F238E27FC236}">
                <a16:creationId xmlns:a16="http://schemas.microsoft.com/office/drawing/2014/main" id="{E4B9E5CF-5479-4D1B-B0E9-A2E026D7BACE}"/>
              </a:ext>
            </a:extLst>
          </xdr:cNvPr>
          <xdr:cNvSpPr>
            <a:spLocks noChangeShapeType="1"/>
          </xdr:cNvSpPr>
        </xdr:nvSpPr>
        <xdr:spPr bwMode="auto">
          <a:xfrm>
            <a:off x="3243695" y="665018"/>
            <a:ext cx="0" cy="10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 name="Line 9">
            <a:extLst>
              <a:ext uri="{FF2B5EF4-FFF2-40B4-BE49-F238E27FC236}">
                <a16:creationId xmlns:a16="http://schemas.microsoft.com/office/drawing/2014/main" id="{AE67202D-B9BE-4D49-A35C-8C7D178F5E08}"/>
              </a:ext>
            </a:extLst>
          </xdr:cNvPr>
          <xdr:cNvSpPr>
            <a:spLocks noChangeShapeType="1"/>
          </xdr:cNvSpPr>
        </xdr:nvSpPr>
        <xdr:spPr bwMode="auto">
          <a:xfrm>
            <a:off x="3243695" y="769793"/>
            <a:ext cx="57236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 name="Line 10">
            <a:extLst>
              <a:ext uri="{FF2B5EF4-FFF2-40B4-BE49-F238E27FC236}">
                <a16:creationId xmlns:a16="http://schemas.microsoft.com/office/drawing/2014/main" id="{3A1365DA-A3C0-478D-B25B-EC494741A59C}"/>
              </a:ext>
            </a:extLst>
          </xdr:cNvPr>
          <xdr:cNvSpPr>
            <a:spLocks noChangeShapeType="1"/>
          </xdr:cNvSpPr>
        </xdr:nvSpPr>
        <xdr:spPr bwMode="auto">
          <a:xfrm>
            <a:off x="3243695" y="884093"/>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 name="Line 11">
            <a:extLst>
              <a:ext uri="{FF2B5EF4-FFF2-40B4-BE49-F238E27FC236}">
                <a16:creationId xmlns:a16="http://schemas.microsoft.com/office/drawing/2014/main" id="{482FF3E9-F229-45C7-AD5E-B21D414D165E}"/>
              </a:ext>
            </a:extLst>
          </xdr:cNvPr>
          <xdr:cNvSpPr>
            <a:spLocks noChangeShapeType="1"/>
          </xdr:cNvSpPr>
        </xdr:nvSpPr>
        <xdr:spPr bwMode="auto">
          <a:xfrm>
            <a:off x="3644611" y="884093"/>
            <a:ext cx="0"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 name="Line 12">
            <a:extLst>
              <a:ext uri="{FF2B5EF4-FFF2-40B4-BE49-F238E27FC236}">
                <a16:creationId xmlns:a16="http://schemas.microsoft.com/office/drawing/2014/main" id="{3E6A9882-C247-4FEF-8095-289965A0D299}"/>
              </a:ext>
            </a:extLst>
          </xdr:cNvPr>
          <xdr:cNvSpPr>
            <a:spLocks noChangeShapeType="1"/>
          </xdr:cNvSpPr>
        </xdr:nvSpPr>
        <xdr:spPr bwMode="auto">
          <a:xfrm>
            <a:off x="3644611" y="1093643"/>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 name="Line 13">
            <a:extLst>
              <a:ext uri="{FF2B5EF4-FFF2-40B4-BE49-F238E27FC236}">
                <a16:creationId xmlns:a16="http://schemas.microsoft.com/office/drawing/2014/main" id="{21D7D792-85A7-461E-BB15-427792687705}"/>
              </a:ext>
            </a:extLst>
          </xdr:cNvPr>
          <xdr:cNvSpPr>
            <a:spLocks noChangeShapeType="1"/>
          </xdr:cNvSpPr>
        </xdr:nvSpPr>
        <xdr:spPr bwMode="auto">
          <a:xfrm flipV="1">
            <a:off x="3758911" y="884093"/>
            <a:ext cx="0"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 name="Line 14">
            <a:extLst>
              <a:ext uri="{FF2B5EF4-FFF2-40B4-BE49-F238E27FC236}">
                <a16:creationId xmlns:a16="http://schemas.microsoft.com/office/drawing/2014/main" id="{5DA6419F-9FA9-4208-9212-8576876A3979}"/>
              </a:ext>
            </a:extLst>
          </xdr:cNvPr>
          <xdr:cNvSpPr>
            <a:spLocks noChangeShapeType="1"/>
          </xdr:cNvSpPr>
        </xdr:nvSpPr>
        <xdr:spPr bwMode="auto">
          <a:xfrm>
            <a:off x="3758911" y="884093"/>
            <a:ext cx="5715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5" name="Line 15">
            <a:extLst>
              <a:ext uri="{FF2B5EF4-FFF2-40B4-BE49-F238E27FC236}">
                <a16:creationId xmlns:a16="http://schemas.microsoft.com/office/drawing/2014/main" id="{D3D9A218-A39D-44BB-9F00-7C719523D905}"/>
              </a:ext>
            </a:extLst>
          </xdr:cNvPr>
          <xdr:cNvSpPr>
            <a:spLocks noChangeShapeType="1"/>
          </xdr:cNvSpPr>
        </xdr:nvSpPr>
        <xdr:spPr bwMode="auto">
          <a:xfrm flipV="1">
            <a:off x="3644611" y="1388917"/>
            <a:ext cx="0" cy="3857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 name="Line 16">
            <a:extLst>
              <a:ext uri="{FF2B5EF4-FFF2-40B4-BE49-F238E27FC236}">
                <a16:creationId xmlns:a16="http://schemas.microsoft.com/office/drawing/2014/main" id="{8B1FB714-ABB4-484F-823E-B138918FB8DD}"/>
              </a:ext>
            </a:extLst>
          </xdr:cNvPr>
          <xdr:cNvSpPr>
            <a:spLocks noChangeShapeType="1"/>
          </xdr:cNvSpPr>
        </xdr:nvSpPr>
        <xdr:spPr bwMode="auto">
          <a:xfrm flipV="1">
            <a:off x="3758911" y="1384155"/>
            <a:ext cx="0" cy="20478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 name="Line 17">
            <a:extLst>
              <a:ext uri="{FF2B5EF4-FFF2-40B4-BE49-F238E27FC236}">
                <a16:creationId xmlns:a16="http://schemas.microsoft.com/office/drawing/2014/main" id="{7B0AEE44-0D19-4FD1-8417-8743C0402D12}"/>
              </a:ext>
            </a:extLst>
          </xdr:cNvPr>
          <xdr:cNvSpPr>
            <a:spLocks noChangeShapeType="1"/>
          </xdr:cNvSpPr>
        </xdr:nvSpPr>
        <xdr:spPr bwMode="auto">
          <a:xfrm>
            <a:off x="3644611" y="13889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 name="Line 18">
            <a:extLst>
              <a:ext uri="{FF2B5EF4-FFF2-40B4-BE49-F238E27FC236}">
                <a16:creationId xmlns:a16="http://schemas.microsoft.com/office/drawing/2014/main" id="{E4694362-D5B7-43CD-B109-99B53C3E5DF3}"/>
              </a:ext>
            </a:extLst>
          </xdr:cNvPr>
          <xdr:cNvSpPr>
            <a:spLocks noChangeShapeType="1"/>
          </xdr:cNvSpPr>
        </xdr:nvSpPr>
        <xdr:spPr bwMode="auto">
          <a:xfrm>
            <a:off x="3758911" y="1588943"/>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9" name="Line 19">
            <a:extLst>
              <a:ext uri="{FF2B5EF4-FFF2-40B4-BE49-F238E27FC236}">
                <a16:creationId xmlns:a16="http://schemas.microsoft.com/office/drawing/2014/main" id="{DC942559-2F22-4755-BFC8-8A3DDED708DF}"/>
              </a:ext>
            </a:extLst>
          </xdr:cNvPr>
          <xdr:cNvSpPr>
            <a:spLocks noChangeShapeType="1"/>
          </xdr:cNvSpPr>
        </xdr:nvSpPr>
        <xdr:spPr bwMode="auto">
          <a:xfrm flipH="1">
            <a:off x="3758911" y="1703243"/>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0" name="Line 20">
            <a:extLst>
              <a:ext uri="{FF2B5EF4-FFF2-40B4-BE49-F238E27FC236}">
                <a16:creationId xmlns:a16="http://schemas.microsoft.com/office/drawing/2014/main" id="{F6FF1867-22A3-4121-997D-A48CBE2A4F53}"/>
              </a:ext>
            </a:extLst>
          </xdr:cNvPr>
          <xdr:cNvSpPr>
            <a:spLocks noChangeShapeType="1"/>
          </xdr:cNvSpPr>
        </xdr:nvSpPr>
        <xdr:spPr bwMode="auto">
          <a:xfrm>
            <a:off x="3758911" y="1703243"/>
            <a:ext cx="0" cy="73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 name="Line 21">
            <a:extLst>
              <a:ext uri="{FF2B5EF4-FFF2-40B4-BE49-F238E27FC236}">
                <a16:creationId xmlns:a16="http://schemas.microsoft.com/office/drawing/2014/main" id="{9776E105-E582-4D5C-BCA4-C1CB1F940CA6}"/>
              </a:ext>
            </a:extLst>
          </xdr:cNvPr>
          <xdr:cNvSpPr>
            <a:spLocks noChangeShapeType="1"/>
          </xdr:cNvSpPr>
        </xdr:nvSpPr>
        <xdr:spPr bwMode="auto">
          <a:xfrm>
            <a:off x="3644611" y="17699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 name="Line 3">
            <a:extLst>
              <a:ext uri="{FF2B5EF4-FFF2-40B4-BE49-F238E27FC236}">
                <a16:creationId xmlns:a16="http://schemas.microsoft.com/office/drawing/2014/main" id="{AF138FEB-E00D-4AC4-9464-70CC81056864}"/>
              </a:ext>
            </a:extLst>
          </xdr:cNvPr>
          <xdr:cNvSpPr>
            <a:spLocks noChangeShapeType="1"/>
          </xdr:cNvSpPr>
        </xdr:nvSpPr>
        <xdr:spPr bwMode="auto">
          <a:xfrm flipV="1">
            <a:off x="3754677" y="535901"/>
            <a:ext cx="0" cy="176742"/>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3" name="Line 22">
            <a:extLst>
              <a:ext uri="{FF2B5EF4-FFF2-40B4-BE49-F238E27FC236}">
                <a16:creationId xmlns:a16="http://schemas.microsoft.com/office/drawing/2014/main" id="{FBF43654-BF98-43AE-B3E3-FFF9B2DBFB68}"/>
              </a:ext>
            </a:extLst>
          </xdr:cNvPr>
          <xdr:cNvSpPr>
            <a:spLocks noChangeShapeType="1"/>
          </xdr:cNvSpPr>
        </xdr:nvSpPr>
        <xdr:spPr bwMode="auto">
          <a:xfrm flipV="1">
            <a:off x="3129395" y="535901"/>
            <a:ext cx="0" cy="100995"/>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4" name="Line 23">
            <a:extLst>
              <a:ext uri="{FF2B5EF4-FFF2-40B4-BE49-F238E27FC236}">
                <a16:creationId xmlns:a16="http://schemas.microsoft.com/office/drawing/2014/main" id="{3F0392F5-AA01-40BD-B40C-3DA46A38BD55}"/>
              </a:ext>
            </a:extLst>
          </xdr:cNvPr>
          <xdr:cNvSpPr>
            <a:spLocks noChangeShapeType="1"/>
          </xdr:cNvSpPr>
        </xdr:nvSpPr>
        <xdr:spPr bwMode="auto">
          <a:xfrm>
            <a:off x="3129395" y="535901"/>
            <a:ext cx="625282"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25" name="Line 24">
            <a:extLst>
              <a:ext uri="{FF2B5EF4-FFF2-40B4-BE49-F238E27FC236}">
                <a16:creationId xmlns:a16="http://schemas.microsoft.com/office/drawing/2014/main" id="{D644FD91-0F7F-4E1A-90B4-C22F38F0E8F5}"/>
              </a:ext>
            </a:extLst>
          </xdr:cNvPr>
          <xdr:cNvSpPr>
            <a:spLocks noChangeShapeType="1"/>
          </xdr:cNvSpPr>
        </xdr:nvSpPr>
        <xdr:spPr bwMode="auto">
          <a:xfrm flipH="1">
            <a:off x="2499014" y="931718"/>
            <a:ext cx="5723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6" name="Line 25">
            <a:extLst>
              <a:ext uri="{FF2B5EF4-FFF2-40B4-BE49-F238E27FC236}">
                <a16:creationId xmlns:a16="http://schemas.microsoft.com/office/drawing/2014/main" id="{B5C238F5-8839-4FC4-B92D-481A4199169B}"/>
              </a:ext>
            </a:extLst>
          </xdr:cNvPr>
          <xdr:cNvSpPr>
            <a:spLocks noChangeShapeType="1"/>
          </xdr:cNvSpPr>
        </xdr:nvSpPr>
        <xdr:spPr bwMode="auto">
          <a:xfrm flipH="1">
            <a:off x="2499014" y="1731818"/>
            <a:ext cx="1030431"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7" name="Line 26">
            <a:extLst>
              <a:ext uri="{FF2B5EF4-FFF2-40B4-BE49-F238E27FC236}">
                <a16:creationId xmlns:a16="http://schemas.microsoft.com/office/drawing/2014/main" id="{0380ED6A-8875-4C5D-92C4-83EF5405BD9C}"/>
              </a:ext>
            </a:extLst>
          </xdr:cNvPr>
          <xdr:cNvSpPr>
            <a:spLocks noChangeShapeType="1"/>
          </xdr:cNvSpPr>
        </xdr:nvSpPr>
        <xdr:spPr bwMode="auto">
          <a:xfrm flipV="1">
            <a:off x="2499014" y="931717"/>
            <a:ext cx="0" cy="809625"/>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28" name="Line 27">
            <a:extLst>
              <a:ext uri="{FF2B5EF4-FFF2-40B4-BE49-F238E27FC236}">
                <a16:creationId xmlns:a16="http://schemas.microsoft.com/office/drawing/2014/main" id="{E2831DCD-E419-429A-860B-32EF6B3A08FC}"/>
              </a:ext>
            </a:extLst>
          </xdr:cNvPr>
          <xdr:cNvSpPr>
            <a:spLocks noChangeShapeType="1"/>
          </xdr:cNvSpPr>
        </xdr:nvSpPr>
        <xdr:spPr bwMode="auto">
          <a:xfrm flipH="1">
            <a:off x="2728480" y="1388918"/>
            <a:ext cx="800965"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9" name="Line 28">
            <a:extLst>
              <a:ext uri="{FF2B5EF4-FFF2-40B4-BE49-F238E27FC236}">
                <a16:creationId xmlns:a16="http://schemas.microsoft.com/office/drawing/2014/main" id="{004867B9-E2F7-483B-A6D5-ECE66F3B0F39}"/>
              </a:ext>
            </a:extLst>
          </xdr:cNvPr>
          <xdr:cNvSpPr>
            <a:spLocks noChangeShapeType="1"/>
          </xdr:cNvSpPr>
        </xdr:nvSpPr>
        <xdr:spPr bwMode="auto">
          <a:xfrm flipV="1">
            <a:off x="2728480" y="1388918"/>
            <a:ext cx="0" cy="34290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30" name="Line 29">
            <a:extLst>
              <a:ext uri="{FF2B5EF4-FFF2-40B4-BE49-F238E27FC236}">
                <a16:creationId xmlns:a16="http://schemas.microsoft.com/office/drawing/2014/main" id="{7F81AEF5-4408-4F7A-ACCF-4344D5612CC4}"/>
              </a:ext>
            </a:extLst>
          </xdr:cNvPr>
          <xdr:cNvSpPr>
            <a:spLocks noChangeShapeType="1"/>
          </xdr:cNvSpPr>
        </xdr:nvSpPr>
        <xdr:spPr bwMode="auto">
          <a:xfrm flipV="1">
            <a:off x="2728480" y="1088881"/>
            <a:ext cx="0" cy="296574"/>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31" name="Line 30">
            <a:extLst>
              <a:ext uri="{FF2B5EF4-FFF2-40B4-BE49-F238E27FC236}">
                <a16:creationId xmlns:a16="http://schemas.microsoft.com/office/drawing/2014/main" id="{725D265D-C123-4E7B-9788-442A1BA74AD4}"/>
              </a:ext>
            </a:extLst>
          </xdr:cNvPr>
          <xdr:cNvSpPr>
            <a:spLocks noChangeShapeType="1"/>
          </xdr:cNvSpPr>
        </xdr:nvSpPr>
        <xdr:spPr bwMode="auto">
          <a:xfrm flipH="1">
            <a:off x="2728480" y="1093643"/>
            <a:ext cx="858115"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32" name="テキスト 63">
            <a:extLst>
              <a:ext uri="{FF2B5EF4-FFF2-40B4-BE49-F238E27FC236}">
                <a16:creationId xmlns:a16="http://schemas.microsoft.com/office/drawing/2014/main" id="{A1096C01-DDF0-4707-A069-C73407F0E6E3}"/>
              </a:ext>
            </a:extLst>
          </xdr:cNvPr>
          <xdr:cNvSpPr txBox="1">
            <a:spLocks noChangeArrowheads="1"/>
          </xdr:cNvSpPr>
        </xdr:nvSpPr>
        <xdr:spPr bwMode="auto">
          <a:xfrm>
            <a:off x="2346614" y="1222232"/>
            <a:ext cx="190500" cy="138112"/>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3" name="テキスト 64">
            <a:extLst>
              <a:ext uri="{FF2B5EF4-FFF2-40B4-BE49-F238E27FC236}">
                <a16:creationId xmlns:a16="http://schemas.microsoft.com/office/drawing/2014/main" id="{732C20B0-EF7D-4446-92AD-9242E9D5F2F6}"/>
              </a:ext>
            </a:extLst>
          </xdr:cNvPr>
          <xdr:cNvSpPr txBox="1">
            <a:spLocks noChangeArrowheads="1"/>
          </xdr:cNvSpPr>
        </xdr:nvSpPr>
        <xdr:spPr bwMode="auto">
          <a:xfrm>
            <a:off x="2576080" y="1198418"/>
            <a:ext cx="209550" cy="1238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4" name="テキスト 65">
            <a:extLst>
              <a:ext uri="{FF2B5EF4-FFF2-40B4-BE49-F238E27FC236}">
                <a16:creationId xmlns:a16="http://schemas.microsoft.com/office/drawing/2014/main" id="{C79D5D8D-F84F-4785-9D66-35875E2ED42E}"/>
              </a:ext>
            </a:extLst>
          </xdr:cNvPr>
          <xdr:cNvSpPr txBox="1">
            <a:spLocks noChangeArrowheads="1"/>
          </xdr:cNvSpPr>
        </xdr:nvSpPr>
        <xdr:spPr bwMode="auto">
          <a:xfrm>
            <a:off x="2576080" y="1450831"/>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5" name="テキスト 66">
            <a:extLst>
              <a:ext uri="{FF2B5EF4-FFF2-40B4-BE49-F238E27FC236}">
                <a16:creationId xmlns:a16="http://schemas.microsoft.com/office/drawing/2014/main" id="{6876C71F-B182-41B2-973E-9E83A5179BE6}"/>
              </a:ext>
            </a:extLst>
          </xdr:cNvPr>
          <xdr:cNvSpPr txBox="1">
            <a:spLocks noChangeArrowheads="1"/>
          </xdr:cNvSpPr>
        </xdr:nvSpPr>
        <xdr:spPr bwMode="auto">
          <a:xfrm>
            <a:off x="3359856" y="371637"/>
            <a:ext cx="133606" cy="20364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W</a:t>
            </a:r>
            <a:endParaRPr lang="ja-JP" altLang="en-US"/>
          </a:p>
        </xdr:txBody>
      </xdr:sp>
    </xdr:grpSp>
    <xdr:clientData/>
  </xdr:twoCellAnchor>
  <xdr:twoCellAnchor>
    <xdr:from>
      <xdr:col>8</xdr:col>
      <xdr:colOff>152399</xdr:colOff>
      <xdr:row>3</xdr:row>
      <xdr:rowOff>24246</xdr:rowOff>
    </xdr:from>
    <xdr:to>
      <xdr:col>13</xdr:col>
      <xdr:colOff>304799</xdr:colOff>
      <xdr:row>8</xdr:row>
      <xdr:rowOff>50827</xdr:rowOff>
    </xdr:to>
    <xdr:grpSp>
      <xdr:nvGrpSpPr>
        <xdr:cNvPr id="36" name="グループ化 35">
          <a:extLst>
            <a:ext uri="{FF2B5EF4-FFF2-40B4-BE49-F238E27FC236}">
              <a16:creationId xmlns:a16="http://schemas.microsoft.com/office/drawing/2014/main" id="{DFEB7283-8324-46A4-848E-6021762E06AE}"/>
            </a:ext>
          </a:extLst>
        </xdr:cNvPr>
        <xdr:cNvGrpSpPr/>
      </xdr:nvGrpSpPr>
      <xdr:grpSpPr>
        <a:xfrm>
          <a:off x="4267199" y="729096"/>
          <a:ext cx="2724150" cy="979081"/>
          <a:chOff x="4274127" y="855518"/>
          <a:chExt cx="2728480" cy="979081"/>
        </a:xfrm>
      </xdr:grpSpPr>
      <xdr:sp macro="" textlink="">
        <xdr:nvSpPr>
          <xdr:cNvPr id="37" name="Line 37">
            <a:extLst>
              <a:ext uri="{FF2B5EF4-FFF2-40B4-BE49-F238E27FC236}">
                <a16:creationId xmlns:a16="http://schemas.microsoft.com/office/drawing/2014/main" id="{26474846-4605-48BB-9734-638D324FEAC2}"/>
              </a:ext>
            </a:extLst>
          </xdr:cNvPr>
          <xdr:cNvSpPr>
            <a:spLocks noChangeShapeType="1"/>
          </xdr:cNvSpPr>
        </xdr:nvSpPr>
        <xdr:spPr bwMode="auto">
          <a:xfrm>
            <a:off x="4770293" y="855518"/>
            <a:ext cx="6295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8" name="Line 38">
            <a:extLst>
              <a:ext uri="{FF2B5EF4-FFF2-40B4-BE49-F238E27FC236}">
                <a16:creationId xmlns:a16="http://schemas.microsoft.com/office/drawing/2014/main" id="{B492CF21-E931-4077-A7DB-FD35A41795ED}"/>
              </a:ext>
            </a:extLst>
          </xdr:cNvPr>
          <xdr:cNvSpPr>
            <a:spLocks noChangeShapeType="1"/>
          </xdr:cNvSpPr>
        </xdr:nvSpPr>
        <xdr:spPr bwMode="auto">
          <a:xfrm>
            <a:off x="5399809" y="855518"/>
            <a:ext cx="0" cy="115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9" name="Line 39">
            <a:extLst>
              <a:ext uri="{FF2B5EF4-FFF2-40B4-BE49-F238E27FC236}">
                <a16:creationId xmlns:a16="http://schemas.microsoft.com/office/drawing/2014/main" id="{37B24D46-DD5B-4349-BE0A-413FBDF50E35}"/>
              </a:ext>
            </a:extLst>
          </xdr:cNvPr>
          <xdr:cNvSpPr>
            <a:spLocks noChangeShapeType="1"/>
          </xdr:cNvSpPr>
        </xdr:nvSpPr>
        <xdr:spPr bwMode="auto">
          <a:xfrm flipH="1">
            <a:off x="4998893" y="970704"/>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0" name="Line 40">
            <a:extLst>
              <a:ext uri="{FF2B5EF4-FFF2-40B4-BE49-F238E27FC236}">
                <a16:creationId xmlns:a16="http://schemas.microsoft.com/office/drawing/2014/main" id="{EB6D6FBC-D562-40D2-B21B-D732F702B1F0}"/>
              </a:ext>
            </a:extLst>
          </xdr:cNvPr>
          <xdr:cNvSpPr>
            <a:spLocks noChangeShapeType="1"/>
          </xdr:cNvSpPr>
        </xdr:nvSpPr>
        <xdr:spPr bwMode="auto">
          <a:xfrm>
            <a:off x="4998893"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1" name="Line 41">
            <a:extLst>
              <a:ext uri="{FF2B5EF4-FFF2-40B4-BE49-F238E27FC236}">
                <a16:creationId xmlns:a16="http://schemas.microsoft.com/office/drawing/2014/main" id="{3613C41E-77F1-47DA-8CD8-4C0F2BA571B6}"/>
              </a:ext>
            </a:extLst>
          </xdr:cNvPr>
          <xdr:cNvSpPr>
            <a:spLocks noChangeShapeType="1"/>
          </xdr:cNvSpPr>
        </xdr:nvSpPr>
        <xdr:spPr bwMode="auto">
          <a:xfrm flipH="1">
            <a:off x="4884593" y="120107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2" name="Line 42">
            <a:extLst>
              <a:ext uri="{FF2B5EF4-FFF2-40B4-BE49-F238E27FC236}">
                <a16:creationId xmlns:a16="http://schemas.microsoft.com/office/drawing/2014/main" id="{C0BB96A8-C19F-4D00-9CCA-89CC791B6437}"/>
              </a:ext>
            </a:extLst>
          </xdr:cNvPr>
          <xdr:cNvSpPr>
            <a:spLocks noChangeShapeType="1"/>
          </xdr:cNvSpPr>
        </xdr:nvSpPr>
        <xdr:spPr bwMode="auto">
          <a:xfrm flipV="1">
            <a:off x="4884593"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3" name="Line 43">
            <a:extLst>
              <a:ext uri="{FF2B5EF4-FFF2-40B4-BE49-F238E27FC236}">
                <a16:creationId xmlns:a16="http://schemas.microsoft.com/office/drawing/2014/main" id="{CF8F3B90-D3F4-436D-81CC-264A948B0688}"/>
              </a:ext>
            </a:extLst>
          </xdr:cNvPr>
          <xdr:cNvSpPr>
            <a:spLocks noChangeShapeType="1"/>
          </xdr:cNvSpPr>
        </xdr:nvSpPr>
        <xdr:spPr bwMode="auto">
          <a:xfrm flipH="1">
            <a:off x="4770293" y="970704"/>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4" name="Line 44">
            <a:extLst>
              <a:ext uri="{FF2B5EF4-FFF2-40B4-BE49-F238E27FC236}">
                <a16:creationId xmlns:a16="http://schemas.microsoft.com/office/drawing/2014/main" id="{816CAAAC-07D3-4011-9E98-0C86DCA7B1DF}"/>
              </a:ext>
            </a:extLst>
          </xdr:cNvPr>
          <xdr:cNvSpPr>
            <a:spLocks noChangeShapeType="1"/>
          </xdr:cNvSpPr>
        </xdr:nvSpPr>
        <xdr:spPr bwMode="auto">
          <a:xfrm flipV="1">
            <a:off x="6315941" y="855518"/>
            <a:ext cx="68666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5" name="Line 45">
            <a:extLst>
              <a:ext uri="{FF2B5EF4-FFF2-40B4-BE49-F238E27FC236}">
                <a16:creationId xmlns:a16="http://schemas.microsoft.com/office/drawing/2014/main" id="{190A4E9C-3316-4B1D-BB4B-AACB5D1A208B}"/>
              </a:ext>
            </a:extLst>
          </xdr:cNvPr>
          <xdr:cNvSpPr>
            <a:spLocks noChangeShapeType="1"/>
          </xdr:cNvSpPr>
        </xdr:nvSpPr>
        <xdr:spPr bwMode="auto">
          <a:xfrm>
            <a:off x="6315941" y="855518"/>
            <a:ext cx="0" cy="115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6" name="Line 46">
            <a:extLst>
              <a:ext uri="{FF2B5EF4-FFF2-40B4-BE49-F238E27FC236}">
                <a16:creationId xmlns:a16="http://schemas.microsoft.com/office/drawing/2014/main" id="{D3B30789-B355-4BDA-AD73-83C76A794620}"/>
              </a:ext>
            </a:extLst>
          </xdr:cNvPr>
          <xdr:cNvSpPr>
            <a:spLocks noChangeShapeType="1"/>
          </xdr:cNvSpPr>
        </xdr:nvSpPr>
        <xdr:spPr bwMode="auto">
          <a:xfrm>
            <a:off x="6315941" y="970704"/>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7" name="Line 47">
            <a:extLst>
              <a:ext uri="{FF2B5EF4-FFF2-40B4-BE49-F238E27FC236}">
                <a16:creationId xmlns:a16="http://schemas.microsoft.com/office/drawing/2014/main" id="{9975FC51-250B-43E0-BD3E-BB69808F4BD7}"/>
              </a:ext>
            </a:extLst>
          </xdr:cNvPr>
          <xdr:cNvSpPr>
            <a:spLocks noChangeShapeType="1"/>
          </xdr:cNvSpPr>
        </xdr:nvSpPr>
        <xdr:spPr bwMode="auto">
          <a:xfrm>
            <a:off x="5399809" y="913111"/>
            <a:ext cx="916132" cy="0"/>
          </a:xfrm>
          <a:prstGeom prst="line">
            <a:avLst/>
          </a:prstGeom>
          <a:noFill/>
          <a:ln w="1">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48" name="Line 48">
            <a:extLst>
              <a:ext uri="{FF2B5EF4-FFF2-40B4-BE49-F238E27FC236}">
                <a16:creationId xmlns:a16="http://schemas.microsoft.com/office/drawing/2014/main" id="{65AC020E-F5EC-4D1B-B545-D7D275AADE44}"/>
              </a:ext>
            </a:extLst>
          </xdr:cNvPr>
          <xdr:cNvSpPr>
            <a:spLocks noChangeShapeType="1"/>
          </xdr:cNvSpPr>
        </xdr:nvSpPr>
        <xdr:spPr bwMode="auto">
          <a:xfrm>
            <a:off x="6831157"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9" name="Line 49">
            <a:extLst>
              <a:ext uri="{FF2B5EF4-FFF2-40B4-BE49-F238E27FC236}">
                <a16:creationId xmlns:a16="http://schemas.microsoft.com/office/drawing/2014/main" id="{B33A3D85-F13B-4CB5-A142-AFF9DD0E1412}"/>
              </a:ext>
            </a:extLst>
          </xdr:cNvPr>
          <xdr:cNvSpPr>
            <a:spLocks noChangeShapeType="1"/>
          </xdr:cNvSpPr>
        </xdr:nvSpPr>
        <xdr:spPr bwMode="auto">
          <a:xfrm flipH="1">
            <a:off x="6716857" y="120107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0" name="Line 50">
            <a:extLst>
              <a:ext uri="{FF2B5EF4-FFF2-40B4-BE49-F238E27FC236}">
                <a16:creationId xmlns:a16="http://schemas.microsoft.com/office/drawing/2014/main" id="{F0C06BDB-15FC-4510-ABD2-C8AE9141BE9A}"/>
              </a:ext>
            </a:extLst>
          </xdr:cNvPr>
          <xdr:cNvSpPr>
            <a:spLocks noChangeShapeType="1"/>
          </xdr:cNvSpPr>
        </xdr:nvSpPr>
        <xdr:spPr bwMode="auto">
          <a:xfrm flipV="1">
            <a:off x="6716857"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1" name="Line 51">
            <a:extLst>
              <a:ext uri="{FF2B5EF4-FFF2-40B4-BE49-F238E27FC236}">
                <a16:creationId xmlns:a16="http://schemas.microsoft.com/office/drawing/2014/main" id="{D0832740-E96E-4DA8-ADB1-1F8BF086CBFC}"/>
              </a:ext>
            </a:extLst>
          </xdr:cNvPr>
          <xdr:cNvSpPr>
            <a:spLocks noChangeShapeType="1"/>
          </xdr:cNvSpPr>
        </xdr:nvSpPr>
        <xdr:spPr bwMode="auto">
          <a:xfrm>
            <a:off x="6831157" y="970704"/>
            <a:ext cx="171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2" name="Line 52">
            <a:extLst>
              <a:ext uri="{FF2B5EF4-FFF2-40B4-BE49-F238E27FC236}">
                <a16:creationId xmlns:a16="http://schemas.microsoft.com/office/drawing/2014/main" id="{32F4BC9E-D4FD-41CC-A73A-998AD53C3277}"/>
              </a:ext>
            </a:extLst>
          </xdr:cNvPr>
          <xdr:cNvSpPr>
            <a:spLocks noChangeShapeType="1"/>
          </xdr:cNvSpPr>
        </xdr:nvSpPr>
        <xdr:spPr bwMode="auto">
          <a:xfrm>
            <a:off x="5399809" y="1028297"/>
            <a:ext cx="0" cy="460744"/>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3" name="Line 53">
            <a:extLst>
              <a:ext uri="{FF2B5EF4-FFF2-40B4-BE49-F238E27FC236}">
                <a16:creationId xmlns:a16="http://schemas.microsoft.com/office/drawing/2014/main" id="{3D18834E-C633-41A3-9B9D-D5BEC251DE27}"/>
              </a:ext>
            </a:extLst>
          </xdr:cNvPr>
          <xdr:cNvSpPr>
            <a:spLocks noChangeShapeType="1"/>
          </xdr:cNvSpPr>
        </xdr:nvSpPr>
        <xdr:spPr bwMode="auto">
          <a:xfrm>
            <a:off x="6315941" y="1028297"/>
            <a:ext cx="0" cy="460744"/>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4" name="Line 54">
            <a:extLst>
              <a:ext uri="{FF2B5EF4-FFF2-40B4-BE49-F238E27FC236}">
                <a16:creationId xmlns:a16="http://schemas.microsoft.com/office/drawing/2014/main" id="{7A55BCF9-7A58-442C-B220-FF817961B50D}"/>
              </a:ext>
            </a:extLst>
          </xdr:cNvPr>
          <xdr:cNvSpPr>
            <a:spLocks noChangeShapeType="1"/>
          </xdr:cNvSpPr>
        </xdr:nvSpPr>
        <xdr:spPr bwMode="auto">
          <a:xfrm>
            <a:off x="4998893" y="1258669"/>
            <a:ext cx="0" cy="57593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5" name="Line 55">
            <a:extLst>
              <a:ext uri="{FF2B5EF4-FFF2-40B4-BE49-F238E27FC236}">
                <a16:creationId xmlns:a16="http://schemas.microsoft.com/office/drawing/2014/main" id="{DE4F0428-4787-49F8-B036-58C13A784CF0}"/>
              </a:ext>
            </a:extLst>
          </xdr:cNvPr>
          <xdr:cNvSpPr>
            <a:spLocks noChangeShapeType="1"/>
          </xdr:cNvSpPr>
        </xdr:nvSpPr>
        <xdr:spPr bwMode="auto">
          <a:xfrm>
            <a:off x="6716857" y="1258669"/>
            <a:ext cx="0" cy="57593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6" name="Line 56">
            <a:extLst>
              <a:ext uri="{FF2B5EF4-FFF2-40B4-BE49-F238E27FC236}">
                <a16:creationId xmlns:a16="http://schemas.microsoft.com/office/drawing/2014/main" id="{8A46BA2F-6266-4E17-B57D-C26A39C33477}"/>
              </a:ext>
            </a:extLst>
          </xdr:cNvPr>
          <xdr:cNvSpPr>
            <a:spLocks noChangeShapeType="1"/>
          </xdr:cNvSpPr>
        </xdr:nvSpPr>
        <xdr:spPr bwMode="auto">
          <a:xfrm flipH="1">
            <a:off x="4426527" y="913111"/>
            <a:ext cx="2294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7" name="Line 57">
            <a:extLst>
              <a:ext uri="{FF2B5EF4-FFF2-40B4-BE49-F238E27FC236}">
                <a16:creationId xmlns:a16="http://schemas.microsoft.com/office/drawing/2014/main" id="{DDC55684-342C-4BF6-82E1-803B6821469C}"/>
              </a:ext>
            </a:extLst>
          </xdr:cNvPr>
          <xdr:cNvSpPr>
            <a:spLocks noChangeShapeType="1"/>
          </xdr:cNvSpPr>
        </xdr:nvSpPr>
        <xdr:spPr bwMode="auto">
          <a:xfrm flipH="1">
            <a:off x="4426527" y="1201076"/>
            <a:ext cx="3437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8" name="Line 58">
            <a:extLst>
              <a:ext uri="{FF2B5EF4-FFF2-40B4-BE49-F238E27FC236}">
                <a16:creationId xmlns:a16="http://schemas.microsoft.com/office/drawing/2014/main" id="{73CBED63-CEC1-4C96-9CC7-769687BD5A08}"/>
              </a:ext>
            </a:extLst>
          </xdr:cNvPr>
          <xdr:cNvSpPr>
            <a:spLocks noChangeShapeType="1"/>
          </xdr:cNvSpPr>
        </xdr:nvSpPr>
        <xdr:spPr bwMode="auto">
          <a:xfrm>
            <a:off x="4998893" y="1489041"/>
            <a:ext cx="400916"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59" name="Line 59">
            <a:extLst>
              <a:ext uri="{FF2B5EF4-FFF2-40B4-BE49-F238E27FC236}">
                <a16:creationId xmlns:a16="http://schemas.microsoft.com/office/drawing/2014/main" id="{654E37D3-2D43-43FC-B4F1-0D9723E80A15}"/>
              </a:ext>
            </a:extLst>
          </xdr:cNvPr>
          <xdr:cNvSpPr>
            <a:spLocks noChangeShapeType="1"/>
          </xdr:cNvSpPr>
        </xdr:nvSpPr>
        <xdr:spPr bwMode="auto">
          <a:xfrm>
            <a:off x="5399809" y="1489041"/>
            <a:ext cx="916132"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0" name="Line 60">
            <a:extLst>
              <a:ext uri="{FF2B5EF4-FFF2-40B4-BE49-F238E27FC236}">
                <a16:creationId xmlns:a16="http://schemas.microsoft.com/office/drawing/2014/main" id="{6003DEF9-5FCF-477D-A39D-24A378AAFE42}"/>
              </a:ext>
            </a:extLst>
          </xdr:cNvPr>
          <xdr:cNvSpPr>
            <a:spLocks noChangeShapeType="1"/>
          </xdr:cNvSpPr>
        </xdr:nvSpPr>
        <xdr:spPr bwMode="auto">
          <a:xfrm>
            <a:off x="6315941" y="1489041"/>
            <a:ext cx="400916"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1" name="Line 61">
            <a:extLst>
              <a:ext uri="{FF2B5EF4-FFF2-40B4-BE49-F238E27FC236}">
                <a16:creationId xmlns:a16="http://schemas.microsoft.com/office/drawing/2014/main" id="{329F58F1-BEAA-4BC5-971A-5D3DEA2FD64C}"/>
              </a:ext>
            </a:extLst>
          </xdr:cNvPr>
          <xdr:cNvSpPr>
            <a:spLocks noChangeShapeType="1"/>
          </xdr:cNvSpPr>
        </xdr:nvSpPr>
        <xdr:spPr bwMode="auto">
          <a:xfrm flipV="1">
            <a:off x="4426527" y="913111"/>
            <a:ext cx="0" cy="287965"/>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2" name="Line 62">
            <a:extLst>
              <a:ext uri="{FF2B5EF4-FFF2-40B4-BE49-F238E27FC236}">
                <a16:creationId xmlns:a16="http://schemas.microsoft.com/office/drawing/2014/main" id="{09745A41-C986-4E47-AB7A-F8ABFF68D872}"/>
              </a:ext>
            </a:extLst>
          </xdr:cNvPr>
          <xdr:cNvSpPr>
            <a:spLocks noChangeShapeType="1"/>
          </xdr:cNvSpPr>
        </xdr:nvSpPr>
        <xdr:spPr bwMode="auto">
          <a:xfrm>
            <a:off x="4998893" y="1777006"/>
            <a:ext cx="1717964"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3" name="テキスト 62">
            <a:extLst>
              <a:ext uri="{FF2B5EF4-FFF2-40B4-BE49-F238E27FC236}">
                <a16:creationId xmlns:a16="http://schemas.microsoft.com/office/drawing/2014/main" id="{FAF29069-11EA-4B7A-ABFD-77E89D3FCE15}"/>
              </a:ext>
            </a:extLst>
          </xdr:cNvPr>
          <xdr:cNvSpPr txBox="1">
            <a:spLocks noChangeArrowheads="1"/>
          </xdr:cNvSpPr>
        </xdr:nvSpPr>
        <xdr:spPr bwMode="auto">
          <a:xfrm>
            <a:off x="4274127" y="1018698"/>
            <a:ext cx="180975" cy="105587"/>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V</a:t>
            </a:r>
            <a:endParaRPr lang="ja-JP" altLang="en-US"/>
          </a:p>
        </xdr:txBody>
      </xdr:sp>
      <xdr:sp macro="" textlink="">
        <xdr:nvSpPr>
          <xdr:cNvPr id="64" name="テキスト 67">
            <a:extLst>
              <a:ext uri="{FF2B5EF4-FFF2-40B4-BE49-F238E27FC236}">
                <a16:creationId xmlns:a16="http://schemas.microsoft.com/office/drawing/2014/main" id="{301467B2-BA09-4933-92DC-4714217E99AD}"/>
              </a:ext>
            </a:extLst>
          </xdr:cNvPr>
          <xdr:cNvSpPr txBox="1">
            <a:spLocks noChangeArrowheads="1"/>
          </xdr:cNvSpPr>
        </xdr:nvSpPr>
        <xdr:spPr bwMode="auto">
          <a:xfrm>
            <a:off x="5132243" y="1306663"/>
            <a:ext cx="162791"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5" name="テキスト 68">
            <a:extLst>
              <a:ext uri="{FF2B5EF4-FFF2-40B4-BE49-F238E27FC236}">
                <a16:creationId xmlns:a16="http://schemas.microsoft.com/office/drawing/2014/main" id="{14CAE8F5-2065-408B-A75C-EA229309D0D1}"/>
              </a:ext>
            </a:extLst>
          </xdr:cNvPr>
          <xdr:cNvSpPr txBox="1">
            <a:spLocks noChangeArrowheads="1"/>
          </xdr:cNvSpPr>
        </xdr:nvSpPr>
        <xdr:spPr bwMode="auto">
          <a:xfrm>
            <a:off x="5791200" y="1306663"/>
            <a:ext cx="10477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6" name="テキスト 69">
            <a:extLst>
              <a:ext uri="{FF2B5EF4-FFF2-40B4-BE49-F238E27FC236}">
                <a16:creationId xmlns:a16="http://schemas.microsoft.com/office/drawing/2014/main" id="{83141BA3-F0DC-4035-8103-5ACCB2F73B6C}"/>
              </a:ext>
            </a:extLst>
          </xdr:cNvPr>
          <xdr:cNvSpPr txBox="1">
            <a:spLocks noChangeArrowheads="1"/>
          </xdr:cNvSpPr>
        </xdr:nvSpPr>
        <xdr:spPr bwMode="auto">
          <a:xfrm>
            <a:off x="6439766" y="1306663"/>
            <a:ext cx="16192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7" name="テキスト 70">
            <a:extLst>
              <a:ext uri="{FF2B5EF4-FFF2-40B4-BE49-F238E27FC236}">
                <a16:creationId xmlns:a16="http://schemas.microsoft.com/office/drawing/2014/main" id="{0F733787-3CED-4459-89CC-B3DF2F8F875C}"/>
              </a:ext>
            </a:extLst>
          </xdr:cNvPr>
          <xdr:cNvSpPr txBox="1">
            <a:spLocks noChangeArrowheads="1"/>
          </xdr:cNvSpPr>
        </xdr:nvSpPr>
        <xdr:spPr bwMode="auto">
          <a:xfrm>
            <a:off x="5791200" y="1565832"/>
            <a:ext cx="10477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176927</xdr:colOff>
      <xdr:row>118</xdr:row>
      <xdr:rowOff>144538</xdr:rowOff>
    </xdr:from>
    <xdr:to>
      <xdr:col>6</xdr:col>
      <xdr:colOff>1117044</xdr:colOff>
      <xdr:row>121</xdr:row>
      <xdr:rowOff>128589</xdr:rowOff>
    </xdr:to>
    <xdr:sp macro="" textlink="">
      <xdr:nvSpPr>
        <xdr:cNvPr id="138" name="正方形/長方形 137">
          <a:extLst>
            <a:ext uri="{FF2B5EF4-FFF2-40B4-BE49-F238E27FC236}">
              <a16:creationId xmlns:a16="http://schemas.microsoft.com/office/drawing/2014/main" id="{2C336B3E-ED4E-436C-B560-D6F7ED24B8EB}"/>
            </a:ext>
          </a:extLst>
        </xdr:cNvPr>
        <xdr:cNvSpPr/>
      </xdr:nvSpPr>
      <xdr:spPr>
        <a:xfrm>
          <a:off x="5177552" y="20347063"/>
          <a:ext cx="940117" cy="498401"/>
        </a:xfrm>
        <a:prstGeom prst="rect">
          <a:avLst/>
        </a:prstGeom>
        <a:pattFill prst="weave">
          <a:fgClr>
            <a:srgbClr xmlns:mc="http://schemas.openxmlformats.org/markup-compatibility/2006" xmlns:a14="http://schemas.microsoft.com/office/drawing/2010/main" val="800000" mc:Ignorable="a14" a14:legacySpreadsheetColorIndex="16"/>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800000" mc:Ignorable="a14" a14:legacySpreadsheetColorIndex="16"/>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117</xdr:row>
      <xdr:rowOff>166467</xdr:rowOff>
    </xdr:from>
    <xdr:to>
      <xdr:col>6</xdr:col>
      <xdr:colOff>1117044</xdr:colOff>
      <xdr:row>118</xdr:row>
      <xdr:rowOff>144538</xdr:rowOff>
    </xdr:to>
    <xdr:sp macro="" textlink="">
      <xdr:nvSpPr>
        <xdr:cNvPr id="136" name="正方形/長方形 135">
          <a:extLst>
            <a:ext uri="{FF2B5EF4-FFF2-40B4-BE49-F238E27FC236}">
              <a16:creationId xmlns:a16="http://schemas.microsoft.com/office/drawing/2014/main" id="{6BB0710F-621A-4994-9F52-3D52FB47557A}"/>
            </a:ext>
          </a:extLst>
        </xdr:cNvPr>
        <xdr:cNvSpPr/>
      </xdr:nvSpPr>
      <xdr:spPr>
        <a:xfrm>
          <a:off x="5177552" y="20197542"/>
          <a:ext cx="940117" cy="149521"/>
        </a:xfrm>
        <a:prstGeom prst="rect">
          <a:avLst/>
        </a:prstGeom>
        <a:pattFill prst="lgConfetti">
          <a:fgClr>
            <a:srgbClr xmlns:mc="http://schemas.openxmlformats.org/markup-compatibility/2006" xmlns:a14="http://schemas.microsoft.com/office/drawing/2010/main" val="808080" mc:Ignorable="a14" a14:legacySpreadsheetColorIndex="23"/>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808080" mc:Ignorable="a14" a14:legacySpreadsheetColorIndex="23"/>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117</xdr:row>
      <xdr:rowOff>16946</xdr:rowOff>
    </xdr:from>
    <xdr:to>
      <xdr:col>6</xdr:col>
      <xdr:colOff>1117044</xdr:colOff>
      <xdr:row>117</xdr:row>
      <xdr:rowOff>166467</xdr:rowOff>
    </xdr:to>
    <xdr:sp macro="" textlink="">
      <xdr:nvSpPr>
        <xdr:cNvPr id="134" name="正方形/長方形 133">
          <a:extLst>
            <a:ext uri="{FF2B5EF4-FFF2-40B4-BE49-F238E27FC236}">
              <a16:creationId xmlns:a16="http://schemas.microsoft.com/office/drawing/2014/main" id="{F33462C9-1BA1-49A5-A8BA-ED2E1A878BB8}"/>
            </a:ext>
          </a:extLst>
        </xdr:cNvPr>
        <xdr:cNvSpPr/>
      </xdr:nvSpPr>
      <xdr:spPr>
        <a:xfrm>
          <a:off x="5177552" y="20048021"/>
          <a:ext cx="940117" cy="149521"/>
        </a:xfrm>
        <a:prstGeom prst="rect">
          <a:avLst/>
        </a:prstGeom>
        <a:blipFill>
          <a:blip xmlns:r="http://schemas.openxmlformats.org/officeDocument/2006/relationships" r:embed="rId1"/>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114</xdr:row>
      <xdr:rowOff>82734</xdr:rowOff>
    </xdr:from>
    <xdr:to>
      <xdr:col>6</xdr:col>
      <xdr:colOff>1117044</xdr:colOff>
      <xdr:row>115</xdr:row>
      <xdr:rowOff>60806</xdr:rowOff>
    </xdr:to>
    <xdr:sp macro="" textlink="">
      <xdr:nvSpPr>
        <xdr:cNvPr id="131" name="正方形/長方形 130">
          <a:extLst>
            <a:ext uri="{FF2B5EF4-FFF2-40B4-BE49-F238E27FC236}">
              <a16:creationId xmlns:a16="http://schemas.microsoft.com/office/drawing/2014/main" id="{38E8A2EA-D536-421D-BD16-4CFD61DB9814}"/>
            </a:ext>
          </a:extLst>
        </xdr:cNvPr>
        <xdr:cNvSpPr/>
      </xdr:nvSpPr>
      <xdr:spPr>
        <a:xfrm>
          <a:off x="5177552" y="19599459"/>
          <a:ext cx="940117" cy="149522"/>
        </a:xfrm>
        <a:prstGeom prst="rect">
          <a:avLst/>
        </a:prstGeom>
        <a:blipFill>
          <a:blip xmlns:r="http://schemas.openxmlformats.org/officeDocument/2006/relationships" r:embed="rId1"/>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114</xdr:row>
      <xdr:rowOff>52831</xdr:rowOff>
    </xdr:from>
    <xdr:to>
      <xdr:col>6</xdr:col>
      <xdr:colOff>1117044</xdr:colOff>
      <xdr:row>114</xdr:row>
      <xdr:rowOff>82734</xdr:rowOff>
    </xdr:to>
    <xdr:sp macro="" textlink="">
      <xdr:nvSpPr>
        <xdr:cNvPr id="129" name="正方形/長方形 128">
          <a:extLst>
            <a:ext uri="{FF2B5EF4-FFF2-40B4-BE49-F238E27FC236}">
              <a16:creationId xmlns:a16="http://schemas.microsoft.com/office/drawing/2014/main" id="{A71663E4-28D3-4C98-B167-36423B746726}"/>
            </a:ext>
          </a:extLst>
        </xdr:cNvPr>
        <xdr:cNvSpPr/>
      </xdr:nvSpPr>
      <xdr:spPr>
        <a:xfrm>
          <a:off x="5177552" y="19569556"/>
          <a:ext cx="940117" cy="29903"/>
        </a:xfrm>
        <a:prstGeom prst="rect">
          <a:avLst/>
        </a:prstGeom>
        <a:pattFill prst="smConfetti">
          <a:fgClr>
            <a:srgbClr xmlns:mc="http://schemas.openxmlformats.org/markup-compatibility/2006" xmlns:a14="http://schemas.microsoft.com/office/drawing/2010/main" val="FFCC00" mc:Ignorable="a14" a14:legacySpreadsheetColorIndex="5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00" mc:Ignorable="a14" a14:legacySpreadsheetColorIndex="5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114</xdr:row>
      <xdr:rowOff>42863</xdr:rowOff>
    </xdr:from>
    <xdr:to>
      <xdr:col>6</xdr:col>
      <xdr:colOff>1117044</xdr:colOff>
      <xdr:row>114</xdr:row>
      <xdr:rowOff>52831</xdr:rowOff>
    </xdr:to>
    <xdr:sp macro="" textlink="">
      <xdr:nvSpPr>
        <xdr:cNvPr id="127" name="正方形/長方形 126">
          <a:extLst>
            <a:ext uri="{FF2B5EF4-FFF2-40B4-BE49-F238E27FC236}">
              <a16:creationId xmlns:a16="http://schemas.microsoft.com/office/drawing/2014/main" id="{49D20749-C11E-4ACA-A25F-84341979BC88}"/>
            </a:ext>
          </a:extLst>
        </xdr:cNvPr>
        <xdr:cNvSpPr/>
      </xdr:nvSpPr>
      <xdr:spPr>
        <a:xfrm>
          <a:off x="5177552" y="19559588"/>
          <a:ext cx="940117" cy="9968"/>
        </a:xfrm>
        <a:prstGeom prst="rect">
          <a:avLst/>
        </a:prstGeom>
        <a:pattFill prst="pct50">
          <a:fgClr>
            <a:srgbClr xmlns:mc="http://schemas.openxmlformats.org/markup-compatibility/2006" xmlns:a14="http://schemas.microsoft.com/office/drawing/2010/main" val="CCCCFF" mc:Ignorable="a14" a14:legacySpreadsheetColorIndex="3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Plastic">
          <a:extrusionClr>
            <a:srgbClr xmlns:mc="http://schemas.openxmlformats.org/markup-compatibility/2006" xmlns:a14="http://schemas.microsoft.com/office/drawing/2010/main" val="CCCCFF" mc:Ignorable="a14" a14:legacySpreadsheetColorIndex="3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134</xdr:row>
      <xdr:rowOff>48985</xdr:rowOff>
    </xdr:from>
    <xdr:to>
      <xdr:col>0</xdr:col>
      <xdr:colOff>1117044</xdr:colOff>
      <xdr:row>138</xdr:row>
      <xdr:rowOff>128586</xdr:rowOff>
    </xdr:to>
    <xdr:sp macro="" textlink="">
      <xdr:nvSpPr>
        <xdr:cNvPr id="124" name="正方形/長方形 123">
          <a:extLst>
            <a:ext uri="{FF2B5EF4-FFF2-40B4-BE49-F238E27FC236}">
              <a16:creationId xmlns:a16="http://schemas.microsoft.com/office/drawing/2014/main" id="{B32E9920-EE10-4827-967E-B98934C6FF52}"/>
            </a:ext>
          </a:extLst>
        </xdr:cNvPr>
        <xdr:cNvSpPr/>
      </xdr:nvSpPr>
      <xdr:spPr>
        <a:xfrm>
          <a:off x="176927" y="22994710"/>
          <a:ext cx="940117" cy="765401"/>
        </a:xfrm>
        <a:prstGeom prst="rect">
          <a:avLst/>
        </a:prstGeom>
        <a:pattFill prst="weave">
          <a:fgClr>
            <a:srgbClr xmlns:mc="http://schemas.openxmlformats.org/markup-compatibility/2006" xmlns:a14="http://schemas.microsoft.com/office/drawing/2010/main" val="800000" mc:Ignorable="a14" a14:legacySpreadsheetColorIndex="16"/>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800000" mc:Ignorable="a14" a14:legacySpreadsheetColorIndex="16"/>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132</xdr:row>
      <xdr:rowOff>162265</xdr:rowOff>
    </xdr:from>
    <xdr:to>
      <xdr:col>0</xdr:col>
      <xdr:colOff>1117044</xdr:colOff>
      <xdr:row>134</xdr:row>
      <xdr:rowOff>48985</xdr:rowOff>
    </xdr:to>
    <xdr:sp macro="" textlink="">
      <xdr:nvSpPr>
        <xdr:cNvPr id="122" name="正方形/長方形 121">
          <a:extLst>
            <a:ext uri="{FF2B5EF4-FFF2-40B4-BE49-F238E27FC236}">
              <a16:creationId xmlns:a16="http://schemas.microsoft.com/office/drawing/2014/main" id="{3643CB8E-73B2-47B7-91D3-64477B1D4AB6}"/>
            </a:ext>
          </a:extLst>
        </xdr:cNvPr>
        <xdr:cNvSpPr/>
      </xdr:nvSpPr>
      <xdr:spPr>
        <a:xfrm>
          <a:off x="176927" y="22765090"/>
          <a:ext cx="940117" cy="229620"/>
        </a:xfrm>
        <a:prstGeom prst="rect">
          <a:avLst/>
        </a:prstGeom>
        <a:pattFill prst="lgConfetti">
          <a:fgClr>
            <a:srgbClr xmlns:mc="http://schemas.openxmlformats.org/markup-compatibility/2006" xmlns:a14="http://schemas.microsoft.com/office/drawing/2010/main" val="808080" mc:Ignorable="a14" a14:legacySpreadsheetColorIndex="23"/>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808080" mc:Ignorable="a14" a14:legacySpreadsheetColorIndex="23"/>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131</xdr:row>
      <xdr:rowOff>104094</xdr:rowOff>
    </xdr:from>
    <xdr:to>
      <xdr:col>0</xdr:col>
      <xdr:colOff>1117044</xdr:colOff>
      <xdr:row>132</xdr:row>
      <xdr:rowOff>162265</xdr:rowOff>
    </xdr:to>
    <xdr:sp macro="" textlink="">
      <xdr:nvSpPr>
        <xdr:cNvPr id="120" name="正方形/長方形 119">
          <a:extLst>
            <a:ext uri="{FF2B5EF4-FFF2-40B4-BE49-F238E27FC236}">
              <a16:creationId xmlns:a16="http://schemas.microsoft.com/office/drawing/2014/main" id="{548BA501-08A0-410B-844B-8AF5BA5B2771}"/>
            </a:ext>
          </a:extLst>
        </xdr:cNvPr>
        <xdr:cNvSpPr/>
      </xdr:nvSpPr>
      <xdr:spPr>
        <a:xfrm>
          <a:off x="176927" y="22535469"/>
          <a:ext cx="940117" cy="229621"/>
        </a:xfrm>
        <a:prstGeom prst="rect">
          <a:avLst/>
        </a:prstGeom>
        <a:blipFill>
          <a:blip xmlns:r="http://schemas.openxmlformats.org/officeDocument/2006/relationships" r:embed="rId1"/>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131</xdr:row>
      <xdr:rowOff>58170</xdr:rowOff>
    </xdr:from>
    <xdr:to>
      <xdr:col>0</xdr:col>
      <xdr:colOff>1117044</xdr:colOff>
      <xdr:row>131</xdr:row>
      <xdr:rowOff>104094</xdr:rowOff>
    </xdr:to>
    <xdr:sp macro="" textlink="">
      <xdr:nvSpPr>
        <xdr:cNvPr id="118" name="正方形/長方形 117">
          <a:extLst>
            <a:ext uri="{FF2B5EF4-FFF2-40B4-BE49-F238E27FC236}">
              <a16:creationId xmlns:a16="http://schemas.microsoft.com/office/drawing/2014/main" id="{83BD3821-4D4F-4820-96E8-EF33F63B434A}"/>
            </a:ext>
          </a:extLst>
        </xdr:cNvPr>
        <xdr:cNvSpPr/>
      </xdr:nvSpPr>
      <xdr:spPr>
        <a:xfrm>
          <a:off x="176927" y="22489545"/>
          <a:ext cx="940117" cy="45924"/>
        </a:xfrm>
        <a:prstGeom prst="rect">
          <a:avLst/>
        </a:prstGeom>
        <a:pattFill prst="smConfetti">
          <a:fgClr>
            <a:srgbClr xmlns:mc="http://schemas.openxmlformats.org/markup-compatibility/2006" xmlns:a14="http://schemas.microsoft.com/office/drawing/2010/main" val="FFCC00" mc:Ignorable="a14" a14:legacySpreadsheetColorIndex="5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00" mc:Ignorable="a14" a14:legacySpreadsheetColorIndex="5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131</xdr:row>
      <xdr:rowOff>42863</xdr:rowOff>
    </xdr:from>
    <xdr:to>
      <xdr:col>0</xdr:col>
      <xdr:colOff>1117044</xdr:colOff>
      <xdr:row>131</xdr:row>
      <xdr:rowOff>58170</xdr:rowOff>
    </xdr:to>
    <xdr:sp macro="" textlink="">
      <xdr:nvSpPr>
        <xdr:cNvPr id="116" name="正方形/長方形 115">
          <a:extLst>
            <a:ext uri="{FF2B5EF4-FFF2-40B4-BE49-F238E27FC236}">
              <a16:creationId xmlns:a16="http://schemas.microsoft.com/office/drawing/2014/main" id="{ED24F32D-1BF4-46F5-ABD8-6FF06D68E24D}"/>
            </a:ext>
          </a:extLst>
        </xdr:cNvPr>
        <xdr:cNvSpPr/>
      </xdr:nvSpPr>
      <xdr:spPr>
        <a:xfrm>
          <a:off x="176927" y="22474238"/>
          <a:ext cx="940117" cy="15307"/>
        </a:xfrm>
        <a:prstGeom prst="rect">
          <a:avLst/>
        </a:prstGeom>
        <a:pattFill prst="pct50">
          <a:fgClr>
            <a:srgbClr xmlns:mc="http://schemas.openxmlformats.org/markup-compatibility/2006" xmlns:a14="http://schemas.microsoft.com/office/drawing/2010/main" val="CCCCFF" mc:Ignorable="a14" a14:legacySpreadsheetColorIndex="3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Plastic">
          <a:extrusionClr>
            <a:srgbClr xmlns:mc="http://schemas.openxmlformats.org/markup-compatibility/2006" xmlns:a14="http://schemas.microsoft.com/office/drawing/2010/main" val="CCCCFF" mc:Ignorable="a14" a14:legacySpreadsheetColorIndex="3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115</xdr:row>
      <xdr:rowOff>47625</xdr:rowOff>
    </xdr:from>
    <xdr:to>
      <xdr:col>0</xdr:col>
      <xdr:colOff>1117044</xdr:colOff>
      <xdr:row>118</xdr:row>
      <xdr:rowOff>104775</xdr:rowOff>
    </xdr:to>
    <xdr:sp macro="" textlink="">
      <xdr:nvSpPr>
        <xdr:cNvPr id="112" name="正方形/長方形 111">
          <a:extLst>
            <a:ext uri="{FF2B5EF4-FFF2-40B4-BE49-F238E27FC236}">
              <a16:creationId xmlns:a16="http://schemas.microsoft.com/office/drawing/2014/main" id="{20C79926-9322-4BC7-BF3D-9DB4D9E5543E}"/>
            </a:ext>
          </a:extLst>
        </xdr:cNvPr>
        <xdr:cNvSpPr/>
      </xdr:nvSpPr>
      <xdr:spPr>
        <a:xfrm>
          <a:off x="176927" y="19735800"/>
          <a:ext cx="940117" cy="571500"/>
        </a:xfrm>
        <a:prstGeom prst="rect">
          <a:avLst/>
        </a:prstGeom>
        <a:blipFill>
          <a:blip xmlns:r="http://schemas.openxmlformats.org/officeDocument/2006/relationships" r:embed="rId1"/>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114</xdr:row>
      <xdr:rowOff>104775</xdr:rowOff>
    </xdr:from>
    <xdr:to>
      <xdr:col>0</xdr:col>
      <xdr:colOff>1117044</xdr:colOff>
      <xdr:row>115</xdr:row>
      <xdr:rowOff>47625</xdr:rowOff>
    </xdr:to>
    <xdr:sp macro="" textlink="">
      <xdr:nvSpPr>
        <xdr:cNvPr id="110" name="正方形/長方形 109">
          <a:extLst>
            <a:ext uri="{FF2B5EF4-FFF2-40B4-BE49-F238E27FC236}">
              <a16:creationId xmlns:a16="http://schemas.microsoft.com/office/drawing/2014/main" id="{97964D5C-D00E-48B0-92B1-FC5E1087649B}"/>
            </a:ext>
          </a:extLst>
        </xdr:cNvPr>
        <xdr:cNvSpPr/>
      </xdr:nvSpPr>
      <xdr:spPr>
        <a:xfrm>
          <a:off x="176927" y="19621500"/>
          <a:ext cx="940117" cy="114300"/>
        </a:xfrm>
        <a:prstGeom prst="rect">
          <a:avLst/>
        </a:prstGeom>
        <a:pattFill prst="smConfetti">
          <a:fgClr>
            <a:srgbClr xmlns:mc="http://schemas.openxmlformats.org/markup-compatibility/2006" xmlns:a14="http://schemas.microsoft.com/office/drawing/2010/main" val="FFCC00" mc:Ignorable="a14" a14:legacySpreadsheetColorIndex="5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00" mc:Ignorable="a14" a14:legacySpreadsheetColorIndex="5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114</xdr:row>
      <xdr:rowOff>66675</xdr:rowOff>
    </xdr:from>
    <xdr:to>
      <xdr:col>0</xdr:col>
      <xdr:colOff>1117044</xdr:colOff>
      <xdr:row>114</xdr:row>
      <xdr:rowOff>104775</xdr:rowOff>
    </xdr:to>
    <xdr:sp macro="" textlink="">
      <xdr:nvSpPr>
        <xdr:cNvPr id="108" name="正方形/長方形 107">
          <a:extLst>
            <a:ext uri="{FF2B5EF4-FFF2-40B4-BE49-F238E27FC236}">
              <a16:creationId xmlns:a16="http://schemas.microsoft.com/office/drawing/2014/main" id="{1BC4A51F-EF20-427E-99D4-F16FB3061E3C}"/>
            </a:ext>
          </a:extLst>
        </xdr:cNvPr>
        <xdr:cNvSpPr/>
      </xdr:nvSpPr>
      <xdr:spPr>
        <a:xfrm>
          <a:off x="176927" y="19583400"/>
          <a:ext cx="940117" cy="38100"/>
        </a:xfrm>
        <a:prstGeom prst="rect">
          <a:avLst/>
        </a:prstGeom>
        <a:pattFill prst="pct50">
          <a:fgClr>
            <a:srgbClr xmlns:mc="http://schemas.openxmlformats.org/markup-compatibility/2006" xmlns:a14="http://schemas.microsoft.com/office/drawing/2010/main" val="CCCCFF" mc:Ignorable="a14" a14:legacySpreadsheetColorIndex="3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Plastic">
          <a:extrusionClr>
            <a:srgbClr xmlns:mc="http://schemas.openxmlformats.org/markup-compatibility/2006" xmlns:a14="http://schemas.microsoft.com/office/drawing/2010/main" val="CCCCFF" mc:Ignorable="a14" a14:legacySpreadsheetColorIndex="3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99</xdr:row>
      <xdr:rowOff>85725</xdr:rowOff>
    </xdr:from>
    <xdr:to>
      <xdr:col>6</xdr:col>
      <xdr:colOff>1117044</xdr:colOff>
      <xdr:row>99</xdr:row>
      <xdr:rowOff>123825</xdr:rowOff>
    </xdr:to>
    <xdr:sp macro="" textlink="">
      <xdr:nvSpPr>
        <xdr:cNvPr id="104" name="正方形/長方形 103">
          <a:extLst>
            <a:ext uri="{FF2B5EF4-FFF2-40B4-BE49-F238E27FC236}">
              <a16:creationId xmlns:a16="http://schemas.microsoft.com/office/drawing/2014/main" id="{0685E528-F78B-475F-8000-88D5BB722E88}"/>
            </a:ext>
          </a:extLst>
        </xdr:cNvPr>
        <xdr:cNvSpPr/>
      </xdr:nvSpPr>
      <xdr:spPr>
        <a:xfrm>
          <a:off x="5177552" y="17030700"/>
          <a:ext cx="940117" cy="381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99</xdr:row>
      <xdr:rowOff>47625</xdr:rowOff>
    </xdr:from>
    <xdr:to>
      <xdr:col>6</xdr:col>
      <xdr:colOff>1117044</xdr:colOff>
      <xdr:row>99</xdr:row>
      <xdr:rowOff>85725</xdr:rowOff>
    </xdr:to>
    <xdr:sp macro="" textlink="">
      <xdr:nvSpPr>
        <xdr:cNvPr id="102" name="正方形/長方形 101">
          <a:extLst>
            <a:ext uri="{FF2B5EF4-FFF2-40B4-BE49-F238E27FC236}">
              <a16:creationId xmlns:a16="http://schemas.microsoft.com/office/drawing/2014/main" id="{BBA5997E-0478-434A-B9B3-20F2D42D8129}"/>
            </a:ext>
          </a:extLst>
        </xdr:cNvPr>
        <xdr:cNvSpPr/>
      </xdr:nvSpPr>
      <xdr:spPr>
        <a:xfrm>
          <a:off x="5177552" y="16992600"/>
          <a:ext cx="940117" cy="381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84</xdr:row>
      <xdr:rowOff>113156</xdr:rowOff>
    </xdr:from>
    <xdr:to>
      <xdr:col>6</xdr:col>
      <xdr:colOff>1117044</xdr:colOff>
      <xdr:row>84</xdr:row>
      <xdr:rowOff>128586</xdr:rowOff>
    </xdr:to>
    <xdr:sp macro="" textlink="">
      <xdr:nvSpPr>
        <xdr:cNvPr id="98" name="正方形/長方形 97">
          <a:extLst>
            <a:ext uri="{FF2B5EF4-FFF2-40B4-BE49-F238E27FC236}">
              <a16:creationId xmlns:a16="http://schemas.microsoft.com/office/drawing/2014/main" id="{58DCBCEC-16F9-4203-AAF6-DC6CFD85F633}"/>
            </a:ext>
          </a:extLst>
        </xdr:cNvPr>
        <xdr:cNvSpPr/>
      </xdr:nvSpPr>
      <xdr:spPr>
        <a:xfrm>
          <a:off x="5177552" y="14486381"/>
          <a:ext cx="940117" cy="1543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80</xdr:row>
      <xdr:rowOff>104584</xdr:rowOff>
    </xdr:from>
    <xdr:to>
      <xdr:col>6</xdr:col>
      <xdr:colOff>1117044</xdr:colOff>
      <xdr:row>81</xdr:row>
      <xdr:rowOff>164592</xdr:rowOff>
    </xdr:to>
    <xdr:sp macro="" textlink="">
      <xdr:nvSpPr>
        <xdr:cNvPr id="95" name="正方形/長方形 94">
          <a:extLst>
            <a:ext uri="{FF2B5EF4-FFF2-40B4-BE49-F238E27FC236}">
              <a16:creationId xmlns:a16="http://schemas.microsoft.com/office/drawing/2014/main" id="{41AB778A-FCE0-4843-B0A1-62C227326A05}"/>
            </a:ext>
          </a:extLst>
        </xdr:cNvPr>
        <xdr:cNvSpPr/>
      </xdr:nvSpPr>
      <xdr:spPr>
        <a:xfrm>
          <a:off x="5177552" y="13792009"/>
          <a:ext cx="940117" cy="231458"/>
        </a:xfrm>
        <a:prstGeom prst="rect">
          <a:avLst/>
        </a:prstGeom>
        <a:blipFill>
          <a:blip xmlns:r="http://schemas.openxmlformats.org/officeDocument/2006/relationships" r:embed="rId1"/>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80</xdr:row>
      <xdr:rowOff>58293</xdr:rowOff>
    </xdr:from>
    <xdr:to>
      <xdr:col>6</xdr:col>
      <xdr:colOff>1117044</xdr:colOff>
      <xdr:row>80</xdr:row>
      <xdr:rowOff>104584</xdr:rowOff>
    </xdr:to>
    <xdr:sp macro="" textlink="">
      <xdr:nvSpPr>
        <xdr:cNvPr id="93" name="正方形/長方形 92">
          <a:extLst>
            <a:ext uri="{FF2B5EF4-FFF2-40B4-BE49-F238E27FC236}">
              <a16:creationId xmlns:a16="http://schemas.microsoft.com/office/drawing/2014/main" id="{CE39F3A9-8D32-41AE-8BF2-65873D75A74C}"/>
            </a:ext>
          </a:extLst>
        </xdr:cNvPr>
        <xdr:cNvSpPr/>
      </xdr:nvSpPr>
      <xdr:spPr>
        <a:xfrm>
          <a:off x="5177552" y="13745718"/>
          <a:ext cx="940117" cy="46291"/>
        </a:xfrm>
        <a:prstGeom prst="rect">
          <a:avLst/>
        </a:prstGeom>
        <a:pattFill prst="smConfetti">
          <a:fgClr>
            <a:srgbClr xmlns:mc="http://schemas.openxmlformats.org/markup-compatibility/2006" xmlns:a14="http://schemas.microsoft.com/office/drawing/2010/main" val="FFCC00" mc:Ignorable="a14" a14:legacySpreadsheetColorIndex="5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00" mc:Ignorable="a14" a14:legacySpreadsheetColorIndex="5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80</xdr:row>
      <xdr:rowOff>42863</xdr:rowOff>
    </xdr:from>
    <xdr:to>
      <xdr:col>6</xdr:col>
      <xdr:colOff>1117044</xdr:colOff>
      <xdr:row>80</xdr:row>
      <xdr:rowOff>58293</xdr:rowOff>
    </xdr:to>
    <xdr:sp macro="" textlink="">
      <xdr:nvSpPr>
        <xdr:cNvPr id="91" name="正方形/長方形 90">
          <a:extLst>
            <a:ext uri="{FF2B5EF4-FFF2-40B4-BE49-F238E27FC236}">
              <a16:creationId xmlns:a16="http://schemas.microsoft.com/office/drawing/2014/main" id="{7CE60509-5508-441A-AB78-23EB01475190}"/>
            </a:ext>
          </a:extLst>
        </xdr:cNvPr>
        <xdr:cNvSpPr/>
      </xdr:nvSpPr>
      <xdr:spPr>
        <a:xfrm>
          <a:off x="5177552" y="13730288"/>
          <a:ext cx="940117" cy="15430"/>
        </a:xfrm>
        <a:prstGeom prst="rect">
          <a:avLst/>
        </a:prstGeom>
        <a:pattFill prst="pct50">
          <a:fgClr>
            <a:srgbClr xmlns:mc="http://schemas.openxmlformats.org/markup-compatibility/2006" xmlns:a14="http://schemas.microsoft.com/office/drawing/2010/main" val="CCCCFF" mc:Ignorable="a14" a14:legacySpreadsheetColorIndex="3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Plastic">
          <a:extrusionClr>
            <a:srgbClr xmlns:mc="http://schemas.openxmlformats.org/markup-compatibility/2006" xmlns:a14="http://schemas.microsoft.com/office/drawing/2010/main" val="CCCCFF" mc:Ignorable="a14" a14:legacySpreadsheetColorIndex="3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50</xdr:row>
      <xdr:rowOff>116342</xdr:rowOff>
    </xdr:from>
    <xdr:to>
      <xdr:col>6</xdr:col>
      <xdr:colOff>1117044</xdr:colOff>
      <xdr:row>50</xdr:row>
      <xdr:rowOff>128588</xdr:rowOff>
    </xdr:to>
    <xdr:sp macro="" textlink="">
      <xdr:nvSpPr>
        <xdr:cNvPr id="60" name="正方形/長方形 59">
          <a:extLst>
            <a:ext uri="{FF2B5EF4-FFF2-40B4-BE49-F238E27FC236}">
              <a16:creationId xmlns:a16="http://schemas.microsoft.com/office/drawing/2014/main" id="{109CB299-0C6B-4021-ACCC-713EB469AB50}"/>
            </a:ext>
          </a:extLst>
        </xdr:cNvPr>
        <xdr:cNvSpPr/>
      </xdr:nvSpPr>
      <xdr:spPr>
        <a:xfrm>
          <a:off x="5177552" y="8660267"/>
          <a:ext cx="940117" cy="12246"/>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50</xdr:row>
      <xdr:rowOff>104095</xdr:rowOff>
    </xdr:from>
    <xdr:to>
      <xdr:col>6</xdr:col>
      <xdr:colOff>1117044</xdr:colOff>
      <xdr:row>50</xdr:row>
      <xdr:rowOff>116342</xdr:rowOff>
    </xdr:to>
    <xdr:sp macro="" textlink="">
      <xdr:nvSpPr>
        <xdr:cNvPr id="58" name="正方形/長方形 57">
          <a:extLst>
            <a:ext uri="{FF2B5EF4-FFF2-40B4-BE49-F238E27FC236}">
              <a16:creationId xmlns:a16="http://schemas.microsoft.com/office/drawing/2014/main" id="{B1604B54-1BE4-41E9-B761-D86576297E92}"/>
            </a:ext>
          </a:extLst>
        </xdr:cNvPr>
        <xdr:cNvSpPr/>
      </xdr:nvSpPr>
      <xdr:spPr>
        <a:xfrm>
          <a:off x="5177552" y="8648020"/>
          <a:ext cx="940117" cy="12247"/>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47</xdr:row>
      <xdr:rowOff>67356</xdr:rowOff>
    </xdr:from>
    <xdr:to>
      <xdr:col>6</xdr:col>
      <xdr:colOff>1117044</xdr:colOff>
      <xdr:row>48</xdr:row>
      <xdr:rowOff>79602</xdr:rowOff>
    </xdr:to>
    <xdr:sp macro="" textlink="">
      <xdr:nvSpPr>
        <xdr:cNvPr id="55" name="正方形/長方形 54">
          <a:extLst>
            <a:ext uri="{FF2B5EF4-FFF2-40B4-BE49-F238E27FC236}">
              <a16:creationId xmlns:a16="http://schemas.microsoft.com/office/drawing/2014/main" id="{B14A1118-D466-4FBA-BD98-66FAD3FF88C6}"/>
            </a:ext>
          </a:extLst>
        </xdr:cNvPr>
        <xdr:cNvSpPr/>
      </xdr:nvSpPr>
      <xdr:spPr>
        <a:xfrm>
          <a:off x="5177552" y="8096931"/>
          <a:ext cx="940117" cy="183696"/>
        </a:xfrm>
        <a:prstGeom prst="rect">
          <a:avLst/>
        </a:prstGeom>
        <a:blipFill>
          <a:blip xmlns:r="http://schemas.openxmlformats.org/officeDocument/2006/relationships" r:embed="rId1"/>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47</xdr:row>
      <xdr:rowOff>55109</xdr:rowOff>
    </xdr:from>
    <xdr:to>
      <xdr:col>6</xdr:col>
      <xdr:colOff>1117044</xdr:colOff>
      <xdr:row>47</xdr:row>
      <xdr:rowOff>67356</xdr:rowOff>
    </xdr:to>
    <xdr:sp macro="" textlink="">
      <xdr:nvSpPr>
        <xdr:cNvPr id="53" name="正方形/長方形 52">
          <a:extLst>
            <a:ext uri="{FF2B5EF4-FFF2-40B4-BE49-F238E27FC236}">
              <a16:creationId xmlns:a16="http://schemas.microsoft.com/office/drawing/2014/main" id="{94ABF7B6-9814-45E5-A4D6-41ECA02F2E33}"/>
            </a:ext>
          </a:extLst>
        </xdr:cNvPr>
        <xdr:cNvSpPr/>
      </xdr:nvSpPr>
      <xdr:spPr>
        <a:xfrm>
          <a:off x="5177552" y="8084684"/>
          <a:ext cx="940117" cy="12247"/>
        </a:xfrm>
        <a:prstGeom prst="rect">
          <a:avLst/>
        </a:prstGeom>
        <a:pattFill prst="pct50">
          <a:fgClr>
            <a:srgbClr xmlns:mc="http://schemas.openxmlformats.org/markup-compatibility/2006" xmlns:a14="http://schemas.microsoft.com/office/drawing/2010/main" val="CCCCFF" mc:Ignorable="a14" a14:legacySpreadsheetColorIndex="3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Plastic">
          <a:extrusionClr>
            <a:srgbClr xmlns:mc="http://schemas.openxmlformats.org/markup-compatibility/2006" xmlns:a14="http://schemas.microsoft.com/office/drawing/2010/main" val="CCCCFF" mc:Ignorable="a14" a14:legacySpreadsheetColorIndex="3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46</xdr:row>
      <xdr:rowOff>165327</xdr:rowOff>
    </xdr:from>
    <xdr:to>
      <xdr:col>6</xdr:col>
      <xdr:colOff>1117044</xdr:colOff>
      <xdr:row>47</xdr:row>
      <xdr:rowOff>55109</xdr:rowOff>
    </xdr:to>
    <xdr:sp macro="" textlink="">
      <xdr:nvSpPr>
        <xdr:cNvPr id="51" name="正方形/長方形 50">
          <a:extLst>
            <a:ext uri="{FF2B5EF4-FFF2-40B4-BE49-F238E27FC236}">
              <a16:creationId xmlns:a16="http://schemas.microsoft.com/office/drawing/2014/main" id="{5EF31282-06C5-4462-8EDE-BCAA90FF53D9}"/>
            </a:ext>
          </a:extLst>
        </xdr:cNvPr>
        <xdr:cNvSpPr/>
      </xdr:nvSpPr>
      <xdr:spPr>
        <a:xfrm>
          <a:off x="5177552" y="8023452"/>
          <a:ext cx="940117" cy="61232"/>
        </a:xfrm>
        <a:prstGeom prst="rect">
          <a:avLst/>
        </a:prstGeom>
        <a:pattFill prst="openDmnd">
          <a:fgClr>
            <a:srgbClr val="FFFF00"/>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FF99" mc:Ignorable="a14" a14:legacySpreadsheetColorIndex="43"/>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46</xdr:row>
      <xdr:rowOff>42863</xdr:rowOff>
    </xdr:from>
    <xdr:to>
      <xdr:col>6</xdr:col>
      <xdr:colOff>1117044</xdr:colOff>
      <xdr:row>46</xdr:row>
      <xdr:rowOff>165327</xdr:rowOff>
    </xdr:to>
    <xdr:sp macro="" textlink="">
      <xdr:nvSpPr>
        <xdr:cNvPr id="49" name="正方形/長方形 48">
          <a:extLst>
            <a:ext uri="{FF2B5EF4-FFF2-40B4-BE49-F238E27FC236}">
              <a16:creationId xmlns:a16="http://schemas.microsoft.com/office/drawing/2014/main" id="{0F1B2150-2B47-4A3F-BC7B-FDBAFCDFD67E}"/>
            </a:ext>
          </a:extLst>
        </xdr:cNvPr>
        <xdr:cNvSpPr/>
      </xdr:nvSpPr>
      <xdr:spPr>
        <a:xfrm>
          <a:off x="5177552" y="7900988"/>
          <a:ext cx="940117" cy="122464"/>
        </a:xfrm>
        <a:prstGeom prst="rect">
          <a:avLst/>
        </a:prstGeom>
        <a:blipFill>
          <a:blip xmlns:r="http://schemas.openxmlformats.org/officeDocument/2006/relationships" r:embed="rId1"/>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67</xdr:row>
      <xdr:rowOff>116143</xdr:rowOff>
    </xdr:from>
    <xdr:to>
      <xdr:col>0</xdr:col>
      <xdr:colOff>1117044</xdr:colOff>
      <xdr:row>67</xdr:row>
      <xdr:rowOff>128588</xdr:rowOff>
    </xdr:to>
    <xdr:sp macro="" textlink="">
      <xdr:nvSpPr>
        <xdr:cNvPr id="45" name="正方形/長方形 44">
          <a:extLst>
            <a:ext uri="{FF2B5EF4-FFF2-40B4-BE49-F238E27FC236}">
              <a16:creationId xmlns:a16="http://schemas.microsoft.com/office/drawing/2014/main" id="{450C177A-47EA-4707-BFC5-93B66588AB14}"/>
            </a:ext>
          </a:extLst>
        </xdr:cNvPr>
        <xdr:cNvSpPr/>
      </xdr:nvSpPr>
      <xdr:spPr>
        <a:xfrm>
          <a:off x="176927" y="11574718"/>
          <a:ext cx="940117" cy="12445"/>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64</xdr:row>
      <xdr:rowOff>70516</xdr:rowOff>
    </xdr:from>
    <xdr:to>
      <xdr:col>0</xdr:col>
      <xdr:colOff>1117044</xdr:colOff>
      <xdr:row>65</xdr:row>
      <xdr:rowOff>85725</xdr:rowOff>
    </xdr:to>
    <xdr:sp macro="" textlink="">
      <xdr:nvSpPr>
        <xdr:cNvPr id="42" name="正方形/長方形 41">
          <a:extLst>
            <a:ext uri="{FF2B5EF4-FFF2-40B4-BE49-F238E27FC236}">
              <a16:creationId xmlns:a16="http://schemas.microsoft.com/office/drawing/2014/main" id="{F0E664DB-F1FF-4EAE-9E65-3BDD5B72B61D}"/>
            </a:ext>
          </a:extLst>
        </xdr:cNvPr>
        <xdr:cNvSpPr/>
      </xdr:nvSpPr>
      <xdr:spPr>
        <a:xfrm>
          <a:off x="176927" y="11014741"/>
          <a:ext cx="940117" cy="186659"/>
        </a:xfrm>
        <a:prstGeom prst="rect">
          <a:avLst/>
        </a:prstGeom>
        <a:blipFill>
          <a:blip xmlns:r="http://schemas.openxmlformats.org/officeDocument/2006/relationships" r:embed="rId1"/>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64</xdr:row>
      <xdr:rowOff>58072</xdr:rowOff>
    </xdr:from>
    <xdr:to>
      <xdr:col>0</xdr:col>
      <xdr:colOff>1117044</xdr:colOff>
      <xdr:row>64</xdr:row>
      <xdr:rowOff>70516</xdr:rowOff>
    </xdr:to>
    <xdr:sp macro="" textlink="">
      <xdr:nvSpPr>
        <xdr:cNvPr id="40" name="正方形/長方形 39">
          <a:extLst>
            <a:ext uri="{FF2B5EF4-FFF2-40B4-BE49-F238E27FC236}">
              <a16:creationId xmlns:a16="http://schemas.microsoft.com/office/drawing/2014/main" id="{DA2D0C1C-E530-4AA0-8B65-7D1035CAE4CF}"/>
            </a:ext>
          </a:extLst>
        </xdr:cNvPr>
        <xdr:cNvSpPr/>
      </xdr:nvSpPr>
      <xdr:spPr>
        <a:xfrm>
          <a:off x="176927" y="11002297"/>
          <a:ext cx="940117" cy="12444"/>
        </a:xfrm>
        <a:prstGeom prst="rect">
          <a:avLst/>
        </a:prstGeom>
        <a:pattFill prst="pct50">
          <a:fgClr>
            <a:srgbClr xmlns:mc="http://schemas.openxmlformats.org/markup-compatibility/2006" xmlns:a14="http://schemas.microsoft.com/office/drawing/2010/main" val="CCCCFF" mc:Ignorable="a14" a14:legacySpreadsheetColorIndex="3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Plastic">
          <a:extrusionClr>
            <a:srgbClr xmlns:mc="http://schemas.openxmlformats.org/markup-compatibility/2006" xmlns:a14="http://schemas.microsoft.com/office/drawing/2010/main" val="CCCCFF" mc:Ignorable="a14" a14:legacySpreadsheetColorIndex="3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63</xdr:row>
      <xdr:rowOff>167302</xdr:rowOff>
    </xdr:from>
    <xdr:to>
      <xdr:col>0</xdr:col>
      <xdr:colOff>1117044</xdr:colOff>
      <xdr:row>64</xdr:row>
      <xdr:rowOff>58072</xdr:rowOff>
    </xdr:to>
    <xdr:sp macro="" textlink="">
      <xdr:nvSpPr>
        <xdr:cNvPr id="38" name="正方形/長方形 37">
          <a:extLst>
            <a:ext uri="{FF2B5EF4-FFF2-40B4-BE49-F238E27FC236}">
              <a16:creationId xmlns:a16="http://schemas.microsoft.com/office/drawing/2014/main" id="{D6BC3D96-9580-494D-BE11-97AE60E632C6}"/>
            </a:ext>
          </a:extLst>
        </xdr:cNvPr>
        <xdr:cNvSpPr/>
      </xdr:nvSpPr>
      <xdr:spPr>
        <a:xfrm>
          <a:off x="176927" y="10940077"/>
          <a:ext cx="940117" cy="62220"/>
        </a:xfrm>
        <a:prstGeom prst="rect">
          <a:avLst/>
        </a:prstGeom>
        <a:pattFill prst="openDmnd">
          <a:fgClr>
            <a:srgbClr val="FFFF00"/>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FF99" mc:Ignorable="a14" a14:legacySpreadsheetColorIndex="43"/>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176927</xdr:colOff>
      <xdr:row>63</xdr:row>
      <xdr:rowOff>42863</xdr:rowOff>
    </xdr:from>
    <xdr:to>
      <xdr:col>0</xdr:col>
      <xdr:colOff>1117044</xdr:colOff>
      <xdr:row>63</xdr:row>
      <xdr:rowOff>167302</xdr:rowOff>
    </xdr:to>
    <xdr:sp macro="" textlink="">
      <xdr:nvSpPr>
        <xdr:cNvPr id="36" name="正方形/長方形 35">
          <a:extLst>
            <a:ext uri="{FF2B5EF4-FFF2-40B4-BE49-F238E27FC236}">
              <a16:creationId xmlns:a16="http://schemas.microsoft.com/office/drawing/2014/main" id="{C43C41D7-A1AE-4C6A-8DE9-1B8946B65CEB}"/>
            </a:ext>
          </a:extLst>
        </xdr:cNvPr>
        <xdr:cNvSpPr/>
      </xdr:nvSpPr>
      <xdr:spPr>
        <a:xfrm>
          <a:off x="176927" y="10815638"/>
          <a:ext cx="940117" cy="124439"/>
        </a:xfrm>
        <a:prstGeom prst="rect">
          <a:avLst/>
        </a:prstGeom>
        <a:blipFill>
          <a:blip xmlns:r="http://schemas.openxmlformats.org/officeDocument/2006/relationships" r:embed="rId1"/>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6713</xdr:colOff>
      <xdr:row>13</xdr:row>
      <xdr:rowOff>97474</xdr:rowOff>
    </xdr:from>
    <xdr:to>
      <xdr:col>0</xdr:col>
      <xdr:colOff>394448</xdr:colOff>
      <xdr:row>16</xdr:row>
      <xdr:rowOff>81594</xdr:rowOff>
    </xdr:to>
    <xdr:sp macro="" textlink="">
      <xdr:nvSpPr>
        <xdr:cNvPr id="2" name="テキスト ボックス 1">
          <a:extLst>
            <a:ext uri="{FF2B5EF4-FFF2-40B4-BE49-F238E27FC236}">
              <a16:creationId xmlns:a16="http://schemas.microsoft.com/office/drawing/2014/main" id="{67B2F941-3301-4063-924D-7A696BF4FE61}"/>
            </a:ext>
          </a:extLst>
        </xdr:cNvPr>
        <xdr:cNvSpPr txBox="1"/>
      </xdr:nvSpPr>
      <xdr:spPr>
        <a:xfrm>
          <a:off x="6713" y="229774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屋外</a:t>
          </a:r>
        </a:p>
      </xdr:txBody>
    </xdr:sp>
    <xdr:clientData/>
  </xdr:twoCellAnchor>
  <xdr:twoCellAnchor>
    <xdr:from>
      <xdr:col>0</xdr:col>
      <xdr:colOff>302181</xdr:colOff>
      <xdr:row>11</xdr:row>
      <xdr:rowOff>3810</xdr:rowOff>
    </xdr:from>
    <xdr:to>
      <xdr:col>0</xdr:col>
      <xdr:colOff>546367</xdr:colOff>
      <xdr:row>19</xdr:row>
      <xdr:rowOff>3810</xdr:rowOff>
    </xdr:to>
    <xdr:sp macro="" textlink="">
      <xdr:nvSpPr>
        <xdr:cNvPr id="3" name="正方形/長方形 2">
          <a:extLst>
            <a:ext uri="{FF2B5EF4-FFF2-40B4-BE49-F238E27FC236}">
              <a16:creationId xmlns:a16="http://schemas.microsoft.com/office/drawing/2014/main" id="{31FEDF03-B39F-4FB1-B597-477E685CF8A9}"/>
            </a:ext>
          </a:extLst>
        </xdr:cNvPr>
        <xdr:cNvSpPr/>
      </xdr:nvSpPr>
      <xdr:spPr>
        <a:xfrm>
          <a:off x="302181" y="1861185"/>
          <a:ext cx="244186" cy="1371600"/>
        </a:xfrm>
        <a:prstGeom prst="rect">
          <a:avLst/>
        </a:prstGeom>
        <a:pattFill prst="pct40">
          <a:fgClr>
            <a:srgbClr xmlns:mc="http://schemas.openxmlformats.org/markup-compatibility/2006" xmlns:a14="http://schemas.microsoft.com/office/drawing/2010/main" val="C0C0C0" mc:Ignorable="a14" a14:legacySpreadsheetColorIndex="22"/>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367124</xdr:colOff>
      <xdr:row>10</xdr:row>
      <xdr:rowOff>13335</xdr:rowOff>
    </xdr:from>
    <xdr:to>
      <xdr:col>0</xdr:col>
      <xdr:colOff>481424</xdr:colOff>
      <xdr:row>10</xdr:row>
      <xdr:rowOff>137160</xdr:rowOff>
    </xdr:to>
    <xdr:sp macro="" textlink="">
      <xdr:nvSpPr>
        <xdr:cNvPr id="4" name="テキスト ボックス 3">
          <a:extLst>
            <a:ext uri="{FF2B5EF4-FFF2-40B4-BE49-F238E27FC236}">
              <a16:creationId xmlns:a16="http://schemas.microsoft.com/office/drawing/2014/main" id="{277E5103-B3A8-4DD5-8E78-0642BD84D648}"/>
            </a:ext>
          </a:extLst>
        </xdr:cNvPr>
        <xdr:cNvSpPr txBox="1"/>
      </xdr:nvSpPr>
      <xdr:spPr>
        <a:xfrm>
          <a:off x="367124"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0</xdr:col>
      <xdr:colOff>546367</xdr:colOff>
      <xdr:row>11</xdr:row>
      <xdr:rowOff>3810</xdr:rowOff>
    </xdr:from>
    <xdr:to>
      <xdr:col>0</xdr:col>
      <xdr:colOff>607414</xdr:colOff>
      <xdr:row>19</xdr:row>
      <xdr:rowOff>3810</xdr:rowOff>
    </xdr:to>
    <xdr:sp macro="" textlink="">
      <xdr:nvSpPr>
        <xdr:cNvPr id="5" name="正方形/長方形 4">
          <a:extLst>
            <a:ext uri="{FF2B5EF4-FFF2-40B4-BE49-F238E27FC236}">
              <a16:creationId xmlns:a16="http://schemas.microsoft.com/office/drawing/2014/main" id="{10307431-E21B-4C02-BD76-88164BD5B213}"/>
            </a:ext>
          </a:extLst>
        </xdr:cNvPr>
        <xdr:cNvSpPr/>
      </xdr:nvSpPr>
      <xdr:spPr>
        <a:xfrm>
          <a:off x="546367" y="1861185"/>
          <a:ext cx="61047" cy="1371600"/>
        </a:xfrm>
        <a:prstGeom prst="rect">
          <a:avLst/>
        </a:prstGeom>
        <a:pattFill prst="openDmnd">
          <a:fgClr>
            <a:srgbClr val="FFFF00"/>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FF99" mc:Ignorable="a14" a14:legacySpreadsheetColorIndex="43"/>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519740</xdr:colOff>
      <xdr:row>10</xdr:row>
      <xdr:rowOff>13335</xdr:rowOff>
    </xdr:from>
    <xdr:to>
      <xdr:col>0</xdr:col>
      <xdr:colOff>634040</xdr:colOff>
      <xdr:row>10</xdr:row>
      <xdr:rowOff>137160</xdr:rowOff>
    </xdr:to>
    <xdr:sp macro="" textlink="">
      <xdr:nvSpPr>
        <xdr:cNvPr id="6" name="テキスト ボックス 5">
          <a:extLst>
            <a:ext uri="{FF2B5EF4-FFF2-40B4-BE49-F238E27FC236}">
              <a16:creationId xmlns:a16="http://schemas.microsoft.com/office/drawing/2014/main" id="{C052D693-043B-4150-AE35-01DC3C168774}"/>
            </a:ext>
          </a:extLst>
        </xdr:cNvPr>
        <xdr:cNvSpPr txBox="1"/>
      </xdr:nvSpPr>
      <xdr:spPr>
        <a:xfrm>
          <a:off x="519740"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0</xdr:col>
      <xdr:colOff>672357</xdr:colOff>
      <xdr:row>10</xdr:row>
      <xdr:rowOff>13335</xdr:rowOff>
    </xdr:from>
    <xdr:to>
      <xdr:col>0</xdr:col>
      <xdr:colOff>786657</xdr:colOff>
      <xdr:row>10</xdr:row>
      <xdr:rowOff>137160</xdr:rowOff>
    </xdr:to>
    <xdr:sp macro="" textlink="">
      <xdr:nvSpPr>
        <xdr:cNvPr id="7" name="テキスト ボックス 6">
          <a:extLst>
            <a:ext uri="{FF2B5EF4-FFF2-40B4-BE49-F238E27FC236}">
              <a16:creationId xmlns:a16="http://schemas.microsoft.com/office/drawing/2014/main" id="{7C91C1C6-18B1-4077-BE81-6F8605EFB8FA}"/>
            </a:ext>
          </a:extLst>
        </xdr:cNvPr>
        <xdr:cNvSpPr txBox="1"/>
      </xdr:nvSpPr>
      <xdr:spPr>
        <a:xfrm>
          <a:off x="672357"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0</xdr:col>
      <xdr:colOff>851600</xdr:colOff>
      <xdr:row>11</xdr:row>
      <xdr:rowOff>3810</xdr:rowOff>
    </xdr:from>
    <xdr:to>
      <xdr:col>0</xdr:col>
      <xdr:colOff>883344</xdr:colOff>
      <xdr:row>19</xdr:row>
      <xdr:rowOff>3810</xdr:rowOff>
    </xdr:to>
    <xdr:sp macro="" textlink="">
      <xdr:nvSpPr>
        <xdr:cNvPr id="8" name="正方形/長方形 7">
          <a:extLst>
            <a:ext uri="{FF2B5EF4-FFF2-40B4-BE49-F238E27FC236}">
              <a16:creationId xmlns:a16="http://schemas.microsoft.com/office/drawing/2014/main" id="{CB43AD16-400B-4AB2-BE18-FBB868828ADE}"/>
            </a:ext>
          </a:extLst>
        </xdr:cNvPr>
        <xdr:cNvSpPr/>
      </xdr:nvSpPr>
      <xdr:spPr>
        <a:xfrm>
          <a:off x="851600" y="1861185"/>
          <a:ext cx="31744"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810322</xdr:colOff>
      <xdr:row>10</xdr:row>
      <xdr:rowOff>13335</xdr:rowOff>
    </xdr:from>
    <xdr:to>
      <xdr:col>0</xdr:col>
      <xdr:colOff>924622</xdr:colOff>
      <xdr:row>10</xdr:row>
      <xdr:rowOff>137160</xdr:rowOff>
    </xdr:to>
    <xdr:sp macro="" textlink="">
      <xdr:nvSpPr>
        <xdr:cNvPr id="9" name="テキスト ボックス 8">
          <a:extLst>
            <a:ext uri="{FF2B5EF4-FFF2-40B4-BE49-F238E27FC236}">
              <a16:creationId xmlns:a16="http://schemas.microsoft.com/office/drawing/2014/main" id="{25295DE2-473C-4CA7-B167-FDE4D73375B3}"/>
            </a:ext>
          </a:extLst>
        </xdr:cNvPr>
        <xdr:cNvSpPr txBox="1"/>
      </xdr:nvSpPr>
      <xdr:spPr>
        <a:xfrm>
          <a:off x="810322"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0</xdr:col>
      <xdr:colOff>883344</xdr:colOff>
      <xdr:row>11</xdr:row>
      <xdr:rowOff>3810</xdr:rowOff>
    </xdr:from>
    <xdr:to>
      <xdr:col>0</xdr:col>
      <xdr:colOff>907763</xdr:colOff>
      <xdr:row>19</xdr:row>
      <xdr:rowOff>3810</xdr:rowOff>
    </xdr:to>
    <xdr:sp macro="" textlink="">
      <xdr:nvSpPr>
        <xdr:cNvPr id="10" name="正方形/長方形 9">
          <a:extLst>
            <a:ext uri="{FF2B5EF4-FFF2-40B4-BE49-F238E27FC236}">
              <a16:creationId xmlns:a16="http://schemas.microsoft.com/office/drawing/2014/main" id="{F53807A7-26C4-4E41-8AFC-76E50469FFEC}"/>
            </a:ext>
          </a:extLst>
        </xdr:cNvPr>
        <xdr:cNvSpPr/>
      </xdr:nvSpPr>
      <xdr:spPr>
        <a:xfrm>
          <a:off x="883344" y="1861185"/>
          <a:ext cx="24419"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873187</xdr:colOff>
      <xdr:row>10</xdr:row>
      <xdr:rowOff>13335</xdr:rowOff>
    </xdr:from>
    <xdr:to>
      <xdr:col>0</xdr:col>
      <xdr:colOff>987487</xdr:colOff>
      <xdr:row>10</xdr:row>
      <xdr:rowOff>137160</xdr:rowOff>
    </xdr:to>
    <xdr:sp macro="" textlink="">
      <xdr:nvSpPr>
        <xdr:cNvPr id="11" name="テキスト ボックス 10">
          <a:extLst>
            <a:ext uri="{FF2B5EF4-FFF2-40B4-BE49-F238E27FC236}">
              <a16:creationId xmlns:a16="http://schemas.microsoft.com/office/drawing/2014/main" id="{602E26D8-9DF3-4A7D-A4EB-DEDD4703D772}"/>
            </a:ext>
          </a:extLst>
        </xdr:cNvPr>
        <xdr:cNvSpPr txBox="1"/>
      </xdr:nvSpPr>
      <xdr:spPr>
        <a:xfrm>
          <a:off x="873187"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5</a:t>
          </a:r>
          <a:endParaRPr kumimoji="1" lang="ja-JP" altLang="en-US" sz="800" b="0" i="0">
            <a:latin typeface="ＭＳ Ｐゴシック" panose="020B0600070205080204" pitchFamily="50" charset="-128"/>
          </a:endParaRPr>
        </a:p>
      </xdr:txBody>
    </xdr:sp>
    <xdr:clientData/>
  </xdr:twoCellAnchor>
  <xdr:twoCellAnchor>
    <xdr:from>
      <xdr:col>0</xdr:col>
      <xdr:colOff>1018695</xdr:colOff>
      <xdr:row>13</xdr:row>
      <xdr:rowOff>97474</xdr:rowOff>
    </xdr:from>
    <xdr:to>
      <xdr:col>1</xdr:col>
      <xdr:colOff>63405</xdr:colOff>
      <xdr:row>16</xdr:row>
      <xdr:rowOff>81594</xdr:rowOff>
    </xdr:to>
    <xdr:sp macro="" textlink="">
      <xdr:nvSpPr>
        <xdr:cNvPr id="12" name="テキスト ボックス 11">
          <a:extLst>
            <a:ext uri="{FF2B5EF4-FFF2-40B4-BE49-F238E27FC236}">
              <a16:creationId xmlns:a16="http://schemas.microsoft.com/office/drawing/2014/main" id="{93399FDB-047D-4F26-BA50-B488701D6E1E}"/>
            </a:ext>
          </a:extLst>
        </xdr:cNvPr>
        <xdr:cNvSpPr txBox="1"/>
      </xdr:nvSpPr>
      <xdr:spPr>
        <a:xfrm>
          <a:off x="1018695" y="229774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6713</xdr:colOff>
      <xdr:row>30</xdr:row>
      <xdr:rowOff>97474</xdr:rowOff>
    </xdr:from>
    <xdr:to>
      <xdr:col>0</xdr:col>
      <xdr:colOff>394448</xdr:colOff>
      <xdr:row>33</xdr:row>
      <xdr:rowOff>81594</xdr:rowOff>
    </xdr:to>
    <xdr:sp macro="" textlink="">
      <xdr:nvSpPr>
        <xdr:cNvPr id="13" name="テキスト ボックス 12">
          <a:extLst>
            <a:ext uri="{FF2B5EF4-FFF2-40B4-BE49-F238E27FC236}">
              <a16:creationId xmlns:a16="http://schemas.microsoft.com/office/drawing/2014/main" id="{745735FD-1171-4972-AD4B-7CA64A9ADE3A}"/>
            </a:ext>
          </a:extLst>
        </xdr:cNvPr>
        <xdr:cNvSpPr txBox="1"/>
      </xdr:nvSpPr>
      <xdr:spPr>
        <a:xfrm>
          <a:off x="6713" y="521239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屋外</a:t>
          </a:r>
        </a:p>
      </xdr:txBody>
    </xdr:sp>
    <xdr:clientData/>
  </xdr:twoCellAnchor>
  <xdr:twoCellAnchor>
    <xdr:from>
      <xdr:col>0</xdr:col>
      <xdr:colOff>302181</xdr:colOff>
      <xdr:row>28</xdr:row>
      <xdr:rowOff>3810</xdr:rowOff>
    </xdr:from>
    <xdr:to>
      <xdr:col>0</xdr:col>
      <xdr:colOff>556649</xdr:colOff>
      <xdr:row>36</xdr:row>
      <xdr:rowOff>3810</xdr:rowOff>
    </xdr:to>
    <xdr:sp macro="" textlink="">
      <xdr:nvSpPr>
        <xdr:cNvPr id="14" name="正方形/長方形 13">
          <a:extLst>
            <a:ext uri="{FF2B5EF4-FFF2-40B4-BE49-F238E27FC236}">
              <a16:creationId xmlns:a16="http://schemas.microsoft.com/office/drawing/2014/main" id="{B10EC257-0F0A-4E4B-80BE-3C9A98922A7A}"/>
            </a:ext>
          </a:extLst>
        </xdr:cNvPr>
        <xdr:cNvSpPr/>
      </xdr:nvSpPr>
      <xdr:spPr>
        <a:xfrm>
          <a:off x="302181" y="4775835"/>
          <a:ext cx="254468" cy="1371600"/>
        </a:xfrm>
        <a:prstGeom prst="rect">
          <a:avLst/>
        </a:prstGeom>
        <a:pattFill prst="pct40">
          <a:fgClr>
            <a:srgbClr xmlns:mc="http://schemas.openxmlformats.org/markup-compatibility/2006" xmlns:a14="http://schemas.microsoft.com/office/drawing/2010/main" val="C0C0C0" mc:Ignorable="a14" a14:legacySpreadsheetColorIndex="22"/>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372265</xdr:colOff>
      <xdr:row>27</xdr:row>
      <xdr:rowOff>13335</xdr:rowOff>
    </xdr:from>
    <xdr:to>
      <xdr:col>0</xdr:col>
      <xdr:colOff>486565</xdr:colOff>
      <xdr:row>27</xdr:row>
      <xdr:rowOff>137160</xdr:rowOff>
    </xdr:to>
    <xdr:sp macro="" textlink="">
      <xdr:nvSpPr>
        <xdr:cNvPr id="15" name="テキスト ボックス 14">
          <a:extLst>
            <a:ext uri="{FF2B5EF4-FFF2-40B4-BE49-F238E27FC236}">
              <a16:creationId xmlns:a16="http://schemas.microsoft.com/office/drawing/2014/main" id="{A4A94362-187A-4165-872E-188DBED4DB02}"/>
            </a:ext>
          </a:extLst>
        </xdr:cNvPr>
        <xdr:cNvSpPr txBox="1"/>
      </xdr:nvSpPr>
      <xdr:spPr>
        <a:xfrm>
          <a:off x="372265" y="461391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0</xdr:col>
      <xdr:colOff>556649</xdr:colOff>
      <xdr:row>28</xdr:row>
      <xdr:rowOff>3810</xdr:rowOff>
    </xdr:from>
    <xdr:to>
      <xdr:col>0</xdr:col>
      <xdr:colOff>620266</xdr:colOff>
      <xdr:row>36</xdr:row>
      <xdr:rowOff>3810</xdr:rowOff>
    </xdr:to>
    <xdr:sp macro="" textlink="">
      <xdr:nvSpPr>
        <xdr:cNvPr id="16" name="正方形/長方形 15">
          <a:extLst>
            <a:ext uri="{FF2B5EF4-FFF2-40B4-BE49-F238E27FC236}">
              <a16:creationId xmlns:a16="http://schemas.microsoft.com/office/drawing/2014/main" id="{0A92769A-9552-4D25-ADEB-5FA69B6C2C8F}"/>
            </a:ext>
          </a:extLst>
        </xdr:cNvPr>
        <xdr:cNvSpPr/>
      </xdr:nvSpPr>
      <xdr:spPr>
        <a:xfrm>
          <a:off x="556649" y="4775835"/>
          <a:ext cx="63617" cy="1371600"/>
        </a:xfrm>
        <a:prstGeom prst="rect">
          <a:avLst/>
        </a:prstGeom>
        <a:pattFill prst="openDmnd">
          <a:fgClr>
            <a:srgbClr val="FFFF00"/>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FF99" mc:Ignorable="a14" a14:legacySpreadsheetColorIndex="43"/>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531307</xdr:colOff>
      <xdr:row>27</xdr:row>
      <xdr:rowOff>13335</xdr:rowOff>
    </xdr:from>
    <xdr:to>
      <xdr:col>0</xdr:col>
      <xdr:colOff>645607</xdr:colOff>
      <xdr:row>27</xdr:row>
      <xdr:rowOff>137160</xdr:rowOff>
    </xdr:to>
    <xdr:sp macro="" textlink="">
      <xdr:nvSpPr>
        <xdr:cNvPr id="17" name="テキスト ボックス 16">
          <a:extLst>
            <a:ext uri="{FF2B5EF4-FFF2-40B4-BE49-F238E27FC236}">
              <a16:creationId xmlns:a16="http://schemas.microsoft.com/office/drawing/2014/main" id="{B172E757-21FA-49F7-84E9-C6D352461234}"/>
            </a:ext>
          </a:extLst>
        </xdr:cNvPr>
        <xdr:cNvSpPr txBox="1"/>
      </xdr:nvSpPr>
      <xdr:spPr>
        <a:xfrm>
          <a:off x="531307" y="461391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0</xdr:col>
      <xdr:colOff>690349</xdr:colOff>
      <xdr:row>27</xdr:row>
      <xdr:rowOff>13335</xdr:rowOff>
    </xdr:from>
    <xdr:to>
      <xdr:col>0</xdr:col>
      <xdr:colOff>804649</xdr:colOff>
      <xdr:row>27</xdr:row>
      <xdr:rowOff>137160</xdr:rowOff>
    </xdr:to>
    <xdr:sp macro="" textlink="">
      <xdr:nvSpPr>
        <xdr:cNvPr id="18" name="テキスト ボックス 17">
          <a:extLst>
            <a:ext uri="{FF2B5EF4-FFF2-40B4-BE49-F238E27FC236}">
              <a16:creationId xmlns:a16="http://schemas.microsoft.com/office/drawing/2014/main" id="{5D5F5FFE-64C4-4871-BFF1-14CB50D664AA}"/>
            </a:ext>
          </a:extLst>
        </xdr:cNvPr>
        <xdr:cNvSpPr txBox="1"/>
      </xdr:nvSpPr>
      <xdr:spPr>
        <a:xfrm>
          <a:off x="690349" y="461391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0</xdr:col>
      <xdr:colOff>874733</xdr:colOff>
      <xdr:row>28</xdr:row>
      <xdr:rowOff>3810</xdr:rowOff>
    </xdr:from>
    <xdr:to>
      <xdr:col>0</xdr:col>
      <xdr:colOff>907814</xdr:colOff>
      <xdr:row>36</xdr:row>
      <xdr:rowOff>3810</xdr:rowOff>
    </xdr:to>
    <xdr:sp macro="" textlink="">
      <xdr:nvSpPr>
        <xdr:cNvPr id="19" name="正方形/長方形 18">
          <a:extLst>
            <a:ext uri="{FF2B5EF4-FFF2-40B4-BE49-F238E27FC236}">
              <a16:creationId xmlns:a16="http://schemas.microsoft.com/office/drawing/2014/main" id="{E55799E9-05B0-47A8-A1A8-443F61C1A5C4}"/>
            </a:ext>
          </a:extLst>
        </xdr:cNvPr>
        <xdr:cNvSpPr/>
      </xdr:nvSpPr>
      <xdr:spPr>
        <a:xfrm>
          <a:off x="874733" y="4775835"/>
          <a:ext cx="33081"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834124</xdr:colOff>
      <xdr:row>27</xdr:row>
      <xdr:rowOff>13335</xdr:rowOff>
    </xdr:from>
    <xdr:to>
      <xdr:col>0</xdr:col>
      <xdr:colOff>948424</xdr:colOff>
      <xdr:row>27</xdr:row>
      <xdr:rowOff>137160</xdr:rowOff>
    </xdr:to>
    <xdr:sp macro="" textlink="">
      <xdr:nvSpPr>
        <xdr:cNvPr id="20" name="テキスト ボックス 19">
          <a:extLst>
            <a:ext uri="{FF2B5EF4-FFF2-40B4-BE49-F238E27FC236}">
              <a16:creationId xmlns:a16="http://schemas.microsoft.com/office/drawing/2014/main" id="{50307FA3-5562-4299-9939-C53BAE60A7A5}"/>
            </a:ext>
          </a:extLst>
        </xdr:cNvPr>
        <xdr:cNvSpPr txBox="1"/>
      </xdr:nvSpPr>
      <xdr:spPr>
        <a:xfrm>
          <a:off x="834124" y="461391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0</xdr:col>
      <xdr:colOff>1018746</xdr:colOff>
      <xdr:row>30</xdr:row>
      <xdr:rowOff>97474</xdr:rowOff>
    </xdr:from>
    <xdr:to>
      <xdr:col>1</xdr:col>
      <xdr:colOff>63456</xdr:colOff>
      <xdr:row>33</xdr:row>
      <xdr:rowOff>81594</xdr:rowOff>
    </xdr:to>
    <xdr:sp macro="" textlink="">
      <xdr:nvSpPr>
        <xdr:cNvPr id="21" name="テキスト ボックス 20">
          <a:extLst>
            <a:ext uri="{FF2B5EF4-FFF2-40B4-BE49-F238E27FC236}">
              <a16:creationId xmlns:a16="http://schemas.microsoft.com/office/drawing/2014/main" id="{6ED1163D-CAD5-4FEF-883D-55219A5EAE18}"/>
            </a:ext>
          </a:extLst>
        </xdr:cNvPr>
        <xdr:cNvSpPr txBox="1"/>
      </xdr:nvSpPr>
      <xdr:spPr>
        <a:xfrm>
          <a:off x="1018746" y="521239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590931</xdr:colOff>
      <xdr:row>11</xdr:row>
      <xdr:rowOff>3810</xdr:rowOff>
    </xdr:from>
    <xdr:to>
      <xdr:col>6</xdr:col>
      <xdr:colOff>617791</xdr:colOff>
      <xdr:row>19</xdr:row>
      <xdr:rowOff>3810</xdr:rowOff>
    </xdr:to>
    <xdr:sp macro="" textlink="">
      <xdr:nvSpPr>
        <xdr:cNvPr id="22" name="正方形/長方形 21">
          <a:extLst>
            <a:ext uri="{FF2B5EF4-FFF2-40B4-BE49-F238E27FC236}">
              <a16:creationId xmlns:a16="http://schemas.microsoft.com/office/drawing/2014/main" id="{AD2E7F01-6142-4900-815F-D58F7755B93A}"/>
            </a:ext>
          </a:extLst>
        </xdr:cNvPr>
        <xdr:cNvSpPr/>
      </xdr:nvSpPr>
      <xdr:spPr>
        <a:xfrm>
          <a:off x="5591556" y="1861185"/>
          <a:ext cx="26860" cy="1371600"/>
        </a:xfrm>
        <a:prstGeom prst="rect">
          <a:avLst/>
        </a:prstGeom>
        <a:pattFill prst="pct50">
          <a:fgClr>
            <a:srgbClr xmlns:mc="http://schemas.openxmlformats.org/markup-compatibility/2006" xmlns:a14="http://schemas.microsoft.com/office/drawing/2010/main" val="C0C0C0" mc:Ignorable="a14" a14:legacySpreadsheetColorIndex="22"/>
          </a:fgClr>
          <a:bgClr>
            <a:srgbClr val="FFFFFF"/>
          </a:bgClr>
        </a:pattFill>
        <a:ln w="317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a:scene3d>
          <a:camera prst="legacyObliqueTopRight"/>
          <a:lightRig rig="threePt" dir="tl"/>
        </a:scene3d>
        <a:sp3d extrusionH="457200" prstMaterial="clear">
          <a:extrusionClr>
            <a:srgbClr xmlns:mc="http://schemas.openxmlformats.org/markup-compatibility/2006" xmlns:a14="http://schemas.microsoft.com/office/drawing/2010/main" val="C0C0C0" mc:Ignorable="a14" a14:legacySpreadsheetColorIndex="2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553561</xdr:colOff>
      <xdr:row>10</xdr:row>
      <xdr:rowOff>13335</xdr:rowOff>
    </xdr:from>
    <xdr:to>
      <xdr:col>6</xdr:col>
      <xdr:colOff>655161</xdr:colOff>
      <xdr:row>10</xdr:row>
      <xdr:rowOff>137160</xdr:rowOff>
    </xdr:to>
    <xdr:sp macro="" textlink="">
      <xdr:nvSpPr>
        <xdr:cNvPr id="23" name="テキスト ボックス 22">
          <a:extLst>
            <a:ext uri="{FF2B5EF4-FFF2-40B4-BE49-F238E27FC236}">
              <a16:creationId xmlns:a16="http://schemas.microsoft.com/office/drawing/2014/main" id="{E8919DB1-1840-4756-B40D-BFE7523DB4F6}"/>
            </a:ext>
          </a:extLst>
        </xdr:cNvPr>
        <xdr:cNvSpPr txBox="1"/>
      </xdr:nvSpPr>
      <xdr:spPr>
        <a:xfrm>
          <a:off x="5554186" y="1699260"/>
          <a:ext cx="1016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6</xdr:col>
      <xdr:colOff>295463</xdr:colOff>
      <xdr:row>13</xdr:row>
      <xdr:rowOff>97474</xdr:rowOff>
    </xdr:from>
    <xdr:to>
      <xdr:col>6</xdr:col>
      <xdr:colOff>683198</xdr:colOff>
      <xdr:row>16</xdr:row>
      <xdr:rowOff>81594</xdr:rowOff>
    </xdr:to>
    <xdr:sp macro="" textlink="">
      <xdr:nvSpPr>
        <xdr:cNvPr id="24" name="テキスト ボックス 23">
          <a:extLst>
            <a:ext uri="{FF2B5EF4-FFF2-40B4-BE49-F238E27FC236}">
              <a16:creationId xmlns:a16="http://schemas.microsoft.com/office/drawing/2014/main" id="{7ED6EF48-C4F3-4849-A7FC-4436F67F1C1A}"/>
            </a:ext>
          </a:extLst>
        </xdr:cNvPr>
        <xdr:cNvSpPr txBox="1"/>
      </xdr:nvSpPr>
      <xdr:spPr>
        <a:xfrm>
          <a:off x="5296088" y="229774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屋外</a:t>
          </a:r>
        </a:p>
      </xdr:txBody>
    </xdr:sp>
    <xdr:clientData/>
  </xdr:twoCellAnchor>
  <xdr:twoCellAnchor>
    <xdr:from>
      <xdr:col>6</xdr:col>
      <xdr:colOff>728723</xdr:colOff>
      <xdr:row>13</xdr:row>
      <xdr:rowOff>97474</xdr:rowOff>
    </xdr:from>
    <xdr:to>
      <xdr:col>6</xdr:col>
      <xdr:colOff>1116458</xdr:colOff>
      <xdr:row>16</xdr:row>
      <xdr:rowOff>81594</xdr:rowOff>
    </xdr:to>
    <xdr:sp macro="" textlink="">
      <xdr:nvSpPr>
        <xdr:cNvPr id="25" name="テキスト ボックス 24">
          <a:extLst>
            <a:ext uri="{FF2B5EF4-FFF2-40B4-BE49-F238E27FC236}">
              <a16:creationId xmlns:a16="http://schemas.microsoft.com/office/drawing/2014/main" id="{29762329-EDF5-42EE-99B1-108763B38A0A}"/>
            </a:ext>
          </a:extLst>
        </xdr:cNvPr>
        <xdr:cNvSpPr txBox="1"/>
      </xdr:nvSpPr>
      <xdr:spPr>
        <a:xfrm>
          <a:off x="5729348" y="229774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590931</xdr:colOff>
      <xdr:row>28</xdr:row>
      <xdr:rowOff>3810</xdr:rowOff>
    </xdr:from>
    <xdr:to>
      <xdr:col>6</xdr:col>
      <xdr:colOff>617791</xdr:colOff>
      <xdr:row>36</xdr:row>
      <xdr:rowOff>3810</xdr:rowOff>
    </xdr:to>
    <xdr:sp macro="" textlink="">
      <xdr:nvSpPr>
        <xdr:cNvPr id="26" name="正方形/長方形 25">
          <a:extLst>
            <a:ext uri="{FF2B5EF4-FFF2-40B4-BE49-F238E27FC236}">
              <a16:creationId xmlns:a16="http://schemas.microsoft.com/office/drawing/2014/main" id="{90A0CF16-863E-45D4-A4A4-C3F395E77D77}"/>
            </a:ext>
          </a:extLst>
        </xdr:cNvPr>
        <xdr:cNvSpPr/>
      </xdr:nvSpPr>
      <xdr:spPr>
        <a:xfrm>
          <a:off x="5591556" y="4775835"/>
          <a:ext cx="26860" cy="1371600"/>
        </a:xfrm>
        <a:prstGeom prst="rect">
          <a:avLst/>
        </a:prstGeom>
        <a:pattFill prst="pct50">
          <a:fgClr>
            <a:srgbClr xmlns:mc="http://schemas.openxmlformats.org/markup-compatibility/2006" xmlns:a14="http://schemas.microsoft.com/office/drawing/2010/main" val="C0C0C0" mc:Ignorable="a14" a14:legacySpreadsheetColorIndex="22"/>
          </a:fgClr>
          <a:bgClr>
            <a:srgbClr val="FFFFFF"/>
          </a:bgClr>
        </a:pattFill>
        <a:ln w="317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a:scene3d>
          <a:camera prst="legacyObliqueTopRight"/>
          <a:lightRig rig="threePt" dir="tl"/>
        </a:scene3d>
        <a:sp3d extrusionH="457200" prstMaterial="clear">
          <a:extrusionClr>
            <a:srgbClr xmlns:mc="http://schemas.openxmlformats.org/markup-compatibility/2006" xmlns:a14="http://schemas.microsoft.com/office/drawing/2010/main" val="C0C0C0" mc:Ignorable="a14" a14:legacySpreadsheetColorIndex="2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553561</xdr:colOff>
      <xdr:row>27</xdr:row>
      <xdr:rowOff>13335</xdr:rowOff>
    </xdr:from>
    <xdr:to>
      <xdr:col>6</xdr:col>
      <xdr:colOff>655161</xdr:colOff>
      <xdr:row>27</xdr:row>
      <xdr:rowOff>137160</xdr:rowOff>
    </xdr:to>
    <xdr:sp macro="" textlink="">
      <xdr:nvSpPr>
        <xdr:cNvPr id="27" name="テキスト ボックス 26">
          <a:extLst>
            <a:ext uri="{FF2B5EF4-FFF2-40B4-BE49-F238E27FC236}">
              <a16:creationId xmlns:a16="http://schemas.microsoft.com/office/drawing/2014/main" id="{425B0903-EA0D-4981-86CC-52E1F4A0AE12}"/>
            </a:ext>
          </a:extLst>
        </xdr:cNvPr>
        <xdr:cNvSpPr txBox="1"/>
      </xdr:nvSpPr>
      <xdr:spPr>
        <a:xfrm>
          <a:off x="5554186" y="4613910"/>
          <a:ext cx="1016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6</xdr:col>
      <xdr:colOff>295463</xdr:colOff>
      <xdr:row>30</xdr:row>
      <xdr:rowOff>97474</xdr:rowOff>
    </xdr:from>
    <xdr:to>
      <xdr:col>6</xdr:col>
      <xdr:colOff>683198</xdr:colOff>
      <xdr:row>33</xdr:row>
      <xdr:rowOff>81594</xdr:rowOff>
    </xdr:to>
    <xdr:sp macro="" textlink="">
      <xdr:nvSpPr>
        <xdr:cNvPr id="28" name="テキスト ボックス 27">
          <a:extLst>
            <a:ext uri="{FF2B5EF4-FFF2-40B4-BE49-F238E27FC236}">
              <a16:creationId xmlns:a16="http://schemas.microsoft.com/office/drawing/2014/main" id="{4DC02819-84DA-4381-84F9-E6FC52916E6D}"/>
            </a:ext>
          </a:extLst>
        </xdr:cNvPr>
        <xdr:cNvSpPr txBox="1"/>
      </xdr:nvSpPr>
      <xdr:spPr>
        <a:xfrm>
          <a:off x="5296088" y="521239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屋外</a:t>
          </a:r>
        </a:p>
      </xdr:txBody>
    </xdr:sp>
    <xdr:clientData/>
  </xdr:twoCellAnchor>
  <xdr:twoCellAnchor>
    <xdr:from>
      <xdr:col>6</xdr:col>
      <xdr:colOff>728723</xdr:colOff>
      <xdr:row>30</xdr:row>
      <xdr:rowOff>97474</xdr:rowOff>
    </xdr:from>
    <xdr:to>
      <xdr:col>6</xdr:col>
      <xdr:colOff>1116458</xdr:colOff>
      <xdr:row>33</xdr:row>
      <xdr:rowOff>81594</xdr:rowOff>
    </xdr:to>
    <xdr:sp macro="" textlink="">
      <xdr:nvSpPr>
        <xdr:cNvPr id="29" name="テキスト ボックス 28">
          <a:extLst>
            <a:ext uri="{FF2B5EF4-FFF2-40B4-BE49-F238E27FC236}">
              <a16:creationId xmlns:a16="http://schemas.microsoft.com/office/drawing/2014/main" id="{51436CEA-74CF-4380-BE1C-D356F9366753}"/>
            </a:ext>
          </a:extLst>
        </xdr:cNvPr>
        <xdr:cNvSpPr txBox="1"/>
      </xdr:nvSpPr>
      <xdr:spPr>
        <a:xfrm>
          <a:off x="5729348" y="521239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553561</xdr:colOff>
      <xdr:row>44</xdr:row>
      <xdr:rowOff>13335</xdr:rowOff>
    </xdr:from>
    <xdr:to>
      <xdr:col>0</xdr:col>
      <xdr:colOff>655161</xdr:colOff>
      <xdr:row>44</xdr:row>
      <xdr:rowOff>137160</xdr:rowOff>
    </xdr:to>
    <xdr:sp macro="" textlink="">
      <xdr:nvSpPr>
        <xdr:cNvPr id="30" name="テキスト ボックス 29">
          <a:extLst>
            <a:ext uri="{FF2B5EF4-FFF2-40B4-BE49-F238E27FC236}">
              <a16:creationId xmlns:a16="http://schemas.microsoft.com/office/drawing/2014/main" id="{08A52D90-673D-4AB6-B90E-A811A18700B3}"/>
            </a:ext>
          </a:extLst>
        </xdr:cNvPr>
        <xdr:cNvSpPr txBox="1"/>
      </xdr:nvSpPr>
      <xdr:spPr>
        <a:xfrm>
          <a:off x="553561" y="7528560"/>
          <a:ext cx="1016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0</xdr:col>
      <xdr:colOff>228312</xdr:colOff>
      <xdr:row>47</xdr:row>
      <xdr:rowOff>97474</xdr:rowOff>
    </xdr:from>
    <xdr:to>
      <xdr:col>0</xdr:col>
      <xdr:colOff>616047</xdr:colOff>
      <xdr:row>50</xdr:row>
      <xdr:rowOff>81594</xdr:rowOff>
    </xdr:to>
    <xdr:sp macro="" textlink="">
      <xdr:nvSpPr>
        <xdr:cNvPr id="31" name="テキスト ボックス 30">
          <a:extLst>
            <a:ext uri="{FF2B5EF4-FFF2-40B4-BE49-F238E27FC236}">
              <a16:creationId xmlns:a16="http://schemas.microsoft.com/office/drawing/2014/main" id="{EB87EDEC-6183-470A-A839-B22649BAD955}"/>
            </a:ext>
          </a:extLst>
        </xdr:cNvPr>
        <xdr:cNvSpPr txBox="1"/>
      </xdr:nvSpPr>
      <xdr:spPr>
        <a:xfrm>
          <a:off x="228312" y="812704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屋外</a:t>
          </a:r>
        </a:p>
      </xdr:txBody>
    </xdr:sp>
    <xdr:clientData/>
  </xdr:twoCellAnchor>
  <xdr:twoCellAnchor>
    <xdr:from>
      <xdr:col>0</xdr:col>
      <xdr:colOff>523780</xdr:colOff>
      <xdr:row>45</xdr:row>
      <xdr:rowOff>3810</xdr:rowOff>
    </xdr:from>
    <xdr:to>
      <xdr:col>0</xdr:col>
      <xdr:colOff>550640</xdr:colOff>
      <xdr:row>53</xdr:row>
      <xdr:rowOff>3810</xdr:rowOff>
    </xdr:to>
    <xdr:sp macro="" textlink="">
      <xdr:nvSpPr>
        <xdr:cNvPr id="32" name="正方形/長方形 31">
          <a:extLst>
            <a:ext uri="{FF2B5EF4-FFF2-40B4-BE49-F238E27FC236}">
              <a16:creationId xmlns:a16="http://schemas.microsoft.com/office/drawing/2014/main" id="{8633E1A5-3471-47B7-8A84-C7AC10482C7D}"/>
            </a:ext>
          </a:extLst>
        </xdr:cNvPr>
        <xdr:cNvSpPr/>
      </xdr:nvSpPr>
      <xdr:spPr>
        <a:xfrm>
          <a:off x="523780" y="7690485"/>
          <a:ext cx="26860" cy="1371600"/>
        </a:xfrm>
        <a:prstGeom prst="rect">
          <a:avLst/>
        </a:prstGeom>
        <a:pattFill prst="pct50">
          <a:fgClr>
            <a:srgbClr xmlns:mc="http://schemas.openxmlformats.org/markup-compatibility/2006" xmlns:a14="http://schemas.microsoft.com/office/drawing/2010/main" val="C0C0C0" mc:Ignorable="a14" a14:legacySpreadsheetColorIndex="22"/>
          </a:fgClr>
          <a:bgClr>
            <a:srgbClr val="FFFFFF"/>
          </a:bgClr>
        </a:pattFill>
        <a:ln w="317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a:scene3d>
          <a:camera prst="legacyObliqueTopRight"/>
          <a:lightRig rig="threePt" dir="tl"/>
        </a:scene3d>
        <a:sp3d extrusionH="457200" prstMaterial="clear">
          <a:extrusionClr>
            <a:srgbClr xmlns:mc="http://schemas.openxmlformats.org/markup-compatibility/2006" xmlns:a14="http://schemas.microsoft.com/office/drawing/2010/main" val="C0C0C0" mc:Ignorable="a14" a14:legacySpreadsheetColorIndex="2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658082</xdr:colOff>
      <xdr:row>45</xdr:row>
      <xdr:rowOff>3810</xdr:rowOff>
    </xdr:from>
    <xdr:to>
      <xdr:col>0</xdr:col>
      <xdr:colOff>684943</xdr:colOff>
      <xdr:row>53</xdr:row>
      <xdr:rowOff>3810</xdr:rowOff>
    </xdr:to>
    <xdr:sp macro="" textlink="">
      <xdr:nvSpPr>
        <xdr:cNvPr id="33" name="正方形/長方形 32">
          <a:extLst>
            <a:ext uri="{FF2B5EF4-FFF2-40B4-BE49-F238E27FC236}">
              <a16:creationId xmlns:a16="http://schemas.microsoft.com/office/drawing/2014/main" id="{714FA36A-EC2F-490C-95B3-A25100DF7E8D}"/>
            </a:ext>
          </a:extLst>
        </xdr:cNvPr>
        <xdr:cNvSpPr/>
      </xdr:nvSpPr>
      <xdr:spPr>
        <a:xfrm>
          <a:off x="658082" y="7690485"/>
          <a:ext cx="26861" cy="1371600"/>
        </a:xfrm>
        <a:prstGeom prst="rect">
          <a:avLst/>
        </a:prstGeom>
        <a:pattFill prst="pct50">
          <a:fgClr>
            <a:srgbClr xmlns:mc="http://schemas.openxmlformats.org/markup-compatibility/2006" xmlns:a14="http://schemas.microsoft.com/office/drawing/2010/main" val="C0C0C0" mc:Ignorable="a14" a14:legacySpreadsheetColorIndex="22"/>
          </a:fgClr>
          <a:bgClr>
            <a:srgbClr val="FFFFFF"/>
          </a:bgClr>
        </a:pattFill>
        <a:ln w="317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a:scene3d>
          <a:camera prst="legacyObliqueTopRight"/>
          <a:lightRig rig="threePt" dir="tl"/>
        </a:scene3d>
        <a:sp3d extrusionH="457200" prstMaterial="clear">
          <a:extrusionClr>
            <a:srgbClr xmlns:mc="http://schemas.openxmlformats.org/markup-compatibility/2006" xmlns:a14="http://schemas.microsoft.com/office/drawing/2010/main" val="C0C0C0" mc:Ignorable="a14" a14:legacySpreadsheetColorIndex="2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795875</xdr:colOff>
      <xdr:row>47</xdr:row>
      <xdr:rowOff>97474</xdr:rowOff>
    </xdr:from>
    <xdr:to>
      <xdr:col>0</xdr:col>
      <xdr:colOff>1183610</xdr:colOff>
      <xdr:row>50</xdr:row>
      <xdr:rowOff>81594</xdr:rowOff>
    </xdr:to>
    <xdr:sp macro="" textlink="">
      <xdr:nvSpPr>
        <xdr:cNvPr id="34" name="テキスト ボックス 33">
          <a:extLst>
            <a:ext uri="{FF2B5EF4-FFF2-40B4-BE49-F238E27FC236}">
              <a16:creationId xmlns:a16="http://schemas.microsoft.com/office/drawing/2014/main" id="{87621BAF-2D16-4ED6-A872-EC7EAE16C1EC}"/>
            </a:ext>
          </a:extLst>
        </xdr:cNvPr>
        <xdr:cNvSpPr txBox="1"/>
      </xdr:nvSpPr>
      <xdr:spPr>
        <a:xfrm>
          <a:off x="795875" y="812704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528137</xdr:colOff>
      <xdr:row>60</xdr:row>
      <xdr:rowOff>135049</xdr:rowOff>
    </xdr:from>
    <xdr:to>
      <xdr:col>0</xdr:col>
      <xdr:colOff>943635</xdr:colOff>
      <xdr:row>62</xdr:row>
      <xdr:rowOff>77676</xdr:rowOff>
    </xdr:to>
    <xdr:sp macro="" textlink="">
      <xdr:nvSpPr>
        <xdr:cNvPr id="35" name="テキスト ボックス 34">
          <a:extLst>
            <a:ext uri="{FF2B5EF4-FFF2-40B4-BE49-F238E27FC236}">
              <a16:creationId xmlns:a16="http://schemas.microsoft.com/office/drawing/2014/main" id="{789BF666-7160-402A-988E-843A840A7238}"/>
            </a:ext>
          </a:extLst>
        </xdr:cNvPr>
        <xdr:cNvSpPr txBox="1"/>
      </xdr:nvSpPr>
      <xdr:spPr>
        <a:xfrm>
          <a:off x="528137" y="10393474"/>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屋外</a:t>
          </a:r>
        </a:p>
      </xdr:txBody>
    </xdr:sp>
    <xdr:clientData/>
  </xdr:twoCellAnchor>
  <xdr:twoCellAnchor>
    <xdr:from>
      <xdr:col>0</xdr:col>
      <xdr:colOff>37227</xdr:colOff>
      <xdr:row>63</xdr:row>
      <xdr:rowOff>43169</xdr:rowOff>
    </xdr:from>
    <xdr:to>
      <xdr:col>0</xdr:col>
      <xdr:colOff>151527</xdr:colOff>
      <xdr:row>63</xdr:row>
      <xdr:rowOff>166994</xdr:rowOff>
    </xdr:to>
    <xdr:sp macro="" textlink="">
      <xdr:nvSpPr>
        <xdr:cNvPr id="37" name="テキスト ボックス 36">
          <a:extLst>
            <a:ext uri="{FF2B5EF4-FFF2-40B4-BE49-F238E27FC236}">
              <a16:creationId xmlns:a16="http://schemas.microsoft.com/office/drawing/2014/main" id="{82F7F122-8377-404C-B000-554BCCBE57B9}"/>
            </a:ext>
          </a:extLst>
        </xdr:cNvPr>
        <xdr:cNvSpPr txBox="1"/>
      </xdr:nvSpPr>
      <xdr:spPr>
        <a:xfrm>
          <a:off x="37227" y="10815944"/>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0</xdr:col>
      <xdr:colOff>37227</xdr:colOff>
      <xdr:row>63</xdr:row>
      <xdr:rowOff>136499</xdr:rowOff>
    </xdr:from>
    <xdr:to>
      <xdr:col>0</xdr:col>
      <xdr:colOff>151527</xdr:colOff>
      <xdr:row>64</xdr:row>
      <xdr:rowOff>88874</xdr:rowOff>
    </xdr:to>
    <xdr:sp macro="" textlink="">
      <xdr:nvSpPr>
        <xdr:cNvPr id="39" name="テキスト ボックス 38">
          <a:extLst>
            <a:ext uri="{FF2B5EF4-FFF2-40B4-BE49-F238E27FC236}">
              <a16:creationId xmlns:a16="http://schemas.microsoft.com/office/drawing/2014/main" id="{390EE9B5-7ED2-4E35-9538-C446B2B64488}"/>
            </a:ext>
          </a:extLst>
        </xdr:cNvPr>
        <xdr:cNvSpPr txBox="1"/>
      </xdr:nvSpPr>
      <xdr:spPr>
        <a:xfrm>
          <a:off x="37227" y="10909274"/>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0</xdr:col>
      <xdr:colOff>37227</xdr:colOff>
      <xdr:row>64</xdr:row>
      <xdr:rowOff>36868</xdr:rowOff>
    </xdr:from>
    <xdr:to>
      <xdr:col>0</xdr:col>
      <xdr:colOff>151527</xdr:colOff>
      <xdr:row>64</xdr:row>
      <xdr:rowOff>160693</xdr:rowOff>
    </xdr:to>
    <xdr:sp macro="" textlink="">
      <xdr:nvSpPr>
        <xdr:cNvPr id="41" name="テキスト ボックス 40">
          <a:extLst>
            <a:ext uri="{FF2B5EF4-FFF2-40B4-BE49-F238E27FC236}">
              <a16:creationId xmlns:a16="http://schemas.microsoft.com/office/drawing/2014/main" id="{241BCF24-8B8A-48BA-BA2B-A2C0C75A19CC}"/>
            </a:ext>
          </a:extLst>
        </xdr:cNvPr>
        <xdr:cNvSpPr txBox="1"/>
      </xdr:nvSpPr>
      <xdr:spPr>
        <a:xfrm>
          <a:off x="37227" y="10981093"/>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0</xdr:col>
      <xdr:colOff>37227</xdr:colOff>
      <xdr:row>64</xdr:row>
      <xdr:rowOff>108687</xdr:rowOff>
    </xdr:from>
    <xdr:to>
      <xdr:col>0</xdr:col>
      <xdr:colOff>151527</xdr:colOff>
      <xdr:row>65</xdr:row>
      <xdr:rowOff>61062</xdr:rowOff>
    </xdr:to>
    <xdr:sp macro="" textlink="">
      <xdr:nvSpPr>
        <xdr:cNvPr id="43" name="テキスト ボックス 42">
          <a:extLst>
            <a:ext uri="{FF2B5EF4-FFF2-40B4-BE49-F238E27FC236}">
              <a16:creationId xmlns:a16="http://schemas.microsoft.com/office/drawing/2014/main" id="{3B1D1CD1-6320-4700-87A2-FCD28BFCFB0F}"/>
            </a:ext>
          </a:extLst>
        </xdr:cNvPr>
        <xdr:cNvSpPr txBox="1"/>
      </xdr:nvSpPr>
      <xdr:spPr>
        <a:xfrm>
          <a:off x="37227" y="11052912"/>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0</xdr:col>
      <xdr:colOff>37227</xdr:colOff>
      <xdr:row>66</xdr:row>
      <xdr:rowOff>39022</xdr:rowOff>
    </xdr:from>
    <xdr:to>
      <xdr:col>0</xdr:col>
      <xdr:colOff>151527</xdr:colOff>
      <xdr:row>66</xdr:row>
      <xdr:rowOff>162847</xdr:rowOff>
    </xdr:to>
    <xdr:sp macro="" textlink="">
      <xdr:nvSpPr>
        <xdr:cNvPr id="44" name="テキスト ボックス 43">
          <a:extLst>
            <a:ext uri="{FF2B5EF4-FFF2-40B4-BE49-F238E27FC236}">
              <a16:creationId xmlns:a16="http://schemas.microsoft.com/office/drawing/2014/main" id="{6ADA37C1-19CE-4360-9612-8F8D29E8A748}"/>
            </a:ext>
          </a:extLst>
        </xdr:cNvPr>
        <xdr:cNvSpPr txBox="1"/>
      </xdr:nvSpPr>
      <xdr:spPr>
        <a:xfrm>
          <a:off x="37227" y="11326147"/>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5</a:t>
          </a:r>
          <a:endParaRPr kumimoji="1" lang="ja-JP" altLang="en-US" sz="800" b="0" i="0">
            <a:latin typeface="ＭＳ Ｐゴシック" panose="020B0600070205080204" pitchFamily="50" charset="-128"/>
          </a:endParaRPr>
        </a:p>
      </xdr:txBody>
    </xdr:sp>
    <xdr:clientData/>
  </xdr:twoCellAnchor>
  <xdr:twoCellAnchor>
    <xdr:from>
      <xdr:col>0</xdr:col>
      <xdr:colOff>37227</xdr:colOff>
      <xdr:row>67</xdr:row>
      <xdr:rowOff>60453</xdr:rowOff>
    </xdr:from>
    <xdr:to>
      <xdr:col>0</xdr:col>
      <xdr:colOff>151527</xdr:colOff>
      <xdr:row>68</xdr:row>
      <xdr:rowOff>12828</xdr:rowOff>
    </xdr:to>
    <xdr:sp macro="" textlink="">
      <xdr:nvSpPr>
        <xdr:cNvPr id="46" name="テキスト ボックス 45">
          <a:extLst>
            <a:ext uri="{FF2B5EF4-FFF2-40B4-BE49-F238E27FC236}">
              <a16:creationId xmlns:a16="http://schemas.microsoft.com/office/drawing/2014/main" id="{D97C69FE-E073-4F0D-BA53-D3C481567983}"/>
            </a:ext>
          </a:extLst>
        </xdr:cNvPr>
        <xdr:cNvSpPr txBox="1"/>
      </xdr:nvSpPr>
      <xdr:spPr>
        <a:xfrm>
          <a:off x="37227" y="11519028"/>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6</a:t>
          </a:r>
          <a:endParaRPr kumimoji="1" lang="ja-JP" altLang="en-US" sz="800" b="0" i="0">
            <a:latin typeface="ＭＳ Ｐゴシック" panose="020B0600070205080204" pitchFamily="50" charset="-128"/>
          </a:endParaRPr>
        </a:p>
      </xdr:txBody>
    </xdr:sp>
    <xdr:clientData/>
  </xdr:twoCellAnchor>
  <xdr:twoCellAnchor>
    <xdr:from>
      <xdr:col>0</xdr:col>
      <xdr:colOff>528137</xdr:colOff>
      <xdr:row>67</xdr:row>
      <xdr:rowOff>100124</xdr:rowOff>
    </xdr:from>
    <xdr:to>
      <xdr:col>0</xdr:col>
      <xdr:colOff>943635</xdr:colOff>
      <xdr:row>69</xdr:row>
      <xdr:rowOff>42751</xdr:rowOff>
    </xdr:to>
    <xdr:sp macro="" textlink="">
      <xdr:nvSpPr>
        <xdr:cNvPr id="47" name="テキスト ボックス 46">
          <a:extLst>
            <a:ext uri="{FF2B5EF4-FFF2-40B4-BE49-F238E27FC236}">
              <a16:creationId xmlns:a16="http://schemas.microsoft.com/office/drawing/2014/main" id="{3E795DCA-CDA2-4FC9-AADD-A7087F11FD76}"/>
            </a:ext>
          </a:extLst>
        </xdr:cNvPr>
        <xdr:cNvSpPr txBox="1"/>
      </xdr:nvSpPr>
      <xdr:spPr>
        <a:xfrm>
          <a:off x="528137" y="11558699"/>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528137</xdr:colOff>
      <xdr:row>43</xdr:row>
      <xdr:rowOff>135049</xdr:rowOff>
    </xdr:from>
    <xdr:to>
      <xdr:col>6</xdr:col>
      <xdr:colOff>943635</xdr:colOff>
      <xdr:row>45</xdr:row>
      <xdr:rowOff>77676</xdr:rowOff>
    </xdr:to>
    <xdr:sp macro="" textlink="">
      <xdr:nvSpPr>
        <xdr:cNvPr id="48" name="テキスト ボックス 47">
          <a:extLst>
            <a:ext uri="{FF2B5EF4-FFF2-40B4-BE49-F238E27FC236}">
              <a16:creationId xmlns:a16="http://schemas.microsoft.com/office/drawing/2014/main" id="{8788BBE4-6787-447C-81CD-26BBC58CB153}"/>
            </a:ext>
          </a:extLst>
        </xdr:cNvPr>
        <xdr:cNvSpPr txBox="1"/>
      </xdr:nvSpPr>
      <xdr:spPr>
        <a:xfrm>
          <a:off x="5528762" y="7478824"/>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屋外</a:t>
          </a:r>
        </a:p>
      </xdr:txBody>
    </xdr:sp>
    <xdr:clientData/>
  </xdr:twoCellAnchor>
  <xdr:twoCellAnchor>
    <xdr:from>
      <xdr:col>6</xdr:col>
      <xdr:colOff>37227</xdr:colOff>
      <xdr:row>46</xdr:row>
      <xdr:rowOff>42182</xdr:rowOff>
    </xdr:from>
    <xdr:to>
      <xdr:col>6</xdr:col>
      <xdr:colOff>151527</xdr:colOff>
      <xdr:row>46</xdr:row>
      <xdr:rowOff>166007</xdr:rowOff>
    </xdr:to>
    <xdr:sp macro="" textlink="">
      <xdr:nvSpPr>
        <xdr:cNvPr id="50" name="テキスト ボックス 49">
          <a:extLst>
            <a:ext uri="{FF2B5EF4-FFF2-40B4-BE49-F238E27FC236}">
              <a16:creationId xmlns:a16="http://schemas.microsoft.com/office/drawing/2014/main" id="{6886EF49-1349-4E81-A496-ABE739B55E0F}"/>
            </a:ext>
          </a:extLst>
        </xdr:cNvPr>
        <xdr:cNvSpPr txBox="1"/>
      </xdr:nvSpPr>
      <xdr:spPr>
        <a:xfrm>
          <a:off x="5037852" y="7900307"/>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46</xdr:row>
      <xdr:rowOff>134031</xdr:rowOff>
    </xdr:from>
    <xdr:to>
      <xdr:col>6</xdr:col>
      <xdr:colOff>151527</xdr:colOff>
      <xdr:row>47</xdr:row>
      <xdr:rowOff>86406</xdr:rowOff>
    </xdr:to>
    <xdr:sp macro="" textlink="">
      <xdr:nvSpPr>
        <xdr:cNvPr id="52" name="テキスト ボックス 51">
          <a:extLst>
            <a:ext uri="{FF2B5EF4-FFF2-40B4-BE49-F238E27FC236}">
              <a16:creationId xmlns:a16="http://schemas.microsoft.com/office/drawing/2014/main" id="{B57CBFC3-55F0-4AEB-A423-18EB29539088}"/>
            </a:ext>
          </a:extLst>
        </xdr:cNvPr>
        <xdr:cNvSpPr txBox="1"/>
      </xdr:nvSpPr>
      <xdr:spPr>
        <a:xfrm>
          <a:off x="5037852" y="7992156"/>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47</xdr:row>
      <xdr:rowOff>34399</xdr:rowOff>
    </xdr:from>
    <xdr:to>
      <xdr:col>6</xdr:col>
      <xdr:colOff>151527</xdr:colOff>
      <xdr:row>47</xdr:row>
      <xdr:rowOff>158224</xdr:rowOff>
    </xdr:to>
    <xdr:sp macro="" textlink="">
      <xdr:nvSpPr>
        <xdr:cNvPr id="54" name="テキスト ボックス 53">
          <a:extLst>
            <a:ext uri="{FF2B5EF4-FFF2-40B4-BE49-F238E27FC236}">
              <a16:creationId xmlns:a16="http://schemas.microsoft.com/office/drawing/2014/main" id="{BF3D503B-FA4C-4004-AB7B-8E8039B46C0D}"/>
            </a:ext>
          </a:extLst>
        </xdr:cNvPr>
        <xdr:cNvSpPr txBox="1"/>
      </xdr:nvSpPr>
      <xdr:spPr>
        <a:xfrm>
          <a:off x="5037852" y="8063974"/>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47</xdr:row>
      <xdr:rowOff>106218</xdr:rowOff>
    </xdr:from>
    <xdr:to>
      <xdr:col>6</xdr:col>
      <xdr:colOff>151527</xdr:colOff>
      <xdr:row>48</xdr:row>
      <xdr:rowOff>58593</xdr:rowOff>
    </xdr:to>
    <xdr:sp macro="" textlink="">
      <xdr:nvSpPr>
        <xdr:cNvPr id="56" name="テキスト ボックス 55">
          <a:extLst>
            <a:ext uri="{FF2B5EF4-FFF2-40B4-BE49-F238E27FC236}">
              <a16:creationId xmlns:a16="http://schemas.microsoft.com/office/drawing/2014/main" id="{1171CB06-2654-46E4-B4E4-81DA9BB82CC1}"/>
            </a:ext>
          </a:extLst>
        </xdr:cNvPr>
        <xdr:cNvSpPr txBox="1"/>
      </xdr:nvSpPr>
      <xdr:spPr>
        <a:xfrm>
          <a:off x="5037852" y="8135793"/>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49</xdr:row>
      <xdr:rowOff>29936</xdr:rowOff>
    </xdr:from>
    <xdr:to>
      <xdr:col>6</xdr:col>
      <xdr:colOff>151527</xdr:colOff>
      <xdr:row>49</xdr:row>
      <xdr:rowOff>153761</xdr:rowOff>
    </xdr:to>
    <xdr:sp macro="" textlink="">
      <xdr:nvSpPr>
        <xdr:cNvPr id="57" name="テキスト ボックス 56">
          <a:extLst>
            <a:ext uri="{FF2B5EF4-FFF2-40B4-BE49-F238E27FC236}">
              <a16:creationId xmlns:a16="http://schemas.microsoft.com/office/drawing/2014/main" id="{0551CD73-CE9B-4C1F-974A-075CE71B086D}"/>
            </a:ext>
          </a:extLst>
        </xdr:cNvPr>
        <xdr:cNvSpPr txBox="1"/>
      </xdr:nvSpPr>
      <xdr:spPr>
        <a:xfrm>
          <a:off x="5037852" y="84024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5</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50</xdr:row>
      <xdr:rowOff>48306</xdr:rowOff>
    </xdr:from>
    <xdr:to>
      <xdr:col>6</xdr:col>
      <xdr:colOff>151527</xdr:colOff>
      <xdr:row>51</xdr:row>
      <xdr:rowOff>681</xdr:rowOff>
    </xdr:to>
    <xdr:sp macro="" textlink="">
      <xdr:nvSpPr>
        <xdr:cNvPr id="59" name="テキスト ボックス 58">
          <a:extLst>
            <a:ext uri="{FF2B5EF4-FFF2-40B4-BE49-F238E27FC236}">
              <a16:creationId xmlns:a16="http://schemas.microsoft.com/office/drawing/2014/main" id="{10CD7BE0-EC67-402F-9B1C-3B541E84F4FE}"/>
            </a:ext>
          </a:extLst>
        </xdr:cNvPr>
        <xdr:cNvSpPr txBox="1"/>
      </xdr:nvSpPr>
      <xdr:spPr>
        <a:xfrm>
          <a:off x="5037852" y="859223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6</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50</xdr:row>
      <xdr:rowOff>120124</xdr:rowOff>
    </xdr:from>
    <xdr:to>
      <xdr:col>6</xdr:col>
      <xdr:colOff>151527</xdr:colOff>
      <xdr:row>51</xdr:row>
      <xdr:rowOff>72499</xdr:rowOff>
    </xdr:to>
    <xdr:sp macro="" textlink="">
      <xdr:nvSpPr>
        <xdr:cNvPr id="61" name="テキスト ボックス 60">
          <a:extLst>
            <a:ext uri="{FF2B5EF4-FFF2-40B4-BE49-F238E27FC236}">
              <a16:creationId xmlns:a16="http://schemas.microsoft.com/office/drawing/2014/main" id="{E0B1A13C-99F5-4B00-93AE-D5552C10C6E0}"/>
            </a:ext>
          </a:extLst>
        </xdr:cNvPr>
        <xdr:cNvSpPr txBox="1"/>
      </xdr:nvSpPr>
      <xdr:spPr>
        <a:xfrm>
          <a:off x="5037852" y="8664049"/>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7</a:t>
          </a:r>
          <a:endParaRPr kumimoji="1" lang="ja-JP" altLang="en-US" sz="800" b="0" i="0">
            <a:latin typeface="ＭＳ Ｐゴシック" panose="020B0600070205080204" pitchFamily="50" charset="-128"/>
          </a:endParaRPr>
        </a:p>
      </xdr:txBody>
    </xdr:sp>
    <xdr:clientData/>
  </xdr:twoCellAnchor>
  <xdr:twoCellAnchor>
    <xdr:from>
      <xdr:col>6</xdr:col>
      <xdr:colOff>528137</xdr:colOff>
      <xdr:row>50</xdr:row>
      <xdr:rowOff>100124</xdr:rowOff>
    </xdr:from>
    <xdr:to>
      <xdr:col>6</xdr:col>
      <xdr:colOff>943635</xdr:colOff>
      <xdr:row>52</xdr:row>
      <xdr:rowOff>42751</xdr:rowOff>
    </xdr:to>
    <xdr:sp macro="" textlink="">
      <xdr:nvSpPr>
        <xdr:cNvPr id="62" name="テキスト ボックス 61">
          <a:extLst>
            <a:ext uri="{FF2B5EF4-FFF2-40B4-BE49-F238E27FC236}">
              <a16:creationId xmlns:a16="http://schemas.microsoft.com/office/drawing/2014/main" id="{D470DD54-AB34-4811-A6E0-398D834A04E2}"/>
            </a:ext>
          </a:extLst>
        </xdr:cNvPr>
        <xdr:cNvSpPr txBox="1"/>
      </xdr:nvSpPr>
      <xdr:spPr>
        <a:xfrm>
          <a:off x="5528762" y="8644049"/>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32668</xdr:colOff>
      <xdr:row>64</xdr:row>
      <xdr:rowOff>97474</xdr:rowOff>
    </xdr:from>
    <xdr:to>
      <xdr:col>6</xdr:col>
      <xdr:colOff>420403</xdr:colOff>
      <xdr:row>67</xdr:row>
      <xdr:rowOff>81594</xdr:rowOff>
    </xdr:to>
    <xdr:sp macro="" textlink="">
      <xdr:nvSpPr>
        <xdr:cNvPr id="63" name="テキスト ボックス 62">
          <a:extLst>
            <a:ext uri="{FF2B5EF4-FFF2-40B4-BE49-F238E27FC236}">
              <a16:creationId xmlns:a16="http://schemas.microsoft.com/office/drawing/2014/main" id="{C0050698-5315-449D-9A03-8511613E4DE9}"/>
            </a:ext>
          </a:extLst>
        </xdr:cNvPr>
        <xdr:cNvSpPr txBox="1"/>
      </xdr:nvSpPr>
      <xdr:spPr>
        <a:xfrm>
          <a:off x="5033293" y="1104169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328136</xdr:colOff>
      <xdr:row>62</xdr:row>
      <xdr:rowOff>3810</xdr:rowOff>
    </xdr:from>
    <xdr:to>
      <xdr:col>6</xdr:col>
      <xdr:colOff>366236</xdr:colOff>
      <xdr:row>70</xdr:row>
      <xdr:rowOff>3810</xdr:rowOff>
    </xdr:to>
    <xdr:sp macro="" textlink="">
      <xdr:nvSpPr>
        <xdr:cNvPr id="64" name="正方形/長方形 63">
          <a:extLst>
            <a:ext uri="{FF2B5EF4-FFF2-40B4-BE49-F238E27FC236}">
              <a16:creationId xmlns:a16="http://schemas.microsoft.com/office/drawing/2014/main" id="{5D25A104-6D45-4F75-99FF-BBC9EC3BE169}"/>
            </a:ext>
          </a:extLst>
        </xdr:cNvPr>
        <xdr:cNvSpPr/>
      </xdr:nvSpPr>
      <xdr:spPr>
        <a:xfrm>
          <a:off x="5328761" y="10605135"/>
          <a:ext cx="38100"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290036</xdr:colOff>
      <xdr:row>61</xdr:row>
      <xdr:rowOff>13335</xdr:rowOff>
    </xdr:from>
    <xdr:to>
      <xdr:col>6</xdr:col>
      <xdr:colOff>404336</xdr:colOff>
      <xdr:row>61</xdr:row>
      <xdr:rowOff>137160</xdr:rowOff>
    </xdr:to>
    <xdr:sp macro="" textlink="">
      <xdr:nvSpPr>
        <xdr:cNvPr id="65" name="テキスト ボックス 64">
          <a:extLst>
            <a:ext uri="{FF2B5EF4-FFF2-40B4-BE49-F238E27FC236}">
              <a16:creationId xmlns:a16="http://schemas.microsoft.com/office/drawing/2014/main" id="{5D584DB0-DB36-422F-ADAD-9B5ACE651840}"/>
            </a:ext>
          </a:extLst>
        </xdr:cNvPr>
        <xdr:cNvSpPr txBox="1"/>
      </xdr:nvSpPr>
      <xdr:spPr>
        <a:xfrm>
          <a:off x="5290661" y="1044321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6</xdr:col>
      <xdr:colOff>366236</xdr:colOff>
      <xdr:row>62</xdr:row>
      <xdr:rowOff>3810</xdr:rowOff>
    </xdr:from>
    <xdr:to>
      <xdr:col>6</xdr:col>
      <xdr:colOff>415766</xdr:colOff>
      <xdr:row>70</xdr:row>
      <xdr:rowOff>3810</xdr:rowOff>
    </xdr:to>
    <xdr:sp macro="" textlink="">
      <xdr:nvSpPr>
        <xdr:cNvPr id="66" name="正方形/長方形 65">
          <a:extLst>
            <a:ext uri="{FF2B5EF4-FFF2-40B4-BE49-F238E27FC236}">
              <a16:creationId xmlns:a16="http://schemas.microsoft.com/office/drawing/2014/main" id="{A63890BE-B4B1-4EC2-B8B4-94692B66A98C}"/>
            </a:ext>
          </a:extLst>
        </xdr:cNvPr>
        <xdr:cNvSpPr/>
      </xdr:nvSpPr>
      <xdr:spPr>
        <a:xfrm>
          <a:off x="5366861" y="10605135"/>
          <a:ext cx="49530"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352901</xdr:colOff>
      <xdr:row>61</xdr:row>
      <xdr:rowOff>13335</xdr:rowOff>
    </xdr:from>
    <xdr:to>
      <xdr:col>6</xdr:col>
      <xdr:colOff>467201</xdr:colOff>
      <xdr:row>61</xdr:row>
      <xdr:rowOff>137160</xdr:rowOff>
    </xdr:to>
    <xdr:sp macro="" textlink="">
      <xdr:nvSpPr>
        <xdr:cNvPr id="67" name="テキスト ボックス 66">
          <a:extLst>
            <a:ext uri="{FF2B5EF4-FFF2-40B4-BE49-F238E27FC236}">
              <a16:creationId xmlns:a16="http://schemas.microsoft.com/office/drawing/2014/main" id="{31529F4E-9319-4644-9C91-D4C29D52A04B}"/>
            </a:ext>
          </a:extLst>
        </xdr:cNvPr>
        <xdr:cNvSpPr txBox="1"/>
      </xdr:nvSpPr>
      <xdr:spPr>
        <a:xfrm>
          <a:off x="5353526" y="1044321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6</xdr:col>
      <xdr:colOff>549116</xdr:colOff>
      <xdr:row>61</xdr:row>
      <xdr:rowOff>13335</xdr:rowOff>
    </xdr:from>
    <xdr:to>
      <xdr:col>6</xdr:col>
      <xdr:colOff>663416</xdr:colOff>
      <xdr:row>61</xdr:row>
      <xdr:rowOff>137160</xdr:rowOff>
    </xdr:to>
    <xdr:sp macro="" textlink="">
      <xdr:nvSpPr>
        <xdr:cNvPr id="68" name="テキスト ボックス 67">
          <a:extLst>
            <a:ext uri="{FF2B5EF4-FFF2-40B4-BE49-F238E27FC236}">
              <a16:creationId xmlns:a16="http://schemas.microsoft.com/office/drawing/2014/main" id="{1FD27979-CF33-4F49-B732-CA16703AB4B0}"/>
            </a:ext>
          </a:extLst>
        </xdr:cNvPr>
        <xdr:cNvSpPr txBox="1"/>
      </xdr:nvSpPr>
      <xdr:spPr>
        <a:xfrm>
          <a:off x="5549741" y="1044321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6</xdr:col>
      <xdr:colOff>796766</xdr:colOff>
      <xdr:row>62</xdr:row>
      <xdr:rowOff>3810</xdr:rowOff>
    </xdr:from>
    <xdr:to>
      <xdr:col>6</xdr:col>
      <xdr:colOff>846296</xdr:colOff>
      <xdr:row>70</xdr:row>
      <xdr:rowOff>3810</xdr:rowOff>
    </xdr:to>
    <xdr:sp macro="" textlink="">
      <xdr:nvSpPr>
        <xdr:cNvPr id="69" name="正方形/長方形 68">
          <a:extLst>
            <a:ext uri="{FF2B5EF4-FFF2-40B4-BE49-F238E27FC236}">
              <a16:creationId xmlns:a16="http://schemas.microsoft.com/office/drawing/2014/main" id="{2414558E-3102-4652-BC9B-8705A8FC39A1}"/>
            </a:ext>
          </a:extLst>
        </xdr:cNvPr>
        <xdr:cNvSpPr/>
      </xdr:nvSpPr>
      <xdr:spPr>
        <a:xfrm>
          <a:off x="5797391" y="10605135"/>
          <a:ext cx="49530"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764381</xdr:colOff>
      <xdr:row>61</xdr:row>
      <xdr:rowOff>13335</xdr:rowOff>
    </xdr:from>
    <xdr:to>
      <xdr:col>6</xdr:col>
      <xdr:colOff>878681</xdr:colOff>
      <xdr:row>61</xdr:row>
      <xdr:rowOff>137160</xdr:rowOff>
    </xdr:to>
    <xdr:sp macro="" textlink="">
      <xdr:nvSpPr>
        <xdr:cNvPr id="70" name="テキスト ボックス 69">
          <a:extLst>
            <a:ext uri="{FF2B5EF4-FFF2-40B4-BE49-F238E27FC236}">
              <a16:creationId xmlns:a16="http://schemas.microsoft.com/office/drawing/2014/main" id="{49461AED-062A-4B22-821F-B787E4AEA615}"/>
            </a:ext>
          </a:extLst>
        </xdr:cNvPr>
        <xdr:cNvSpPr txBox="1"/>
      </xdr:nvSpPr>
      <xdr:spPr>
        <a:xfrm>
          <a:off x="5765006" y="1044321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6</xdr:col>
      <xdr:colOff>846296</xdr:colOff>
      <xdr:row>62</xdr:row>
      <xdr:rowOff>3810</xdr:rowOff>
    </xdr:from>
    <xdr:to>
      <xdr:col>6</xdr:col>
      <xdr:colOff>884396</xdr:colOff>
      <xdr:row>70</xdr:row>
      <xdr:rowOff>3810</xdr:rowOff>
    </xdr:to>
    <xdr:sp macro="" textlink="">
      <xdr:nvSpPr>
        <xdr:cNvPr id="71" name="正方形/長方形 70">
          <a:extLst>
            <a:ext uri="{FF2B5EF4-FFF2-40B4-BE49-F238E27FC236}">
              <a16:creationId xmlns:a16="http://schemas.microsoft.com/office/drawing/2014/main" id="{891D95CD-4CA9-4C54-9C16-6A11FC5088F5}"/>
            </a:ext>
          </a:extLst>
        </xdr:cNvPr>
        <xdr:cNvSpPr/>
      </xdr:nvSpPr>
      <xdr:spPr>
        <a:xfrm>
          <a:off x="5846921" y="10605135"/>
          <a:ext cx="38100"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827246</xdr:colOff>
      <xdr:row>61</xdr:row>
      <xdr:rowOff>13335</xdr:rowOff>
    </xdr:from>
    <xdr:to>
      <xdr:col>6</xdr:col>
      <xdr:colOff>941546</xdr:colOff>
      <xdr:row>61</xdr:row>
      <xdr:rowOff>137160</xdr:rowOff>
    </xdr:to>
    <xdr:sp macro="" textlink="">
      <xdr:nvSpPr>
        <xdr:cNvPr id="72" name="テキスト ボックス 71">
          <a:extLst>
            <a:ext uri="{FF2B5EF4-FFF2-40B4-BE49-F238E27FC236}">
              <a16:creationId xmlns:a16="http://schemas.microsoft.com/office/drawing/2014/main" id="{DC780B14-122F-4AF4-BAAE-1636EA90EAA9}"/>
            </a:ext>
          </a:extLst>
        </xdr:cNvPr>
        <xdr:cNvSpPr txBox="1"/>
      </xdr:nvSpPr>
      <xdr:spPr>
        <a:xfrm>
          <a:off x="5827871" y="1044321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5</a:t>
          </a:r>
          <a:endParaRPr kumimoji="1" lang="ja-JP" altLang="en-US" sz="800" b="0" i="0">
            <a:latin typeface="ＭＳ Ｐゴシック" panose="020B0600070205080204" pitchFamily="50" charset="-128"/>
          </a:endParaRPr>
        </a:p>
      </xdr:txBody>
    </xdr:sp>
    <xdr:clientData/>
  </xdr:twoCellAnchor>
  <xdr:twoCellAnchor>
    <xdr:from>
      <xdr:col>6</xdr:col>
      <xdr:colOff>995328</xdr:colOff>
      <xdr:row>64</xdr:row>
      <xdr:rowOff>97474</xdr:rowOff>
    </xdr:from>
    <xdr:to>
      <xdr:col>7</xdr:col>
      <xdr:colOff>40038</xdr:colOff>
      <xdr:row>67</xdr:row>
      <xdr:rowOff>81594</xdr:rowOff>
    </xdr:to>
    <xdr:sp macro="" textlink="">
      <xdr:nvSpPr>
        <xdr:cNvPr id="73" name="テキスト ボックス 72">
          <a:extLst>
            <a:ext uri="{FF2B5EF4-FFF2-40B4-BE49-F238E27FC236}">
              <a16:creationId xmlns:a16="http://schemas.microsoft.com/office/drawing/2014/main" id="{9B1A2E57-C635-4D20-A99C-DB5166B9DF8D}"/>
            </a:ext>
          </a:extLst>
        </xdr:cNvPr>
        <xdr:cNvSpPr txBox="1"/>
      </xdr:nvSpPr>
      <xdr:spPr>
        <a:xfrm>
          <a:off x="5995953" y="1104169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70768</xdr:colOff>
      <xdr:row>81</xdr:row>
      <xdr:rowOff>97475</xdr:rowOff>
    </xdr:from>
    <xdr:to>
      <xdr:col>0</xdr:col>
      <xdr:colOff>458503</xdr:colOff>
      <xdr:row>84</xdr:row>
      <xdr:rowOff>81595</xdr:rowOff>
    </xdr:to>
    <xdr:sp macro="" textlink="">
      <xdr:nvSpPr>
        <xdr:cNvPr id="74" name="テキスト ボックス 73">
          <a:extLst>
            <a:ext uri="{FF2B5EF4-FFF2-40B4-BE49-F238E27FC236}">
              <a16:creationId xmlns:a16="http://schemas.microsoft.com/office/drawing/2014/main" id="{6BE4CEFF-E4C3-4E7E-BD51-EBBF59BCA373}"/>
            </a:ext>
          </a:extLst>
        </xdr:cNvPr>
        <xdr:cNvSpPr txBox="1"/>
      </xdr:nvSpPr>
      <xdr:spPr>
        <a:xfrm>
          <a:off x="70768" y="13956350"/>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366236</xdr:colOff>
      <xdr:row>79</xdr:row>
      <xdr:rowOff>3811</xdr:rowOff>
    </xdr:from>
    <xdr:to>
      <xdr:col>0</xdr:col>
      <xdr:colOff>415766</xdr:colOff>
      <xdr:row>87</xdr:row>
      <xdr:rowOff>3811</xdr:rowOff>
    </xdr:to>
    <xdr:sp macro="" textlink="">
      <xdr:nvSpPr>
        <xdr:cNvPr id="75" name="正方形/長方形 74">
          <a:extLst>
            <a:ext uri="{FF2B5EF4-FFF2-40B4-BE49-F238E27FC236}">
              <a16:creationId xmlns:a16="http://schemas.microsoft.com/office/drawing/2014/main" id="{63E4A98D-8BB6-49A6-AD08-106C10E562A9}"/>
            </a:ext>
          </a:extLst>
        </xdr:cNvPr>
        <xdr:cNvSpPr/>
      </xdr:nvSpPr>
      <xdr:spPr>
        <a:xfrm>
          <a:off x="366236" y="13519786"/>
          <a:ext cx="49530"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333851</xdr:colOff>
      <xdr:row>78</xdr:row>
      <xdr:rowOff>13336</xdr:rowOff>
    </xdr:from>
    <xdr:to>
      <xdr:col>0</xdr:col>
      <xdr:colOff>448151</xdr:colOff>
      <xdr:row>78</xdr:row>
      <xdr:rowOff>137161</xdr:rowOff>
    </xdr:to>
    <xdr:sp macro="" textlink="">
      <xdr:nvSpPr>
        <xdr:cNvPr id="76" name="テキスト ボックス 75">
          <a:extLst>
            <a:ext uri="{FF2B5EF4-FFF2-40B4-BE49-F238E27FC236}">
              <a16:creationId xmlns:a16="http://schemas.microsoft.com/office/drawing/2014/main" id="{5828422E-6AA8-401A-A917-37479881656D}"/>
            </a:ext>
          </a:extLst>
        </xdr:cNvPr>
        <xdr:cNvSpPr txBox="1"/>
      </xdr:nvSpPr>
      <xdr:spPr>
        <a:xfrm>
          <a:off x="333851" y="1335786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0</xdr:col>
      <xdr:colOff>549116</xdr:colOff>
      <xdr:row>78</xdr:row>
      <xdr:rowOff>13336</xdr:rowOff>
    </xdr:from>
    <xdr:to>
      <xdr:col>0</xdr:col>
      <xdr:colOff>663416</xdr:colOff>
      <xdr:row>78</xdr:row>
      <xdr:rowOff>137161</xdr:rowOff>
    </xdr:to>
    <xdr:sp macro="" textlink="">
      <xdr:nvSpPr>
        <xdr:cNvPr id="77" name="テキスト ボックス 76">
          <a:extLst>
            <a:ext uri="{FF2B5EF4-FFF2-40B4-BE49-F238E27FC236}">
              <a16:creationId xmlns:a16="http://schemas.microsoft.com/office/drawing/2014/main" id="{1436A686-8C77-44CF-AECC-BE6F2B08AC41}"/>
            </a:ext>
          </a:extLst>
        </xdr:cNvPr>
        <xdr:cNvSpPr txBox="1"/>
      </xdr:nvSpPr>
      <xdr:spPr>
        <a:xfrm>
          <a:off x="549116" y="1335786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0</xdr:col>
      <xdr:colOff>796766</xdr:colOff>
      <xdr:row>79</xdr:row>
      <xdr:rowOff>3811</xdr:rowOff>
    </xdr:from>
    <xdr:to>
      <xdr:col>0</xdr:col>
      <xdr:colOff>846296</xdr:colOff>
      <xdr:row>87</xdr:row>
      <xdr:rowOff>3811</xdr:rowOff>
    </xdr:to>
    <xdr:sp macro="" textlink="">
      <xdr:nvSpPr>
        <xdr:cNvPr id="78" name="正方形/長方形 77">
          <a:extLst>
            <a:ext uri="{FF2B5EF4-FFF2-40B4-BE49-F238E27FC236}">
              <a16:creationId xmlns:a16="http://schemas.microsoft.com/office/drawing/2014/main" id="{5035AEAD-C90F-42BE-9DA4-DFFD902F02AC}"/>
            </a:ext>
          </a:extLst>
        </xdr:cNvPr>
        <xdr:cNvSpPr/>
      </xdr:nvSpPr>
      <xdr:spPr>
        <a:xfrm>
          <a:off x="796766" y="13519786"/>
          <a:ext cx="49530"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764381</xdr:colOff>
      <xdr:row>78</xdr:row>
      <xdr:rowOff>13336</xdr:rowOff>
    </xdr:from>
    <xdr:to>
      <xdr:col>0</xdr:col>
      <xdr:colOff>878681</xdr:colOff>
      <xdr:row>78</xdr:row>
      <xdr:rowOff>137161</xdr:rowOff>
    </xdr:to>
    <xdr:sp macro="" textlink="">
      <xdr:nvSpPr>
        <xdr:cNvPr id="79" name="テキスト ボックス 78">
          <a:extLst>
            <a:ext uri="{FF2B5EF4-FFF2-40B4-BE49-F238E27FC236}">
              <a16:creationId xmlns:a16="http://schemas.microsoft.com/office/drawing/2014/main" id="{44D03938-7F74-490F-950D-BCFBF1B8FCB1}"/>
            </a:ext>
          </a:extLst>
        </xdr:cNvPr>
        <xdr:cNvSpPr txBox="1"/>
      </xdr:nvSpPr>
      <xdr:spPr>
        <a:xfrm>
          <a:off x="764381" y="1335786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0</xdr:col>
      <xdr:colOff>957228</xdr:colOff>
      <xdr:row>81</xdr:row>
      <xdr:rowOff>97475</xdr:rowOff>
    </xdr:from>
    <xdr:to>
      <xdr:col>1</xdr:col>
      <xdr:colOff>1938</xdr:colOff>
      <xdr:row>84</xdr:row>
      <xdr:rowOff>81595</xdr:rowOff>
    </xdr:to>
    <xdr:sp macro="" textlink="">
      <xdr:nvSpPr>
        <xdr:cNvPr id="80" name="テキスト ボックス 79">
          <a:extLst>
            <a:ext uri="{FF2B5EF4-FFF2-40B4-BE49-F238E27FC236}">
              <a16:creationId xmlns:a16="http://schemas.microsoft.com/office/drawing/2014/main" id="{28E1421C-2A8C-492B-9DD9-BD268098EE55}"/>
            </a:ext>
          </a:extLst>
        </xdr:cNvPr>
        <xdr:cNvSpPr txBox="1"/>
      </xdr:nvSpPr>
      <xdr:spPr>
        <a:xfrm>
          <a:off x="957228" y="13956350"/>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51718</xdr:colOff>
      <xdr:row>98</xdr:row>
      <xdr:rowOff>97475</xdr:rowOff>
    </xdr:from>
    <xdr:to>
      <xdr:col>0</xdr:col>
      <xdr:colOff>439453</xdr:colOff>
      <xdr:row>101</xdr:row>
      <xdr:rowOff>81595</xdr:rowOff>
    </xdr:to>
    <xdr:sp macro="" textlink="">
      <xdr:nvSpPr>
        <xdr:cNvPr id="81" name="テキスト ボックス 80">
          <a:extLst>
            <a:ext uri="{FF2B5EF4-FFF2-40B4-BE49-F238E27FC236}">
              <a16:creationId xmlns:a16="http://schemas.microsoft.com/office/drawing/2014/main" id="{1BD1FF35-D3C5-4AFD-8F61-354E1305A745}"/>
            </a:ext>
          </a:extLst>
        </xdr:cNvPr>
        <xdr:cNvSpPr txBox="1"/>
      </xdr:nvSpPr>
      <xdr:spPr>
        <a:xfrm>
          <a:off x="51718" y="16871000"/>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347186</xdr:colOff>
      <xdr:row>96</xdr:row>
      <xdr:rowOff>3811</xdr:rowOff>
    </xdr:from>
    <xdr:to>
      <xdr:col>0</xdr:col>
      <xdr:colOff>385286</xdr:colOff>
      <xdr:row>104</xdr:row>
      <xdr:rowOff>3811</xdr:rowOff>
    </xdr:to>
    <xdr:sp macro="" textlink="">
      <xdr:nvSpPr>
        <xdr:cNvPr id="82" name="正方形/長方形 81">
          <a:extLst>
            <a:ext uri="{FF2B5EF4-FFF2-40B4-BE49-F238E27FC236}">
              <a16:creationId xmlns:a16="http://schemas.microsoft.com/office/drawing/2014/main" id="{59FE6DB2-BD77-49D3-9A63-848818F6180C}"/>
            </a:ext>
          </a:extLst>
        </xdr:cNvPr>
        <xdr:cNvSpPr/>
      </xdr:nvSpPr>
      <xdr:spPr>
        <a:xfrm>
          <a:off x="347186" y="16434436"/>
          <a:ext cx="38100"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309086</xdr:colOff>
      <xdr:row>95</xdr:row>
      <xdr:rowOff>13336</xdr:rowOff>
    </xdr:from>
    <xdr:to>
      <xdr:col>0</xdr:col>
      <xdr:colOff>423386</xdr:colOff>
      <xdr:row>95</xdr:row>
      <xdr:rowOff>137161</xdr:rowOff>
    </xdr:to>
    <xdr:sp macro="" textlink="">
      <xdr:nvSpPr>
        <xdr:cNvPr id="83" name="テキスト ボックス 82">
          <a:extLst>
            <a:ext uri="{FF2B5EF4-FFF2-40B4-BE49-F238E27FC236}">
              <a16:creationId xmlns:a16="http://schemas.microsoft.com/office/drawing/2014/main" id="{17EBD3DA-BFFF-4311-BA2D-B61ABDD7B894}"/>
            </a:ext>
          </a:extLst>
        </xdr:cNvPr>
        <xdr:cNvSpPr txBox="1"/>
      </xdr:nvSpPr>
      <xdr:spPr>
        <a:xfrm>
          <a:off x="309086" y="162725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0</xdr:col>
      <xdr:colOff>385286</xdr:colOff>
      <xdr:row>96</xdr:row>
      <xdr:rowOff>3811</xdr:rowOff>
    </xdr:from>
    <xdr:to>
      <xdr:col>0</xdr:col>
      <xdr:colOff>434816</xdr:colOff>
      <xdr:row>104</xdr:row>
      <xdr:rowOff>3811</xdr:rowOff>
    </xdr:to>
    <xdr:sp macro="" textlink="">
      <xdr:nvSpPr>
        <xdr:cNvPr id="84" name="正方形/長方形 83">
          <a:extLst>
            <a:ext uri="{FF2B5EF4-FFF2-40B4-BE49-F238E27FC236}">
              <a16:creationId xmlns:a16="http://schemas.microsoft.com/office/drawing/2014/main" id="{E63AB7F8-F5AF-41B7-85D5-63262E86807B}"/>
            </a:ext>
          </a:extLst>
        </xdr:cNvPr>
        <xdr:cNvSpPr/>
      </xdr:nvSpPr>
      <xdr:spPr>
        <a:xfrm>
          <a:off x="385286" y="16434436"/>
          <a:ext cx="49530"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371951</xdr:colOff>
      <xdr:row>95</xdr:row>
      <xdr:rowOff>13336</xdr:rowOff>
    </xdr:from>
    <xdr:to>
      <xdr:col>0</xdr:col>
      <xdr:colOff>486251</xdr:colOff>
      <xdr:row>95</xdr:row>
      <xdr:rowOff>137161</xdr:rowOff>
    </xdr:to>
    <xdr:sp macro="" textlink="">
      <xdr:nvSpPr>
        <xdr:cNvPr id="85" name="テキスト ボックス 84">
          <a:extLst>
            <a:ext uri="{FF2B5EF4-FFF2-40B4-BE49-F238E27FC236}">
              <a16:creationId xmlns:a16="http://schemas.microsoft.com/office/drawing/2014/main" id="{C5B5128B-094A-4974-A488-99314F30B65E}"/>
            </a:ext>
          </a:extLst>
        </xdr:cNvPr>
        <xdr:cNvSpPr txBox="1"/>
      </xdr:nvSpPr>
      <xdr:spPr>
        <a:xfrm>
          <a:off x="371951" y="162725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0</xdr:col>
      <xdr:colOff>568166</xdr:colOff>
      <xdr:row>95</xdr:row>
      <xdr:rowOff>13336</xdr:rowOff>
    </xdr:from>
    <xdr:to>
      <xdr:col>0</xdr:col>
      <xdr:colOff>682466</xdr:colOff>
      <xdr:row>95</xdr:row>
      <xdr:rowOff>137161</xdr:rowOff>
    </xdr:to>
    <xdr:sp macro="" textlink="">
      <xdr:nvSpPr>
        <xdr:cNvPr id="86" name="テキスト ボックス 85">
          <a:extLst>
            <a:ext uri="{FF2B5EF4-FFF2-40B4-BE49-F238E27FC236}">
              <a16:creationId xmlns:a16="http://schemas.microsoft.com/office/drawing/2014/main" id="{2BD2D7D4-04ED-4D26-8CE1-5261406B81EE}"/>
            </a:ext>
          </a:extLst>
        </xdr:cNvPr>
        <xdr:cNvSpPr txBox="1"/>
      </xdr:nvSpPr>
      <xdr:spPr>
        <a:xfrm>
          <a:off x="568166" y="162725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0</xdr:col>
      <xdr:colOff>815816</xdr:colOff>
      <xdr:row>96</xdr:row>
      <xdr:rowOff>3811</xdr:rowOff>
    </xdr:from>
    <xdr:to>
      <xdr:col>0</xdr:col>
      <xdr:colOff>865346</xdr:colOff>
      <xdr:row>104</xdr:row>
      <xdr:rowOff>3811</xdr:rowOff>
    </xdr:to>
    <xdr:sp macro="" textlink="">
      <xdr:nvSpPr>
        <xdr:cNvPr id="87" name="正方形/長方形 86">
          <a:extLst>
            <a:ext uri="{FF2B5EF4-FFF2-40B4-BE49-F238E27FC236}">
              <a16:creationId xmlns:a16="http://schemas.microsoft.com/office/drawing/2014/main" id="{5891570A-84C2-47CA-B3EB-B6D3AC284751}"/>
            </a:ext>
          </a:extLst>
        </xdr:cNvPr>
        <xdr:cNvSpPr/>
      </xdr:nvSpPr>
      <xdr:spPr>
        <a:xfrm>
          <a:off x="815816" y="16434436"/>
          <a:ext cx="49530"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783431</xdr:colOff>
      <xdr:row>95</xdr:row>
      <xdr:rowOff>13336</xdr:rowOff>
    </xdr:from>
    <xdr:to>
      <xdr:col>0</xdr:col>
      <xdr:colOff>897731</xdr:colOff>
      <xdr:row>95</xdr:row>
      <xdr:rowOff>137161</xdr:rowOff>
    </xdr:to>
    <xdr:sp macro="" textlink="">
      <xdr:nvSpPr>
        <xdr:cNvPr id="88" name="テキスト ボックス 87">
          <a:extLst>
            <a:ext uri="{FF2B5EF4-FFF2-40B4-BE49-F238E27FC236}">
              <a16:creationId xmlns:a16="http://schemas.microsoft.com/office/drawing/2014/main" id="{AF05F78A-AAAC-4FC7-9999-E2BA2838B62F}"/>
            </a:ext>
          </a:extLst>
        </xdr:cNvPr>
        <xdr:cNvSpPr txBox="1"/>
      </xdr:nvSpPr>
      <xdr:spPr>
        <a:xfrm>
          <a:off x="783431" y="162725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0</xdr:col>
      <xdr:colOff>976278</xdr:colOff>
      <xdr:row>98</xdr:row>
      <xdr:rowOff>97475</xdr:rowOff>
    </xdr:from>
    <xdr:to>
      <xdr:col>1</xdr:col>
      <xdr:colOff>20988</xdr:colOff>
      <xdr:row>101</xdr:row>
      <xdr:rowOff>81595</xdr:rowOff>
    </xdr:to>
    <xdr:sp macro="" textlink="">
      <xdr:nvSpPr>
        <xdr:cNvPr id="89" name="テキスト ボックス 88">
          <a:extLst>
            <a:ext uri="{FF2B5EF4-FFF2-40B4-BE49-F238E27FC236}">
              <a16:creationId xmlns:a16="http://schemas.microsoft.com/office/drawing/2014/main" id="{B1BE318B-7F11-40D0-8FEA-4FBCAC75AA3D}"/>
            </a:ext>
          </a:extLst>
        </xdr:cNvPr>
        <xdr:cNvSpPr txBox="1"/>
      </xdr:nvSpPr>
      <xdr:spPr>
        <a:xfrm>
          <a:off x="976278" y="16871000"/>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528137</xdr:colOff>
      <xdr:row>77</xdr:row>
      <xdr:rowOff>135049</xdr:rowOff>
    </xdr:from>
    <xdr:to>
      <xdr:col>6</xdr:col>
      <xdr:colOff>943635</xdr:colOff>
      <xdr:row>79</xdr:row>
      <xdr:rowOff>77676</xdr:rowOff>
    </xdr:to>
    <xdr:sp macro="" textlink="">
      <xdr:nvSpPr>
        <xdr:cNvPr id="90" name="テキスト ボックス 89">
          <a:extLst>
            <a:ext uri="{FF2B5EF4-FFF2-40B4-BE49-F238E27FC236}">
              <a16:creationId xmlns:a16="http://schemas.microsoft.com/office/drawing/2014/main" id="{347780E3-4F6B-4177-9C66-46E21EE31BCD}"/>
            </a:ext>
          </a:extLst>
        </xdr:cNvPr>
        <xdr:cNvSpPr txBox="1"/>
      </xdr:nvSpPr>
      <xdr:spPr>
        <a:xfrm>
          <a:off x="5528762" y="13308124"/>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37227</xdr:colOff>
      <xdr:row>79</xdr:row>
      <xdr:rowOff>160116</xdr:rowOff>
    </xdr:from>
    <xdr:to>
      <xdr:col>6</xdr:col>
      <xdr:colOff>151527</xdr:colOff>
      <xdr:row>80</xdr:row>
      <xdr:rowOff>112491</xdr:rowOff>
    </xdr:to>
    <xdr:sp macro="" textlink="">
      <xdr:nvSpPr>
        <xdr:cNvPr id="92" name="テキスト ボックス 91">
          <a:extLst>
            <a:ext uri="{FF2B5EF4-FFF2-40B4-BE49-F238E27FC236}">
              <a16:creationId xmlns:a16="http://schemas.microsoft.com/office/drawing/2014/main" id="{277EC68A-7AE6-4C28-A2F5-6261E481798E}"/>
            </a:ext>
          </a:extLst>
        </xdr:cNvPr>
        <xdr:cNvSpPr txBox="1"/>
      </xdr:nvSpPr>
      <xdr:spPr>
        <a:xfrm>
          <a:off x="5037852" y="1367609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80</xdr:row>
      <xdr:rowOff>60485</xdr:rowOff>
    </xdr:from>
    <xdr:to>
      <xdr:col>6</xdr:col>
      <xdr:colOff>151527</xdr:colOff>
      <xdr:row>81</xdr:row>
      <xdr:rowOff>12860</xdr:rowOff>
    </xdr:to>
    <xdr:sp macro="" textlink="">
      <xdr:nvSpPr>
        <xdr:cNvPr id="94" name="テキスト ボックス 93">
          <a:extLst>
            <a:ext uri="{FF2B5EF4-FFF2-40B4-BE49-F238E27FC236}">
              <a16:creationId xmlns:a16="http://schemas.microsoft.com/office/drawing/2014/main" id="{25E9C9C0-693C-4593-89B1-7272E6CABA90}"/>
            </a:ext>
          </a:extLst>
        </xdr:cNvPr>
        <xdr:cNvSpPr txBox="1"/>
      </xdr:nvSpPr>
      <xdr:spPr>
        <a:xfrm>
          <a:off x="5037852" y="1374791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80</xdr:row>
      <xdr:rowOff>158401</xdr:rowOff>
    </xdr:from>
    <xdr:to>
      <xdr:col>6</xdr:col>
      <xdr:colOff>151527</xdr:colOff>
      <xdr:row>81</xdr:row>
      <xdr:rowOff>110776</xdr:rowOff>
    </xdr:to>
    <xdr:sp macro="" textlink="">
      <xdr:nvSpPr>
        <xdr:cNvPr id="96" name="テキスト ボックス 95">
          <a:extLst>
            <a:ext uri="{FF2B5EF4-FFF2-40B4-BE49-F238E27FC236}">
              <a16:creationId xmlns:a16="http://schemas.microsoft.com/office/drawing/2014/main" id="{DF3D4D88-CD53-4EED-9E86-7492EB9BF97F}"/>
            </a:ext>
          </a:extLst>
        </xdr:cNvPr>
        <xdr:cNvSpPr txBox="1"/>
      </xdr:nvSpPr>
      <xdr:spPr>
        <a:xfrm>
          <a:off x="5037852" y="13845826"/>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82</xdr:row>
      <xdr:rowOff>162686</xdr:rowOff>
    </xdr:from>
    <xdr:to>
      <xdr:col>6</xdr:col>
      <xdr:colOff>151527</xdr:colOff>
      <xdr:row>83</xdr:row>
      <xdr:rowOff>115061</xdr:rowOff>
    </xdr:to>
    <xdr:sp macro="" textlink="">
      <xdr:nvSpPr>
        <xdr:cNvPr id="97" name="テキスト ボックス 96">
          <a:extLst>
            <a:ext uri="{FF2B5EF4-FFF2-40B4-BE49-F238E27FC236}">
              <a16:creationId xmlns:a16="http://schemas.microsoft.com/office/drawing/2014/main" id="{86BF61B9-2054-4AD8-A27C-CFF549025854}"/>
            </a:ext>
          </a:extLst>
        </xdr:cNvPr>
        <xdr:cNvSpPr txBox="1"/>
      </xdr:nvSpPr>
      <xdr:spPr>
        <a:xfrm>
          <a:off x="5037852" y="141930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84</xdr:row>
      <xdr:rowOff>58959</xdr:rowOff>
    </xdr:from>
    <xdr:to>
      <xdr:col>6</xdr:col>
      <xdr:colOff>151527</xdr:colOff>
      <xdr:row>85</xdr:row>
      <xdr:rowOff>11334</xdr:rowOff>
    </xdr:to>
    <xdr:sp macro="" textlink="">
      <xdr:nvSpPr>
        <xdr:cNvPr id="99" name="テキスト ボックス 98">
          <a:extLst>
            <a:ext uri="{FF2B5EF4-FFF2-40B4-BE49-F238E27FC236}">
              <a16:creationId xmlns:a16="http://schemas.microsoft.com/office/drawing/2014/main" id="{2BDF5EDC-0A49-4651-895D-2594FAEDF45F}"/>
            </a:ext>
          </a:extLst>
        </xdr:cNvPr>
        <xdr:cNvSpPr txBox="1"/>
      </xdr:nvSpPr>
      <xdr:spPr>
        <a:xfrm>
          <a:off x="5037852" y="14432184"/>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5</a:t>
          </a:r>
          <a:endParaRPr kumimoji="1" lang="ja-JP" altLang="en-US" sz="800" b="0" i="0">
            <a:latin typeface="ＭＳ Ｐゴシック" panose="020B0600070205080204" pitchFamily="50" charset="-128"/>
          </a:endParaRPr>
        </a:p>
      </xdr:txBody>
    </xdr:sp>
    <xdr:clientData/>
  </xdr:twoCellAnchor>
  <xdr:twoCellAnchor>
    <xdr:from>
      <xdr:col>6</xdr:col>
      <xdr:colOff>528137</xdr:colOff>
      <xdr:row>84</xdr:row>
      <xdr:rowOff>100122</xdr:rowOff>
    </xdr:from>
    <xdr:to>
      <xdr:col>6</xdr:col>
      <xdr:colOff>943635</xdr:colOff>
      <xdr:row>86</xdr:row>
      <xdr:rowOff>42749</xdr:rowOff>
    </xdr:to>
    <xdr:sp macro="" textlink="">
      <xdr:nvSpPr>
        <xdr:cNvPr id="100" name="テキスト ボックス 99">
          <a:extLst>
            <a:ext uri="{FF2B5EF4-FFF2-40B4-BE49-F238E27FC236}">
              <a16:creationId xmlns:a16="http://schemas.microsoft.com/office/drawing/2014/main" id="{1DA9319C-068A-46C2-947D-033381B97650}"/>
            </a:ext>
          </a:extLst>
        </xdr:cNvPr>
        <xdr:cNvSpPr txBox="1"/>
      </xdr:nvSpPr>
      <xdr:spPr>
        <a:xfrm>
          <a:off x="5528762" y="14473347"/>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528137</xdr:colOff>
      <xdr:row>96</xdr:row>
      <xdr:rowOff>139811</xdr:rowOff>
    </xdr:from>
    <xdr:to>
      <xdr:col>6</xdr:col>
      <xdr:colOff>943635</xdr:colOff>
      <xdr:row>98</xdr:row>
      <xdr:rowOff>82438</xdr:rowOff>
    </xdr:to>
    <xdr:sp macro="" textlink="">
      <xdr:nvSpPr>
        <xdr:cNvPr id="101" name="テキスト ボックス 100">
          <a:extLst>
            <a:ext uri="{FF2B5EF4-FFF2-40B4-BE49-F238E27FC236}">
              <a16:creationId xmlns:a16="http://schemas.microsoft.com/office/drawing/2014/main" id="{8EAD0D22-BEFC-4742-BA81-80E4C8D1E2FF}"/>
            </a:ext>
          </a:extLst>
        </xdr:cNvPr>
        <xdr:cNvSpPr txBox="1"/>
      </xdr:nvSpPr>
      <xdr:spPr>
        <a:xfrm>
          <a:off x="5528762" y="16570436"/>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37227</xdr:colOff>
      <xdr:row>99</xdr:row>
      <xdr:rowOff>4763</xdr:rowOff>
    </xdr:from>
    <xdr:to>
      <xdr:col>6</xdr:col>
      <xdr:colOff>151527</xdr:colOff>
      <xdr:row>99</xdr:row>
      <xdr:rowOff>128588</xdr:rowOff>
    </xdr:to>
    <xdr:sp macro="" textlink="">
      <xdr:nvSpPr>
        <xdr:cNvPr id="103" name="テキスト ボックス 102">
          <a:extLst>
            <a:ext uri="{FF2B5EF4-FFF2-40B4-BE49-F238E27FC236}">
              <a16:creationId xmlns:a16="http://schemas.microsoft.com/office/drawing/2014/main" id="{4CC1C8FA-27AF-4430-AD73-83C9C6AA485D}"/>
            </a:ext>
          </a:extLst>
        </xdr:cNvPr>
        <xdr:cNvSpPr txBox="1"/>
      </xdr:nvSpPr>
      <xdr:spPr>
        <a:xfrm>
          <a:off x="5037852" y="16949738"/>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99</xdr:row>
      <xdr:rowOff>76581</xdr:rowOff>
    </xdr:from>
    <xdr:to>
      <xdr:col>6</xdr:col>
      <xdr:colOff>151527</xdr:colOff>
      <xdr:row>100</xdr:row>
      <xdr:rowOff>28956</xdr:rowOff>
    </xdr:to>
    <xdr:sp macro="" textlink="">
      <xdr:nvSpPr>
        <xdr:cNvPr id="105" name="テキスト ボックス 104">
          <a:extLst>
            <a:ext uri="{FF2B5EF4-FFF2-40B4-BE49-F238E27FC236}">
              <a16:creationId xmlns:a16="http://schemas.microsoft.com/office/drawing/2014/main" id="{0D04D341-CC6A-452E-8946-F75EAAE6289F}"/>
            </a:ext>
          </a:extLst>
        </xdr:cNvPr>
        <xdr:cNvSpPr txBox="1"/>
      </xdr:nvSpPr>
      <xdr:spPr>
        <a:xfrm>
          <a:off x="5037852" y="17021556"/>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6</xdr:col>
      <xdr:colOff>528137</xdr:colOff>
      <xdr:row>99</xdr:row>
      <xdr:rowOff>95361</xdr:rowOff>
    </xdr:from>
    <xdr:to>
      <xdr:col>6</xdr:col>
      <xdr:colOff>943635</xdr:colOff>
      <xdr:row>101</xdr:row>
      <xdr:rowOff>37988</xdr:rowOff>
    </xdr:to>
    <xdr:sp macro="" textlink="">
      <xdr:nvSpPr>
        <xdr:cNvPr id="106" name="テキスト ボックス 105">
          <a:extLst>
            <a:ext uri="{FF2B5EF4-FFF2-40B4-BE49-F238E27FC236}">
              <a16:creationId xmlns:a16="http://schemas.microsoft.com/office/drawing/2014/main" id="{537FF8CF-14D1-4E03-A192-A0B73B521D39}"/>
            </a:ext>
          </a:extLst>
        </xdr:cNvPr>
        <xdr:cNvSpPr txBox="1"/>
      </xdr:nvSpPr>
      <xdr:spPr>
        <a:xfrm>
          <a:off x="5528762" y="17040336"/>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528137</xdr:colOff>
      <xdr:row>111</xdr:row>
      <xdr:rowOff>158861</xdr:rowOff>
    </xdr:from>
    <xdr:to>
      <xdr:col>0</xdr:col>
      <xdr:colOff>943635</xdr:colOff>
      <xdr:row>113</xdr:row>
      <xdr:rowOff>101488</xdr:rowOff>
    </xdr:to>
    <xdr:sp macro="" textlink="">
      <xdr:nvSpPr>
        <xdr:cNvPr id="107" name="テキスト ボックス 106">
          <a:extLst>
            <a:ext uri="{FF2B5EF4-FFF2-40B4-BE49-F238E27FC236}">
              <a16:creationId xmlns:a16="http://schemas.microsoft.com/office/drawing/2014/main" id="{084BF519-3419-49BB-A47E-BF362A9703BF}"/>
            </a:ext>
          </a:extLst>
        </xdr:cNvPr>
        <xdr:cNvSpPr txBox="1"/>
      </xdr:nvSpPr>
      <xdr:spPr>
        <a:xfrm>
          <a:off x="528137" y="19161236"/>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37227</xdr:colOff>
      <xdr:row>114</xdr:row>
      <xdr:rowOff>23813</xdr:rowOff>
    </xdr:from>
    <xdr:to>
      <xdr:col>0</xdr:col>
      <xdr:colOff>151527</xdr:colOff>
      <xdr:row>114</xdr:row>
      <xdr:rowOff>147638</xdr:rowOff>
    </xdr:to>
    <xdr:sp macro="" textlink="">
      <xdr:nvSpPr>
        <xdr:cNvPr id="109" name="テキスト ボックス 108">
          <a:extLst>
            <a:ext uri="{FF2B5EF4-FFF2-40B4-BE49-F238E27FC236}">
              <a16:creationId xmlns:a16="http://schemas.microsoft.com/office/drawing/2014/main" id="{8E6FEE68-6864-4027-905A-52E4565A4CD9}"/>
            </a:ext>
          </a:extLst>
        </xdr:cNvPr>
        <xdr:cNvSpPr txBox="1"/>
      </xdr:nvSpPr>
      <xdr:spPr>
        <a:xfrm>
          <a:off x="37227" y="19540538"/>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0</xdr:col>
      <xdr:colOff>37227</xdr:colOff>
      <xdr:row>114</xdr:row>
      <xdr:rowOff>100013</xdr:rowOff>
    </xdr:from>
    <xdr:to>
      <xdr:col>0</xdr:col>
      <xdr:colOff>151527</xdr:colOff>
      <xdr:row>115</xdr:row>
      <xdr:rowOff>52388</xdr:rowOff>
    </xdr:to>
    <xdr:sp macro="" textlink="">
      <xdr:nvSpPr>
        <xdr:cNvPr id="111" name="テキスト ボックス 110">
          <a:extLst>
            <a:ext uri="{FF2B5EF4-FFF2-40B4-BE49-F238E27FC236}">
              <a16:creationId xmlns:a16="http://schemas.microsoft.com/office/drawing/2014/main" id="{47216AF1-C2B6-4871-AA3B-551320D1FBC0}"/>
            </a:ext>
          </a:extLst>
        </xdr:cNvPr>
        <xdr:cNvSpPr txBox="1"/>
      </xdr:nvSpPr>
      <xdr:spPr>
        <a:xfrm>
          <a:off x="37227" y="19616738"/>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0</xdr:col>
      <xdr:colOff>37227</xdr:colOff>
      <xdr:row>116</xdr:row>
      <xdr:rowOff>100013</xdr:rowOff>
    </xdr:from>
    <xdr:to>
      <xdr:col>0</xdr:col>
      <xdr:colOff>151527</xdr:colOff>
      <xdr:row>117</xdr:row>
      <xdr:rowOff>52388</xdr:rowOff>
    </xdr:to>
    <xdr:sp macro="" textlink="">
      <xdr:nvSpPr>
        <xdr:cNvPr id="113" name="テキスト ボックス 112">
          <a:extLst>
            <a:ext uri="{FF2B5EF4-FFF2-40B4-BE49-F238E27FC236}">
              <a16:creationId xmlns:a16="http://schemas.microsoft.com/office/drawing/2014/main" id="{8F8B4BB5-678D-4BD3-84CD-966A3C51532A}"/>
            </a:ext>
          </a:extLst>
        </xdr:cNvPr>
        <xdr:cNvSpPr txBox="1"/>
      </xdr:nvSpPr>
      <xdr:spPr>
        <a:xfrm>
          <a:off x="37227" y="19959638"/>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0</xdr:col>
      <xdr:colOff>528137</xdr:colOff>
      <xdr:row>118</xdr:row>
      <xdr:rowOff>76311</xdr:rowOff>
    </xdr:from>
    <xdr:to>
      <xdr:col>0</xdr:col>
      <xdr:colOff>943635</xdr:colOff>
      <xdr:row>120</xdr:row>
      <xdr:rowOff>18938</xdr:rowOff>
    </xdr:to>
    <xdr:sp macro="" textlink="">
      <xdr:nvSpPr>
        <xdr:cNvPr id="114" name="テキスト ボックス 113">
          <a:extLst>
            <a:ext uri="{FF2B5EF4-FFF2-40B4-BE49-F238E27FC236}">
              <a16:creationId xmlns:a16="http://schemas.microsoft.com/office/drawing/2014/main" id="{67F579D5-4CB5-4AFB-B523-3852D5AB1CCC}"/>
            </a:ext>
          </a:extLst>
        </xdr:cNvPr>
        <xdr:cNvSpPr txBox="1"/>
      </xdr:nvSpPr>
      <xdr:spPr>
        <a:xfrm>
          <a:off x="528137" y="20278836"/>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528137</xdr:colOff>
      <xdr:row>128</xdr:row>
      <xdr:rowOff>135049</xdr:rowOff>
    </xdr:from>
    <xdr:to>
      <xdr:col>0</xdr:col>
      <xdr:colOff>943635</xdr:colOff>
      <xdr:row>130</xdr:row>
      <xdr:rowOff>77676</xdr:rowOff>
    </xdr:to>
    <xdr:sp macro="" textlink="">
      <xdr:nvSpPr>
        <xdr:cNvPr id="115" name="テキスト ボックス 114">
          <a:extLst>
            <a:ext uri="{FF2B5EF4-FFF2-40B4-BE49-F238E27FC236}">
              <a16:creationId xmlns:a16="http://schemas.microsoft.com/office/drawing/2014/main" id="{ED8387BF-B242-4E9C-B0CD-C549789C2639}"/>
            </a:ext>
          </a:extLst>
        </xdr:cNvPr>
        <xdr:cNvSpPr txBox="1"/>
      </xdr:nvSpPr>
      <xdr:spPr>
        <a:xfrm>
          <a:off x="528137" y="22052074"/>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37227</xdr:colOff>
      <xdr:row>130</xdr:row>
      <xdr:rowOff>160054</xdr:rowOff>
    </xdr:from>
    <xdr:to>
      <xdr:col>0</xdr:col>
      <xdr:colOff>151527</xdr:colOff>
      <xdr:row>131</xdr:row>
      <xdr:rowOff>112429</xdr:rowOff>
    </xdr:to>
    <xdr:sp macro="" textlink="">
      <xdr:nvSpPr>
        <xdr:cNvPr id="117" name="テキスト ボックス 116">
          <a:extLst>
            <a:ext uri="{FF2B5EF4-FFF2-40B4-BE49-F238E27FC236}">
              <a16:creationId xmlns:a16="http://schemas.microsoft.com/office/drawing/2014/main" id="{D8C8C077-2C8C-4439-B374-41ADDDE86364}"/>
            </a:ext>
          </a:extLst>
        </xdr:cNvPr>
        <xdr:cNvSpPr txBox="1"/>
      </xdr:nvSpPr>
      <xdr:spPr>
        <a:xfrm>
          <a:off x="37227" y="22419979"/>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0</xdr:col>
      <xdr:colOff>37227</xdr:colOff>
      <xdr:row>131</xdr:row>
      <xdr:rowOff>60423</xdr:rowOff>
    </xdr:from>
    <xdr:to>
      <xdr:col>0</xdr:col>
      <xdr:colOff>151527</xdr:colOff>
      <xdr:row>132</xdr:row>
      <xdr:rowOff>12798</xdr:rowOff>
    </xdr:to>
    <xdr:sp macro="" textlink="">
      <xdr:nvSpPr>
        <xdr:cNvPr id="119" name="テキスト ボックス 118">
          <a:extLst>
            <a:ext uri="{FF2B5EF4-FFF2-40B4-BE49-F238E27FC236}">
              <a16:creationId xmlns:a16="http://schemas.microsoft.com/office/drawing/2014/main" id="{33E7C2B7-55AE-4170-8830-D87B4CAFEAC2}"/>
            </a:ext>
          </a:extLst>
        </xdr:cNvPr>
        <xdr:cNvSpPr txBox="1"/>
      </xdr:nvSpPr>
      <xdr:spPr>
        <a:xfrm>
          <a:off x="37227" y="22491798"/>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0</xdr:col>
      <xdr:colOff>37227</xdr:colOff>
      <xdr:row>131</xdr:row>
      <xdr:rowOff>156992</xdr:rowOff>
    </xdr:from>
    <xdr:to>
      <xdr:col>0</xdr:col>
      <xdr:colOff>151527</xdr:colOff>
      <xdr:row>132</xdr:row>
      <xdr:rowOff>109367</xdr:rowOff>
    </xdr:to>
    <xdr:sp macro="" textlink="">
      <xdr:nvSpPr>
        <xdr:cNvPr id="121" name="テキスト ボックス 120">
          <a:extLst>
            <a:ext uri="{FF2B5EF4-FFF2-40B4-BE49-F238E27FC236}">
              <a16:creationId xmlns:a16="http://schemas.microsoft.com/office/drawing/2014/main" id="{B7A58980-4D74-435F-BDC7-770F4438E39D}"/>
            </a:ext>
          </a:extLst>
        </xdr:cNvPr>
        <xdr:cNvSpPr txBox="1"/>
      </xdr:nvSpPr>
      <xdr:spPr>
        <a:xfrm>
          <a:off x="37227" y="22588367"/>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0</xdr:col>
      <xdr:colOff>37227</xdr:colOff>
      <xdr:row>133</xdr:row>
      <xdr:rowOff>43712</xdr:rowOff>
    </xdr:from>
    <xdr:to>
      <xdr:col>0</xdr:col>
      <xdr:colOff>151527</xdr:colOff>
      <xdr:row>133</xdr:row>
      <xdr:rowOff>167537</xdr:rowOff>
    </xdr:to>
    <xdr:sp macro="" textlink="">
      <xdr:nvSpPr>
        <xdr:cNvPr id="123" name="テキスト ボックス 122">
          <a:extLst>
            <a:ext uri="{FF2B5EF4-FFF2-40B4-BE49-F238E27FC236}">
              <a16:creationId xmlns:a16="http://schemas.microsoft.com/office/drawing/2014/main" id="{E77CC350-54E7-45D3-9596-57E0167C5AFB}"/>
            </a:ext>
          </a:extLst>
        </xdr:cNvPr>
        <xdr:cNvSpPr txBox="1"/>
      </xdr:nvSpPr>
      <xdr:spPr>
        <a:xfrm>
          <a:off x="37227" y="22817987"/>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0</xdr:col>
      <xdr:colOff>37227</xdr:colOff>
      <xdr:row>136</xdr:row>
      <xdr:rowOff>26873</xdr:rowOff>
    </xdr:from>
    <xdr:to>
      <xdr:col>0</xdr:col>
      <xdr:colOff>151527</xdr:colOff>
      <xdr:row>136</xdr:row>
      <xdr:rowOff>150698</xdr:rowOff>
    </xdr:to>
    <xdr:sp macro="" textlink="">
      <xdr:nvSpPr>
        <xdr:cNvPr id="125" name="テキスト ボックス 124">
          <a:extLst>
            <a:ext uri="{FF2B5EF4-FFF2-40B4-BE49-F238E27FC236}">
              <a16:creationId xmlns:a16="http://schemas.microsoft.com/office/drawing/2014/main" id="{6FED407E-860D-4023-978C-4A9AB88FFE5C}"/>
            </a:ext>
          </a:extLst>
        </xdr:cNvPr>
        <xdr:cNvSpPr txBox="1"/>
      </xdr:nvSpPr>
      <xdr:spPr>
        <a:xfrm>
          <a:off x="37227" y="23315498"/>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5</a:t>
          </a:r>
          <a:endParaRPr kumimoji="1" lang="ja-JP" altLang="en-US" sz="800" b="0" i="0">
            <a:latin typeface="ＭＳ Ｐゴシック" panose="020B0600070205080204" pitchFamily="50" charset="-128"/>
          </a:endParaRPr>
        </a:p>
      </xdr:txBody>
    </xdr:sp>
    <xdr:clientData/>
  </xdr:twoCellAnchor>
  <xdr:twoCellAnchor>
    <xdr:from>
      <xdr:col>6</xdr:col>
      <xdr:colOff>528137</xdr:colOff>
      <xdr:row>111</xdr:row>
      <xdr:rowOff>135049</xdr:rowOff>
    </xdr:from>
    <xdr:to>
      <xdr:col>6</xdr:col>
      <xdr:colOff>943635</xdr:colOff>
      <xdr:row>113</xdr:row>
      <xdr:rowOff>77676</xdr:rowOff>
    </xdr:to>
    <xdr:sp macro="" textlink="">
      <xdr:nvSpPr>
        <xdr:cNvPr id="126" name="テキスト ボックス 125">
          <a:extLst>
            <a:ext uri="{FF2B5EF4-FFF2-40B4-BE49-F238E27FC236}">
              <a16:creationId xmlns:a16="http://schemas.microsoft.com/office/drawing/2014/main" id="{17D4E602-D520-46E3-82E7-9939FA56A31D}"/>
            </a:ext>
          </a:extLst>
        </xdr:cNvPr>
        <xdr:cNvSpPr txBox="1"/>
      </xdr:nvSpPr>
      <xdr:spPr>
        <a:xfrm>
          <a:off x="5528762" y="19137424"/>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37227</xdr:colOff>
      <xdr:row>113</xdr:row>
      <xdr:rowOff>157384</xdr:rowOff>
    </xdr:from>
    <xdr:to>
      <xdr:col>6</xdr:col>
      <xdr:colOff>151527</xdr:colOff>
      <xdr:row>114</xdr:row>
      <xdr:rowOff>109759</xdr:rowOff>
    </xdr:to>
    <xdr:sp macro="" textlink="">
      <xdr:nvSpPr>
        <xdr:cNvPr id="128" name="テキスト ボックス 127">
          <a:extLst>
            <a:ext uri="{FF2B5EF4-FFF2-40B4-BE49-F238E27FC236}">
              <a16:creationId xmlns:a16="http://schemas.microsoft.com/office/drawing/2014/main" id="{A07FDDB0-C13A-479E-A7E7-3D2785857F5F}"/>
            </a:ext>
          </a:extLst>
        </xdr:cNvPr>
        <xdr:cNvSpPr txBox="1"/>
      </xdr:nvSpPr>
      <xdr:spPr>
        <a:xfrm>
          <a:off x="5037852" y="19502659"/>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114</xdr:row>
      <xdr:rowOff>57753</xdr:rowOff>
    </xdr:from>
    <xdr:to>
      <xdr:col>6</xdr:col>
      <xdr:colOff>151527</xdr:colOff>
      <xdr:row>115</xdr:row>
      <xdr:rowOff>10128</xdr:rowOff>
    </xdr:to>
    <xdr:sp macro="" textlink="">
      <xdr:nvSpPr>
        <xdr:cNvPr id="130" name="テキスト ボックス 129">
          <a:extLst>
            <a:ext uri="{FF2B5EF4-FFF2-40B4-BE49-F238E27FC236}">
              <a16:creationId xmlns:a16="http://schemas.microsoft.com/office/drawing/2014/main" id="{B3883B5A-EC27-42E8-B4E8-9CB72A559E7A}"/>
            </a:ext>
          </a:extLst>
        </xdr:cNvPr>
        <xdr:cNvSpPr txBox="1"/>
      </xdr:nvSpPr>
      <xdr:spPr>
        <a:xfrm>
          <a:off x="5037852" y="19574478"/>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114</xdr:row>
      <xdr:rowOff>129572</xdr:rowOff>
    </xdr:from>
    <xdr:to>
      <xdr:col>6</xdr:col>
      <xdr:colOff>151527</xdr:colOff>
      <xdr:row>115</xdr:row>
      <xdr:rowOff>81947</xdr:rowOff>
    </xdr:to>
    <xdr:sp macro="" textlink="">
      <xdr:nvSpPr>
        <xdr:cNvPr id="132" name="テキスト ボックス 131">
          <a:extLst>
            <a:ext uri="{FF2B5EF4-FFF2-40B4-BE49-F238E27FC236}">
              <a16:creationId xmlns:a16="http://schemas.microsoft.com/office/drawing/2014/main" id="{9B9DD48E-61C3-4479-8FA5-C185F811A145}"/>
            </a:ext>
          </a:extLst>
        </xdr:cNvPr>
        <xdr:cNvSpPr txBox="1"/>
      </xdr:nvSpPr>
      <xdr:spPr>
        <a:xfrm>
          <a:off x="5037852" y="19646297"/>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115</xdr:row>
      <xdr:rowOff>148414</xdr:rowOff>
    </xdr:from>
    <xdr:to>
      <xdr:col>6</xdr:col>
      <xdr:colOff>151527</xdr:colOff>
      <xdr:row>116</xdr:row>
      <xdr:rowOff>100789</xdr:rowOff>
    </xdr:to>
    <xdr:sp macro="" textlink="">
      <xdr:nvSpPr>
        <xdr:cNvPr id="133" name="テキスト ボックス 132">
          <a:extLst>
            <a:ext uri="{FF2B5EF4-FFF2-40B4-BE49-F238E27FC236}">
              <a16:creationId xmlns:a16="http://schemas.microsoft.com/office/drawing/2014/main" id="{B9459F38-F13D-406A-AD2C-1B9215864F9A}"/>
            </a:ext>
          </a:extLst>
        </xdr:cNvPr>
        <xdr:cNvSpPr txBox="1"/>
      </xdr:nvSpPr>
      <xdr:spPr>
        <a:xfrm>
          <a:off x="5037852" y="19836589"/>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117</xdr:row>
      <xdr:rowOff>29794</xdr:rowOff>
    </xdr:from>
    <xdr:to>
      <xdr:col>6</xdr:col>
      <xdr:colOff>151527</xdr:colOff>
      <xdr:row>117</xdr:row>
      <xdr:rowOff>153619</xdr:rowOff>
    </xdr:to>
    <xdr:sp macro="" textlink="">
      <xdr:nvSpPr>
        <xdr:cNvPr id="135" name="テキスト ボックス 134">
          <a:extLst>
            <a:ext uri="{FF2B5EF4-FFF2-40B4-BE49-F238E27FC236}">
              <a16:creationId xmlns:a16="http://schemas.microsoft.com/office/drawing/2014/main" id="{8126A85A-481B-4516-B59A-B3CCC374FBD2}"/>
            </a:ext>
          </a:extLst>
        </xdr:cNvPr>
        <xdr:cNvSpPr txBox="1"/>
      </xdr:nvSpPr>
      <xdr:spPr>
        <a:xfrm>
          <a:off x="5037852" y="20060869"/>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5</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118</xdr:row>
      <xdr:rowOff>7865</xdr:rowOff>
    </xdr:from>
    <xdr:to>
      <xdr:col>6</xdr:col>
      <xdr:colOff>151527</xdr:colOff>
      <xdr:row>118</xdr:row>
      <xdr:rowOff>131690</xdr:rowOff>
    </xdr:to>
    <xdr:sp macro="" textlink="">
      <xdr:nvSpPr>
        <xdr:cNvPr id="137" name="テキスト ボックス 136">
          <a:extLst>
            <a:ext uri="{FF2B5EF4-FFF2-40B4-BE49-F238E27FC236}">
              <a16:creationId xmlns:a16="http://schemas.microsoft.com/office/drawing/2014/main" id="{4156F83E-4DCA-4235-9980-DDDDE97D1FD4}"/>
            </a:ext>
          </a:extLst>
        </xdr:cNvPr>
        <xdr:cNvSpPr txBox="1"/>
      </xdr:nvSpPr>
      <xdr:spPr>
        <a:xfrm>
          <a:off x="5037852" y="2021039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6</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119</xdr:row>
      <xdr:rowOff>160376</xdr:rowOff>
    </xdr:from>
    <xdr:to>
      <xdr:col>6</xdr:col>
      <xdr:colOff>151527</xdr:colOff>
      <xdr:row>120</xdr:row>
      <xdr:rowOff>112751</xdr:rowOff>
    </xdr:to>
    <xdr:sp macro="" textlink="">
      <xdr:nvSpPr>
        <xdr:cNvPr id="139" name="テキスト ボックス 138">
          <a:extLst>
            <a:ext uri="{FF2B5EF4-FFF2-40B4-BE49-F238E27FC236}">
              <a16:creationId xmlns:a16="http://schemas.microsoft.com/office/drawing/2014/main" id="{50831B47-CED0-43A9-8A12-3427BE8DDF48}"/>
            </a:ext>
          </a:extLst>
        </xdr:cNvPr>
        <xdr:cNvSpPr txBox="1"/>
      </xdr:nvSpPr>
      <xdr:spPr>
        <a:xfrm>
          <a:off x="5037852" y="2053435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7</a:t>
          </a:r>
          <a:endParaRPr kumimoji="1" lang="ja-JP" altLang="en-US" sz="800" b="0" i="0">
            <a:latin typeface="ＭＳ Ｐゴシック" panose="020B0600070205080204" pitchFamily="50" charset="-128"/>
          </a:endParaRPr>
        </a:p>
      </xdr:txBody>
    </xdr:sp>
    <xdr:clientData/>
  </xdr:twoCellAnchor>
  <xdr:twoCellAnchor>
    <xdr:from>
      <xdr:col>6</xdr:col>
      <xdr:colOff>6712</xdr:colOff>
      <xdr:row>132</xdr:row>
      <xdr:rowOff>97475</xdr:rowOff>
    </xdr:from>
    <xdr:to>
      <xdr:col>6</xdr:col>
      <xdr:colOff>394447</xdr:colOff>
      <xdr:row>135</xdr:row>
      <xdr:rowOff>81595</xdr:rowOff>
    </xdr:to>
    <xdr:sp macro="" textlink="">
      <xdr:nvSpPr>
        <xdr:cNvPr id="140" name="テキスト ボックス 139">
          <a:extLst>
            <a:ext uri="{FF2B5EF4-FFF2-40B4-BE49-F238E27FC236}">
              <a16:creationId xmlns:a16="http://schemas.microsoft.com/office/drawing/2014/main" id="{DAA844A5-D0F1-42E2-92B0-49EC09BAE0F1}"/>
            </a:ext>
          </a:extLst>
        </xdr:cNvPr>
        <xdr:cNvSpPr txBox="1"/>
      </xdr:nvSpPr>
      <xdr:spPr>
        <a:xfrm>
          <a:off x="5007337" y="22700300"/>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302180</xdr:colOff>
      <xdr:row>130</xdr:row>
      <xdr:rowOff>3811</xdr:rowOff>
    </xdr:from>
    <xdr:to>
      <xdr:col>6</xdr:col>
      <xdr:colOff>310343</xdr:colOff>
      <xdr:row>138</xdr:row>
      <xdr:rowOff>3811</xdr:rowOff>
    </xdr:to>
    <xdr:sp macro="" textlink="">
      <xdr:nvSpPr>
        <xdr:cNvPr id="141" name="正方形/長方形 140">
          <a:extLst>
            <a:ext uri="{FF2B5EF4-FFF2-40B4-BE49-F238E27FC236}">
              <a16:creationId xmlns:a16="http://schemas.microsoft.com/office/drawing/2014/main" id="{4AE087E2-F8D5-4374-94B1-0DB980321BF2}"/>
            </a:ext>
          </a:extLst>
        </xdr:cNvPr>
        <xdr:cNvSpPr/>
      </xdr:nvSpPr>
      <xdr:spPr>
        <a:xfrm>
          <a:off x="5302805" y="22263736"/>
          <a:ext cx="8163"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249112</xdr:colOff>
      <xdr:row>129</xdr:row>
      <xdr:rowOff>13336</xdr:rowOff>
    </xdr:from>
    <xdr:to>
      <xdr:col>6</xdr:col>
      <xdr:colOff>363412</xdr:colOff>
      <xdr:row>129</xdr:row>
      <xdr:rowOff>137161</xdr:rowOff>
    </xdr:to>
    <xdr:sp macro="" textlink="">
      <xdr:nvSpPr>
        <xdr:cNvPr id="142" name="テキスト ボックス 141">
          <a:extLst>
            <a:ext uri="{FF2B5EF4-FFF2-40B4-BE49-F238E27FC236}">
              <a16:creationId xmlns:a16="http://schemas.microsoft.com/office/drawing/2014/main" id="{128FE8CF-CF29-4000-93C3-CB44530A12B6}"/>
            </a:ext>
          </a:extLst>
        </xdr:cNvPr>
        <xdr:cNvSpPr txBox="1"/>
      </xdr:nvSpPr>
      <xdr:spPr>
        <a:xfrm>
          <a:off x="5249737" y="221018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6</xdr:col>
      <xdr:colOff>311977</xdr:colOff>
      <xdr:row>129</xdr:row>
      <xdr:rowOff>13336</xdr:rowOff>
    </xdr:from>
    <xdr:to>
      <xdr:col>6</xdr:col>
      <xdr:colOff>426277</xdr:colOff>
      <xdr:row>129</xdr:row>
      <xdr:rowOff>137161</xdr:rowOff>
    </xdr:to>
    <xdr:sp macro="" textlink="">
      <xdr:nvSpPr>
        <xdr:cNvPr id="143" name="テキスト ボックス 142">
          <a:extLst>
            <a:ext uri="{FF2B5EF4-FFF2-40B4-BE49-F238E27FC236}">
              <a16:creationId xmlns:a16="http://schemas.microsoft.com/office/drawing/2014/main" id="{9737C0C1-7F0F-4482-AA07-24DAE600D7AB}"/>
            </a:ext>
          </a:extLst>
        </xdr:cNvPr>
        <xdr:cNvSpPr txBox="1"/>
      </xdr:nvSpPr>
      <xdr:spPr>
        <a:xfrm>
          <a:off x="5312602" y="221018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6</xdr:col>
      <xdr:colOff>373134</xdr:colOff>
      <xdr:row>130</xdr:row>
      <xdr:rowOff>3811</xdr:rowOff>
    </xdr:from>
    <xdr:to>
      <xdr:col>6</xdr:col>
      <xdr:colOff>435925</xdr:colOff>
      <xdr:row>138</xdr:row>
      <xdr:rowOff>3811</xdr:rowOff>
    </xdr:to>
    <xdr:sp macro="" textlink="">
      <xdr:nvSpPr>
        <xdr:cNvPr id="144" name="正方形/長方形 143">
          <a:extLst>
            <a:ext uri="{FF2B5EF4-FFF2-40B4-BE49-F238E27FC236}">
              <a16:creationId xmlns:a16="http://schemas.microsoft.com/office/drawing/2014/main" id="{A201FAE7-2384-4AD1-8280-27AC39C439BF}"/>
            </a:ext>
          </a:extLst>
        </xdr:cNvPr>
        <xdr:cNvSpPr/>
      </xdr:nvSpPr>
      <xdr:spPr>
        <a:xfrm>
          <a:off x="5373759" y="22263736"/>
          <a:ext cx="62791" cy="1371600"/>
        </a:xfrm>
        <a:prstGeom prst="rect">
          <a:avLst/>
        </a:prstGeom>
        <a:blipFill>
          <a:blip xmlns:r="http://schemas.openxmlformats.org/officeDocument/2006/relationships" r:embed="rId2"/>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374842</xdr:colOff>
      <xdr:row>129</xdr:row>
      <xdr:rowOff>13336</xdr:rowOff>
    </xdr:from>
    <xdr:to>
      <xdr:col>6</xdr:col>
      <xdr:colOff>489142</xdr:colOff>
      <xdr:row>129</xdr:row>
      <xdr:rowOff>137161</xdr:rowOff>
    </xdr:to>
    <xdr:sp macro="" textlink="">
      <xdr:nvSpPr>
        <xdr:cNvPr id="145" name="テキスト ボックス 144">
          <a:extLst>
            <a:ext uri="{FF2B5EF4-FFF2-40B4-BE49-F238E27FC236}">
              <a16:creationId xmlns:a16="http://schemas.microsoft.com/office/drawing/2014/main" id="{DE820D55-B05C-4A37-B70D-3535384F5AA1}"/>
            </a:ext>
          </a:extLst>
        </xdr:cNvPr>
        <xdr:cNvSpPr txBox="1"/>
      </xdr:nvSpPr>
      <xdr:spPr>
        <a:xfrm>
          <a:off x="5375467" y="221018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6</xdr:col>
      <xdr:colOff>437707</xdr:colOff>
      <xdr:row>129</xdr:row>
      <xdr:rowOff>13336</xdr:rowOff>
    </xdr:from>
    <xdr:to>
      <xdr:col>6</xdr:col>
      <xdr:colOff>552007</xdr:colOff>
      <xdr:row>129</xdr:row>
      <xdr:rowOff>137161</xdr:rowOff>
    </xdr:to>
    <xdr:sp macro="" textlink="">
      <xdr:nvSpPr>
        <xdr:cNvPr id="146" name="テキスト ボックス 145">
          <a:extLst>
            <a:ext uri="{FF2B5EF4-FFF2-40B4-BE49-F238E27FC236}">
              <a16:creationId xmlns:a16="http://schemas.microsoft.com/office/drawing/2014/main" id="{7CBCCA7D-D32A-4C39-B3DE-A0D691D9C262}"/>
            </a:ext>
          </a:extLst>
        </xdr:cNvPr>
        <xdr:cNvSpPr txBox="1"/>
      </xdr:nvSpPr>
      <xdr:spPr>
        <a:xfrm>
          <a:off x="5438332" y="221018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6</xdr:col>
      <xdr:colOff>498715</xdr:colOff>
      <xdr:row>130</xdr:row>
      <xdr:rowOff>3811</xdr:rowOff>
    </xdr:from>
    <xdr:to>
      <xdr:col>6</xdr:col>
      <xdr:colOff>592901</xdr:colOff>
      <xdr:row>138</xdr:row>
      <xdr:rowOff>3811</xdr:rowOff>
    </xdr:to>
    <xdr:sp macro="" textlink="">
      <xdr:nvSpPr>
        <xdr:cNvPr id="147" name="正方形/長方形 146">
          <a:extLst>
            <a:ext uri="{FF2B5EF4-FFF2-40B4-BE49-F238E27FC236}">
              <a16:creationId xmlns:a16="http://schemas.microsoft.com/office/drawing/2014/main" id="{7D598519-9B3E-4CAE-B0E0-A96CD9FC872D}"/>
            </a:ext>
          </a:extLst>
        </xdr:cNvPr>
        <xdr:cNvSpPr/>
      </xdr:nvSpPr>
      <xdr:spPr>
        <a:xfrm>
          <a:off x="5499340" y="22263736"/>
          <a:ext cx="94186" cy="1371600"/>
        </a:xfrm>
        <a:prstGeom prst="rect">
          <a:avLst/>
        </a:prstGeom>
        <a:blipFill>
          <a:blip xmlns:r="http://schemas.openxmlformats.org/officeDocument/2006/relationships" r:embed="rId3"/>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500573</xdr:colOff>
      <xdr:row>129</xdr:row>
      <xdr:rowOff>13336</xdr:rowOff>
    </xdr:from>
    <xdr:to>
      <xdr:col>6</xdr:col>
      <xdr:colOff>614873</xdr:colOff>
      <xdr:row>129</xdr:row>
      <xdr:rowOff>137161</xdr:rowOff>
    </xdr:to>
    <xdr:sp macro="" textlink="">
      <xdr:nvSpPr>
        <xdr:cNvPr id="148" name="テキスト ボックス 147">
          <a:extLst>
            <a:ext uri="{FF2B5EF4-FFF2-40B4-BE49-F238E27FC236}">
              <a16:creationId xmlns:a16="http://schemas.microsoft.com/office/drawing/2014/main" id="{DE1667BE-B558-42B2-B299-25A4ABFC80F2}"/>
            </a:ext>
          </a:extLst>
        </xdr:cNvPr>
        <xdr:cNvSpPr txBox="1"/>
      </xdr:nvSpPr>
      <xdr:spPr>
        <a:xfrm>
          <a:off x="5501198" y="221018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5</a:t>
          </a:r>
          <a:endParaRPr kumimoji="1" lang="ja-JP" altLang="en-US" sz="800" b="0" i="0">
            <a:latin typeface="ＭＳ Ｐゴシック" panose="020B0600070205080204" pitchFamily="50" charset="-128"/>
          </a:endParaRPr>
        </a:p>
      </xdr:txBody>
    </xdr:sp>
    <xdr:clientData/>
  </xdr:twoCellAnchor>
  <xdr:twoCellAnchor>
    <xdr:from>
      <xdr:col>6</xdr:col>
      <xdr:colOff>592901</xdr:colOff>
      <xdr:row>130</xdr:row>
      <xdr:rowOff>3811</xdr:rowOff>
    </xdr:from>
    <xdr:to>
      <xdr:col>6</xdr:col>
      <xdr:colOff>906855</xdr:colOff>
      <xdr:row>138</xdr:row>
      <xdr:rowOff>3811</xdr:rowOff>
    </xdr:to>
    <xdr:sp macro="" textlink="">
      <xdr:nvSpPr>
        <xdr:cNvPr id="149" name="正方形/長方形 148">
          <a:extLst>
            <a:ext uri="{FF2B5EF4-FFF2-40B4-BE49-F238E27FC236}">
              <a16:creationId xmlns:a16="http://schemas.microsoft.com/office/drawing/2014/main" id="{6B507E0D-3D45-479B-8026-27856002B7AB}"/>
            </a:ext>
          </a:extLst>
        </xdr:cNvPr>
        <xdr:cNvSpPr/>
      </xdr:nvSpPr>
      <xdr:spPr>
        <a:xfrm>
          <a:off x="5593526" y="22263736"/>
          <a:ext cx="313954" cy="1371600"/>
        </a:xfrm>
        <a:prstGeom prst="rect">
          <a:avLst/>
        </a:prstGeom>
        <a:pattFill prst="weave">
          <a:fgClr>
            <a:srgbClr xmlns:mc="http://schemas.openxmlformats.org/markup-compatibility/2006" xmlns:a14="http://schemas.microsoft.com/office/drawing/2010/main" val="800000" mc:Ignorable="a14" a14:legacySpreadsheetColorIndex="16"/>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800000" mc:Ignorable="a14" a14:legacySpreadsheetColorIndex="16"/>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692728</xdr:colOff>
      <xdr:row>129</xdr:row>
      <xdr:rowOff>13336</xdr:rowOff>
    </xdr:from>
    <xdr:to>
      <xdr:col>6</xdr:col>
      <xdr:colOff>807028</xdr:colOff>
      <xdr:row>129</xdr:row>
      <xdr:rowOff>137161</xdr:rowOff>
    </xdr:to>
    <xdr:sp macro="" textlink="">
      <xdr:nvSpPr>
        <xdr:cNvPr id="150" name="テキスト ボックス 149">
          <a:extLst>
            <a:ext uri="{FF2B5EF4-FFF2-40B4-BE49-F238E27FC236}">
              <a16:creationId xmlns:a16="http://schemas.microsoft.com/office/drawing/2014/main" id="{F19EE4C2-A94C-4B4E-B08D-DEC029D2866E}"/>
            </a:ext>
          </a:extLst>
        </xdr:cNvPr>
        <xdr:cNvSpPr txBox="1"/>
      </xdr:nvSpPr>
      <xdr:spPr>
        <a:xfrm>
          <a:off x="5693353" y="22101811"/>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6</a:t>
          </a:r>
          <a:endParaRPr kumimoji="1" lang="ja-JP" altLang="en-US" sz="800" b="0" i="0">
            <a:latin typeface="ＭＳ Ｐゴシック" panose="020B060007020508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6E7E83A3-6835-4C8F-9E46-D1B61C088E3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6459F596-BE0A-4A71-BE21-6AB3395C4EB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9C538B4A-DC44-4641-8BC6-681669D8463A}"/>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7A464A0A-5D42-4613-AE43-08455E31949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631D54E3-10A0-470B-9D79-954ADF473F0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31C1580A-EAF5-4CE6-A57F-1925F8EE36E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560E5F1D-52F0-4005-8BB8-CC22EEBB194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A065378D-DC29-420E-86A5-6C1A85A3EAC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D0749391-8445-405D-B8C9-B981F9E3B1B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AE0AD524-3972-4728-AB24-F490638D00C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EAB87A66-8AF3-40E1-B726-A5482A53064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9CF8B730-BD82-40DC-8C5A-7C1E9B48B59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779746EA-D0E8-402C-B0AF-A892E2F4729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B7FE636C-B7A8-4917-AFDD-79E20A3E583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005A6FE0-22E8-42B0-B549-92D8DCE9E78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326F4CBF-958A-44E4-BC78-97781C57822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DFF5ECBD-1692-43AA-8C14-4CCDB7337D1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B0E1A2EE-CDE1-480D-AF8F-E9A3D800513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6A04DB99-26E5-4050-9A27-1495B3AE9E7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E804D1C0-16C5-4723-B6B8-18E7203FAED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A963A38A-A319-4785-A299-BDDA1EE55FF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02A88153-1DEF-4788-A1B5-D1B4B395B04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51DD3176-633D-41CB-910C-03DEDB0B4E7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57E25AA1-9D36-4676-987B-66E265B3B6D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0CB12F11-C817-4732-984A-33BA5F70A3E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4E0FA080-620D-4F90-9920-08C1ED0D037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726FAE30-9DB1-4797-A0A1-7FB1E3F16E6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CDCE3F5C-63D9-492B-BCB9-A3D09BB3535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E9D9D02B-57FE-4171-AD6D-57F9ED3B59F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13091B30-2208-417C-919A-93161E3E3C8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0B46377C-72A1-4EDD-BC14-801B47B834D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B58894C3-DAA9-46F7-8119-080CD5AA010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4AF748F3-9AAC-42A8-BBA6-D59B3D36CB9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97AD87FB-4350-4F76-A38C-C9AC45661D4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03FC7B3E-FE75-4E26-8822-FB7AD0F77D0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C7ACDECB-7298-43D3-AF9E-705DC64EA25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194F67B0-CC7F-4562-851A-8F2C4D93E46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4A761502-14FA-43B7-B1A4-33BA38817E8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B50C9C69-3BDB-4A1B-B6C5-704F426B561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B8D17B8D-A83A-4B91-8B34-83D2179C0F4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B918D815-9B2C-4D18-9B16-E41B9D410D3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B4C412EB-DD69-404F-8F06-2AE15A0919C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5A00FC36-1B33-4CE5-9CA2-B7056005070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CCCB5CBB-3AD5-4292-A25D-83570BD0EA4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B4ED8F7A-C35A-4DD4-A8F0-40E2D7CBE30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B0821BD2-48EC-446F-8CE5-F241C4E0085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92D6CC72-6ED8-470E-AE48-92CBE074F7E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F2AF3FDE-6A6A-4D9D-8A4D-F9BD0C66F4D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3589ADE0-FF20-4375-AA99-0EAE4C40468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12A46A49-9894-45DE-9BA8-A44E078DFD3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51EB2BCE-9D7A-4D6C-AA77-8ED0FD11BBF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AA04933B-656A-45EC-B188-55EE3E65087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A005376C-515F-4FE6-97CC-2B59F33FCDF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CAA2FD13-C689-4A35-B7A4-EA8F944862B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4D0B1B0C-7825-43D5-B711-36AC6FDF0F2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20FB7346-01CA-4D07-B4D4-91B1DF234DB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BC98BB37-D223-4991-8DE4-261C5DDB2BA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0453A3FF-47A8-400A-93E7-6080E6E7A5A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2C2DCACB-576F-4255-82A1-1556DF4FE68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5AC508EC-00F0-446B-9BCD-280D4232E5C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85636853-BBC8-4827-9D71-AA1D97129CB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3B75F203-CEE6-499A-ACBE-F88701415EA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CAC888D4-8288-4093-AF59-EB8F2B248F3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D5A119B9-3862-4294-8A3D-26C0EFFA67E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A6258379-80D4-4AE5-964E-17AFF2A3D37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C8070459-3EA1-467F-BFCE-564A6B3CBB2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2655B57B-D920-4A33-A38C-D8934B89758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8EB388E2-626A-4F87-A314-2937BF5355E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18FB17B2-B4BB-4A0C-BA67-D681D642EE6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6DAA1A95-A41C-4331-88BE-7C2F6122994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BA2571D4-6E78-4A98-A88E-77C899982B8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FCC237A1-A1FB-4DB5-A14D-5CA426E3BB7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D10DC869-203D-4DCD-81FA-483F87D5383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9B8F4186-0C3D-42CE-9965-A919E2B9585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8A73E40D-FCED-4F4B-A97D-F1C0C88B131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08298747-3755-4C6E-AA29-B7EF76820B2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DEF98DD4-A138-4DBB-A090-108492B3ACE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1E381458-EA0B-4BE6-B5F5-6B0BF157E9B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E7C2BB0C-7E88-44E5-9B40-0153B9A13D8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E7F758D5-1F52-4867-96C8-B34DC3520E5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A349BA93-F417-4A70-84C0-74884BEFC46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E3D8F932-159F-4593-B13E-4C46FAE16F5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ADBCBF7C-349D-4DC2-89AF-0216F6013DF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DFAB0647-47F5-4868-AABE-EA8B3F95C4A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24D0A732-0560-4B09-AE1F-1F118949E19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74DE6A79-463F-4828-ADFE-952E90479FD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E6820ED6-0787-4906-93F0-7B51C8B76E0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C97B118C-8811-46F1-88B2-12A70E913EF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FD40358B-0448-4088-BC2D-ACE90A21898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4E3FD27F-2E21-469A-90EC-08130CDA68A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1BBBEE00-1AC7-4B91-9989-9B0DD39BA4A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5AFFC4F0-D954-4D26-8268-5700DA52551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0909C98E-871F-43D4-BE10-C95041E094B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602062FA-8537-4DC6-AE64-07B56AC7259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602A9294-869E-476A-8B41-18E045969E5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618D2670-0D4E-4D01-BA4E-E933D1D4093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7E392F22-ADC3-46F9-89DE-9018E49CE1C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EC400F34-F472-46D2-9F5B-CA6A010C083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06FC99C7-C174-4EBB-AC44-83D230AFF7E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9DA931C1-9D93-4923-8004-FDB71080171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BCDDEB6C-99D7-4AE2-82E3-3D2C54880D9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E54C7134-98BA-42D5-B984-DF0162C807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FD1BD46F-AC08-4231-AB60-CA768EAC215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21A5A62E-06A1-40F7-B08B-2F24610059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278B33D3-ABEE-4F63-BEE4-B9D4ACFDB4B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2C918C1B-E1D2-4B65-B2C8-8FD85B9AD51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A48C1CE4-8B1A-417D-842C-8E77B879892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920E450A-B27A-419E-BA5B-867DED0E295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97CCBFD6-2BCC-4253-AE8E-68E50E9A9E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CA839F98-898E-462F-8174-9A4F8522FCA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5FFD6513-E7BA-4571-86C7-6FC9C2596F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4AA2EBC2-44C7-44BA-B266-25FA1213B8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E9C64BFF-1F65-4B78-8878-643EF851A9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55E57E2E-696B-49ED-8B79-BDA3922C94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19438ABC-84C1-4766-B433-DB8614463B1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F359D773-9885-4CA5-AFEA-A9FDA646EF1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4F03006B-D4EE-4E7B-A12C-739691416B3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78133DE7-04D0-45E4-94E5-69559597EA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018D4D83-E886-455D-90D7-70B0BF91D32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38BED68D-1F3F-4649-9D3B-519E863DCA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E136130F-2D26-45E4-80F2-0EF1B96A50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8999A7A7-3032-45BE-8950-6E84202984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E492F99D-BF8F-4DED-999D-709F7C86444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338DD62E-B8A0-44CF-9853-11825925E3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0F1B1C76-6CE9-420A-A782-1F7AFC5925D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BF913FFC-2C0D-4CE1-8341-B2D00640C15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A4BBAFFA-771A-4942-8181-7CD01806E15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0F38E0CC-F483-4A2D-BC3F-D191360F40C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ECED037A-A721-4C5F-A21D-81AAE1FDCAF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722B8CE4-2EA8-4872-B672-0B8BF5DBB2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22D6C822-04F2-4877-B076-C3B8BA1D4DF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97E73AB8-CD77-401E-B5E2-FB2A3BA9285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CCCB5C47-FDA3-4BC6-BB04-DCE6A6CE204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BDAD4C66-4325-4431-AA34-1F035E8B5DB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93B32CDB-0EC4-4677-9D64-FC8FF31CDB3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4153E29D-E6FC-4390-AE3A-283408CA8B4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738F134E-30B8-4182-8ED9-5F296B8F717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6983EB04-41E3-4CEF-B96D-D1A0AD3ADEC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76C37705-7D5F-4E24-BF8F-D32329954AC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BA9514FA-E9C2-4498-9330-9D1DF80C809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9441C47B-8C64-4868-845A-EB7C4B9D4E0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584B7118-B4E1-44BF-BA50-2CE15A7E630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9C6AD4A8-5A63-4A56-8166-B4708472E2B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C2717703-73BE-4518-83BD-D61DE14C512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829501DD-E5E2-4A85-8D0D-0B57CB63D6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2A5CC8A3-D24A-492B-B115-438F342230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CB01CA17-C2FD-4FFB-8EC8-A6683003198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2381D030-79C5-49BF-A7C8-AFB8D261A24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B9830DC7-3B73-4745-B72E-BD7E206A618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AA3B2297-E820-42A7-9030-19864753059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453FA5DB-8E2F-4064-8144-4656FAADE52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0DAC0D8E-A9F8-4AE6-9800-AA6F2E2954C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0A4FB5DE-87A7-41BD-8082-56A5594323A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F7A7879E-2BA2-4554-B226-1725FC03E41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5E808820-ABC0-4BCF-903B-B82D732225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1E7713A6-CC86-4151-9F4A-BBC353FC4EE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20405A37-93D0-4E25-BD0F-D79D013D1A8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441E7627-A7F8-4489-A7FA-D5EF2F1D830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20FFD684-5278-47AE-8736-7C93AA25FE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B6D8FFC0-C5B2-498F-A020-E317608801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E15C2FA2-351A-476A-A78A-749BCE7792C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C69E08C8-87B6-4EF3-833D-E4CCD2B60A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162DA172-BC25-4ACF-93B2-C9ED87517E8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858E81FD-490F-449F-B816-001E4336403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E307D0C9-DD32-4A6D-97C6-77ADCACEF50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C6015243-005C-414D-87F9-DDCE2B3096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505AF01D-679C-4F0A-B5A7-75F10D5555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9CE0266D-42ED-476F-8F9C-0DA058793D3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E429CB8A-925C-49B1-A0BE-15BD72A9F52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A039C41C-E9D6-4BEF-9572-E8EC3FE4D4A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243A8C46-8895-4E6C-AB04-7D5162EA82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FD2A2250-8CAC-42C8-8937-6EC2A08E021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2A699519-99D5-4F25-B659-9F5FDF1F59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FCC64EE9-97E0-458E-8433-F4795CE8851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CD0CA1AD-4D07-4FA8-92EC-7E2D28A6108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D2407630-26C5-48D2-91FA-8AD0D92E292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49030293-ED8F-4BEC-9BE8-F390CA57B71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5DA6B68D-9892-45CA-80A5-69E22D9DC86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A8922735-B2FD-4BB8-8556-C1B7F56860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98EF1011-C5D2-45A0-9B17-0D6BA0CA933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C9576189-0C8A-40C1-808F-26396D16B1A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286D4D94-CB34-4E54-8382-0559D2D99A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87AFDCA4-BC3A-4D4C-9DC4-9C311986C1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7D26B537-5DA1-403F-9DE9-B6FFDF5F9D0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A24E8CC7-C781-4170-8A7F-75CDE1D3104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3327328D-F072-4FB6-90F1-05F2F3ABB2F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275E4EF8-1C70-446D-9F04-6C0029EB3E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67EEA56F-BE20-4E21-9AF8-DCEC070EB7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3DBC05EB-FFFB-4FB3-815B-88F8CDC23FF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7150EB27-19D2-42EC-B19C-6FD6D459AAE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4CBB9B9F-5BDB-429B-9188-CBFF5D1B1A7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A085F878-8579-43B0-B84A-6314B4ED2D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DC6E9AF1-33B4-4440-A99F-F08A4A07520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4ECDA7FB-B22B-4034-8DE0-20866DEAD74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6A804EB7-CDF6-48AC-BE6D-6D49340AA61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8990A4AF-4C19-42EC-B020-105874696B1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137C8B04-4392-4A8D-933A-4729F63E24C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C93C4D50-0D38-4E24-A7C5-6A71A7601BA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101A13ED-9DB9-4CB5-AB42-D4DDD42FB0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414340DB-544E-4597-88E7-12AC9CB91A4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1B4710B3-01D1-42F6-A7F5-7BA855E351A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EC37796A-C0D3-4539-A602-03E0706B0BE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93935ACB-33D5-45E2-A3BA-F030205C3B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22DABEF4-6EF8-48C5-84F6-BE993FD0D00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89FB9B88-A5F2-45C1-8FC2-AD007634301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8891C45B-B13A-437A-81D7-F429ADB42E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5E36A69B-B84B-4645-8928-61D75BB8F07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29E03F4D-FFD1-4AA5-B3FA-6234BD047A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75953B24-B387-4AD4-8982-97CC87C91B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D0397CB3-1677-4E11-882F-D18C4B2A99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BED3E61B-A16F-4E40-B624-913255A870A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B95EA583-05B9-4C36-BBC8-2A33D69CB94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E958D960-8A05-4269-8CC0-B1817DCFC9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3788C15C-F226-45AA-947F-6C7B4297F35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FFE4062F-84D8-4A3E-9698-2AD5AD639C7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44DD73B7-BBED-45A5-AA5C-DCE79E624F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7B4CF163-7575-4DF9-9AA9-6B2D621F31A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EF1C79A8-DC22-4B00-9639-C1DBBF38846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69A8598D-4422-4B89-8BB3-98E46FB545B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4F44F560-B344-4DF7-8666-D72A3BAEB9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91F401CE-7B8A-400B-98C7-69C74B8998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BCA1A64E-B030-4C32-90C1-20FF5C260C6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ACF87395-E930-4AF6-9ADF-DC623E69FA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0C4CB2EF-5E11-42C2-BC66-89E954EDC2E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FBCAB46F-8771-4FDF-A48A-D2446B8C01F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F6CBA5E7-0CBB-44B4-A752-02DE9BDEE07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125DE810-D14D-4D80-A82B-A181287E6B1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90B8B755-596B-4733-9C56-E8D2F4B5493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E716C031-663E-4ACD-B20C-7E633D5A642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2226AADC-6D6A-4689-BDDF-99A7521B973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1880D67E-C247-4F40-B675-5CBE751AC8D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03F92E43-4BA4-472D-8914-F2B11757898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EEE21E5C-1780-4200-B864-D68BFC201A0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9EBF4075-0D76-485D-A375-41C67CF406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DEB15EAE-5187-4FF5-8551-F94E831A2BA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0F5C4AE3-0301-4ABD-BD54-B9A3C86526F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3E724017-F644-4BD3-97B8-EB45649E58F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57C5F272-87DA-42CD-95B9-C62CDF3D9FA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70018069-0257-422E-B96B-B85117F7BFE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7690E6C3-EBCF-4B82-8916-6196BFEAC97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3A48A415-A547-402C-85B5-1411A804AC2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FC0B92E5-D56A-4EB2-9FE6-D6BA83BC09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88191C2F-E6B2-4743-BDE4-52CFEDB03D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84852532-FA12-433E-ACA4-D73BCE713B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54324D6E-A370-4D1C-A698-40A6A5D4D64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0B89C71A-54DB-441F-A92C-509AA2EBAEA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2FA0A77D-5F37-4EA7-9CCF-BBF316A45B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1B6BD7CC-90FB-4450-ADFB-968F861EF56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CB3E1E07-59E1-4DAA-B60B-7F34FAC7FB4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254B3F09-EA5E-4E7A-BE3A-E27E016D3B6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D7160DC3-9E83-4BBB-A787-C61E960332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833C467D-24B8-406E-9633-9A20D3304C4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344FC8D2-46CE-4555-B852-88B8376D9B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41C0F211-4456-4FB5-AE34-3D02477D029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C8D82143-DFC1-45E1-910D-608F2E4BAC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A4AF2FA8-1D5E-4A1E-95B0-D2A5DD8BE3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51E38F91-9CCC-49C8-AF16-695B42C56DE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A961F8A8-E47D-42AF-85F6-3D61322832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37B81605-23BC-4958-926B-4D75910B943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D0643126-BC10-4ACE-836B-A4CBF73699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B94B4AC6-66F0-498B-AA2F-7F42DBC0399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F0B9D5BF-6F31-4B48-9012-6CFBB382FC8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EA824962-213F-4274-B49B-9D7E272510A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2E89DF50-F18A-4DC1-85F6-EC29BBAEBCE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8487D8EE-35EC-4559-ABBA-262150D7878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B7A67539-7E20-41F9-B24A-5F9AE2DD9C1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5C95F81E-9213-4272-BF42-7D3B036EB8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AE16AC7D-8930-42C7-9FC4-D3CE2549519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25B2998F-AA87-4DFE-8D8F-BE0261E37FE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33529A7B-8997-459B-9E85-8850B74004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CE3E3BEB-6CB6-44A9-86EE-5CF8A30058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DD3BED09-A6CC-4E89-9E0C-51F7992FAC6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17FBDB64-2B69-4124-BD08-AEA0ED42AFC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C64314EE-A031-45EF-8C82-A1FBDE32497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1AB047F2-B44A-4B20-8D62-B47F739AF08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5B8E6F68-8389-4949-ACF2-F6EE79D722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4786E9E8-5DDC-49B6-82A5-2F217645E60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52A42F76-805B-4D12-B7BA-AA2ABF6397F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6B76D941-2117-405F-9557-99BA1A9EE2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419704EC-5A1C-4D1E-810F-E413732E084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324C5B41-D1AD-4244-BBD2-24CDD9C5E47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C2CA3F8C-AB0E-4E3C-99AC-228FB48D52A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4591D9ED-60B1-4975-9312-55604AA2143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CC805D5D-9F97-4DF2-9589-0B6F794EA18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E1A49B8A-F6E4-4A10-8D4E-BFCCDD840C0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68776256-2A5D-47FF-9E3B-22A9EDC009A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585D51AD-F3CB-45EB-A7FE-345ED806D17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54EC770D-C204-4BA6-A023-E1456D9D811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CD23CC20-7D13-434B-9E40-7BF5F330221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7BCE8E20-3295-4C1A-B5BE-63DA2390231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7BD6C65B-6D84-4EE7-A148-13048245E4D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620F485C-2519-4889-AFFB-C7BA79828F63}"/>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95394666-15A4-474E-BD82-F3A89868E7E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BA2CEB1C-F803-4E29-800E-AEC5730C061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01595416-E7B5-4039-8411-E680174F099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C4B28CC6-380B-4396-BE04-828FF9E93F2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6A9EC6EF-DF71-4734-8A43-C88B3EF1609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2E8ACB4A-074D-4595-9F76-D2467DE863F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33D8D506-2714-4F44-B051-170549C015E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94F4FF1F-B448-43B3-8518-83B514D248A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31E82A0F-5874-4267-8D2C-4232E57BBA9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85AA7722-CED2-4879-A470-DDD09A305E1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767C93A9-A2EF-4145-8B51-ABBFCE99A40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27F71EF6-4647-4FA1-84EA-1DF3B4BFF35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22BC8E6A-673E-490E-8760-102C68E63F6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FA80030F-7E31-460D-B163-73AE9FADDB0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AC419927-2AE2-489A-8E58-05EF90A82CD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10E12D75-EFEF-43D6-AB4E-0F7F69AFB6F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BDE31D25-6265-405B-9EF1-A7CA9600DDC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2340467B-4C1E-40EE-8390-591547E4292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DBE47B48-1AD6-4DAF-AC88-43814CCFF2F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2331192E-3E54-4603-BE49-B46F72F1B41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CEE52E07-71D8-44F6-A357-D882E658A40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707BC964-9C27-4BC5-9461-E192A2774D8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AD029B07-0877-4AA9-8F3D-6842D658954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9F225835-E9C4-4FA9-A5A2-FF38B4F0FC8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6FA872F8-10A0-42BE-B12B-0FC8ADB34B1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A235B910-40E7-4234-B264-80A9AB21D95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2F9EA458-D131-4410-91AB-DB31B6E833E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DFE4D564-9986-48F2-BA98-FC11E050A1C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C7AEC84E-CA5F-4E1F-B409-BE1AAFA4096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67CE4E56-A124-44C6-83AE-658FE869E70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25FCED3B-C6C9-432D-AC31-748E46DB203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8715575F-1986-4A29-AA02-EE98538308E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46C25949-AD4B-4BDD-AC26-37E3233E72A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18C5A03D-74DE-402B-B2D3-EEF134F5513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9B43F38E-565D-4B50-89D5-A18881C8A8A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ED58265E-2159-49A1-A161-288F1968674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A6DDAB27-86A5-4651-B33B-C2A404DF82D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DBF31A31-5EB0-47BD-A96E-F8EAB2032DB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0AEF0A60-485A-4F27-ADAA-D6AB24BB883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6BC863B6-6F20-4B94-8565-7120346EA42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AF1FC7DA-98A0-4352-A7B2-0C2AFF7E489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E6D0C067-7A13-4542-864C-798C0D05E60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FCBED113-94B8-4966-85EE-626345B8FCA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12D1EE92-03F1-4873-B1B0-F0950A41864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C5EE34BF-5A7C-41F6-A738-483A1FD5E4B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EF3A1678-D784-4820-A896-A531E9027BE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81F44D83-9A6A-41F6-A553-4107609084E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33601C4D-D432-4837-A100-32911E7129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7D0B9720-156B-451B-9CA7-E3DB044A650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42F8A2B5-72E1-4A98-B031-FAB6B9D110E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3378583A-0630-4E3B-8FBE-ABEB35EC8B6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800E3544-0D49-4FCC-A186-EA1C9DD88B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7269084A-66CC-4C4B-8C4A-81A61B49294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B2B84D05-A7F2-4FA1-B7ED-0F6D0EDFDDF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096D474D-5AEA-41AD-9B7E-07BE52F45BA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73CBCCB3-8A85-462A-B0A4-B8F5A675A20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6AC0B182-9962-46BA-961F-43E6B856CF4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FC2048A8-4493-4E8C-AB9F-2D93FDE2214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7646202C-2D4B-4CC4-AF88-4441074DA93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AC4E04F0-7F85-407F-B042-3967C68A109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A1CC9137-8ED2-4066-91EA-FAA5900177D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91BF3CAB-78CC-4296-94CF-C9168664618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8D2BC04C-40BB-4E36-BD62-8248EBED3FE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D150CE02-F224-44F9-928F-44404B712ED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2119107D-6790-4866-9F65-7CA1A493878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AB09DCEF-47D6-4582-93B0-9CBF8734BAA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3854E620-7B5F-4EA9-A4C1-FC64915117E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E6C761BE-111A-4AC1-A54C-EFAF1A5D9ED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C87A0DD4-1929-4920-A4DA-37EBF1C6106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B4200BF5-A59A-49C6-A88C-4D1FC6F6F40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8E1522BD-03B3-4FC2-84EA-DCCE59619CA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26E66EBF-E721-4F85-B1B2-C3D454B47A7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41E680A6-A240-40B2-AA52-F531772C01C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A969892F-AC90-4576-85F9-D6D44996938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6957E5B6-C011-4C41-800F-28DFD5E5BB6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870775BE-E62C-4BAD-A7C5-0464F78BABA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6BDCD94B-7E08-44A7-80D0-34526A66EB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57008303-6EF8-47E3-93E6-E478B184AD6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AB6E9495-1AF6-4F98-A2C7-9D01298C979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1A2E29D5-1CC3-4BDD-AFC3-24DA4A5C43F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FD7430DA-8247-4722-B745-9BE04FB146F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021EB769-0D34-4616-8AD9-6BD203E56F2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328745B6-4FFD-4422-AFD6-3D3BDA1741A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694266E9-C32C-4A59-AFFE-12E0F9799CD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3C9826C3-7131-4E42-A2CD-BA69D859367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9E47F42A-8775-4ADD-98E9-FE10C10442B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D71BF6CB-A871-444D-99A0-AC101F499E4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41451465-F798-40C3-903D-63A0087117A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A8880AD5-99A3-4A12-9A5E-52D58381096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FE47810B-6FB7-4B6F-A343-79713B9F590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F37F7FED-9223-4B66-8A16-75769159ED0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5C95361A-EB2A-4F5C-9180-280FEDFC838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7DDEF108-124A-45DB-994C-94189137175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C0999A50-51E1-497B-A8EC-689446846EF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B5054333-7F89-4D62-92D5-8895793A19B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993C0CA8-E0DD-4F6B-8FA4-C75DD450B78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5419AAB4-CF73-47FB-A40E-9F1E4F4CAD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C08AA6F2-297A-4CDA-89FC-A0CF63BB087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47565A8B-1983-4DB8-AEEA-34C63DF922A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4BF52C5B-29D0-4C87-83F0-4A791E25632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3F4C4531-BA22-4B3B-8C7B-97A826DC021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81C12595-C453-4C79-B96F-668BC2B7C5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E58FA315-A3D4-47D3-B72B-D887A89CD0C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9F69AECF-38B6-4288-800D-13594E0D55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46ECB80A-F75B-41DA-8CE3-A093DF9F8E9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FE9CE069-80E9-4DCC-8109-20CF2EAEE15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FAA05B4C-D0D3-48FD-A8AA-5BDD26E9850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E4FD8256-22FA-4E88-91E2-432FA826F89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FE636132-A5ED-4FA6-9A0F-5E312D6020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ACA407B2-A7D7-4335-910C-BB81C32EAC2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16EE523F-FE5B-41B7-98A4-46D2449F83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A509BA85-31A7-4F66-9854-70F2DE49127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497B8F5C-4EFD-4F59-A83B-2F803B2261F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78FA77E3-8530-4D26-867A-4E97B173F4F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8885170B-196A-4884-B86F-1E918B8E1E2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83A4AEB9-0EC0-4957-86C4-5A0B7349746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619CADBB-0CB8-46C4-8851-460659420AD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8A6F459C-74C8-4493-B49D-C48EF03AA3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59060840-6BF9-41BB-9B36-0DAB89231F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5D989828-8196-4058-A96A-D4BA9FCA1F0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CD75A7B3-E7A4-4129-9D48-B19A8C58DD2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64665ECC-F9A2-4853-8BBA-AC29A551516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A288A43B-69BB-43D2-9174-EF9A9E54DFD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4FE8F013-7637-49F5-90A2-04EF2FA25B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8D753351-9DED-4FEE-A03E-EB6FB8416A3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3AF08B6C-9914-4289-8560-26C8D62DC48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F8365A4D-86CB-4D25-8593-C7423CC3AA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C49CA257-8F39-43A7-8A92-AED734AD6B7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4BB414E4-51AA-4B6D-879B-D10302C018B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42634A16-E4B7-41A1-84D6-C86516BC507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C3190606-B361-48DA-954B-4685C061335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71F14002-CB37-453E-8DB9-E09B42C1EAE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F7C842FB-260D-4AA9-B74B-008CF4F1C5F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D521E5DE-33A0-47B0-B21A-38B6EF05FE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83016B8E-062C-4E5F-9E7D-6C71B6D75F0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B20F80B8-DBF0-4D34-AFB1-28136796A38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B124E14B-B55C-4DE0-9794-B381DAF81C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162277A5-C034-4AF6-B15C-813C0DA0B03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02D27D80-AE58-4A24-957E-87C3E54FB01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15ACE4B6-2252-4220-B6C9-3282294C881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EAE87002-9621-4AFC-9744-7D600FED113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A59D0B67-DDFE-48A6-9D02-2963717E5D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17347A97-3922-411D-ACD8-34F3D8DB47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1CFD6F68-7F0E-4361-A7BE-CC4BBB1F449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D62F6AD7-5C0F-4231-AC54-8DA6357306D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8F55AB51-7328-47F8-AC64-EBD4B2AAF9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FE4D38A0-C77B-47CE-BB8B-BBC7E70E313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38BB435F-4381-4D8E-A754-646FAF8A573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A170B788-987A-493B-9C74-1EE645B7ACC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2AD87F81-0031-4BB1-A34E-8FD48BF76E8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09866F7D-99DB-45AE-BFDA-D00BC2FDF9E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502BFD53-9FD1-49A8-B87A-53C6683632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7CDDBBAA-617C-45BE-A179-4C00EAF1E2A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C4742E88-A1B6-4425-AD15-A36ABD786B0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14F2DCCC-FF96-41DD-BAE1-E6F5E8DA7C9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4B887582-4E4D-418F-BF5A-CEF5B66206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F862BADB-E557-4810-AAC2-6EB271EDEB2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8DF10894-475C-4E8C-936D-DC2C16CFAD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A3BA823F-9DEB-45A0-B96D-100AAE4F130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4E61E335-27C6-43E5-BF93-57AE4621DD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D68B1A81-5A4C-4844-882E-F9D9D596AA3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C1181EB6-2C29-4F49-B0EF-D7DAA0CC587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F165FB8A-B3C0-498A-B9A6-EA01C52A32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6A504792-939A-47F3-A3AF-FC5BF3B4295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597E1FCE-8554-40C9-BA9E-0DA237F344A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CD87D9D0-E4E0-4B51-9513-45F0E52BF59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CAF0DD1F-5365-42D6-8D6D-8F1F58A5000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3F0AEAB1-E1D1-4BEB-9C38-1BC20A75A74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CB82BD6B-17DE-4174-983C-01DA72FF0D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24973EFE-2A46-4F4F-8329-4DD2BCB0679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6D85007E-2560-4838-B439-68DA2948A1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5F76E07E-100B-4199-A725-9FF8CDEB2C9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4EF9A0A0-0455-468A-A341-407D7FD1E67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A2FEF157-92D8-4269-9BB1-3B7A8F8215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2EFEAB27-2A95-4C45-8F5B-74128A308A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5518264F-F382-4E5A-BE80-E0A0C9FFE8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B80A941E-A094-44CC-AFC1-C4AD49ED260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7E2B7457-026E-4A1F-A74D-764774C9B9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BB71D69E-8AF9-4D05-BCE7-C478CB5FFF9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10D9C5EC-9A74-44F6-BB8A-2392F1D92FF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6CEB6503-05CD-4355-84C6-89B7BB240AA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53628897-8E1F-48D8-9942-E370A34786C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6D19AC01-50E9-455F-93F8-F3433617E85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53E645C1-EF7D-492F-8217-B5B67EB329C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5138A90B-89F1-4688-8385-A17BC331CF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8B473112-CCC7-437B-8F02-42120C4A962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8E32803C-F728-41D8-9095-6976C3EBBAB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98761B7A-B845-4CFF-BBFC-9C9C22F3F6D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38C3844F-E2E7-4396-AABF-235A2A791C0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C064F899-4A4A-4C37-8EE6-54F70F57444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B0BCE325-455B-45DD-A5C4-C79CA2DA82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79F4807C-A8DE-46EC-8175-62D0B84E2F2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8848EAF2-A482-4264-B593-0FD3A88847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3F2F9509-352F-42D1-86F7-10B4A8FF5F8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3B76AF71-698E-44B7-B5EF-B78BA570DD4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041A800C-034F-4A55-8F93-A0317E14EBB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A8A5F158-AD1B-45CC-AF96-A226B83C40A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A69AE738-3702-48F3-B091-C99CAF64AFA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A42FF13E-1372-47E7-8EF1-06C0861E22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F1CABF71-E83F-46E7-BEED-19DD52E427D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6561C445-6661-46C7-A495-66A80B8BF30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017CA9E3-56D8-4EE9-8AF4-411449492F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C60BFB5C-D846-4028-A1E5-8CF45D47322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C3904EB9-E039-4DE0-A7DD-FDC1053E53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CF4FBDBE-5C7A-4AA9-ABAD-080804C21DD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3B289132-7795-4EF8-8E64-D459418F095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C808383D-88BE-4722-9E3B-703734D9AE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B40B812F-02BE-4D2D-B968-30F161E1C59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4068EF1E-2B57-416B-AFC9-C9EC884EC15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86BA1FBE-3FB0-42AF-A99A-CCE74983662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68B33427-4447-48CC-9FA9-78C1DD1F9FE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98061084-8509-481E-821D-16EE789C92B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4B4F00B5-E939-4EDF-94A5-EB14512B976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BAC3067D-3BFD-4738-828D-A6EDF60807F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516AEACD-9913-429F-8136-334345D7C5B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C16A9D19-A0C8-4A96-9931-7C57C294132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AA6BC61D-1070-47A3-BE2F-C0355477309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B990D4D2-07F5-420A-B93B-944EE3AFF1B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D1F651FC-A96D-4B51-9F01-E821E2EF499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8416320D-E540-46A1-9E46-0AF8F3C5B08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3ED34D23-0F1A-4863-8ECC-9C983A12425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0BB1FA79-6D57-40AC-AD2B-FE79BA2AC37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64502C9C-BA69-4FF9-9E72-9B7BB7070F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94E2ECFE-15DC-4598-B54D-DD861530B7A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8DDFA245-D0B9-460E-9152-57E084ADD23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C0DA16FF-F6AF-42EC-A314-F10C57E6789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B28C4D78-CDBA-4EC4-80F0-0B4FC1E847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96D0F6D3-E21C-4A71-A02C-F3525382782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9849D858-F075-47BD-BF1E-58F1BE251E9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A9785C3A-0320-4DE7-8659-0825C1C355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40C13E54-8EA4-4FAE-9667-0F71F7637C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C5EB41F4-4A32-4CC6-8194-C03634527CD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044B1AC6-DD71-4960-A055-F85B3174A1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EF3A7983-23CE-4ADB-84C8-3B46FE3DC3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780ED1EE-8377-454F-99B1-44162EDE6FA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4CF3A3B2-4BDF-41AC-8400-B546E9B5A3B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4703846C-8648-4CB9-A620-8E9E5213245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DA737C97-93B4-4CBF-B266-C06129FD01B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B0997699-E31C-4ECD-87B8-06990E1907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03639681-0DCE-4C64-93AC-0C1CB5A4E75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D79F5F02-48D3-4D2A-801C-2E6646323AB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0155BBDC-3CA4-4AB9-8F28-F2E1921AFD7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09A61015-29C2-4439-812E-8DA3BBCC4B5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66B3CB97-1DB6-4B67-982D-B12FCC854B0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FBF64251-6924-42C9-A896-A5610E48CB7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2CB2DB63-382A-4669-852B-1462410A96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33517B8B-63C9-436F-A4F2-C57BAFEA8F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D280015E-7171-4074-87B1-0602D2301F1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7EED8C30-A87E-4D15-9BD4-1CDB32212F5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AE1E42B6-74BE-41CF-8B16-3B69765741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F30D7ACA-9EB9-4C50-BCAE-2DB0EE028B2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00DFEB80-89B9-4815-B9F3-0B476105D94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29254929-3144-420F-A742-6E4D1FFF74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1B0B4251-E503-4C0C-97E1-ABE646B746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714331BA-11ED-41C4-BFC3-25DAEA23E9C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AA1810C6-8800-4FF3-A5CF-84A528FD604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53CECED1-D559-4684-9FD1-38824C85DD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6132B2C4-3385-45FA-9ED4-4BD17CE11B7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7CB78EDF-5202-4519-AA90-2CBD69F8A3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F14DB5FB-4749-43F0-9FD9-7CB205D52EE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9B396A1A-6399-4CBB-A82C-642C452D676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CE11D479-CA4E-429F-BFAB-55F635A4938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BB2623C6-CC33-415C-BD9E-67BEE6949B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E756ACFE-C72B-4D13-B91A-3AD7CE367D2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03F3AE47-40BF-4D80-95F3-B57E77BED29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F2735831-4086-4EAB-BE07-5857B8FC75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30DB87AE-6D7F-4BED-9BD4-57CAD48D324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0BCEBA3D-DACA-49EB-BE9C-0B3F42ED5A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F03DC477-1B26-4A0D-93E3-19B3320345E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279247E7-6E92-47EC-A13F-F6F519CA4F0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878FBB0B-027A-4C57-9423-77C1A8B9357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DE37F53C-2010-4976-85BD-D65E94339AA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FC512A46-8987-4D64-9388-D5BE3F84D4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DA1EE9E7-DFC2-488E-B825-D3CB5F564D7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EFD28F34-818F-4C7D-BA57-F725147B7D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AD0AB374-B0ED-40BD-BCB4-B5DCB6ECC8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50846C2F-4D4F-4C08-AEC2-7B258D1C05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356BA4DF-5FF2-4D28-BE0F-1900A92C5C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97AB0BC9-F5FF-4DC7-94CA-DB4710242AF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AE039886-DE9B-4EF5-97E8-C1455F47E68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02A20FCC-CBF6-4E5E-9BFC-FC05F1EDFE4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AFB0ED3F-E3D6-4448-A41A-D227F01F80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39754CB1-1F56-4C1E-85E0-138615FAB8E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F740B508-03C4-4511-A770-B688DEAF73F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D7B5E31E-458D-44D8-9675-2FD8AC23353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3961BC7C-396E-4335-BE0B-0CD0B074D6B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37115AB2-8FD5-445A-AA93-BFD8778423E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DFA03987-EF35-4C17-AE85-334D55C6F94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4FF4724B-2BA7-4898-B34F-07A5E6631EA2}"/>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97C5892C-C132-4AAD-B243-E36654DA356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774AFA01-6CD7-42A5-A74F-B771E0F8CE8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83D96FCE-7B17-47D0-8B16-EE793914591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158CDDEB-FFBC-4F38-AEF5-42533D87868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6DC6C7F7-2A9A-49BE-AA53-8E4BBA3C6F4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E12A27FA-CD77-46D3-A6AE-3BA14278F0C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C2722C58-3B69-4429-868C-B21C269E433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C351A0C3-8DC6-43D7-904D-C99D0367478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6E2826E7-4815-4B5F-AF74-530A6773ACE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C951CD87-9F07-409D-B8F4-0185E04CA9B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56EBE470-EE64-48D7-B854-7BDBAC99C73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C85557D9-70EE-470C-8484-77ED0827E6B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42183400-DD97-44DF-8C40-59A7D0362C0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440235CC-6B33-4281-A6B7-939B3ACF790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DF3ADA95-BA8E-4008-B67C-4F676AF71EE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140FC0E9-9F7A-4CDA-A837-3C2CAFE1E35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97D4FAA5-5580-4FF7-8942-6E25BBDBE15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F94DA19E-833C-49AA-9826-2C72A18AC6A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D5E96E9B-33B2-4552-95E1-C1110388323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AEBB834C-D204-4822-8C38-17618CE03E6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86BF9219-80BA-4E04-BC3B-2D4B1C96B90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C1FE07F7-0A63-49C1-BD7E-8E03AC18D53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31FBC5B6-35A5-4371-B8CC-DD7005A5FCA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5285BC1A-4E25-4141-946B-36EC3C9AB9A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3729514E-EF2E-4F25-80A5-0087197AD66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D8F5224C-AD5A-4CB1-B8D4-59791189518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895B3AF8-7E90-4A6D-A388-6889C7470C3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F36E787B-0394-45B6-89CE-9E2845582AC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020CDB96-C8AB-45BD-AF66-341B8CC26A5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AF63B2BC-1267-4430-B4E0-EE052C4EE8D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30BC8154-4D02-4520-BAA3-95189403A0D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B92609CA-5D69-4D3E-9CD2-9DFDFB986AB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F5A11EAD-A478-406B-B2E3-4E8453CE3AC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E66D54BB-6D6C-42AF-AA9D-146EEF4F35C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B3745A39-8DAC-4FA3-80E1-B8821CA4EB6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2C7E9D60-BD4B-4A9B-9FF6-9B0C0C36BCD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5DA711EC-EE16-42E7-97C6-2FF695C5899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C9F4D4B4-47F7-4F1C-8B31-6D7CE083B29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DDEB8B22-BAB1-447E-983F-697154D719A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AB5907CE-F4C1-40A5-AAC0-D244665CC3D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E1C77C9A-AC2A-46F7-9490-BEAFA154379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A9CB286E-347D-4388-9418-1B0C1CB96F5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51C1FD4A-27B6-4A78-A50E-AB168ADA711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CCD6B1DA-F7BF-4FFA-944D-1C2579936EF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F1C91594-ED81-4AA5-A226-3062537855E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309CF6BB-E981-46F3-A3F3-8E6228EC796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BD12B1C7-DF70-4AD3-926F-2FEEB46AC9F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4F7AE9C6-41C8-43E1-9744-62C9622CD81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74026617-8395-44CF-B88D-BE464E4A215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82556565-B920-450A-A518-74CD4FD64D2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0F2C41EE-C70C-4A58-8B7B-FA7AFFA7621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E0A03E0D-65CC-40AA-B767-7B2B1FDB44B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25581142-AD50-4875-9695-51B3B35076A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F454CD62-9268-4322-8341-CF10BA5099F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E068FF40-21FD-4BA8-8ADE-99B0C81869C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AA00F57E-A7D6-48CB-82FC-D18E68F6008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0DBDE99C-6827-431A-AD27-9FEE4ABB256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E48F98CC-947B-4168-9726-E9C60637380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2257ABBC-589A-4065-B4A3-FDE939FB4EC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8D6D158C-3AD8-43FF-9A35-D308D9F57B1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0D9930C7-D5C9-45A2-B828-CFB6E4FC8CF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C16C838F-72AD-474D-A53C-C444565AF3A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1A991AFD-AF68-4E83-B684-4155877BC0C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8117EAD2-1646-482E-AA12-7F8A2FE3DA9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665126B0-5887-4E57-B2E2-456CA94D84A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5D69E01B-1E58-44EE-92D7-333FA807049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47439A68-4390-4341-8295-5FC6A355AF1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CB61059C-F534-454C-AEC6-F931A567648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3AB061A7-6CDF-49CE-ABDB-9489B481A99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DAAF21A9-F7EF-4F1B-8F2B-EA970AE73B3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0FA1DBCF-53CB-498B-88D0-5A2A138ABAD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B5A402C9-BD5E-4D3E-BEF0-0C87D4754E9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202AC561-870C-4203-86F6-C027A8D38D8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7661BB37-78FB-4522-8126-6AED8648FF0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CAFAAD09-E8A2-44EF-8486-25BC68E8607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BDD553C8-E3A1-4EBC-9BCF-EB490528F5A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DF8A2754-74B2-4D36-84FD-D440CB93566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59A52373-6A5A-4221-8E71-C3ED56E1959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3AFF7EBD-ED01-43D8-9DE9-5EDDF90A1EF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D5D4FC7F-9BFD-4C97-91FF-85A1A7B0B88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172F1602-5D39-4E60-A4A7-C8C4BAD80C8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484986C0-85C5-43CF-8DAF-2E63311D4E6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7BB7EE85-AE11-4DAC-AA51-12FF3B7FDB0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41A042D7-0784-44C0-A106-21CC47FAB13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EB2E3BFE-D6D6-42CF-A1D6-D3DFFAA4B1E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378B5BE2-1160-4F34-8AEA-BDCCD31B5FD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6BF5011A-FC51-48D0-8DEB-03C1D4C7C85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82B0A9DC-C4B8-4CAA-9384-8C2CD8AECD1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D87CBDC3-F97F-4B7C-BC17-78DAF77C7B7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262866BE-2943-4F8A-9320-03B6E634794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FCA221F4-F4CD-4F6A-B9BF-6F5205E4C0D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FB40978A-5B6A-4B94-BB7D-09BC43E02A7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E963A2D6-E499-4CBA-A82A-4A76BA3E8EC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89EDC2B3-121D-421E-9AFC-6EAF2FCFDFD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B0FAF448-F3F7-4AEC-9758-E9DE21EB92C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086B4B67-D431-4665-8DA1-E44A114253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004AA378-29AC-4B57-A53F-E5269F85293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C3BD458B-7A15-4D73-80C4-DE484D47762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D905D2B5-10CC-4ECF-9532-8319A651A79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F960189E-2501-48F3-AD63-7AF7A1FE63D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42532CB8-B8ED-4F8B-829F-70A4ED59353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B81CF4C2-15C1-4F0C-8AF9-9264DF53AE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D6051203-9952-4EA5-B7B6-59E8BD1D461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FDB03D36-7132-46A6-89B7-DD607F03D83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04B18F5E-C0A5-49EE-8139-46D745EAE65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2F7BDB2D-E40C-4A5A-A9D8-431ABA1B60D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0B850D46-CF67-457F-979E-A73758797E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9DD880F3-9B6F-433B-BD53-7075A302263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09791E94-3120-438E-B200-219E9EFFB7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0A6F7480-3F6C-4CE6-91BC-372FC03D215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27375FEA-F163-4AA6-9C0E-B7D6A341068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D3F5A704-427A-4E0B-A2C7-809FB16B85E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8D2FDA9C-1C08-4FCB-9E62-20073057DA0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AEE1A089-1DC4-42DF-B205-C88F800753C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B58A4F93-4000-40EC-920B-B5A88D1067E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C5CF17E4-F8FB-4523-817B-786B0362C42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C35FA86E-4CA5-4BF6-B4DB-978C6D0AF28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74A4B834-73EB-48FF-AA0B-5F28F4BD059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46AD60AC-DAAF-4F64-9EB3-B3F596B5A09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F96E6770-A6D7-45F5-AC10-714C2CEA67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BC2F17B7-BCF1-49A3-AC5E-6949F2A701E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3E4261D3-DAA6-4F29-81D0-4540D39E7B1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D5273C26-44C9-48CC-B7BE-2BD87AC9602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329EA292-FD5A-4F57-AA66-753CD91411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3023B264-DD93-46FB-91C2-ACDE9B67264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F18C10A9-B716-4B7A-A87B-B3F0C23BC2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2CE1905B-4DED-400A-BFAD-581E2E2B69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D0AEF870-EB6B-4FCF-B959-3F71C18E76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8ADD5ACB-43AC-4A6A-A860-E2B0A02AF2B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49810E01-E6A1-46B9-B0CA-AEBB7A93000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C8E49AF9-9F75-4CA6-AACC-77354AB058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D95F2022-8468-4BAD-8C6C-00CA060AEA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4B7C6E8D-763D-4C6E-8BD2-79DFAC41B7F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57F0FA9E-4351-4F76-9F15-683B046A0CA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E3ED5DDA-3835-45CC-9A00-2315F66C06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C37EAF44-FBB9-4EB4-9CA9-A40C9F2F5E2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C97CA1C8-1030-4153-86F4-04845E876D9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769E01E0-E218-439B-BDAB-04A2CBF1022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45E72D5D-2A9B-42F5-9228-2F25881F338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AD09DC1D-F249-4C9D-B864-F8538CC67C5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5B9CC920-AF49-48C7-A5F1-3B8AD676063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D6F78070-A509-43A8-B562-898E566D1A5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96D2E8CB-521E-44C0-A1F6-315B5300E17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B85A02B0-5353-42E7-8CDA-8D68A57554E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18CC0EC1-CC1F-4028-ADA6-426355ADC07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D9E04FF0-F913-4200-BDB8-02E63E3DAB2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4D89A8E1-C859-4A59-8D98-4032B9CF3DA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7E6E171D-0188-4399-898B-DFAF6E885F9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5817804A-7197-4506-975E-CAF86EA3EE5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BFB0DBAF-BBC6-41D5-8C7C-E8EDC9631F4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A967700F-4630-4867-84D9-7451AF376B2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250D6E87-F163-4B07-9803-39242C6665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1B0FC8FB-68AD-4058-B69A-DD37318275F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D94D16B0-C3CD-409B-B150-AC56A221920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CAD417E8-7BF2-4846-9389-AC6823C993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1B3D52A5-12A9-4B88-B9C3-5B674A072DB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EA1E17E3-0900-4076-9D69-0BD605A4A90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89C381BD-35BA-48BE-8BF0-24E1BC09A87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623B2F83-928F-4F52-838A-5197848960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01AA6CE3-AABC-4CA7-9DCB-A5C3497FC1A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19271E2B-3EB6-46F8-A49B-D07882B0E74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9273F66F-99D6-46C1-94B8-F805D9AB8CC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15E8C2BE-2E43-4D79-9CDC-BD945A16878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60296273-60A3-43B8-850E-22FA1D5A004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CCB4CFC4-9B0B-438B-B89B-2D51A3C28A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FEE0A4AA-E0A0-4B10-B15A-5F03927D3F2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C9849837-B2DC-4104-944E-09F2656C24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16B4B883-792C-4E27-83C2-482C5685870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AE8860BA-3B99-4301-9BF7-77B6A21772A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BDA831B9-CD3F-4CD4-A26C-C9D4B84869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BB128AAD-53E6-45A0-A21F-7965E8076E2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A35B9211-93E7-4BE8-A50A-764B2E85C6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ADFD3078-A3F7-461B-8482-39D70FAF70E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D0EC298C-3E1B-490E-82D7-D4AC94BB31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D9659ED7-F7C2-401F-BC71-64AB44965DC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9916CD75-E8C8-4388-A35E-3892468D8A2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FDBEC445-5878-442C-A2FB-B65507FBCA7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1EAB9F1F-50E9-456A-BE8B-817B58BA83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58C87A5E-0196-4BA6-BF88-DDD4AF49EB0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4295AE4D-0A83-4FBC-95DB-4317B0922FE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5B2C52D0-FA6F-45D1-85F3-29BDC0AD712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3AB82FD1-028A-49B4-9494-B2690CA131F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45860D29-6031-45B2-B888-FAF70791CF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6CFDB6CB-23F3-4F2A-B816-FD951DFF3C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05C0E203-6696-4DB3-8BBD-746B5AACC0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AB1F7FD7-3149-4DF3-8911-9C95C432F71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EEE1A225-6247-4168-A3E4-2ABD28EE2ED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DF0804F1-452E-4EF9-870E-5209F70F51E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49ECCDFD-59A5-4E8B-86CA-8E6DB5B169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81F612B1-074D-4681-BA9A-9B2D06720A2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3538A263-AD0A-4867-81FD-0AAF07AF44A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3C65DA48-C7EF-4897-90DC-A3352BF2651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C9C5F516-F291-4665-8EE8-C06EC60F2AE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67DE7C00-2456-4039-9599-839F5EEF554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BC99B0C0-A8A4-47F4-9075-5CB5C67642B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883A1F7A-7ED9-4FCD-9D2E-1217F01F860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3423759A-2921-4E4E-B6F9-C1E284ED1D0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08466FDD-135D-40CB-A808-C0D8BA29A3F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8EC5F228-B9DB-4B62-9566-79F08F51F20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CA192076-CD02-4B22-9A88-B71FD8B66C5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E32C4D83-E90B-4A6B-A727-3B802D44CA8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09046FCD-E556-4E8E-844F-0ECEA197F80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582F97EE-83FE-4D4F-A1C7-1613D2627F6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D36F9E6F-1B34-4F5C-A314-65D12475B9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5303071D-9135-4D65-8CC5-D529810DDA8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DB914171-9CC3-4D4F-8D84-22CAB8FBF1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468EF417-845F-4233-A7C9-92D97FFBA5A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D875A004-E42F-4A71-AE76-30467F9497F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D36DB32A-A3BF-48BD-9A2A-19D56FD247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2E285A23-1959-4DD8-8058-AE9BACCACF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B6095BEB-88EE-4227-9CB6-CEC07E6914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F43A0B1E-CD17-490E-9668-3AFB9908FFD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27D3698A-6401-42F8-B807-6D38593C8B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18685AE0-D318-417B-ADFF-9639C62F678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1090440C-7433-4D2C-930C-295AE345DB5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3F5971C4-464D-42D8-A9E4-3D41BB4F74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F9E42A14-A66E-47E8-B1A8-7A947C30B41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5585298B-2CD2-47EC-9CB9-F7F8FE605D4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FC002B6F-046A-4282-A518-86EC2F805AC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FFFDF77F-D1F1-405F-AFF7-FBFAE8A954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9F097AB7-8170-4EE5-A82A-68BAE9C173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8E0AE696-5F46-47AC-B6C1-16279EC3F7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6A46CEC1-B9EE-40DC-9E12-A917281D42C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AC10A057-133E-4922-BE71-1956921040D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2FCFEEF6-6D57-4EB5-BBC8-CE33E102B0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8E16EBA1-59D7-4D7F-99B1-28C346CE98C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67379B44-E24E-44ED-BF52-9A27FB7627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7CF28E90-DEF1-4D04-BA2E-98C6CC2A14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7B9733ED-843F-49A5-BB1A-A117DA3302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32EF3F74-6FDF-4EB1-850D-9DB622135D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F54CBF5E-7282-48D0-AEF9-3B7BC179139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CE21D542-A6FB-4698-89E4-7FBED689B76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44D39A13-0F46-4D5D-B7A5-498443E4A0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AB672C5E-1701-433D-B8E0-0EC6EE26EF2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7C52618D-128F-4ADA-9400-67478395CE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FFDDA047-F991-4071-9BF3-6D17E7EE01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023D9929-D409-4D79-A704-4EF7F5A1955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0A8CC875-665D-4D48-9139-1E83EFDC89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196F0EF7-78C4-4F9D-824E-3779AD75C0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7F7CC75D-8787-443B-8E1E-A4BDE4B21B9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EF18BA08-3622-4CA8-A49F-5953749CCFC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C48301CC-940E-41A8-9988-9A0E74D976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5977821D-AA5B-425F-AF7C-AA76ED82BD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6790E2EB-DA61-416D-84C6-64849254E7C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282911D6-81AE-4E64-98A3-9DC5EC7FA5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6183E17E-A657-4C0C-9B4A-16498FB222A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9891813B-A628-4A97-B386-84AAFAC875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960695ED-6160-4876-B83A-37DA436C4E4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45AD1206-83A3-47D9-A367-01D8F081699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5DFCA220-189C-43EB-A415-6372854CFA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23BD11B6-B197-46C0-9214-322AFE06B0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3C110BB8-96DF-45C4-8DC9-60189FB1BE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82BD30C7-F308-4872-B457-8535DC4AEC1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B6DD4C0C-1964-4910-9B76-5B007E4E220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F31E4986-64C0-422E-A325-5DDE79EB0C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203ACEC7-C610-48FC-BFD9-69F559B587D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D1C1A053-7B8C-45DA-8C25-EEC816D599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C16078C9-E9C4-4EE2-9B5E-0E2186D926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558AA3DC-33C1-48BD-848F-15CEA442590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75A9E842-2FD5-4343-9130-5B79ADC7510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53609997-867B-48CB-A0B3-1238DD3AB36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CE5E4FED-C193-4A7A-8606-2685C9BFA1C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568B873A-65BD-4398-84AD-3881A4DFA6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68862906-9581-42BD-A23D-F01EA625061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53EE0BF6-77CE-4CE5-BFD2-F229D4D71D1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B21654E5-56BE-4D03-B34A-F4F16F3DF8C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A83B096C-E168-4384-9540-78812FB31FC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89B3D6D8-FC16-4C42-A890-43D21ECE66A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F96D59B5-13EF-4A66-9CD0-41A8EED0AD2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E49C3D25-09D1-4082-BFE8-B42B83AECA4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48015341-A822-48A9-B669-16468CAB722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18B3B820-2729-480E-8AAE-7D9E76071E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A0E9B635-E998-4577-B443-38C97FC76B3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10F85A1E-1F60-48F2-8E65-B0A80E1F64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248D11FA-EBEE-4FC8-9035-B6A8C31699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ABD080E3-0349-4A1E-BB1F-38F791AD7BC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5BC1E0F0-2D49-4E3D-A9F4-5B0978DA602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62E3C3AD-B7E0-4906-BCEA-680A333AF35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B02AF1CF-C39B-410F-96A8-1EC7EA729D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294A085A-EE4E-40D9-88A8-D9EE4B3859A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51913570-DF66-4E3A-BCD9-99AEF777DE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C1D18AEE-A3E4-420C-AB6F-AE2BD175F79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DF8A5385-8105-4309-AE72-8D89D1723DB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207AE2F3-9403-4038-A43A-F5BABEEB9E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FF71344C-47AD-4333-821D-6D8D570FB21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B115D011-BE79-41F6-BED8-D16F15907DF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E4936DE3-0ACA-427A-898D-C96A91E5333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D270F1F7-8216-4563-92F9-6E77A4B16D2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6D1857C8-72B7-4E00-A60E-ED9185E9424B}"/>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FE7C7721-DBF2-4A85-A710-A4A9BE1FFE0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8BF9DB3E-9121-4A1D-A0ED-26FC135C3B5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76E29641-DF49-4319-8974-D4FF58A1757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FC632867-2867-47F1-80D5-086990BC56B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A5D9B248-83E7-453F-B445-2E52134824F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F2DFF654-0F2B-4233-8F8F-146FEA9B833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0E7A6B2A-A492-44EC-B825-04B4E853A3A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8C017C24-A756-4928-97A5-22C34275C5D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01CE62F8-3706-4966-816E-904F1633828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6F4387A6-C133-4DB8-BFEB-5B64FA1BEE2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15B6ED99-52CC-450D-B657-1760FBE2DDF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8302626D-05A0-4CA0-A9A5-E2795CC19E9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2B8F8AC2-5DD6-4D75-BB4A-67211A80709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4547B25A-4884-4C23-8938-D4F32697409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309D0CB3-E2DF-43E4-A516-E7209ED2BB1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3BF2CD0F-8509-4217-BF8E-9DE4DACDBE6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04095EBE-D9EC-4B92-9B76-7EBA9B5FE4F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869CBCDF-4389-4774-A9C5-9F846DB6417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AC163517-FB9E-4C73-8D4E-10C44CD733D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C8B3D24C-8931-44DD-9ACB-7866DD9065A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C6E5E43F-E7DC-4A94-A852-E8E725706A6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7C43A2BB-443D-4F71-A9EC-ACE20B0F9DA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5037B717-A365-4FD6-9A27-82F8A1AC55A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28B7A194-289A-4989-AFC4-6BA8BEDC43F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5B09AA5C-992A-49A7-A898-34E585C4F8D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25ECEAA6-525E-446B-BA30-C692F75829B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94C6AC25-994E-4421-8371-8D1CDF81933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AF199D82-BE09-48D2-8F28-ECA50C38238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743AC4BD-B56C-47E5-A963-A0E7F56EA4E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30E6E389-E98A-4F5F-954F-4C5CE08800B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5361BB11-B987-4649-9682-8DC697FEA45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A05590A5-9691-4010-8665-1FD7883B6CA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CCDBB3BF-7C94-4C72-885F-A8857927030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903EDC7C-6311-49AE-8F84-6AEFB3E5E62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28427F82-4949-4003-BF4A-579695C31AE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67797917-D225-4356-A553-644F01CCE05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E0D48A24-9E8E-43FA-9786-0A478EF776C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14B65521-9DE5-496F-B9B9-3A174047DED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497C68EC-DA8E-4EBD-8EF7-09FC04A6E4A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AB0910C5-958E-4C56-A49D-56BBBE79A50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DA1B51AA-C297-4C37-B644-37D94FEE672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44F995A0-2FF0-4508-9F3B-A59384264AF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19D55B77-1ACF-42CB-812A-C95C82F1199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128F4B27-FAD0-40AC-9502-E13F9AAB47C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1918D361-3483-478E-A1F7-8B3E66F4CE9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B9A1DFB8-3968-491D-8CB9-361C1629A7E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2B4276E4-8244-4E5F-AB13-93A76DE7E8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AA61D56B-3EA6-4065-9562-4A67FFAE139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0A4BC9CD-7317-486B-9E0E-6D27CD8A09C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5C9D35D3-DA0E-49F6-BB95-140E1B12F3C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1F3DA910-FA1E-432F-865E-80C7E89DD63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503DD5C1-4040-48F6-A3FF-E8BFBD8B63B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35EFA045-0338-4F63-BDF0-470AA1FD2C3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B814B45F-B32F-4568-8E0D-D178DAF7512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DD54C632-47C0-41D8-88CD-4F44E3FC5B5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CF461A27-4209-45C1-9B01-D2ACB08987B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FD749F70-2A25-40DA-AAF0-9DD3E7B2023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C7013F9F-90E9-4D34-A60A-2992679424E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65E81F37-F050-4688-B6C3-6ECC5B96A5D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678FDC13-9A8A-4F4E-BA0A-1A6027CA23E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89F83420-B7CD-4F09-A25A-A124DE002CA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5680F8A2-B7A2-429F-B68E-460DE02B932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7AD00C00-8473-4268-BBDD-36C3C8895FB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5AECA9C8-F6F9-4BAB-8712-9CB89E71406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0658B92B-58F1-4DAD-A6C0-96E2445A44C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E6538F62-8A86-4975-98A2-7FD3A884BA9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ED5CAD9A-0AC6-42FC-A05D-7F4775FE6CF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D986BE3B-F9D3-4461-913F-178E1FEAD7A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EF43E853-C66F-4365-818C-F432C0D0793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3E4B9EEB-4105-4828-9207-D4F2407ABBF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FDC43085-DA71-4E02-A8E0-7A3D43DA84B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FA93C72D-B04E-4034-B021-4E3B063E2CA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27F70ACF-9C70-43BC-BF64-8783CF8940F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62C2DC8F-FB9D-4C1D-9AD1-9DCF0EF897F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23E98591-D05E-4193-8BA8-9C3EFC91960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C8463E53-7DB7-4F59-9062-AFF4BF9111A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DA152001-6773-428E-B981-DBC3D61EB7B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40244017-1ED8-4890-882F-483260B5E08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3E33F866-93E4-445E-861F-A98511CE8EA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3841267E-5F75-4BA7-B20F-9407509BFF8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E6172716-4C9E-4ACD-B1EB-64FC8F9B6F5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2AA44547-3FBA-4564-AA9F-2FB2C7C30DA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3854117C-26BA-4CD7-9442-76624304370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4B15DF3D-B248-4CFC-98A0-D655A8B95F3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45C20A35-9507-46BC-8D77-AC3C50E675F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CD6DF6BE-6F4E-4157-A895-5094E6E426B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6F0FEBCD-9416-4642-B876-C771D214049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D577BC8F-F4BA-4B56-9AB5-32A1A3B3A93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348507EC-9B6E-4D8E-9A82-FFDE2F57803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CC9218F6-07B5-4718-B347-4E5F54C11FE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ED1CECC3-CA11-4B50-B3FA-FF3E24CF8CC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A49EA305-5478-4913-A5F1-0B4775AA55E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27C23DA4-7E43-43EE-A045-9B3845A41BD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77E3FEEF-609F-465C-B7D2-3FB85B4A529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E1BE9763-B27D-4A86-B807-4057A896274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B0A475C4-6736-435D-BA7D-FA00B4506C3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5CE84F39-6F55-46E5-A40C-B98A5A42EF8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C4C8FE39-C414-45C9-9037-0B9E870F464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FE137D45-1442-4B49-B9D6-BA718C3A5C8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2C4FFAF4-064A-46A2-963E-4A108C5EBD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7179CAEB-697B-4966-B930-676F1545854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37D07AB8-6E47-4A7F-A8E8-8D671780183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C42B6E90-6418-4CF1-BA00-92B8F18C26B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820CDB68-E087-4BE0-B934-8F797A4764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BA763776-179D-405A-893B-31056FC1F23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E511B9FD-85AF-41A5-A7F0-6654264A5CC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115741A3-E55B-4C47-ABB9-29A9F5E137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F09A42AC-694B-40E0-B201-8BC5BAEF34E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F5EF8035-6EBD-47F9-A6A0-A37B2C5224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A725733C-D312-43E5-9889-B36C03182E8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3000D193-F806-49B2-B58F-D911B872CF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CFAB9449-C304-4554-839C-C7867143A4B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37935D10-4B04-42CC-A4EB-EB1BCE87742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EF23BC08-53BF-44A0-AA11-146CC365332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C1C47302-B7FF-4409-81E9-A1F44EF088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2B147513-49F2-47FF-BC92-B9863A2FEB1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7319991D-D4A6-4E80-9E40-6279F9803A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AFB88057-EA29-478B-838C-3FA08563DB0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D922EA8C-A5A8-4A64-9A81-4A39E94A731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F8B88FF2-3B7A-4224-81DB-A74C4784E5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E90A465A-5A8D-415C-99CA-B1FD57E5E3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F76C7B35-45F5-4392-8707-C8CE26DAB2C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439A0925-4172-4A6A-A76A-207D49E4735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27D42B8E-3DCA-4169-B759-61EA1A46C06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2EAED221-7DDD-462D-9056-C173714490D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84DD8800-A312-4F3A-9201-BFD15C5C065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78411366-1B3A-47BA-A6AA-BF7EBABCCF9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2C13A448-90A8-4334-9D8D-BD4D37E31E8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087881D6-F666-4E65-B7D0-BB47C18DDBA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D69C1179-AE5A-40D2-9084-4646ACF7109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7509848D-3AF6-454B-A40D-9B5A4D4B2C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120D2AFA-F262-4D77-9095-1E3D8D3105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47EC1E01-38A3-4509-B777-27410B1DB25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F8FB4860-E861-45EF-B89D-4F7AA2D9B7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4B2D36C4-6430-4DF6-9588-886BEA6045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E50E02B1-41B3-4AFF-AF30-59179E8F5F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C084326C-4488-4437-896E-3006FCB9E93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83B3C1B2-0617-4F7F-BE88-4801E46586D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313EB810-B50D-4546-9A17-AF3A4C39CE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BEF79FCF-5CCA-402C-9EC8-F8BEE3D0FDF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75616C0C-AC7E-4F9C-8D46-F70568332B8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A946B45C-8EB7-4900-9828-60BF8AC919F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ADB8150B-EB77-47EE-9C06-FEBA3E37C0D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3D1A6E8D-E635-4716-A581-8F5172F5C3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09CFD65A-6375-4DD1-A1FD-5BBE74B522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093B55C5-C618-4E3E-AEA2-F36792FC31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CE968F53-AFB0-463E-94ED-0998AE4D43C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2E240091-094C-4610-9233-DDBF2799CA1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181119D4-694F-47AE-A91B-7CD6F6E205F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8CA31781-B716-474B-A682-073E02EA1C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348903E2-9272-4685-8A61-C8CEC3DCF0F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6F502384-9AD6-48F0-BB5E-BD0B9CE28A6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452B1220-156D-47D0-B277-0829C108EBA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CAF42D69-9179-4BBB-B4EA-188F4E807FB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0717DB51-7689-4696-B133-50DC7CA609A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32AB232B-CA4E-494E-82E1-A68AB4346CE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E82A8FF3-5C8E-401A-8B0C-20BFD2AA0A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43BE0269-C0EE-48CB-8AF1-C153506A3D7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63706B1F-202F-4950-AA7C-87B7687D3A9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00894E11-7EC2-4647-AFB8-3CA3C513C65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6BFC5A0B-6D62-40E0-B363-55D080ED3F0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568A4B6C-EC61-4788-A3F9-435E9CEE795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EBCF4919-E69C-4CD3-BFF1-04F4653830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E50CDB5D-3543-4D06-AD85-D90D49A3CD6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18B32B32-955C-4948-B5AB-05F6BEF46BC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EA3D6298-CB58-4B3A-9AF5-FE169DD5E17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B6ED1BE2-775E-4185-A6D5-49C0299D901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F0AEB847-AE00-416D-AB41-7628DDB5532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E1AA7D3D-6ED3-4B65-9A36-5F8D1C7CED1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2C6991DD-2697-456E-B7A3-12BC9A40D8E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B4F8C29E-DF92-434B-B10E-0AB60C7798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6C373E14-B0B2-4EF8-B0A7-C37BCB8578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E85426A1-55A6-425C-A04B-29A08D73227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BDC95F04-884A-45B0-B7DA-FD134BA7905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69E7798E-CDAC-4C12-AC33-2A88DB058E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A6A24E0B-F519-4EDE-861C-F9F598F0D9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DF5F5724-49B1-4BD6-A501-2EF3879515B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01865164-F275-4FB1-92E7-F169D9D56B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25851B9A-EFE7-4CA6-AD7B-CECF590DC70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10693674-B1EC-4891-9AFC-F720EEFE2C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51C9A105-2D2A-4E73-97E2-031CF6D985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8258855C-5201-48D3-8516-9CBCBF4DFB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2C0A004B-9F65-42E2-8221-A744AE889ED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09381DC1-8D06-45AA-BD78-2D340203D0A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C8BDB2C5-A8CB-4D63-9D59-1961C163EA9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A625C6B6-1F5A-42B8-9EC3-387DCBD8EBB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7BF1598C-70D9-4276-957D-363A195EB75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5FDCE3E1-C619-489E-B0CB-F5D7CC4CC5A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62AA848A-6068-4F6C-B10F-48E17EBA460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4B296DD6-6088-4E44-8D57-77687FCAED7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0B67A806-7C34-434F-A699-8BAE636666E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D18B2C72-3395-44D0-9952-A1A48266BC6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ECC4FED8-980E-4891-B703-C17FD2E8485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5FB3F0E9-C085-4949-9DC6-128AF599F6A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DA69306F-73CB-4542-B2A6-A614D93A31A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1850B25A-3094-4ED0-9322-9F364C3325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FB22EFF5-FD7F-41E2-B5F4-2AB4F6D7C9C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7CED807B-9372-40A3-BB80-1654B998B08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726AD708-811F-4F78-9677-713EA36695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51E7E7B7-2226-4D88-8398-AA196FC26B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987E732B-B8B0-48D4-A74D-8EF987AC04E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28117DC5-3364-4E66-B0D4-16B4CB894C6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2D832607-92AA-4389-AD48-B39AC62BCE5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E2CC246F-49DE-4908-8260-38B87F33042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C740CB73-1901-41CE-AC0E-624BA859C2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009FCAB2-CF23-47AA-8428-67E6014F6C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AB0BB63D-D43C-4DD9-96CD-EF8E3A6ED83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33B2126D-D754-47EE-B229-19AC95971BE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582D1206-00BF-4C9B-B1D8-BBEA0FD22F8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123760A9-6625-4DA2-B0FF-EAD75EC7185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F6A586D4-6585-4630-A489-FBD9C65AC13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FDE5C08A-C8E7-468B-B5AB-0E4883CB07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DA43DD86-EEFA-45B9-AA9E-4B08209B558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66B986A3-5B74-46B3-A369-D6FF5AD17C3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3B2EAE6B-27C5-4DB8-BB8A-067412C8FE2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7C087109-B865-4132-9420-BF8DC3158CF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861FD183-FC9D-4BAA-885B-20BF6A297DA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57716505-59C6-447E-B866-B97C4F137A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0111E99E-B8FE-4C8A-A6D8-6CFF11D036A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91CA1100-BCC7-4458-99C4-114EC1BEF40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777ED0E1-88EF-4EEE-8449-4D52B8B8AD4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87FF7DCB-F6BA-4199-95C7-0B31FA17E8C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00434A9E-4216-45F8-B7EE-97742F84066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0DE39F37-DC8E-483D-8EA7-BBDE9A02F6A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2032387D-2B46-4778-8850-41D13506DAB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666A6FF2-9C37-4B20-9955-DBE584DB0DC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811355AD-71D0-4CD6-B399-4FAB1854BF8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B954F0DB-F3AB-4B01-AA20-BDD3B0A9B5A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A868B9A4-DF62-4D22-B11E-545FFC2B016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84234594-2B0A-4368-8338-1E098F1FB00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169B2910-54E3-4084-A895-42EEACD419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28F8C562-269D-45AA-B5D9-45808AD017D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F2C9FA0E-14E8-4E98-B1A7-8480F37AD39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93799B96-7864-4F68-97D8-F27D80B8E55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936A835F-8B1B-4E41-894F-6E57732F33D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44737463-1C4F-42C2-AA68-9970E8EB41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FF0E68E6-794E-430D-8512-CD80507264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E47D0D3E-E898-49D7-BFEA-C697D89FE3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86600EDE-3AB6-4DF6-9ABD-0B142EB0B46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06A52BF9-447E-4B68-935F-1758AB136B5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72595DFF-48A0-4AAC-8F33-946D81C22D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B9D0E2EA-B021-4E5B-8292-BB4D588EFE9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0442EB27-389A-42FC-96D3-F2605203B69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5BC4A99A-7D98-468F-8169-E86B33E4BDC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26C88BDA-CC73-4DD6-A32F-35D65B1E4A5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D72CF133-AA03-4F0F-BA2A-33FD0EFB3A9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861D6245-E414-4C3E-953D-0D7A173E717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2EBBC78D-0857-4B6E-9801-9B998AC213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3DAFCE20-5D95-40DA-9524-0F9BC66EA2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E746C453-8B59-4CDF-B2CF-F498A589854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EA6F946D-0E16-4690-BB52-A7C971B752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796E9B53-1C1B-45E8-98F0-51D6A2B8DEE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4595F9D6-C4E1-4324-A9AF-1EC3B83AD77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D146EF68-AB8E-4CE8-8803-DF31655025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E47BDF8A-7417-4486-B4C2-2868E9F4CDB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11A53E4C-601B-47E1-B99F-9A5334CD322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1B6DB95C-5D80-4F28-8319-029E036440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032CB355-B8C4-4AAB-BD98-ABE960E8F6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3D937842-A574-4CF2-8F3B-F4A903AF31C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8441755D-E693-4F34-86BD-5227EF30020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314CB0D5-A079-41DA-BBB6-CA3759EC91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57CE026A-A374-40B1-84B8-3EFBCBDBBC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1A124A74-0558-4851-9C54-E52DCE166DA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5A52B375-0A65-4F4E-AD30-8CFA5B868A0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BB49CDE6-0F7E-493C-A508-346F053F7A2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19FB493F-072F-45AE-8FE5-F4A2907127F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2449396C-4332-4E30-917E-1B68E1C65F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613930F4-FB1F-416E-8100-7F927FB0D0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D6E7E546-CB1F-4283-A392-34EF29783C6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6C36DC34-0786-4D67-920F-17F35DD695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82BF355E-9BFC-4389-87C8-71E3900E6E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0FB321C4-6873-42B9-9DE2-BDB3AA7B88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AFDE56BD-E2B2-4BC7-B4C8-5873470D40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98327A6A-4F60-4DD9-86F8-66EDD625823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192A1BAB-58FB-42A8-8F92-DB60E24EFF0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1EB35C98-EBD3-4E2F-A3C8-87CB4CB7CC0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C06FED61-005C-4CAE-B84D-91B4578E44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80FA631C-F24D-453B-BE08-949689D12D0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3D1A19C0-5229-41E4-95F8-3CB62C5D3D8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AF0CDB4C-2C5B-49F1-BDE6-2E79BFE30EA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72A4BCA7-1378-487F-925D-7D85C13827E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B0413FE2-79F2-49E0-B762-C774AEEC2C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9894396B-4DBB-4B9D-9325-57BEF077ED7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731363F6-FFAB-49E4-A9E7-2F9CF2EE092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C65F3A2F-1566-4C71-8EF8-3DC1248A37B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554C4E87-25BF-4DB9-8306-FEE989C88E0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33.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35.bin"/><Relationship Id="rId4" Type="http://schemas.openxmlformats.org/officeDocument/2006/relationships/comments" Target="../comments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1.xml"/><Relationship Id="rId1" Type="http://schemas.openxmlformats.org/officeDocument/2006/relationships/printerSettings" Target="../printerSettings/printerSettings37.bin"/><Relationship Id="rId4" Type="http://schemas.openxmlformats.org/officeDocument/2006/relationships/comments" Target="../comments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showGridLines="0" tabSelected="1" workbookViewId="0">
      <selection sqref="A1:E1"/>
    </sheetView>
  </sheetViews>
  <sheetFormatPr defaultColWidth="8" defaultRowHeight="30" customHeight="1"/>
  <cols>
    <col min="1" max="1" width="35" style="1767" customWidth="1"/>
    <col min="2" max="4" width="9.28515625" style="1766" customWidth="1"/>
    <col min="5" max="5" width="35" style="1766" customWidth="1"/>
    <col min="6" max="16384" width="8" style="1766"/>
  </cols>
  <sheetData>
    <row r="1" spans="1:11" ht="33" customHeight="1">
      <c r="A1" s="1772" t="s">
        <v>1296</v>
      </c>
      <c r="B1" s="1772"/>
      <c r="C1" s="1772"/>
      <c r="D1" s="1772"/>
      <c r="E1" s="1772"/>
      <c r="J1" s="1774"/>
      <c r="K1" s="1773" t="s">
        <v>1295</v>
      </c>
    </row>
    <row r="2" spans="1:11" ht="33" customHeight="1">
      <c r="A2" s="1772" t="s">
        <v>1297</v>
      </c>
      <c r="B2" s="1772"/>
      <c r="C2" s="1772"/>
      <c r="D2" s="1772"/>
      <c r="E2" s="1772"/>
    </row>
    <row r="3" spans="1:11" ht="33" customHeight="1">
      <c r="A3" s="1772" t="s">
        <v>1298</v>
      </c>
      <c r="B3" s="1772"/>
      <c r="C3" s="1772"/>
      <c r="D3" s="1772"/>
      <c r="E3" s="1772"/>
    </row>
    <row r="4" spans="1:11" ht="33" customHeight="1">
      <c r="A4" s="1772" t="s">
        <v>1299</v>
      </c>
      <c r="B4" s="1772"/>
      <c r="C4" s="1772"/>
      <c r="D4" s="1772"/>
      <c r="E4" s="1772"/>
    </row>
    <row r="5" spans="1:11" ht="33" customHeight="1"/>
    <row r="6" spans="1:11" ht="33" customHeight="1"/>
    <row r="7" spans="1:11" ht="33" customHeight="1"/>
    <row r="8" spans="1:11" ht="33" customHeight="1">
      <c r="A8" s="1775">
        <v>42979</v>
      </c>
      <c r="B8" s="1771"/>
      <c r="C8" s="1771"/>
      <c r="D8" s="1771"/>
      <c r="E8" s="1771"/>
    </row>
    <row r="9" spans="1:11" ht="33" customHeight="1"/>
    <row r="10" spans="1:11" ht="33" customHeight="1">
      <c r="A10" s="1770" t="s">
        <v>1300</v>
      </c>
      <c r="B10" s="1770"/>
      <c r="C10" s="1770"/>
      <c r="D10" s="1770"/>
      <c r="E10" s="1770"/>
    </row>
    <row r="11" spans="1:11" ht="33" customHeight="1">
      <c r="A11" s="1770"/>
      <c r="B11" s="1770"/>
      <c r="C11" s="1770"/>
      <c r="D11" s="1770"/>
      <c r="E11" s="1770"/>
    </row>
    <row r="12" spans="1:11" ht="33" customHeight="1">
      <c r="A12" s="1770"/>
      <c r="B12" s="1770"/>
      <c r="C12" s="1770"/>
      <c r="D12" s="1770"/>
      <c r="E12" s="1770"/>
    </row>
    <row r="13" spans="1:11" ht="30" customHeight="1">
      <c r="A13" s="1769"/>
      <c r="B13" s="1768"/>
      <c r="C13" s="1768"/>
      <c r="D13" s="1768"/>
      <c r="E13" s="1768"/>
    </row>
    <row r="14" spans="1:11" ht="30" customHeight="1">
      <c r="A14" s="1769"/>
      <c r="B14" s="1768"/>
      <c r="C14" s="1768"/>
      <c r="D14" s="1768"/>
      <c r="E14" s="1768"/>
    </row>
  </sheetData>
  <sheetProtection algorithmName="SHA-512" hashValue="916W3f3l2bz7OEiJ84pCNrIAbJbSzANIW2MEqZJ8/IoN4z99HSF+ZJdYS2B2HcFoZak+gqzfNJ4+su7kkqjSdg==" saltValue="VklLX/iuoMm1hrKPA+XlpQ==" spinCount="100000" sheet="1" scenarios="1" insertRows="0" deleteRows="0" sort="0" autoFilter="0"/>
  <mergeCells count="8">
    <mergeCell ref="A8:E8"/>
    <mergeCell ref="A10:E10"/>
    <mergeCell ref="A12:E12"/>
    <mergeCell ref="A1:E1"/>
    <mergeCell ref="A2:E2"/>
    <mergeCell ref="A3:E3"/>
    <mergeCell ref="A4:E4"/>
    <mergeCell ref="A11:E11"/>
  </mergeCells>
  <phoneticPr fontId="4"/>
  <printOptions horizontalCentered="1" verticalCentered="1"/>
  <pageMargins left="0.78740157480314965" right="0.78740157480314965" top="1.29" bottom="0.44" header="0.51181102362204722" footer="0.32"/>
  <pageSetup paperSize="9" orientation="landscape" horizontalDpi="400" verticalDpi="4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B96"/>
  <sheetViews>
    <sheetView showGridLines="0" zoomScale="80" zoomScaleNormal="80" workbookViewId="0"/>
  </sheetViews>
  <sheetFormatPr defaultColWidth="8.42578125" defaultRowHeight="15" customHeight="1"/>
  <cols>
    <col min="1" max="1" width="7.7109375" style="111" customWidth="1"/>
    <col min="2" max="26" width="7.7109375" style="54" customWidth="1"/>
    <col min="27" max="16384" width="8.42578125" style="54"/>
  </cols>
  <sheetData>
    <row r="1" spans="1:28" s="53" customFormat="1" ht="26.1" customHeight="1">
      <c r="A1" s="236" t="s">
        <v>178</v>
      </c>
      <c r="B1" s="50"/>
      <c r="C1" s="50"/>
      <c r="D1" s="50"/>
      <c r="E1" s="50"/>
      <c r="F1" s="50"/>
      <c r="G1" s="50"/>
      <c r="H1" s="50"/>
      <c r="I1" s="50"/>
      <c r="J1" s="50"/>
      <c r="K1" s="50"/>
      <c r="L1" s="50"/>
      <c r="M1" s="50"/>
      <c r="N1" s="50"/>
      <c r="O1" s="50"/>
      <c r="P1" s="50"/>
      <c r="Q1" s="50"/>
      <c r="R1" s="50"/>
      <c r="S1" s="50"/>
      <c r="T1" s="50"/>
      <c r="U1" s="50"/>
      <c r="V1" s="50"/>
      <c r="W1" s="50"/>
      <c r="X1" s="50"/>
      <c r="Y1" s="50"/>
      <c r="Z1" s="50"/>
      <c r="AA1" s="50"/>
      <c r="AB1" s="52"/>
    </row>
    <row r="2" spans="1:28" ht="15" customHeight="1">
      <c r="V2" s="237"/>
      <c r="W2" s="237"/>
    </row>
    <row r="3" spans="1:28" ht="15" customHeight="1">
      <c r="A3" s="111" t="s">
        <v>153</v>
      </c>
      <c r="C3" s="238" t="s">
        <v>22</v>
      </c>
      <c r="D3" s="238"/>
      <c r="E3" s="61"/>
      <c r="F3" s="61"/>
      <c r="O3" s="61"/>
      <c r="P3" s="61"/>
      <c r="Q3" s="61"/>
      <c r="R3" s="61"/>
      <c r="S3" s="61"/>
      <c r="T3" s="61"/>
      <c r="U3" s="61"/>
      <c r="V3" s="237"/>
      <c r="W3" s="54" t="s">
        <v>154</v>
      </c>
    </row>
    <row r="4" spans="1:28" ht="15" customHeight="1">
      <c r="A4" s="111" t="s">
        <v>155</v>
      </c>
      <c r="C4" s="238" t="s">
        <v>179</v>
      </c>
      <c r="D4" s="238"/>
      <c r="E4" s="61"/>
      <c r="F4" s="61"/>
      <c r="O4" s="239" t="s">
        <v>156</v>
      </c>
      <c r="P4" s="240"/>
      <c r="Q4" s="240"/>
      <c r="R4" s="240"/>
      <c r="S4" s="240"/>
      <c r="T4" s="240"/>
      <c r="U4" s="241"/>
      <c r="V4" s="237"/>
      <c r="W4" s="181" t="s">
        <v>180</v>
      </c>
    </row>
    <row r="5" spans="1:28" ht="15" customHeight="1">
      <c r="O5" s="242" t="s">
        <v>74</v>
      </c>
      <c r="P5" s="243" t="s">
        <v>157</v>
      </c>
      <c r="Q5" s="243" t="s">
        <v>158</v>
      </c>
      <c r="R5" s="243" t="s">
        <v>159</v>
      </c>
      <c r="S5" s="243" t="s">
        <v>160</v>
      </c>
      <c r="T5" s="243" t="s">
        <v>161</v>
      </c>
      <c r="U5" s="244" t="s">
        <v>162</v>
      </c>
      <c r="W5" s="181" t="s">
        <v>181</v>
      </c>
    </row>
    <row r="6" spans="1:28" ht="15" customHeight="1">
      <c r="O6" s="245"/>
      <c r="P6" s="246"/>
      <c r="Q6" s="246"/>
      <c r="R6" s="246"/>
      <c r="S6" s="246"/>
      <c r="T6" s="246"/>
      <c r="U6" s="247"/>
      <c r="W6" s="181" t="s">
        <v>182</v>
      </c>
    </row>
    <row r="7" spans="1:28" ht="15" customHeight="1">
      <c r="Q7" s="237"/>
      <c r="R7" s="237"/>
      <c r="S7" s="237"/>
      <c r="T7" s="237"/>
      <c r="U7" s="237"/>
      <c r="W7" s="181" t="s">
        <v>183</v>
      </c>
    </row>
    <row r="8" spans="1:28" ht="15" customHeight="1">
      <c r="P8" s="237"/>
      <c r="Q8" s="237"/>
      <c r="R8" s="237"/>
      <c r="S8" s="237"/>
      <c r="T8" s="237"/>
      <c r="U8" s="237"/>
      <c r="W8" s="181" t="s">
        <v>184</v>
      </c>
    </row>
    <row r="9" spans="1:28" ht="15" customHeight="1" thickBot="1">
      <c r="G9" s="54" t="s">
        <v>163</v>
      </c>
      <c r="L9" s="54" t="s">
        <v>164</v>
      </c>
      <c r="P9" s="237"/>
      <c r="Q9" s="237"/>
      <c r="R9" s="237"/>
      <c r="S9" s="237"/>
      <c r="T9" s="237"/>
      <c r="U9" s="237"/>
      <c r="W9" s="86" t="s">
        <v>185</v>
      </c>
    </row>
    <row r="10" spans="1:28" ht="15" customHeight="1">
      <c r="A10" s="248" t="s">
        <v>29</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149"/>
    </row>
    <row r="11" spans="1:28" ht="15" customHeight="1">
      <c r="A11" s="249"/>
      <c r="B11" s="250"/>
      <c r="C11" s="251"/>
      <c r="D11" s="252"/>
      <c r="E11" s="151">
        <v>1</v>
      </c>
      <c r="F11" s="152">
        <v>2</v>
      </c>
      <c r="G11" s="152">
        <v>3</v>
      </c>
      <c r="H11" s="152">
        <v>4</v>
      </c>
      <c r="I11" s="152">
        <v>5</v>
      </c>
      <c r="J11" s="152">
        <v>6</v>
      </c>
      <c r="K11" s="152">
        <v>7</v>
      </c>
      <c r="L11" s="152">
        <v>8</v>
      </c>
      <c r="M11" s="152">
        <v>9</v>
      </c>
      <c r="N11" s="152">
        <v>10</v>
      </c>
      <c r="O11" s="152">
        <v>11</v>
      </c>
      <c r="P11" s="152">
        <v>12</v>
      </c>
      <c r="Q11" s="152">
        <v>13</v>
      </c>
      <c r="R11" s="152">
        <v>14</v>
      </c>
      <c r="S11" s="152">
        <v>15</v>
      </c>
      <c r="T11" s="152">
        <v>16</v>
      </c>
      <c r="U11" s="152">
        <v>17</v>
      </c>
      <c r="V11" s="152">
        <v>18</v>
      </c>
      <c r="W11" s="154">
        <v>19</v>
      </c>
      <c r="X11" s="154">
        <v>20</v>
      </c>
      <c r="Y11" s="154">
        <v>21</v>
      </c>
      <c r="Z11" s="154">
        <v>22</v>
      </c>
      <c r="AA11" s="154">
        <v>23</v>
      </c>
      <c r="AB11" s="155">
        <v>24</v>
      </c>
    </row>
    <row r="12" spans="1:28" ht="15" customHeight="1" thickBot="1">
      <c r="A12" s="253" t="s">
        <v>165</v>
      </c>
      <c r="B12" s="254" t="s">
        <v>166</v>
      </c>
      <c r="C12" s="255"/>
      <c r="D12" s="256"/>
      <c r="E12" s="257">
        <v>0</v>
      </c>
      <c r="F12" s="258">
        <v>0</v>
      </c>
      <c r="G12" s="258">
        <v>0</v>
      </c>
      <c r="H12" s="258">
        <v>0</v>
      </c>
      <c r="I12" s="258">
        <v>7</v>
      </c>
      <c r="J12" s="258">
        <v>56</v>
      </c>
      <c r="K12" s="258">
        <v>120</v>
      </c>
      <c r="L12" s="258">
        <v>187</v>
      </c>
      <c r="M12" s="258">
        <v>247</v>
      </c>
      <c r="N12" s="258">
        <v>294</v>
      </c>
      <c r="O12" s="258">
        <v>321</v>
      </c>
      <c r="P12" s="258">
        <v>325</v>
      </c>
      <c r="Q12" s="258">
        <v>307</v>
      </c>
      <c r="R12" s="258">
        <v>272</v>
      </c>
      <c r="S12" s="258">
        <v>220</v>
      </c>
      <c r="T12" s="258">
        <v>158</v>
      </c>
      <c r="U12" s="258">
        <v>94</v>
      </c>
      <c r="V12" s="258">
        <v>24</v>
      </c>
      <c r="W12" s="258">
        <v>0</v>
      </c>
      <c r="X12" s="258">
        <v>0</v>
      </c>
      <c r="Y12" s="258">
        <v>0</v>
      </c>
      <c r="Z12" s="258">
        <v>0</v>
      </c>
      <c r="AA12" s="258">
        <v>0</v>
      </c>
      <c r="AB12" s="259">
        <v>0</v>
      </c>
    </row>
    <row r="13" spans="1:28" ht="15" customHeight="1" thickBot="1">
      <c r="A13" s="260" t="s">
        <v>167</v>
      </c>
      <c r="B13" s="261" t="s">
        <v>168</v>
      </c>
      <c r="C13" s="262"/>
      <c r="D13" s="263"/>
      <c r="E13" s="264">
        <v>0</v>
      </c>
      <c r="F13" s="265">
        <v>0</v>
      </c>
      <c r="G13" s="265">
        <v>0</v>
      </c>
      <c r="H13" s="265">
        <v>0</v>
      </c>
      <c r="I13" s="265">
        <v>4</v>
      </c>
      <c r="J13" s="265">
        <v>31</v>
      </c>
      <c r="K13" s="265">
        <v>63</v>
      </c>
      <c r="L13" s="265">
        <v>93</v>
      </c>
      <c r="M13" s="265">
        <v>116</v>
      </c>
      <c r="N13" s="265">
        <v>130</v>
      </c>
      <c r="O13" s="265">
        <v>135</v>
      </c>
      <c r="P13" s="265">
        <v>135</v>
      </c>
      <c r="Q13" s="265">
        <v>133</v>
      </c>
      <c r="R13" s="265">
        <v>125</v>
      </c>
      <c r="S13" s="265">
        <v>107</v>
      </c>
      <c r="T13" s="265">
        <v>81</v>
      </c>
      <c r="U13" s="265">
        <v>49</v>
      </c>
      <c r="V13" s="265">
        <v>14</v>
      </c>
      <c r="W13" s="265">
        <v>0</v>
      </c>
      <c r="X13" s="265">
        <v>0</v>
      </c>
      <c r="Y13" s="265">
        <v>0</v>
      </c>
      <c r="Z13" s="265">
        <v>0</v>
      </c>
      <c r="AA13" s="265">
        <v>0</v>
      </c>
      <c r="AB13" s="266">
        <v>0</v>
      </c>
    </row>
    <row r="14" spans="1:28" ht="15" customHeight="1" thickBot="1">
      <c r="A14" s="267" t="s">
        <v>67</v>
      </c>
      <c r="B14" s="261" t="s">
        <v>169</v>
      </c>
      <c r="C14" s="262"/>
      <c r="D14" s="263"/>
      <c r="E14" s="264">
        <v>0</v>
      </c>
      <c r="F14" s="265">
        <v>0</v>
      </c>
      <c r="G14" s="265">
        <v>0</v>
      </c>
      <c r="H14" s="265">
        <v>0</v>
      </c>
      <c r="I14" s="265">
        <v>7</v>
      </c>
      <c r="J14" s="265">
        <v>71</v>
      </c>
      <c r="K14" s="265">
        <v>179</v>
      </c>
      <c r="L14" s="265">
        <v>298</v>
      </c>
      <c r="M14" s="265">
        <v>413</v>
      </c>
      <c r="N14" s="265">
        <v>498</v>
      </c>
      <c r="O14" s="265">
        <v>554</v>
      </c>
      <c r="P14" s="265">
        <v>571</v>
      </c>
      <c r="Q14" s="265">
        <v>549</v>
      </c>
      <c r="R14" s="265">
        <v>481</v>
      </c>
      <c r="S14" s="265">
        <v>372</v>
      </c>
      <c r="T14" s="265">
        <v>246</v>
      </c>
      <c r="U14" s="265">
        <v>132</v>
      </c>
      <c r="V14" s="265">
        <v>26</v>
      </c>
      <c r="W14" s="265">
        <v>0</v>
      </c>
      <c r="X14" s="265">
        <v>0</v>
      </c>
      <c r="Y14" s="265">
        <v>0</v>
      </c>
      <c r="Z14" s="265">
        <v>0</v>
      </c>
      <c r="AA14" s="265">
        <v>0</v>
      </c>
      <c r="AB14" s="266">
        <v>0</v>
      </c>
    </row>
    <row r="15" spans="1:28" ht="15" customHeight="1">
      <c r="A15" s="268" t="s">
        <v>68</v>
      </c>
      <c r="B15" s="269" t="s">
        <v>170</v>
      </c>
      <c r="C15" s="270"/>
      <c r="D15" s="271"/>
      <c r="E15" s="287">
        <v>0</v>
      </c>
      <c r="F15" s="288">
        <v>0</v>
      </c>
      <c r="G15" s="288">
        <v>0</v>
      </c>
      <c r="H15" s="288">
        <v>0</v>
      </c>
      <c r="I15" s="288">
        <v>12</v>
      </c>
      <c r="J15" s="288">
        <v>89</v>
      </c>
      <c r="K15" s="288">
        <v>84</v>
      </c>
      <c r="L15" s="288">
        <v>63</v>
      </c>
      <c r="M15" s="288">
        <v>17</v>
      </c>
      <c r="N15" s="288">
        <v>0</v>
      </c>
      <c r="O15" s="288">
        <v>0</v>
      </c>
      <c r="P15" s="288">
        <v>0</v>
      </c>
      <c r="Q15" s="288">
        <v>0</v>
      </c>
      <c r="R15" s="288">
        <v>0</v>
      </c>
      <c r="S15" s="288">
        <v>0</v>
      </c>
      <c r="T15" s="288">
        <v>0</v>
      </c>
      <c r="U15" s="288">
        <v>0</v>
      </c>
      <c r="V15" s="288">
        <v>0</v>
      </c>
      <c r="W15" s="288">
        <v>0</v>
      </c>
      <c r="X15" s="288">
        <v>0</v>
      </c>
      <c r="Y15" s="288">
        <v>0</v>
      </c>
      <c r="Z15" s="288">
        <v>0</v>
      </c>
      <c r="AA15" s="288">
        <v>0</v>
      </c>
      <c r="AB15" s="289">
        <v>0</v>
      </c>
    </row>
    <row r="16" spans="1:28" ht="15" customHeight="1">
      <c r="A16" s="272"/>
      <c r="B16" s="273" t="s">
        <v>171</v>
      </c>
      <c r="C16" s="274"/>
      <c r="D16" s="275"/>
      <c r="E16" s="290">
        <v>1</v>
      </c>
      <c r="F16" s="291">
        <v>1</v>
      </c>
      <c r="G16" s="291">
        <v>1</v>
      </c>
      <c r="H16" s="291">
        <v>1</v>
      </c>
      <c r="I16" s="291">
        <v>1</v>
      </c>
      <c r="J16" s="291">
        <v>1</v>
      </c>
      <c r="K16" s="291">
        <v>1</v>
      </c>
      <c r="L16" s="291">
        <v>1</v>
      </c>
      <c r="M16" s="291">
        <v>1</v>
      </c>
      <c r="N16" s="291">
        <v>1</v>
      </c>
      <c r="O16" s="291">
        <v>1</v>
      </c>
      <c r="P16" s="291">
        <v>1</v>
      </c>
      <c r="Q16" s="291">
        <v>1</v>
      </c>
      <c r="R16" s="291">
        <v>1</v>
      </c>
      <c r="S16" s="291">
        <v>1</v>
      </c>
      <c r="T16" s="291">
        <v>1</v>
      </c>
      <c r="U16" s="291">
        <v>1</v>
      </c>
      <c r="V16" s="291">
        <v>1</v>
      </c>
      <c r="W16" s="291">
        <v>1</v>
      </c>
      <c r="X16" s="291">
        <v>1</v>
      </c>
      <c r="Y16" s="291">
        <v>1</v>
      </c>
      <c r="Z16" s="291">
        <v>1</v>
      </c>
      <c r="AA16" s="291">
        <v>1</v>
      </c>
      <c r="AB16" s="292">
        <v>1</v>
      </c>
    </row>
    <row r="17" spans="1:28" ht="15" customHeight="1" thickBot="1">
      <c r="A17" s="276"/>
      <c r="B17" s="277" t="s">
        <v>172</v>
      </c>
      <c r="C17" s="278"/>
      <c r="D17" s="279"/>
      <c r="E17" s="293">
        <v>0</v>
      </c>
      <c r="F17" s="294">
        <v>0</v>
      </c>
      <c r="G17" s="294">
        <v>0</v>
      </c>
      <c r="H17" s="294">
        <v>0</v>
      </c>
      <c r="I17" s="294">
        <v>16</v>
      </c>
      <c r="J17" s="294">
        <v>120</v>
      </c>
      <c r="K17" s="294">
        <v>147</v>
      </c>
      <c r="L17" s="294">
        <v>156</v>
      </c>
      <c r="M17" s="294">
        <v>133</v>
      </c>
      <c r="N17" s="294">
        <v>130</v>
      </c>
      <c r="O17" s="294">
        <v>135</v>
      </c>
      <c r="P17" s="294">
        <v>136</v>
      </c>
      <c r="Q17" s="294">
        <v>134</v>
      </c>
      <c r="R17" s="294">
        <v>125</v>
      </c>
      <c r="S17" s="294">
        <v>107</v>
      </c>
      <c r="T17" s="294">
        <v>80</v>
      </c>
      <c r="U17" s="294">
        <v>50</v>
      </c>
      <c r="V17" s="294">
        <v>14</v>
      </c>
      <c r="W17" s="294">
        <v>0</v>
      </c>
      <c r="X17" s="294">
        <v>0</v>
      </c>
      <c r="Y17" s="294">
        <v>0</v>
      </c>
      <c r="Z17" s="294">
        <v>0</v>
      </c>
      <c r="AA17" s="294">
        <v>0</v>
      </c>
      <c r="AB17" s="295">
        <v>0</v>
      </c>
    </row>
    <row r="18" spans="1:28" ht="15" customHeight="1">
      <c r="A18" s="268" t="s">
        <v>69</v>
      </c>
      <c r="B18" s="269" t="s">
        <v>170</v>
      </c>
      <c r="C18" s="270"/>
      <c r="D18" s="271"/>
      <c r="E18" s="287">
        <v>0</v>
      </c>
      <c r="F18" s="288">
        <v>0</v>
      </c>
      <c r="G18" s="288">
        <v>0</v>
      </c>
      <c r="H18" s="288">
        <v>0</v>
      </c>
      <c r="I18" s="288">
        <v>18</v>
      </c>
      <c r="J18" s="288">
        <v>163</v>
      </c>
      <c r="K18" s="288">
        <v>194</v>
      </c>
      <c r="L18" s="288">
        <v>216</v>
      </c>
      <c r="M18" s="288">
        <v>179</v>
      </c>
      <c r="N18" s="288">
        <v>99</v>
      </c>
      <c r="O18" s="288">
        <v>11</v>
      </c>
      <c r="P18" s="288">
        <v>0</v>
      </c>
      <c r="Q18" s="288">
        <v>0</v>
      </c>
      <c r="R18" s="288">
        <v>0</v>
      </c>
      <c r="S18" s="288">
        <v>0</v>
      </c>
      <c r="T18" s="288">
        <v>0</v>
      </c>
      <c r="U18" s="288">
        <v>0</v>
      </c>
      <c r="V18" s="288">
        <v>0</v>
      </c>
      <c r="W18" s="288">
        <v>0</v>
      </c>
      <c r="X18" s="288">
        <v>0</v>
      </c>
      <c r="Y18" s="288">
        <v>0</v>
      </c>
      <c r="Z18" s="288">
        <v>0</v>
      </c>
      <c r="AA18" s="288">
        <v>0</v>
      </c>
      <c r="AB18" s="289">
        <v>0</v>
      </c>
    </row>
    <row r="19" spans="1:28" ht="15" customHeight="1">
      <c r="A19" s="272"/>
      <c r="B19" s="273" t="s">
        <v>171</v>
      </c>
      <c r="C19" s="274"/>
      <c r="D19" s="275"/>
      <c r="E19" s="290">
        <v>1</v>
      </c>
      <c r="F19" s="291">
        <v>1</v>
      </c>
      <c r="G19" s="291">
        <v>1</v>
      </c>
      <c r="H19" s="291">
        <v>1</v>
      </c>
      <c r="I19" s="291">
        <v>1</v>
      </c>
      <c r="J19" s="291">
        <v>1</v>
      </c>
      <c r="K19" s="291">
        <v>1</v>
      </c>
      <c r="L19" s="291">
        <v>1</v>
      </c>
      <c r="M19" s="291">
        <v>1</v>
      </c>
      <c r="N19" s="291">
        <v>1</v>
      </c>
      <c r="O19" s="291">
        <v>1</v>
      </c>
      <c r="P19" s="291">
        <v>1</v>
      </c>
      <c r="Q19" s="291">
        <v>1</v>
      </c>
      <c r="R19" s="291">
        <v>1</v>
      </c>
      <c r="S19" s="291">
        <v>1</v>
      </c>
      <c r="T19" s="291">
        <v>1</v>
      </c>
      <c r="U19" s="291">
        <v>1</v>
      </c>
      <c r="V19" s="291">
        <v>1</v>
      </c>
      <c r="W19" s="291">
        <v>1</v>
      </c>
      <c r="X19" s="291">
        <v>1</v>
      </c>
      <c r="Y19" s="291">
        <v>1</v>
      </c>
      <c r="Z19" s="291">
        <v>1</v>
      </c>
      <c r="AA19" s="291">
        <v>1</v>
      </c>
      <c r="AB19" s="292">
        <v>1</v>
      </c>
    </row>
    <row r="20" spans="1:28" ht="15" customHeight="1" thickBot="1">
      <c r="A20" s="276"/>
      <c r="B20" s="277" t="s">
        <v>172</v>
      </c>
      <c r="C20" s="278"/>
      <c r="D20" s="279"/>
      <c r="E20" s="293">
        <v>0</v>
      </c>
      <c r="F20" s="294">
        <v>0</v>
      </c>
      <c r="G20" s="294">
        <v>0</v>
      </c>
      <c r="H20" s="294">
        <v>0</v>
      </c>
      <c r="I20" s="294">
        <v>22</v>
      </c>
      <c r="J20" s="294">
        <v>194</v>
      </c>
      <c r="K20" s="294">
        <v>257</v>
      </c>
      <c r="L20" s="294">
        <v>309</v>
      </c>
      <c r="M20" s="294">
        <v>295</v>
      </c>
      <c r="N20" s="294">
        <v>229</v>
      </c>
      <c r="O20" s="294">
        <v>146</v>
      </c>
      <c r="P20" s="294">
        <v>136</v>
      </c>
      <c r="Q20" s="294">
        <v>134</v>
      </c>
      <c r="R20" s="294">
        <v>125</v>
      </c>
      <c r="S20" s="294">
        <v>107</v>
      </c>
      <c r="T20" s="294">
        <v>80</v>
      </c>
      <c r="U20" s="294">
        <v>50</v>
      </c>
      <c r="V20" s="294">
        <v>14</v>
      </c>
      <c r="W20" s="294">
        <v>0</v>
      </c>
      <c r="X20" s="294">
        <v>0</v>
      </c>
      <c r="Y20" s="294">
        <v>0</v>
      </c>
      <c r="Z20" s="294">
        <v>0</v>
      </c>
      <c r="AA20" s="294">
        <v>0</v>
      </c>
      <c r="AB20" s="295">
        <v>0</v>
      </c>
    </row>
    <row r="21" spans="1:28" ht="15" customHeight="1">
      <c r="A21" s="268" t="s">
        <v>70</v>
      </c>
      <c r="B21" s="269" t="s">
        <v>170</v>
      </c>
      <c r="C21" s="270"/>
      <c r="D21" s="271"/>
      <c r="E21" s="287">
        <v>0</v>
      </c>
      <c r="F21" s="288">
        <v>0</v>
      </c>
      <c r="G21" s="288">
        <v>0</v>
      </c>
      <c r="H21" s="288">
        <v>0</v>
      </c>
      <c r="I21" s="288">
        <v>12</v>
      </c>
      <c r="J21" s="288">
        <v>130</v>
      </c>
      <c r="K21" s="288">
        <v>179</v>
      </c>
      <c r="L21" s="288">
        <v>229</v>
      </c>
      <c r="M21" s="288">
        <v>228</v>
      </c>
      <c r="N21" s="288">
        <v>180</v>
      </c>
      <c r="O21" s="288">
        <v>96</v>
      </c>
      <c r="P21" s="288">
        <v>11</v>
      </c>
      <c r="Q21" s="288">
        <v>0</v>
      </c>
      <c r="R21" s="288">
        <v>0</v>
      </c>
      <c r="S21" s="288">
        <v>0</v>
      </c>
      <c r="T21" s="288">
        <v>0</v>
      </c>
      <c r="U21" s="288">
        <v>0</v>
      </c>
      <c r="V21" s="288">
        <v>0</v>
      </c>
      <c r="W21" s="288">
        <v>0</v>
      </c>
      <c r="X21" s="288">
        <v>0</v>
      </c>
      <c r="Y21" s="288">
        <v>0</v>
      </c>
      <c r="Z21" s="288">
        <v>0</v>
      </c>
      <c r="AA21" s="288">
        <v>0</v>
      </c>
      <c r="AB21" s="289">
        <v>0</v>
      </c>
    </row>
    <row r="22" spans="1:28" ht="15" customHeight="1">
      <c r="A22" s="272"/>
      <c r="B22" s="273" t="s">
        <v>171</v>
      </c>
      <c r="C22" s="274"/>
      <c r="D22" s="275"/>
      <c r="E22" s="290">
        <v>1</v>
      </c>
      <c r="F22" s="291">
        <v>1</v>
      </c>
      <c r="G22" s="291">
        <v>1</v>
      </c>
      <c r="H22" s="291">
        <v>1</v>
      </c>
      <c r="I22" s="291">
        <v>1</v>
      </c>
      <c r="J22" s="291">
        <v>1</v>
      </c>
      <c r="K22" s="291">
        <v>1</v>
      </c>
      <c r="L22" s="291">
        <v>1</v>
      </c>
      <c r="M22" s="291">
        <v>1</v>
      </c>
      <c r="N22" s="291">
        <v>1</v>
      </c>
      <c r="O22" s="291">
        <v>1</v>
      </c>
      <c r="P22" s="291">
        <v>1</v>
      </c>
      <c r="Q22" s="291">
        <v>1</v>
      </c>
      <c r="R22" s="291">
        <v>1</v>
      </c>
      <c r="S22" s="291">
        <v>1</v>
      </c>
      <c r="T22" s="291">
        <v>1</v>
      </c>
      <c r="U22" s="291">
        <v>1</v>
      </c>
      <c r="V22" s="291">
        <v>1</v>
      </c>
      <c r="W22" s="291">
        <v>1</v>
      </c>
      <c r="X22" s="291">
        <v>1</v>
      </c>
      <c r="Y22" s="291">
        <v>1</v>
      </c>
      <c r="Z22" s="291">
        <v>1</v>
      </c>
      <c r="AA22" s="291">
        <v>1</v>
      </c>
      <c r="AB22" s="292">
        <v>1</v>
      </c>
    </row>
    <row r="23" spans="1:28" ht="15" customHeight="1" thickBot="1">
      <c r="A23" s="276"/>
      <c r="B23" s="277" t="s">
        <v>172</v>
      </c>
      <c r="C23" s="278"/>
      <c r="D23" s="279"/>
      <c r="E23" s="293">
        <v>0</v>
      </c>
      <c r="F23" s="294">
        <v>0</v>
      </c>
      <c r="G23" s="294">
        <v>0</v>
      </c>
      <c r="H23" s="294">
        <v>0</v>
      </c>
      <c r="I23" s="294">
        <v>16</v>
      </c>
      <c r="J23" s="294">
        <v>161</v>
      </c>
      <c r="K23" s="294">
        <v>242</v>
      </c>
      <c r="L23" s="294">
        <v>322</v>
      </c>
      <c r="M23" s="294">
        <v>344</v>
      </c>
      <c r="N23" s="294">
        <v>310</v>
      </c>
      <c r="O23" s="294">
        <v>231</v>
      </c>
      <c r="P23" s="294">
        <v>147</v>
      </c>
      <c r="Q23" s="294">
        <v>134</v>
      </c>
      <c r="R23" s="294">
        <v>125</v>
      </c>
      <c r="S23" s="294">
        <v>107</v>
      </c>
      <c r="T23" s="294">
        <v>80</v>
      </c>
      <c r="U23" s="294">
        <v>50</v>
      </c>
      <c r="V23" s="294">
        <v>14</v>
      </c>
      <c r="W23" s="294">
        <v>0</v>
      </c>
      <c r="X23" s="294">
        <v>0</v>
      </c>
      <c r="Y23" s="294">
        <v>0</v>
      </c>
      <c r="Z23" s="294">
        <v>0</v>
      </c>
      <c r="AA23" s="294">
        <v>0</v>
      </c>
      <c r="AB23" s="295">
        <v>0</v>
      </c>
    </row>
    <row r="24" spans="1:28" ht="15" customHeight="1">
      <c r="A24" s="268" t="s">
        <v>71</v>
      </c>
      <c r="B24" s="269" t="s">
        <v>170</v>
      </c>
      <c r="C24" s="270"/>
      <c r="D24" s="271"/>
      <c r="E24" s="287">
        <v>0</v>
      </c>
      <c r="F24" s="288">
        <v>0</v>
      </c>
      <c r="G24" s="288">
        <v>0</v>
      </c>
      <c r="H24" s="288">
        <v>0</v>
      </c>
      <c r="I24" s="288">
        <v>0</v>
      </c>
      <c r="J24" s="288">
        <v>0</v>
      </c>
      <c r="K24" s="288">
        <v>0</v>
      </c>
      <c r="L24" s="288">
        <v>44</v>
      </c>
      <c r="M24" s="288">
        <v>90</v>
      </c>
      <c r="N24" s="288">
        <v>115</v>
      </c>
      <c r="O24" s="288">
        <v>112</v>
      </c>
      <c r="P24" s="288">
        <v>82</v>
      </c>
      <c r="Q24" s="288">
        <v>35</v>
      </c>
      <c r="R24" s="288">
        <v>0</v>
      </c>
      <c r="S24" s="288">
        <v>0</v>
      </c>
      <c r="T24" s="288">
        <v>0</v>
      </c>
      <c r="U24" s="288">
        <v>0</v>
      </c>
      <c r="V24" s="288">
        <v>0</v>
      </c>
      <c r="W24" s="288">
        <v>0</v>
      </c>
      <c r="X24" s="288">
        <v>0</v>
      </c>
      <c r="Y24" s="288">
        <v>0</v>
      </c>
      <c r="Z24" s="288">
        <v>0</v>
      </c>
      <c r="AA24" s="288">
        <v>0</v>
      </c>
      <c r="AB24" s="289">
        <v>0</v>
      </c>
    </row>
    <row r="25" spans="1:28" ht="15" customHeight="1">
      <c r="A25" s="272"/>
      <c r="B25" s="273" t="s">
        <v>171</v>
      </c>
      <c r="C25" s="274"/>
      <c r="D25" s="275"/>
      <c r="E25" s="290">
        <v>1</v>
      </c>
      <c r="F25" s="291">
        <v>1</v>
      </c>
      <c r="G25" s="291">
        <v>1</v>
      </c>
      <c r="H25" s="291">
        <v>1</v>
      </c>
      <c r="I25" s="291">
        <v>1</v>
      </c>
      <c r="J25" s="291">
        <v>1</v>
      </c>
      <c r="K25" s="291">
        <v>1</v>
      </c>
      <c r="L25" s="291">
        <v>1</v>
      </c>
      <c r="M25" s="291">
        <v>1</v>
      </c>
      <c r="N25" s="291">
        <v>1</v>
      </c>
      <c r="O25" s="291">
        <v>1</v>
      </c>
      <c r="P25" s="291">
        <v>1</v>
      </c>
      <c r="Q25" s="291">
        <v>1</v>
      </c>
      <c r="R25" s="291">
        <v>1</v>
      </c>
      <c r="S25" s="291">
        <v>1</v>
      </c>
      <c r="T25" s="291">
        <v>1</v>
      </c>
      <c r="U25" s="291">
        <v>1</v>
      </c>
      <c r="V25" s="291">
        <v>1</v>
      </c>
      <c r="W25" s="291">
        <v>1</v>
      </c>
      <c r="X25" s="291">
        <v>1</v>
      </c>
      <c r="Y25" s="291">
        <v>1</v>
      </c>
      <c r="Z25" s="291">
        <v>1</v>
      </c>
      <c r="AA25" s="291">
        <v>1</v>
      </c>
      <c r="AB25" s="292">
        <v>1</v>
      </c>
    </row>
    <row r="26" spans="1:28" ht="15" customHeight="1" thickBot="1">
      <c r="A26" s="276"/>
      <c r="B26" s="277" t="s">
        <v>172</v>
      </c>
      <c r="C26" s="278"/>
      <c r="D26" s="279"/>
      <c r="E26" s="293">
        <v>0</v>
      </c>
      <c r="F26" s="294">
        <v>0</v>
      </c>
      <c r="G26" s="294">
        <v>0</v>
      </c>
      <c r="H26" s="294">
        <v>0</v>
      </c>
      <c r="I26" s="294">
        <v>4</v>
      </c>
      <c r="J26" s="294">
        <v>31</v>
      </c>
      <c r="K26" s="294">
        <v>63</v>
      </c>
      <c r="L26" s="294">
        <v>137</v>
      </c>
      <c r="M26" s="294">
        <v>206</v>
      </c>
      <c r="N26" s="294">
        <v>245</v>
      </c>
      <c r="O26" s="294">
        <v>247</v>
      </c>
      <c r="P26" s="294">
        <v>218</v>
      </c>
      <c r="Q26" s="294">
        <v>169</v>
      </c>
      <c r="R26" s="294">
        <v>125</v>
      </c>
      <c r="S26" s="294">
        <v>107</v>
      </c>
      <c r="T26" s="294">
        <v>80</v>
      </c>
      <c r="U26" s="294">
        <v>50</v>
      </c>
      <c r="V26" s="294">
        <v>14</v>
      </c>
      <c r="W26" s="294">
        <v>0</v>
      </c>
      <c r="X26" s="294">
        <v>0</v>
      </c>
      <c r="Y26" s="294">
        <v>0</v>
      </c>
      <c r="Z26" s="294">
        <v>0</v>
      </c>
      <c r="AA26" s="294">
        <v>0</v>
      </c>
      <c r="AB26" s="295">
        <v>0</v>
      </c>
    </row>
    <row r="27" spans="1:28" ht="15" customHeight="1">
      <c r="A27" s="268" t="s">
        <v>72</v>
      </c>
      <c r="B27" s="269" t="s">
        <v>170</v>
      </c>
      <c r="C27" s="270"/>
      <c r="D27" s="271"/>
      <c r="E27" s="287">
        <v>0</v>
      </c>
      <c r="F27" s="288">
        <v>0</v>
      </c>
      <c r="G27" s="288">
        <v>0</v>
      </c>
      <c r="H27" s="288">
        <v>0</v>
      </c>
      <c r="I27" s="288">
        <v>0</v>
      </c>
      <c r="J27" s="288">
        <v>0</v>
      </c>
      <c r="K27" s="288">
        <v>0</v>
      </c>
      <c r="L27" s="288">
        <v>0</v>
      </c>
      <c r="M27" s="288">
        <v>0</v>
      </c>
      <c r="N27" s="288">
        <v>0</v>
      </c>
      <c r="O27" s="288">
        <v>28</v>
      </c>
      <c r="P27" s="288">
        <v>93</v>
      </c>
      <c r="Q27" s="288">
        <v>135</v>
      </c>
      <c r="R27" s="288">
        <v>142</v>
      </c>
      <c r="S27" s="288">
        <v>117</v>
      </c>
      <c r="T27" s="288">
        <v>76</v>
      </c>
      <c r="U27" s="288">
        <v>34</v>
      </c>
      <c r="V27" s="288">
        <v>2</v>
      </c>
      <c r="W27" s="288">
        <v>0</v>
      </c>
      <c r="X27" s="288">
        <v>0</v>
      </c>
      <c r="Y27" s="288">
        <v>0</v>
      </c>
      <c r="Z27" s="288">
        <v>0</v>
      </c>
      <c r="AA27" s="288">
        <v>0</v>
      </c>
      <c r="AB27" s="289">
        <v>0</v>
      </c>
    </row>
    <row r="28" spans="1:28" ht="15" customHeight="1">
      <c r="A28" s="272"/>
      <c r="B28" s="273" t="s">
        <v>171</v>
      </c>
      <c r="C28" s="274"/>
      <c r="D28" s="275"/>
      <c r="E28" s="290">
        <v>1</v>
      </c>
      <c r="F28" s="291">
        <v>1</v>
      </c>
      <c r="G28" s="291">
        <v>1</v>
      </c>
      <c r="H28" s="291">
        <v>1</v>
      </c>
      <c r="I28" s="291">
        <v>1</v>
      </c>
      <c r="J28" s="291">
        <v>1</v>
      </c>
      <c r="K28" s="291">
        <v>1</v>
      </c>
      <c r="L28" s="291">
        <v>1</v>
      </c>
      <c r="M28" s="291">
        <v>1</v>
      </c>
      <c r="N28" s="291">
        <v>1</v>
      </c>
      <c r="O28" s="291">
        <v>1</v>
      </c>
      <c r="P28" s="291">
        <v>1</v>
      </c>
      <c r="Q28" s="291">
        <v>1</v>
      </c>
      <c r="R28" s="291">
        <v>1</v>
      </c>
      <c r="S28" s="291">
        <v>1</v>
      </c>
      <c r="T28" s="291">
        <v>1</v>
      </c>
      <c r="U28" s="291">
        <v>1</v>
      </c>
      <c r="V28" s="291">
        <v>1</v>
      </c>
      <c r="W28" s="291">
        <v>1</v>
      </c>
      <c r="X28" s="291">
        <v>1</v>
      </c>
      <c r="Y28" s="291">
        <v>1</v>
      </c>
      <c r="Z28" s="291">
        <v>1</v>
      </c>
      <c r="AA28" s="291">
        <v>1</v>
      </c>
      <c r="AB28" s="292">
        <v>1</v>
      </c>
    </row>
    <row r="29" spans="1:28" ht="15" customHeight="1" thickBot="1">
      <c r="A29" s="276"/>
      <c r="B29" s="277" t="s">
        <v>172</v>
      </c>
      <c r="C29" s="278"/>
      <c r="D29" s="279"/>
      <c r="E29" s="293">
        <v>0</v>
      </c>
      <c r="F29" s="294">
        <v>0</v>
      </c>
      <c r="G29" s="294">
        <v>0</v>
      </c>
      <c r="H29" s="294">
        <v>0</v>
      </c>
      <c r="I29" s="294">
        <v>4</v>
      </c>
      <c r="J29" s="294">
        <v>31</v>
      </c>
      <c r="K29" s="294">
        <v>63</v>
      </c>
      <c r="L29" s="294">
        <v>93</v>
      </c>
      <c r="M29" s="294">
        <v>116</v>
      </c>
      <c r="N29" s="294">
        <v>130</v>
      </c>
      <c r="O29" s="294">
        <v>163</v>
      </c>
      <c r="P29" s="294">
        <v>229</v>
      </c>
      <c r="Q29" s="294">
        <v>269</v>
      </c>
      <c r="R29" s="294">
        <v>267</v>
      </c>
      <c r="S29" s="294">
        <v>224</v>
      </c>
      <c r="T29" s="294">
        <v>156</v>
      </c>
      <c r="U29" s="294">
        <v>84</v>
      </c>
      <c r="V29" s="294">
        <v>16</v>
      </c>
      <c r="W29" s="294">
        <v>0</v>
      </c>
      <c r="X29" s="294">
        <v>0</v>
      </c>
      <c r="Y29" s="294">
        <v>0</v>
      </c>
      <c r="Z29" s="294">
        <v>0</v>
      </c>
      <c r="AA29" s="294">
        <v>0</v>
      </c>
      <c r="AB29" s="295">
        <v>0</v>
      </c>
    </row>
    <row r="30" spans="1:28" ht="15" customHeight="1">
      <c r="A30" s="268" t="s">
        <v>73</v>
      </c>
      <c r="B30" s="269" t="s">
        <v>170</v>
      </c>
      <c r="C30" s="270"/>
      <c r="D30" s="271"/>
      <c r="E30" s="287">
        <v>0</v>
      </c>
      <c r="F30" s="288">
        <v>0</v>
      </c>
      <c r="G30" s="288">
        <v>0</v>
      </c>
      <c r="H30" s="288">
        <v>0</v>
      </c>
      <c r="I30" s="288">
        <v>0</v>
      </c>
      <c r="J30" s="288">
        <v>0</v>
      </c>
      <c r="K30" s="288">
        <v>0</v>
      </c>
      <c r="L30" s="288">
        <v>0</v>
      </c>
      <c r="M30" s="288">
        <v>0</v>
      </c>
      <c r="N30" s="288">
        <v>0</v>
      </c>
      <c r="O30" s="288">
        <v>0</v>
      </c>
      <c r="P30" s="288">
        <v>21</v>
      </c>
      <c r="Q30" s="288">
        <v>130</v>
      </c>
      <c r="R30" s="288">
        <v>217</v>
      </c>
      <c r="S30" s="288">
        <v>242</v>
      </c>
      <c r="T30" s="288">
        <v>218</v>
      </c>
      <c r="U30" s="288">
        <v>157</v>
      </c>
      <c r="V30" s="288">
        <v>39</v>
      </c>
      <c r="W30" s="288">
        <v>0</v>
      </c>
      <c r="X30" s="288">
        <v>0</v>
      </c>
      <c r="Y30" s="288">
        <v>0</v>
      </c>
      <c r="Z30" s="288">
        <v>0</v>
      </c>
      <c r="AA30" s="288">
        <v>0</v>
      </c>
      <c r="AB30" s="289">
        <v>0</v>
      </c>
    </row>
    <row r="31" spans="1:28" ht="15" customHeight="1">
      <c r="A31" s="272"/>
      <c r="B31" s="273" t="s">
        <v>173</v>
      </c>
      <c r="C31" s="274"/>
      <c r="D31" s="275"/>
      <c r="E31" s="290">
        <v>1</v>
      </c>
      <c r="F31" s="291">
        <v>1</v>
      </c>
      <c r="G31" s="291">
        <v>1</v>
      </c>
      <c r="H31" s="291">
        <v>1</v>
      </c>
      <c r="I31" s="291">
        <v>1</v>
      </c>
      <c r="J31" s="291">
        <v>1</v>
      </c>
      <c r="K31" s="291">
        <v>1</v>
      </c>
      <c r="L31" s="291">
        <v>1</v>
      </c>
      <c r="M31" s="291">
        <v>1</v>
      </c>
      <c r="N31" s="291">
        <v>1</v>
      </c>
      <c r="O31" s="291">
        <v>1</v>
      </c>
      <c r="P31" s="291">
        <v>1</v>
      </c>
      <c r="Q31" s="291">
        <v>1</v>
      </c>
      <c r="R31" s="291">
        <v>1</v>
      </c>
      <c r="S31" s="291">
        <v>1</v>
      </c>
      <c r="T31" s="291">
        <v>1</v>
      </c>
      <c r="U31" s="291">
        <v>1</v>
      </c>
      <c r="V31" s="291">
        <v>1</v>
      </c>
      <c r="W31" s="291">
        <v>1</v>
      </c>
      <c r="X31" s="291">
        <v>1</v>
      </c>
      <c r="Y31" s="291">
        <v>1</v>
      </c>
      <c r="Z31" s="291">
        <v>1</v>
      </c>
      <c r="AA31" s="291">
        <v>1</v>
      </c>
      <c r="AB31" s="292">
        <v>1</v>
      </c>
    </row>
    <row r="32" spans="1:28" ht="15" customHeight="1" thickBot="1">
      <c r="A32" s="276"/>
      <c r="B32" s="277" t="s">
        <v>172</v>
      </c>
      <c r="C32" s="278"/>
      <c r="D32" s="279"/>
      <c r="E32" s="293">
        <v>0</v>
      </c>
      <c r="F32" s="294">
        <v>0</v>
      </c>
      <c r="G32" s="294">
        <v>0</v>
      </c>
      <c r="H32" s="294">
        <v>0</v>
      </c>
      <c r="I32" s="294">
        <v>4</v>
      </c>
      <c r="J32" s="294">
        <v>31</v>
      </c>
      <c r="K32" s="294">
        <v>63</v>
      </c>
      <c r="L32" s="294">
        <v>93</v>
      </c>
      <c r="M32" s="294">
        <v>116</v>
      </c>
      <c r="N32" s="294">
        <v>130</v>
      </c>
      <c r="O32" s="294">
        <v>135</v>
      </c>
      <c r="P32" s="294">
        <v>157</v>
      </c>
      <c r="Q32" s="294">
        <v>264</v>
      </c>
      <c r="R32" s="294">
        <v>342</v>
      </c>
      <c r="S32" s="294">
        <v>349</v>
      </c>
      <c r="T32" s="294">
        <v>298</v>
      </c>
      <c r="U32" s="294">
        <v>207</v>
      </c>
      <c r="V32" s="294">
        <v>53</v>
      </c>
      <c r="W32" s="294">
        <v>0</v>
      </c>
      <c r="X32" s="294">
        <v>0</v>
      </c>
      <c r="Y32" s="294">
        <v>0</v>
      </c>
      <c r="Z32" s="294">
        <v>0</v>
      </c>
      <c r="AA32" s="294">
        <v>0</v>
      </c>
      <c r="AB32" s="295">
        <v>0</v>
      </c>
    </row>
    <row r="33" spans="1:28" ht="15" customHeight="1">
      <c r="A33" s="268" t="s">
        <v>74</v>
      </c>
      <c r="B33" s="269" t="s">
        <v>170</v>
      </c>
      <c r="C33" s="270"/>
      <c r="D33" s="271"/>
      <c r="E33" s="287">
        <v>0</v>
      </c>
      <c r="F33" s="288">
        <v>0</v>
      </c>
      <c r="G33" s="288">
        <v>0</v>
      </c>
      <c r="H33" s="288">
        <v>0</v>
      </c>
      <c r="I33" s="288">
        <v>0</v>
      </c>
      <c r="J33" s="288">
        <v>0</v>
      </c>
      <c r="K33" s="288">
        <v>0</v>
      </c>
      <c r="L33" s="288">
        <v>0</v>
      </c>
      <c r="M33" s="288">
        <v>0</v>
      </c>
      <c r="N33" s="288">
        <v>0</v>
      </c>
      <c r="O33" s="288">
        <v>0</v>
      </c>
      <c r="P33" s="288">
        <v>0</v>
      </c>
      <c r="Q33" s="288">
        <v>14</v>
      </c>
      <c r="R33" s="288">
        <v>117</v>
      </c>
      <c r="S33" s="288">
        <v>201</v>
      </c>
      <c r="T33" s="288">
        <v>219</v>
      </c>
      <c r="U33" s="288">
        <v>182</v>
      </c>
      <c r="V33" s="288">
        <v>52</v>
      </c>
      <c r="W33" s="288">
        <v>0</v>
      </c>
      <c r="X33" s="288">
        <v>0</v>
      </c>
      <c r="Y33" s="288">
        <v>0</v>
      </c>
      <c r="Z33" s="288">
        <v>0</v>
      </c>
      <c r="AA33" s="288">
        <v>0</v>
      </c>
      <c r="AB33" s="289">
        <v>0</v>
      </c>
    </row>
    <row r="34" spans="1:28" ht="15" customHeight="1">
      <c r="A34" s="272"/>
      <c r="B34" s="273" t="s">
        <v>173</v>
      </c>
      <c r="C34" s="274"/>
      <c r="D34" s="275"/>
      <c r="E34" s="290">
        <v>1</v>
      </c>
      <c r="F34" s="291">
        <v>1</v>
      </c>
      <c r="G34" s="291">
        <v>1</v>
      </c>
      <c r="H34" s="291">
        <v>1</v>
      </c>
      <c r="I34" s="291">
        <v>1</v>
      </c>
      <c r="J34" s="291">
        <v>1</v>
      </c>
      <c r="K34" s="291">
        <v>1</v>
      </c>
      <c r="L34" s="291">
        <v>1</v>
      </c>
      <c r="M34" s="291">
        <v>1</v>
      </c>
      <c r="N34" s="291">
        <v>1</v>
      </c>
      <c r="O34" s="291">
        <v>1</v>
      </c>
      <c r="P34" s="291">
        <v>1</v>
      </c>
      <c r="Q34" s="291">
        <v>1</v>
      </c>
      <c r="R34" s="291">
        <v>1</v>
      </c>
      <c r="S34" s="291">
        <v>1</v>
      </c>
      <c r="T34" s="291">
        <v>1</v>
      </c>
      <c r="U34" s="291">
        <v>1</v>
      </c>
      <c r="V34" s="291">
        <v>1</v>
      </c>
      <c r="W34" s="291">
        <v>1</v>
      </c>
      <c r="X34" s="291">
        <v>1</v>
      </c>
      <c r="Y34" s="291">
        <v>1</v>
      </c>
      <c r="Z34" s="291">
        <v>1</v>
      </c>
      <c r="AA34" s="291">
        <v>1</v>
      </c>
      <c r="AB34" s="292">
        <v>1</v>
      </c>
    </row>
    <row r="35" spans="1:28" ht="15" customHeight="1" thickBot="1">
      <c r="A35" s="276"/>
      <c r="B35" s="277" t="s">
        <v>172</v>
      </c>
      <c r="C35" s="278"/>
      <c r="D35" s="279"/>
      <c r="E35" s="293">
        <v>0</v>
      </c>
      <c r="F35" s="294">
        <v>0</v>
      </c>
      <c r="G35" s="294">
        <v>0</v>
      </c>
      <c r="H35" s="294">
        <v>0</v>
      </c>
      <c r="I35" s="294">
        <v>4</v>
      </c>
      <c r="J35" s="294">
        <v>31</v>
      </c>
      <c r="K35" s="294">
        <v>63</v>
      </c>
      <c r="L35" s="294">
        <v>93</v>
      </c>
      <c r="M35" s="294">
        <v>116</v>
      </c>
      <c r="N35" s="294">
        <v>130</v>
      </c>
      <c r="O35" s="294">
        <v>135</v>
      </c>
      <c r="P35" s="294">
        <v>136</v>
      </c>
      <c r="Q35" s="294">
        <v>148</v>
      </c>
      <c r="R35" s="294">
        <v>242</v>
      </c>
      <c r="S35" s="294">
        <v>308</v>
      </c>
      <c r="T35" s="294">
        <v>299</v>
      </c>
      <c r="U35" s="294">
        <v>232</v>
      </c>
      <c r="V35" s="294">
        <v>66</v>
      </c>
      <c r="W35" s="294">
        <v>0</v>
      </c>
      <c r="X35" s="294">
        <v>0</v>
      </c>
      <c r="Y35" s="294">
        <v>0</v>
      </c>
      <c r="Z35" s="294">
        <v>0</v>
      </c>
      <c r="AA35" s="294">
        <v>0</v>
      </c>
      <c r="AB35" s="295">
        <v>0</v>
      </c>
    </row>
    <row r="36" spans="1:28" ht="15" customHeight="1">
      <c r="A36" s="280" t="s">
        <v>75</v>
      </c>
      <c r="B36" s="269" t="s">
        <v>170</v>
      </c>
      <c r="C36" s="270"/>
      <c r="D36" s="271"/>
      <c r="E36" s="287">
        <v>0</v>
      </c>
      <c r="F36" s="288">
        <v>0</v>
      </c>
      <c r="G36" s="288">
        <v>0</v>
      </c>
      <c r="H36" s="288">
        <v>0</v>
      </c>
      <c r="I36" s="288">
        <v>0</v>
      </c>
      <c r="J36" s="288">
        <v>0</v>
      </c>
      <c r="K36" s="288">
        <v>0</v>
      </c>
      <c r="L36" s="288">
        <v>0</v>
      </c>
      <c r="M36" s="288">
        <v>0</v>
      </c>
      <c r="N36" s="288">
        <v>0</v>
      </c>
      <c r="O36" s="288">
        <v>0</v>
      </c>
      <c r="P36" s="288">
        <v>0</v>
      </c>
      <c r="Q36" s="288">
        <v>0</v>
      </c>
      <c r="R36" s="288">
        <v>0</v>
      </c>
      <c r="S36" s="288">
        <v>0</v>
      </c>
      <c r="T36" s="288">
        <v>26</v>
      </c>
      <c r="U36" s="288">
        <v>62</v>
      </c>
      <c r="V36" s="288">
        <v>28</v>
      </c>
      <c r="W36" s="288">
        <v>0</v>
      </c>
      <c r="X36" s="288">
        <v>0</v>
      </c>
      <c r="Y36" s="288">
        <v>0</v>
      </c>
      <c r="Z36" s="288">
        <v>0</v>
      </c>
      <c r="AA36" s="288">
        <v>0</v>
      </c>
      <c r="AB36" s="289">
        <v>0</v>
      </c>
    </row>
    <row r="37" spans="1:28" ht="15" customHeight="1">
      <c r="A37" s="281"/>
      <c r="B37" s="273" t="s">
        <v>171</v>
      </c>
      <c r="C37" s="274"/>
      <c r="D37" s="275"/>
      <c r="E37" s="290">
        <v>1</v>
      </c>
      <c r="F37" s="291">
        <v>1</v>
      </c>
      <c r="G37" s="291">
        <v>1</v>
      </c>
      <c r="H37" s="291">
        <v>1</v>
      </c>
      <c r="I37" s="291">
        <v>1</v>
      </c>
      <c r="J37" s="291">
        <v>1</v>
      </c>
      <c r="K37" s="291">
        <v>1</v>
      </c>
      <c r="L37" s="291">
        <v>1</v>
      </c>
      <c r="M37" s="291">
        <v>1</v>
      </c>
      <c r="N37" s="291">
        <v>1</v>
      </c>
      <c r="O37" s="291">
        <v>1</v>
      </c>
      <c r="P37" s="291">
        <v>1</v>
      </c>
      <c r="Q37" s="291">
        <v>1</v>
      </c>
      <c r="R37" s="291">
        <v>1</v>
      </c>
      <c r="S37" s="291">
        <v>1</v>
      </c>
      <c r="T37" s="291">
        <v>1</v>
      </c>
      <c r="U37" s="291">
        <v>1</v>
      </c>
      <c r="V37" s="291">
        <v>1</v>
      </c>
      <c r="W37" s="291">
        <v>1</v>
      </c>
      <c r="X37" s="291">
        <v>1</v>
      </c>
      <c r="Y37" s="291">
        <v>1</v>
      </c>
      <c r="Z37" s="291">
        <v>1</v>
      </c>
      <c r="AA37" s="291">
        <v>1</v>
      </c>
      <c r="AB37" s="292">
        <v>1</v>
      </c>
    </row>
    <row r="38" spans="1:28" ht="15" customHeight="1" thickBot="1">
      <c r="A38" s="282"/>
      <c r="B38" s="277" t="s">
        <v>172</v>
      </c>
      <c r="C38" s="278"/>
      <c r="D38" s="279"/>
      <c r="E38" s="293">
        <v>0</v>
      </c>
      <c r="F38" s="294">
        <v>0</v>
      </c>
      <c r="G38" s="294">
        <v>0</v>
      </c>
      <c r="H38" s="294">
        <v>0</v>
      </c>
      <c r="I38" s="294">
        <v>4</v>
      </c>
      <c r="J38" s="294">
        <v>31</v>
      </c>
      <c r="K38" s="294">
        <v>63</v>
      </c>
      <c r="L38" s="294">
        <v>93</v>
      </c>
      <c r="M38" s="294">
        <v>116</v>
      </c>
      <c r="N38" s="294">
        <v>130</v>
      </c>
      <c r="O38" s="294">
        <v>135</v>
      </c>
      <c r="P38" s="294">
        <v>136</v>
      </c>
      <c r="Q38" s="294">
        <v>134</v>
      </c>
      <c r="R38" s="294">
        <v>125</v>
      </c>
      <c r="S38" s="294">
        <v>107</v>
      </c>
      <c r="T38" s="294">
        <v>106</v>
      </c>
      <c r="U38" s="294">
        <v>112</v>
      </c>
      <c r="V38" s="294">
        <v>42</v>
      </c>
      <c r="W38" s="294">
        <v>0</v>
      </c>
      <c r="X38" s="294">
        <v>0</v>
      </c>
      <c r="Y38" s="294">
        <v>0</v>
      </c>
      <c r="Z38" s="294">
        <v>0</v>
      </c>
      <c r="AA38" s="294">
        <v>0</v>
      </c>
      <c r="AB38" s="295">
        <v>0</v>
      </c>
    </row>
    <row r="39" spans="1:28" ht="15" customHeight="1">
      <c r="A39" s="283" t="s">
        <v>34</v>
      </c>
      <c r="AB39" s="149"/>
    </row>
    <row r="40" spans="1:28" ht="15" customHeight="1">
      <c r="A40" s="249"/>
      <c r="B40" s="250"/>
      <c r="C40" s="251"/>
      <c r="D40" s="252"/>
      <c r="E40" s="151">
        <v>1</v>
      </c>
      <c r="F40" s="152">
        <v>2</v>
      </c>
      <c r="G40" s="152">
        <v>3</v>
      </c>
      <c r="H40" s="152">
        <v>4</v>
      </c>
      <c r="I40" s="152">
        <v>5</v>
      </c>
      <c r="J40" s="152">
        <v>6</v>
      </c>
      <c r="K40" s="152">
        <v>7</v>
      </c>
      <c r="L40" s="152">
        <v>8</v>
      </c>
      <c r="M40" s="152">
        <v>9</v>
      </c>
      <c r="N40" s="152">
        <v>10</v>
      </c>
      <c r="O40" s="152">
        <v>11</v>
      </c>
      <c r="P40" s="152">
        <v>12</v>
      </c>
      <c r="Q40" s="152">
        <v>13</v>
      </c>
      <c r="R40" s="152">
        <v>14</v>
      </c>
      <c r="S40" s="152">
        <v>15</v>
      </c>
      <c r="T40" s="152">
        <v>16</v>
      </c>
      <c r="U40" s="152">
        <v>17</v>
      </c>
      <c r="V40" s="152">
        <v>18</v>
      </c>
      <c r="W40" s="154">
        <v>19</v>
      </c>
      <c r="X40" s="154">
        <v>20</v>
      </c>
      <c r="Y40" s="154">
        <v>21</v>
      </c>
      <c r="Z40" s="154">
        <v>22</v>
      </c>
      <c r="AA40" s="154">
        <v>23</v>
      </c>
      <c r="AB40" s="155">
        <v>24</v>
      </c>
    </row>
    <row r="41" spans="1:28" ht="15" customHeight="1" thickBot="1">
      <c r="A41" s="253" t="s">
        <v>174</v>
      </c>
      <c r="B41" s="254" t="s">
        <v>166</v>
      </c>
      <c r="C41" s="255"/>
      <c r="D41" s="256"/>
      <c r="E41" s="258">
        <v>0</v>
      </c>
      <c r="F41" s="258">
        <v>0</v>
      </c>
      <c r="G41" s="258">
        <v>0</v>
      </c>
      <c r="H41" s="258">
        <v>0</v>
      </c>
      <c r="I41" s="258">
        <v>9</v>
      </c>
      <c r="J41" s="258">
        <v>56</v>
      </c>
      <c r="K41" s="258">
        <v>96</v>
      </c>
      <c r="L41" s="258">
        <v>134</v>
      </c>
      <c r="M41" s="258">
        <v>174</v>
      </c>
      <c r="N41" s="258">
        <v>205</v>
      </c>
      <c r="O41" s="258">
        <v>225</v>
      </c>
      <c r="P41" s="258">
        <v>227</v>
      </c>
      <c r="Q41" s="258">
        <v>218</v>
      </c>
      <c r="R41" s="258">
        <v>194</v>
      </c>
      <c r="S41" s="258">
        <v>160</v>
      </c>
      <c r="T41" s="258">
        <v>122</v>
      </c>
      <c r="U41" s="258">
        <v>80</v>
      </c>
      <c r="V41" s="258">
        <v>33</v>
      </c>
      <c r="W41" s="258">
        <v>2</v>
      </c>
      <c r="X41" s="258">
        <v>0</v>
      </c>
      <c r="Y41" s="258">
        <v>0</v>
      </c>
      <c r="Z41" s="258">
        <v>0</v>
      </c>
      <c r="AA41" s="258">
        <v>0</v>
      </c>
      <c r="AB41" s="259">
        <v>0</v>
      </c>
    </row>
    <row r="42" spans="1:28" ht="15" customHeight="1" thickBot="1">
      <c r="A42" s="260" t="s">
        <v>175</v>
      </c>
      <c r="B42" s="261" t="s">
        <v>168</v>
      </c>
      <c r="C42" s="262"/>
      <c r="D42" s="263"/>
      <c r="E42" s="265">
        <v>0</v>
      </c>
      <c r="F42" s="265">
        <v>0</v>
      </c>
      <c r="G42" s="265">
        <v>0</v>
      </c>
      <c r="H42" s="265">
        <v>0</v>
      </c>
      <c r="I42" s="265">
        <v>5</v>
      </c>
      <c r="J42" s="265">
        <v>35</v>
      </c>
      <c r="K42" s="265">
        <v>62</v>
      </c>
      <c r="L42" s="265">
        <v>86</v>
      </c>
      <c r="M42" s="265">
        <v>103</v>
      </c>
      <c r="N42" s="265">
        <v>110</v>
      </c>
      <c r="O42" s="265">
        <v>111</v>
      </c>
      <c r="P42" s="265">
        <v>110</v>
      </c>
      <c r="Q42" s="265">
        <v>111</v>
      </c>
      <c r="R42" s="265">
        <v>108</v>
      </c>
      <c r="S42" s="265">
        <v>98</v>
      </c>
      <c r="T42" s="265">
        <v>76</v>
      </c>
      <c r="U42" s="265">
        <v>51</v>
      </c>
      <c r="V42" s="265">
        <v>21</v>
      </c>
      <c r="W42" s="265">
        <v>1</v>
      </c>
      <c r="X42" s="265">
        <v>0</v>
      </c>
      <c r="Y42" s="265">
        <v>0</v>
      </c>
      <c r="Z42" s="265">
        <v>0</v>
      </c>
      <c r="AA42" s="265">
        <v>0</v>
      </c>
      <c r="AB42" s="266">
        <v>0</v>
      </c>
    </row>
    <row r="43" spans="1:28" ht="15" customHeight="1" thickBot="1">
      <c r="A43" s="267" t="s">
        <v>67</v>
      </c>
      <c r="B43" s="261" t="s">
        <v>169</v>
      </c>
      <c r="C43" s="262"/>
      <c r="D43" s="263"/>
      <c r="E43" s="265">
        <v>0</v>
      </c>
      <c r="F43" s="265">
        <v>0</v>
      </c>
      <c r="G43" s="265">
        <v>0</v>
      </c>
      <c r="H43" s="265">
        <v>0</v>
      </c>
      <c r="I43" s="265">
        <v>9</v>
      </c>
      <c r="J43" s="265">
        <v>96</v>
      </c>
      <c r="K43" s="265">
        <v>250</v>
      </c>
      <c r="L43" s="265">
        <v>409</v>
      </c>
      <c r="M43" s="265">
        <v>545</v>
      </c>
      <c r="N43" s="265">
        <v>647</v>
      </c>
      <c r="O43" s="265">
        <v>706</v>
      </c>
      <c r="P43" s="265">
        <v>721</v>
      </c>
      <c r="Q43" s="265">
        <v>687</v>
      </c>
      <c r="R43" s="265">
        <v>606</v>
      </c>
      <c r="S43" s="265">
        <v>487</v>
      </c>
      <c r="T43" s="265">
        <v>336</v>
      </c>
      <c r="U43" s="265">
        <v>179</v>
      </c>
      <c r="V43" s="265">
        <v>43</v>
      </c>
      <c r="W43" s="265">
        <v>2</v>
      </c>
      <c r="X43" s="265">
        <v>0</v>
      </c>
      <c r="Y43" s="265">
        <v>0</v>
      </c>
      <c r="Z43" s="265">
        <v>0</v>
      </c>
      <c r="AA43" s="265">
        <v>0</v>
      </c>
      <c r="AB43" s="266">
        <v>0</v>
      </c>
    </row>
    <row r="44" spans="1:28" ht="15" customHeight="1">
      <c r="A44" s="268" t="s">
        <v>68</v>
      </c>
      <c r="B44" s="269" t="s">
        <v>170</v>
      </c>
      <c r="C44" s="270"/>
      <c r="D44" s="271"/>
      <c r="E44" s="288">
        <v>0</v>
      </c>
      <c r="F44" s="288">
        <v>0</v>
      </c>
      <c r="G44" s="288">
        <v>0</v>
      </c>
      <c r="H44" s="288">
        <v>0</v>
      </c>
      <c r="I44" s="288">
        <v>49</v>
      </c>
      <c r="J44" s="288">
        <v>198</v>
      </c>
      <c r="K44" s="288">
        <v>191</v>
      </c>
      <c r="L44" s="288">
        <v>121</v>
      </c>
      <c r="M44" s="288">
        <v>30</v>
      </c>
      <c r="N44" s="288">
        <v>0</v>
      </c>
      <c r="O44" s="288">
        <v>0</v>
      </c>
      <c r="P44" s="288">
        <v>0</v>
      </c>
      <c r="Q44" s="288">
        <v>0</v>
      </c>
      <c r="R44" s="288">
        <v>0</v>
      </c>
      <c r="S44" s="288">
        <v>0</v>
      </c>
      <c r="T44" s="288">
        <v>0</v>
      </c>
      <c r="U44" s="288">
        <v>0</v>
      </c>
      <c r="V44" s="288">
        <v>0</v>
      </c>
      <c r="W44" s="288">
        <v>0</v>
      </c>
      <c r="X44" s="288">
        <v>0</v>
      </c>
      <c r="Y44" s="288">
        <v>0</v>
      </c>
      <c r="Z44" s="288">
        <v>0</v>
      </c>
      <c r="AA44" s="288">
        <v>0</v>
      </c>
      <c r="AB44" s="289">
        <v>0</v>
      </c>
    </row>
    <row r="45" spans="1:28" ht="15" customHeight="1">
      <c r="A45" s="272"/>
      <c r="B45" s="273" t="s">
        <v>171</v>
      </c>
      <c r="C45" s="274"/>
      <c r="D45" s="275"/>
      <c r="E45" s="291">
        <v>1</v>
      </c>
      <c r="F45" s="291">
        <v>1</v>
      </c>
      <c r="G45" s="291">
        <v>1</v>
      </c>
      <c r="H45" s="291">
        <v>1</v>
      </c>
      <c r="I45" s="291">
        <v>1</v>
      </c>
      <c r="J45" s="291">
        <v>1</v>
      </c>
      <c r="K45" s="291">
        <v>1</v>
      </c>
      <c r="L45" s="291">
        <v>1</v>
      </c>
      <c r="M45" s="291">
        <v>1</v>
      </c>
      <c r="N45" s="291">
        <v>1</v>
      </c>
      <c r="O45" s="291">
        <v>1</v>
      </c>
      <c r="P45" s="291">
        <v>1</v>
      </c>
      <c r="Q45" s="291">
        <v>1</v>
      </c>
      <c r="R45" s="291">
        <v>1</v>
      </c>
      <c r="S45" s="291">
        <v>1</v>
      </c>
      <c r="T45" s="291">
        <v>1</v>
      </c>
      <c r="U45" s="291">
        <v>1</v>
      </c>
      <c r="V45" s="291">
        <v>1</v>
      </c>
      <c r="W45" s="291">
        <v>1</v>
      </c>
      <c r="X45" s="291">
        <v>1</v>
      </c>
      <c r="Y45" s="291">
        <v>1</v>
      </c>
      <c r="Z45" s="291">
        <v>1</v>
      </c>
      <c r="AA45" s="291">
        <v>1</v>
      </c>
      <c r="AB45" s="292">
        <v>1</v>
      </c>
    </row>
    <row r="46" spans="1:28" ht="15" customHeight="1" thickBot="1">
      <c r="A46" s="276"/>
      <c r="B46" s="277" t="s">
        <v>172</v>
      </c>
      <c r="C46" s="278"/>
      <c r="D46" s="279"/>
      <c r="E46" s="294">
        <v>0</v>
      </c>
      <c r="F46" s="294">
        <v>0</v>
      </c>
      <c r="G46" s="294">
        <v>0</v>
      </c>
      <c r="H46" s="294">
        <v>0</v>
      </c>
      <c r="I46" s="294">
        <v>55</v>
      </c>
      <c r="J46" s="294">
        <v>233</v>
      </c>
      <c r="K46" s="294">
        <v>253</v>
      </c>
      <c r="L46" s="294">
        <v>208</v>
      </c>
      <c r="M46" s="294">
        <v>133</v>
      </c>
      <c r="N46" s="294">
        <v>110</v>
      </c>
      <c r="O46" s="294">
        <v>111</v>
      </c>
      <c r="P46" s="294">
        <v>110</v>
      </c>
      <c r="Q46" s="294">
        <v>112</v>
      </c>
      <c r="R46" s="294">
        <v>109</v>
      </c>
      <c r="S46" s="294">
        <v>98</v>
      </c>
      <c r="T46" s="294">
        <v>76</v>
      </c>
      <c r="U46" s="294">
        <v>51</v>
      </c>
      <c r="V46" s="294">
        <v>21</v>
      </c>
      <c r="W46" s="294">
        <v>2</v>
      </c>
      <c r="X46" s="294">
        <v>0</v>
      </c>
      <c r="Y46" s="294">
        <v>0</v>
      </c>
      <c r="Z46" s="294">
        <v>0</v>
      </c>
      <c r="AA46" s="294">
        <v>0</v>
      </c>
      <c r="AB46" s="295">
        <v>0</v>
      </c>
    </row>
    <row r="47" spans="1:28" ht="15" customHeight="1">
      <c r="A47" s="268" t="s">
        <v>69</v>
      </c>
      <c r="B47" s="269" t="s">
        <v>170</v>
      </c>
      <c r="C47" s="270"/>
      <c r="D47" s="271"/>
      <c r="E47" s="288">
        <v>0</v>
      </c>
      <c r="F47" s="288">
        <v>0</v>
      </c>
      <c r="G47" s="288">
        <v>0</v>
      </c>
      <c r="H47" s="288">
        <v>0</v>
      </c>
      <c r="I47" s="288">
        <v>74</v>
      </c>
      <c r="J47" s="288">
        <v>361</v>
      </c>
      <c r="K47" s="288">
        <v>443</v>
      </c>
      <c r="L47" s="288">
        <v>415</v>
      </c>
      <c r="M47" s="288">
        <v>311</v>
      </c>
      <c r="N47" s="288">
        <v>164</v>
      </c>
      <c r="O47" s="288">
        <v>18</v>
      </c>
      <c r="P47" s="288">
        <v>0</v>
      </c>
      <c r="Q47" s="288">
        <v>0</v>
      </c>
      <c r="R47" s="288">
        <v>0</v>
      </c>
      <c r="S47" s="288">
        <v>0</v>
      </c>
      <c r="T47" s="288">
        <v>0</v>
      </c>
      <c r="U47" s="288">
        <v>0</v>
      </c>
      <c r="V47" s="288">
        <v>0</v>
      </c>
      <c r="W47" s="288">
        <v>0</v>
      </c>
      <c r="X47" s="288">
        <v>0</v>
      </c>
      <c r="Y47" s="288">
        <v>0</v>
      </c>
      <c r="Z47" s="288">
        <v>0</v>
      </c>
      <c r="AA47" s="288">
        <v>0</v>
      </c>
      <c r="AB47" s="289">
        <v>0</v>
      </c>
    </row>
    <row r="48" spans="1:28" ht="15" customHeight="1">
      <c r="A48" s="272"/>
      <c r="B48" s="273" t="s">
        <v>171</v>
      </c>
      <c r="C48" s="274"/>
      <c r="D48" s="275"/>
      <c r="E48" s="291">
        <v>1</v>
      </c>
      <c r="F48" s="291">
        <v>1</v>
      </c>
      <c r="G48" s="291">
        <v>1</v>
      </c>
      <c r="H48" s="291">
        <v>1</v>
      </c>
      <c r="I48" s="291">
        <v>1</v>
      </c>
      <c r="J48" s="291">
        <v>1</v>
      </c>
      <c r="K48" s="291">
        <v>1</v>
      </c>
      <c r="L48" s="291">
        <v>1</v>
      </c>
      <c r="M48" s="291">
        <v>1</v>
      </c>
      <c r="N48" s="291">
        <v>1</v>
      </c>
      <c r="O48" s="291">
        <v>1</v>
      </c>
      <c r="P48" s="291">
        <v>1</v>
      </c>
      <c r="Q48" s="291">
        <v>1</v>
      </c>
      <c r="R48" s="291">
        <v>1</v>
      </c>
      <c r="S48" s="291">
        <v>1</v>
      </c>
      <c r="T48" s="291">
        <v>1</v>
      </c>
      <c r="U48" s="291">
        <v>1</v>
      </c>
      <c r="V48" s="291">
        <v>1</v>
      </c>
      <c r="W48" s="291">
        <v>1</v>
      </c>
      <c r="X48" s="291">
        <v>1</v>
      </c>
      <c r="Y48" s="291">
        <v>1</v>
      </c>
      <c r="Z48" s="291">
        <v>1</v>
      </c>
      <c r="AA48" s="291">
        <v>1</v>
      </c>
      <c r="AB48" s="292">
        <v>1</v>
      </c>
    </row>
    <row r="49" spans="1:28" ht="15" customHeight="1" thickBot="1">
      <c r="A49" s="276"/>
      <c r="B49" s="277" t="s">
        <v>172</v>
      </c>
      <c r="C49" s="278"/>
      <c r="D49" s="279"/>
      <c r="E49" s="294">
        <v>0</v>
      </c>
      <c r="F49" s="294">
        <v>0</v>
      </c>
      <c r="G49" s="294">
        <v>0</v>
      </c>
      <c r="H49" s="294">
        <v>0</v>
      </c>
      <c r="I49" s="294">
        <v>80</v>
      </c>
      <c r="J49" s="294">
        <v>396</v>
      </c>
      <c r="K49" s="294">
        <v>505</v>
      </c>
      <c r="L49" s="294">
        <v>502</v>
      </c>
      <c r="M49" s="294">
        <v>414</v>
      </c>
      <c r="N49" s="294">
        <v>274</v>
      </c>
      <c r="O49" s="294">
        <v>129</v>
      </c>
      <c r="P49" s="294">
        <v>110</v>
      </c>
      <c r="Q49" s="294">
        <v>112</v>
      </c>
      <c r="R49" s="294">
        <v>109</v>
      </c>
      <c r="S49" s="294">
        <v>98</v>
      </c>
      <c r="T49" s="294">
        <v>76</v>
      </c>
      <c r="U49" s="294">
        <v>51</v>
      </c>
      <c r="V49" s="294">
        <v>21</v>
      </c>
      <c r="W49" s="294">
        <v>2</v>
      </c>
      <c r="X49" s="294">
        <v>0</v>
      </c>
      <c r="Y49" s="294">
        <v>0</v>
      </c>
      <c r="Z49" s="294">
        <v>0</v>
      </c>
      <c r="AA49" s="294">
        <v>0</v>
      </c>
      <c r="AB49" s="295">
        <v>0</v>
      </c>
    </row>
    <row r="50" spans="1:28" ht="15" customHeight="1">
      <c r="A50" s="268" t="s">
        <v>70</v>
      </c>
      <c r="B50" s="269" t="s">
        <v>170</v>
      </c>
      <c r="C50" s="270"/>
      <c r="D50" s="271"/>
      <c r="E50" s="288">
        <v>0</v>
      </c>
      <c r="F50" s="288">
        <v>0</v>
      </c>
      <c r="G50" s="288">
        <v>0</v>
      </c>
      <c r="H50" s="288">
        <v>0</v>
      </c>
      <c r="I50" s="288">
        <v>50</v>
      </c>
      <c r="J50" s="288">
        <v>290</v>
      </c>
      <c r="K50" s="288">
        <v>409</v>
      </c>
      <c r="L50" s="288">
        <v>440</v>
      </c>
      <c r="M50" s="288">
        <v>395</v>
      </c>
      <c r="N50" s="288">
        <v>296</v>
      </c>
      <c r="O50" s="288">
        <v>152</v>
      </c>
      <c r="P50" s="288">
        <v>17</v>
      </c>
      <c r="Q50" s="288">
        <v>0</v>
      </c>
      <c r="R50" s="288">
        <v>0</v>
      </c>
      <c r="S50" s="288">
        <v>0</v>
      </c>
      <c r="T50" s="288">
        <v>0</v>
      </c>
      <c r="U50" s="288">
        <v>0</v>
      </c>
      <c r="V50" s="288">
        <v>0</v>
      </c>
      <c r="W50" s="288">
        <v>-1</v>
      </c>
      <c r="X50" s="288">
        <v>0</v>
      </c>
      <c r="Y50" s="288">
        <v>0</v>
      </c>
      <c r="Z50" s="288">
        <v>0</v>
      </c>
      <c r="AA50" s="288">
        <v>0</v>
      </c>
      <c r="AB50" s="289">
        <v>0</v>
      </c>
    </row>
    <row r="51" spans="1:28" ht="15" customHeight="1">
      <c r="A51" s="272"/>
      <c r="B51" s="273" t="s">
        <v>173</v>
      </c>
      <c r="C51" s="274"/>
      <c r="D51" s="275"/>
      <c r="E51" s="291">
        <v>1</v>
      </c>
      <c r="F51" s="291">
        <v>1</v>
      </c>
      <c r="G51" s="291">
        <v>1</v>
      </c>
      <c r="H51" s="291">
        <v>1</v>
      </c>
      <c r="I51" s="291">
        <v>1</v>
      </c>
      <c r="J51" s="291">
        <v>1</v>
      </c>
      <c r="K51" s="291">
        <v>1</v>
      </c>
      <c r="L51" s="291">
        <v>1</v>
      </c>
      <c r="M51" s="291">
        <v>1</v>
      </c>
      <c r="N51" s="291">
        <v>1</v>
      </c>
      <c r="O51" s="291">
        <v>1</v>
      </c>
      <c r="P51" s="291">
        <v>1</v>
      </c>
      <c r="Q51" s="291">
        <v>1</v>
      </c>
      <c r="R51" s="291">
        <v>1</v>
      </c>
      <c r="S51" s="291">
        <v>1</v>
      </c>
      <c r="T51" s="291">
        <v>1</v>
      </c>
      <c r="U51" s="291">
        <v>1</v>
      </c>
      <c r="V51" s="291">
        <v>1</v>
      </c>
      <c r="W51" s="291">
        <v>1</v>
      </c>
      <c r="X51" s="291">
        <v>1</v>
      </c>
      <c r="Y51" s="291">
        <v>1</v>
      </c>
      <c r="Z51" s="291">
        <v>1</v>
      </c>
      <c r="AA51" s="291">
        <v>1</v>
      </c>
      <c r="AB51" s="292">
        <v>1</v>
      </c>
    </row>
    <row r="52" spans="1:28" ht="15" customHeight="1" thickBot="1">
      <c r="A52" s="276"/>
      <c r="B52" s="277" t="s">
        <v>172</v>
      </c>
      <c r="C52" s="278"/>
      <c r="D52" s="279"/>
      <c r="E52" s="294">
        <v>0</v>
      </c>
      <c r="F52" s="294">
        <v>0</v>
      </c>
      <c r="G52" s="294">
        <v>0</v>
      </c>
      <c r="H52" s="294">
        <v>0</v>
      </c>
      <c r="I52" s="294">
        <v>56</v>
      </c>
      <c r="J52" s="294">
        <v>325</v>
      </c>
      <c r="K52" s="294">
        <v>471</v>
      </c>
      <c r="L52" s="294">
        <v>527</v>
      </c>
      <c r="M52" s="294">
        <v>498</v>
      </c>
      <c r="N52" s="294">
        <v>406</v>
      </c>
      <c r="O52" s="294">
        <v>263</v>
      </c>
      <c r="P52" s="294">
        <v>127</v>
      </c>
      <c r="Q52" s="294">
        <v>112</v>
      </c>
      <c r="R52" s="294">
        <v>109</v>
      </c>
      <c r="S52" s="294">
        <v>98</v>
      </c>
      <c r="T52" s="294">
        <v>76</v>
      </c>
      <c r="U52" s="294">
        <v>51</v>
      </c>
      <c r="V52" s="294">
        <v>21</v>
      </c>
      <c r="W52" s="294">
        <v>1</v>
      </c>
      <c r="X52" s="294">
        <v>0</v>
      </c>
      <c r="Y52" s="294">
        <v>0</v>
      </c>
      <c r="Z52" s="294">
        <v>0</v>
      </c>
      <c r="AA52" s="294">
        <v>0</v>
      </c>
      <c r="AB52" s="295">
        <v>0</v>
      </c>
    </row>
    <row r="53" spans="1:28" ht="15" customHeight="1">
      <c r="A53" s="268" t="s">
        <v>71</v>
      </c>
      <c r="B53" s="269" t="s">
        <v>170</v>
      </c>
      <c r="C53" s="270"/>
      <c r="D53" s="271"/>
      <c r="E53" s="288">
        <v>0</v>
      </c>
      <c r="F53" s="288">
        <v>0</v>
      </c>
      <c r="G53" s="288">
        <v>0</v>
      </c>
      <c r="H53" s="288">
        <v>0</v>
      </c>
      <c r="I53" s="288">
        <v>0</v>
      </c>
      <c r="J53" s="288">
        <v>0</v>
      </c>
      <c r="K53" s="288">
        <v>0</v>
      </c>
      <c r="L53" s="288">
        <v>84</v>
      </c>
      <c r="M53" s="288">
        <v>156</v>
      </c>
      <c r="N53" s="288">
        <v>189</v>
      </c>
      <c r="O53" s="288">
        <v>177</v>
      </c>
      <c r="P53" s="288">
        <v>127</v>
      </c>
      <c r="Q53" s="288">
        <v>54</v>
      </c>
      <c r="R53" s="288">
        <v>0</v>
      </c>
      <c r="S53" s="288">
        <v>0</v>
      </c>
      <c r="T53" s="288">
        <v>0</v>
      </c>
      <c r="U53" s="288">
        <v>0</v>
      </c>
      <c r="V53" s="288">
        <v>0</v>
      </c>
      <c r="W53" s="288">
        <v>-2</v>
      </c>
      <c r="X53" s="288">
        <v>0</v>
      </c>
      <c r="Y53" s="288">
        <v>0</v>
      </c>
      <c r="Z53" s="288">
        <v>0</v>
      </c>
      <c r="AA53" s="288">
        <v>0</v>
      </c>
      <c r="AB53" s="289">
        <v>0</v>
      </c>
    </row>
    <row r="54" spans="1:28" ht="15" customHeight="1">
      <c r="A54" s="272"/>
      <c r="B54" s="273" t="s">
        <v>171</v>
      </c>
      <c r="C54" s="274"/>
      <c r="D54" s="275"/>
      <c r="E54" s="291">
        <v>1</v>
      </c>
      <c r="F54" s="291">
        <v>1</v>
      </c>
      <c r="G54" s="291">
        <v>1</v>
      </c>
      <c r="H54" s="291">
        <v>1</v>
      </c>
      <c r="I54" s="291">
        <v>1</v>
      </c>
      <c r="J54" s="291">
        <v>1</v>
      </c>
      <c r="K54" s="291">
        <v>1</v>
      </c>
      <c r="L54" s="291">
        <v>1</v>
      </c>
      <c r="M54" s="291">
        <v>1</v>
      </c>
      <c r="N54" s="291">
        <v>1</v>
      </c>
      <c r="O54" s="291">
        <v>1</v>
      </c>
      <c r="P54" s="291">
        <v>1</v>
      </c>
      <c r="Q54" s="291">
        <v>1</v>
      </c>
      <c r="R54" s="291">
        <v>1</v>
      </c>
      <c r="S54" s="291">
        <v>1</v>
      </c>
      <c r="T54" s="291">
        <v>1</v>
      </c>
      <c r="U54" s="291">
        <v>1</v>
      </c>
      <c r="V54" s="291">
        <v>1</v>
      </c>
      <c r="W54" s="291">
        <v>1</v>
      </c>
      <c r="X54" s="291">
        <v>1</v>
      </c>
      <c r="Y54" s="291">
        <v>1</v>
      </c>
      <c r="Z54" s="291">
        <v>1</v>
      </c>
      <c r="AA54" s="291">
        <v>1</v>
      </c>
      <c r="AB54" s="292">
        <v>1</v>
      </c>
    </row>
    <row r="55" spans="1:28" ht="15" customHeight="1" thickBot="1">
      <c r="A55" s="276"/>
      <c r="B55" s="277" t="s">
        <v>172</v>
      </c>
      <c r="C55" s="278"/>
      <c r="D55" s="279"/>
      <c r="E55" s="294">
        <v>0</v>
      </c>
      <c r="F55" s="294">
        <v>0</v>
      </c>
      <c r="G55" s="294">
        <v>0</v>
      </c>
      <c r="H55" s="294">
        <v>0</v>
      </c>
      <c r="I55" s="294">
        <v>6</v>
      </c>
      <c r="J55" s="294">
        <v>35</v>
      </c>
      <c r="K55" s="294">
        <v>62</v>
      </c>
      <c r="L55" s="294">
        <v>171</v>
      </c>
      <c r="M55" s="294">
        <v>259</v>
      </c>
      <c r="N55" s="294">
        <v>299</v>
      </c>
      <c r="O55" s="294">
        <v>288</v>
      </c>
      <c r="P55" s="294">
        <v>237</v>
      </c>
      <c r="Q55" s="294">
        <v>166</v>
      </c>
      <c r="R55" s="294">
        <v>109</v>
      </c>
      <c r="S55" s="294">
        <v>98</v>
      </c>
      <c r="T55" s="294">
        <v>76</v>
      </c>
      <c r="U55" s="294">
        <v>51</v>
      </c>
      <c r="V55" s="294">
        <v>21</v>
      </c>
      <c r="W55" s="294">
        <v>0</v>
      </c>
      <c r="X55" s="294">
        <v>0</v>
      </c>
      <c r="Y55" s="294">
        <v>0</v>
      </c>
      <c r="Z55" s="294">
        <v>0</v>
      </c>
      <c r="AA55" s="294">
        <v>0</v>
      </c>
      <c r="AB55" s="295">
        <v>0</v>
      </c>
    </row>
    <row r="56" spans="1:28" ht="15" customHeight="1">
      <c r="A56" s="268" t="s">
        <v>72</v>
      </c>
      <c r="B56" s="269" t="s">
        <v>170</v>
      </c>
      <c r="C56" s="270"/>
      <c r="D56" s="271"/>
      <c r="E56" s="288">
        <v>0</v>
      </c>
      <c r="F56" s="288">
        <v>0</v>
      </c>
      <c r="G56" s="288">
        <v>0</v>
      </c>
      <c r="H56" s="288">
        <v>0</v>
      </c>
      <c r="I56" s="288">
        <v>0</v>
      </c>
      <c r="J56" s="288">
        <v>0</v>
      </c>
      <c r="K56" s="288">
        <v>0</v>
      </c>
      <c r="L56" s="288">
        <v>0</v>
      </c>
      <c r="M56" s="288">
        <v>0</v>
      </c>
      <c r="N56" s="288">
        <v>0</v>
      </c>
      <c r="O56" s="288">
        <v>44</v>
      </c>
      <c r="P56" s="288">
        <v>144</v>
      </c>
      <c r="Q56" s="288">
        <v>208</v>
      </c>
      <c r="R56" s="288">
        <v>225</v>
      </c>
      <c r="S56" s="288">
        <v>203</v>
      </c>
      <c r="T56" s="288">
        <v>146</v>
      </c>
      <c r="U56" s="288">
        <v>79</v>
      </c>
      <c r="V56" s="288">
        <v>11</v>
      </c>
      <c r="W56" s="288">
        <v>-2</v>
      </c>
      <c r="X56" s="288">
        <v>0</v>
      </c>
      <c r="Y56" s="288">
        <v>0</v>
      </c>
      <c r="Z56" s="288">
        <v>0</v>
      </c>
      <c r="AA56" s="288">
        <v>0</v>
      </c>
      <c r="AB56" s="289">
        <v>0</v>
      </c>
    </row>
    <row r="57" spans="1:28" ht="15" customHeight="1">
      <c r="A57" s="272"/>
      <c r="B57" s="273" t="s">
        <v>176</v>
      </c>
      <c r="C57" s="274"/>
      <c r="D57" s="275"/>
      <c r="E57" s="291">
        <v>1</v>
      </c>
      <c r="F57" s="291">
        <v>1</v>
      </c>
      <c r="G57" s="291">
        <v>1</v>
      </c>
      <c r="H57" s="291">
        <v>1</v>
      </c>
      <c r="I57" s="291">
        <v>1</v>
      </c>
      <c r="J57" s="291">
        <v>1</v>
      </c>
      <c r="K57" s="291">
        <v>1</v>
      </c>
      <c r="L57" s="291">
        <v>1</v>
      </c>
      <c r="M57" s="291">
        <v>1</v>
      </c>
      <c r="N57" s="291">
        <v>1</v>
      </c>
      <c r="O57" s="291">
        <v>1</v>
      </c>
      <c r="P57" s="291">
        <v>1</v>
      </c>
      <c r="Q57" s="291">
        <v>1</v>
      </c>
      <c r="R57" s="291">
        <v>1</v>
      </c>
      <c r="S57" s="291">
        <v>1</v>
      </c>
      <c r="T57" s="291">
        <v>1</v>
      </c>
      <c r="U57" s="291">
        <v>1</v>
      </c>
      <c r="V57" s="291">
        <v>1</v>
      </c>
      <c r="W57" s="291">
        <v>1</v>
      </c>
      <c r="X57" s="291">
        <v>1</v>
      </c>
      <c r="Y57" s="291">
        <v>1</v>
      </c>
      <c r="Z57" s="291">
        <v>1</v>
      </c>
      <c r="AA57" s="291">
        <v>1</v>
      </c>
      <c r="AB57" s="292">
        <v>1</v>
      </c>
    </row>
    <row r="58" spans="1:28" ht="15" customHeight="1" thickBot="1">
      <c r="A58" s="276"/>
      <c r="B58" s="277" t="s">
        <v>172</v>
      </c>
      <c r="C58" s="278"/>
      <c r="D58" s="279"/>
      <c r="E58" s="294">
        <v>0</v>
      </c>
      <c r="F58" s="294">
        <v>0</v>
      </c>
      <c r="G58" s="294">
        <v>0</v>
      </c>
      <c r="H58" s="294">
        <v>0</v>
      </c>
      <c r="I58" s="294">
        <v>6</v>
      </c>
      <c r="J58" s="294">
        <v>35</v>
      </c>
      <c r="K58" s="294">
        <v>62</v>
      </c>
      <c r="L58" s="294">
        <v>87</v>
      </c>
      <c r="M58" s="294">
        <v>103</v>
      </c>
      <c r="N58" s="294">
        <v>110</v>
      </c>
      <c r="O58" s="294">
        <v>155</v>
      </c>
      <c r="P58" s="294">
        <v>254</v>
      </c>
      <c r="Q58" s="294">
        <v>320</v>
      </c>
      <c r="R58" s="294">
        <v>334</v>
      </c>
      <c r="S58" s="294">
        <v>301</v>
      </c>
      <c r="T58" s="294">
        <v>222</v>
      </c>
      <c r="U58" s="294">
        <v>130</v>
      </c>
      <c r="V58" s="294">
        <v>32</v>
      </c>
      <c r="W58" s="294">
        <v>0</v>
      </c>
      <c r="X58" s="294">
        <v>0</v>
      </c>
      <c r="Y58" s="294">
        <v>0</v>
      </c>
      <c r="Z58" s="294">
        <v>0</v>
      </c>
      <c r="AA58" s="294">
        <v>0</v>
      </c>
      <c r="AB58" s="295">
        <v>0</v>
      </c>
    </row>
    <row r="59" spans="1:28" ht="15" customHeight="1">
      <c r="A59" s="268" t="s">
        <v>73</v>
      </c>
      <c r="B59" s="269" t="s">
        <v>170</v>
      </c>
      <c r="C59" s="270"/>
      <c r="D59" s="271"/>
      <c r="E59" s="288">
        <v>0</v>
      </c>
      <c r="F59" s="288">
        <v>0</v>
      </c>
      <c r="G59" s="288">
        <v>0</v>
      </c>
      <c r="H59" s="288">
        <v>0</v>
      </c>
      <c r="I59" s="288">
        <v>0</v>
      </c>
      <c r="J59" s="288">
        <v>0</v>
      </c>
      <c r="K59" s="288">
        <v>0</v>
      </c>
      <c r="L59" s="288">
        <v>0</v>
      </c>
      <c r="M59" s="288">
        <v>0</v>
      </c>
      <c r="N59" s="288">
        <v>0</v>
      </c>
      <c r="O59" s="288">
        <v>0</v>
      </c>
      <c r="P59" s="288">
        <v>32</v>
      </c>
      <c r="Q59" s="288">
        <v>200</v>
      </c>
      <c r="R59" s="288">
        <v>343</v>
      </c>
      <c r="S59" s="288">
        <v>418</v>
      </c>
      <c r="T59" s="288">
        <v>418</v>
      </c>
      <c r="U59" s="288">
        <v>367</v>
      </c>
      <c r="V59" s="288">
        <v>176</v>
      </c>
      <c r="W59" s="288">
        <v>0</v>
      </c>
      <c r="X59" s="288">
        <v>0</v>
      </c>
      <c r="Y59" s="288">
        <v>0</v>
      </c>
      <c r="Z59" s="288">
        <v>0</v>
      </c>
      <c r="AA59" s="288">
        <v>0</v>
      </c>
      <c r="AB59" s="289">
        <v>0</v>
      </c>
    </row>
    <row r="60" spans="1:28" ht="15" customHeight="1">
      <c r="A60" s="272"/>
      <c r="B60" s="273" t="s">
        <v>171</v>
      </c>
      <c r="C60" s="274"/>
      <c r="D60" s="275"/>
      <c r="E60" s="291">
        <v>1</v>
      </c>
      <c r="F60" s="291">
        <v>1</v>
      </c>
      <c r="G60" s="291">
        <v>1</v>
      </c>
      <c r="H60" s="291">
        <v>1</v>
      </c>
      <c r="I60" s="291">
        <v>1</v>
      </c>
      <c r="J60" s="291">
        <v>1</v>
      </c>
      <c r="K60" s="291">
        <v>1</v>
      </c>
      <c r="L60" s="291">
        <v>1</v>
      </c>
      <c r="M60" s="291">
        <v>1</v>
      </c>
      <c r="N60" s="291">
        <v>1</v>
      </c>
      <c r="O60" s="291">
        <v>1</v>
      </c>
      <c r="P60" s="291">
        <v>1</v>
      </c>
      <c r="Q60" s="291">
        <v>1</v>
      </c>
      <c r="R60" s="291">
        <v>1</v>
      </c>
      <c r="S60" s="291">
        <v>1</v>
      </c>
      <c r="T60" s="291">
        <v>1</v>
      </c>
      <c r="U60" s="291">
        <v>1</v>
      </c>
      <c r="V60" s="291">
        <v>1</v>
      </c>
      <c r="W60" s="291">
        <v>1</v>
      </c>
      <c r="X60" s="291">
        <v>1</v>
      </c>
      <c r="Y60" s="291">
        <v>1</v>
      </c>
      <c r="Z60" s="291">
        <v>1</v>
      </c>
      <c r="AA60" s="291">
        <v>1</v>
      </c>
      <c r="AB60" s="292">
        <v>1</v>
      </c>
    </row>
    <row r="61" spans="1:28" ht="15" customHeight="1" thickBot="1">
      <c r="A61" s="276"/>
      <c r="B61" s="277" t="s">
        <v>172</v>
      </c>
      <c r="C61" s="278"/>
      <c r="D61" s="279"/>
      <c r="E61" s="294">
        <v>0</v>
      </c>
      <c r="F61" s="294">
        <v>0</v>
      </c>
      <c r="G61" s="294">
        <v>0</v>
      </c>
      <c r="H61" s="294">
        <v>0</v>
      </c>
      <c r="I61" s="294">
        <v>6</v>
      </c>
      <c r="J61" s="294">
        <v>35</v>
      </c>
      <c r="K61" s="294">
        <v>62</v>
      </c>
      <c r="L61" s="294">
        <v>87</v>
      </c>
      <c r="M61" s="294">
        <v>103</v>
      </c>
      <c r="N61" s="294">
        <v>110</v>
      </c>
      <c r="O61" s="294">
        <v>111</v>
      </c>
      <c r="P61" s="294">
        <v>142</v>
      </c>
      <c r="Q61" s="294">
        <v>312</v>
      </c>
      <c r="R61" s="294">
        <v>452</v>
      </c>
      <c r="S61" s="294">
        <v>516</v>
      </c>
      <c r="T61" s="294">
        <v>494</v>
      </c>
      <c r="U61" s="294">
        <v>418</v>
      </c>
      <c r="V61" s="294">
        <v>197</v>
      </c>
      <c r="W61" s="294">
        <v>2</v>
      </c>
      <c r="X61" s="294">
        <v>0</v>
      </c>
      <c r="Y61" s="294">
        <v>0</v>
      </c>
      <c r="Z61" s="294">
        <v>0</v>
      </c>
      <c r="AA61" s="294">
        <v>0</v>
      </c>
      <c r="AB61" s="295">
        <v>0</v>
      </c>
    </row>
    <row r="62" spans="1:28" ht="15" customHeight="1">
      <c r="A62" s="268" t="s">
        <v>74</v>
      </c>
      <c r="B62" s="269" t="s">
        <v>170</v>
      </c>
      <c r="C62" s="270"/>
      <c r="D62" s="271"/>
      <c r="E62" s="288">
        <v>0</v>
      </c>
      <c r="F62" s="288">
        <v>0</v>
      </c>
      <c r="G62" s="288">
        <v>0</v>
      </c>
      <c r="H62" s="288">
        <v>0</v>
      </c>
      <c r="I62" s="288">
        <v>0</v>
      </c>
      <c r="J62" s="288">
        <v>0</v>
      </c>
      <c r="K62" s="288">
        <v>0</v>
      </c>
      <c r="L62" s="288">
        <v>0</v>
      </c>
      <c r="M62" s="288">
        <v>0</v>
      </c>
      <c r="N62" s="288">
        <v>0</v>
      </c>
      <c r="O62" s="288">
        <v>0</v>
      </c>
      <c r="P62" s="288">
        <v>0</v>
      </c>
      <c r="Q62" s="288">
        <v>22</v>
      </c>
      <c r="R62" s="288">
        <v>186</v>
      </c>
      <c r="S62" s="288">
        <v>346</v>
      </c>
      <c r="T62" s="288">
        <v>419</v>
      </c>
      <c r="U62" s="288">
        <v>425</v>
      </c>
      <c r="V62" s="288">
        <v>235</v>
      </c>
      <c r="W62" s="288">
        <v>0</v>
      </c>
      <c r="X62" s="288">
        <v>0</v>
      </c>
      <c r="Y62" s="288">
        <v>0</v>
      </c>
      <c r="Z62" s="288">
        <v>0</v>
      </c>
      <c r="AA62" s="288">
        <v>0</v>
      </c>
      <c r="AB62" s="289">
        <v>0</v>
      </c>
    </row>
    <row r="63" spans="1:28" ht="15" customHeight="1">
      <c r="A63" s="272"/>
      <c r="B63" s="273" t="s">
        <v>173</v>
      </c>
      <c r="C63" s="274"/>
      <c r="D63" s="275"/>
      <c r="E63" s="291">
        <v>1</v>
      </c>
      <c r="F63" s="291">
        <v>1</v>
      </c>
      <c r="G63" s="291">
        <v>1</v>
      </c>
      <c r="H63" s="291">
        <v>1</v>
      </c>
      <c r="I63" s="291">
        <v>1</v>
      </c>
      <c r="J63" s="291">
        <v>1</v>
      </c>
      <c r="K63" s="291">
        <v>1</v>
      </c>
      <c r="L63" s="291">
        <v>1</v>
      </c>
      <c r="M63" s="291">
        <v>1</v>
      </c>
      <c r="N63" s="291">
        <v>1</v>
      </c>
      <c r="O63" s="291">
        <v>1</v>
      </c>
      <c r="P63" s="291">
        <v>1</v>
      </c>
      <c r="Q63" s="291">
        <v>1</v>
      </c>
      <c r="R63" s="291">
        <v>1</v>
      </c>
      <c r="S63" s="291">
        <v>1</v>
      </c>
      <c r="T63" s="291">
        <v>1</v>
      </c>
      <c r="U63" s="291">
        <v>1</v>
      </c>
      <c r="V63" s="291">
        <v>1</v>
      </c>
      <c r="W63" s="291">
        <v>1</v>
      </c>
      <c r="X63" s="291">
        <v>1</v>
      </c>
      <c r="Y63" s="291">
        <v>1</v>
      </c>
      <c r="Z63" s="291">
        <v>1</v>
      </c>
      <c r="AA63" s="291">
        <v>1</v>
      </c>
      <c r="AB63" s="292">
        <v>1</v>
      </c>
    </row>
    <row r="64" spans="1:28" ht="15" customHeight="1" thickBot="1">
      <c r="A64" s="276"/>
      <c r="B64" s="277" t="s">
        <v>172</v>
      </c>
      <c r="C64" s="278"/>
      <c r="D64" s="279"/>
      <c r="E64" s="294">
        <v>0</v>
      </c>
      <c r="F64" s="294">
        <v>0</v>
      </c>
      <c r="G64" s="294">
        <v>0</v>
      </c>
      <c r="H64" s="294">
        <v>0</v>
      </c>
      <c r="I64" s="294">
        <v>6</v>
      </c>
      <c r="J64" s="294">
        <v>35</v>
      </c>
      <c r="K64" s="294">
        <v>62</v>
      </c>
      <c r="L64" s="294">
        <v>87</v>
      </c>
      <c r="M64" s="294">
        <v>103</v>
      </c>
      <c r="N64" s="294">
        <v>110</v>
      </c>
      <c r="O64" s="294">
        <v>111</v>
      </c>
      <c r="P64" s="294">
        <v>110</v>
      </c>
      <c r="Q64" s="294">
        <v>134</v>
      </c>
      <c r="R64" s="294">
        <v>295</v>
      </c>
      <c r="S64" s="294">
        <v>444</v>
      </c>
      <c r="T64" s="294">
        <v>495</v>
      </c>
      <c r="U64" s="294">
        <v>476</v>
      </c>
      <c r="V64" s="294">
        <v>256</v>
      </c>
      <c r="W64" s="294">
        <v>2</v>
      </c>
      <c r="X64" s="294">
        <v>0</v>
      </c>
      <c r="Y64" s="294">
        <v>0</v>
      </c>
      <c r="Z64" s="294">
        <v>0</v>
      </c>
      <c r="AA64" s="294">
        <v>0</v>
      </c>
      <c r="AB64" s="295">
        <v>0</v>
      </c>
    </row>
    <row r="65" spans="1:28" ht="15" customHeight="1">
      <c r="A65" s="280" t="s">
        <v>75</v>
      </c>
      <c r="B65" s="269" t="s">
        <v>170</v>
      </c>
      <c r="C65" s="270"/>
      <c r="D65" s="271"/>
      <c r="E65" s="288">
        <v>0</v>
      </c>
      <c r="F65" s="288">
        <v>0</v>
      </c>
      <c r="G65" s="288">
        <v>0</v>
      </c>
      <c r="H65" s="288">
        <v>0</v>
      </c>
      <c r="I65" s="288">
        <v>0</v>
      </c>
      <c r="J65" s="288">
        <v>0</v>
      </c>
      <c r="K65" s="288">
        <v>0</v>
      </c>
      <c r="L65" s="288">
        <v>0</v>
      </c>
      <c r="M65" s="288">
        <v>0</v>
      </c>
      <c r="N65" s="288">
        <v>0</v>
      </c>
      <c r="O65" s="288">
        <v>0</v>
      </c>
      <c r="P65" s="288">
        <v>0</v>
      </c>
      <c r="Q65" s="288">
        <v>0</v>
      </c>
      <c r="R65" s="288">
        <v>0</v>
      </c>
      <c r="S65" s="288">
        <v>0</v>
      </c>
      <c r="T65" s="288">
        <v>49</v>
      </c>
      <c r="U65" s="288">
        <v>144</v>
      </c>
      <c r="V65" s="288">
        <v>126</v>
      </c>
      <c r="W65" s="288">
        <v>0</v>
      </c>
      <c r="X65" s="288">
        <v>0</v>
      </c>
      <c r="Y65" s="288">
        <v>0</v>
      </c>
      <c r="Z65" s="288">
        <v>0</v>
      </c>
      <c r="AA65" s="288">
        <v>0</v>
      </c>
      <c r="AB65" s="289">
        <v>0</v>
      </c>
    </row>
    <row r="66" spans="1:28" ht="15" customHeight="1">
      <c r="A66" s="281"/>
      <c r="B66" s="273" t="s">
        <v>171</v>
      </c>
      <c r="C66" s="274"/>
      <c r="D66" s="275"/>
      <c r="E66" s="291">
        <v>1</v>
      </c>
      <c r="F66" s="291">
        <v>1</v>
      </c>
      <c r="G66" s="291">
        <v>1</v>
      </c>
      <c r="H66" s="291">
        <v>1</v>
      </c>
      <c r="I66" s="291">
        <v>1</v>
      </c>
      <c r="J66" s="291">
        <v>1</v>
      </c>
      <c r="K66" s="291">
        <v>1</v>
      </c>
      <c r="L66" s="291">
        <v>1</v>
      </c>
      <c r="M66" s="291">
        <v>1</v>
      </c>
      <c r="N66" s="291">
        <v>1</v>
      </c>
      <c r="O66" s="291">
        <v>1</v>
      </c>
      <c r="P66" s="291">
        <v>1</v>
      </c>
      <c r="Q66" s="291">
        <v>1</v>
      </c>
      <c r="R66" s="291">
        <v>1</v>
      </c>
      <c r="S66" s="291">
        <v>1</v>
      </c>
      <c r="T66" s="291">
        <v>1</v>
      </c>
      <c r="U66" s="291">
        <v>1</v>
      </c>
      <c r="V66" s="291">
        <v>1</v>
      </c>
      <c r="W66" s="291">
        <v>1</v>
      </c>
      <c r="X66" s="291">
        <v>1</v>
      </c>
      <c r="Y66" s="291">
        <v>1</v>
      </c>
      <c r="Z66" s="291">
        <v>1</v>
      </c>
      <c r="AA66" s="291">
        <v>1</v>
      </c>
      <c r="AB66" s="292">
        <v>1</v>
      </c>
    </row>
    <row r="67" spans="1:28" ht="15" customHeight="1" thickBot="1">
      <c r="A67" s="282"/>
      <c r="B67" s="277" t="s">
        <v>172</v>
      </c>
      <c r="C67" s="278"/>
      <c r="D67" s="279"/>
      <c r="E67" s="294">
        <v>0</v>
      </c>
      <c r="F67" s="294">
        <v>0</v>
      </c>
      <c r="G67" s="294">
        <v>0</v>
      </c>
      <c r="H67" s="294">
        <v>0</v>
      </c>
      <c r="I67" s="294">
        <v>6</v>
      </c>
      <c r="J67" s="294">
        <v>35</v>
      </c>
      <c r="K67" s="294">
        <v>62</v>
      </c>
      <c r="L67" s="294">
        <v>87</v>
      </c>
      <c r="M67" s="294">
        <v>103</v>
      </c>
      <c r="N67" s="294">
        <v>110</v>
      </c>
      <c r="O67" s="294">
        <v>111</v>
      </c>
      <c r="P67" s="294">
        <v>110</v>
      </c>
      <c r="Q67" s="294">
        <v>112</v>
      </c>
      <c r="R67" s="294">
        <v>109</v>
      </c>
      <c r="S67" s="294">
        <v>98</v>
      </c>
      <c r="T67" s="294">
        <v>125</v>
      </c>
      <c r="U67" s="294">
        <v>195</v>
      </c>
      <c r="V67" s="294">
        <v>147</v>
      </c>
      <c r="W67" s="294">
        <v>2</v>
      </c>
      <c r="X67" s="294">
        <v>0</v>
      </c>
      <c r="Y67" s="294">
        <v>0</v>
      </c>
      <c r="Z67" s="294">
        <v>0</v>
      </c>
      <c r="AA67" s="294">
        <v>0</v>
      </c>
      <c r="AB67" s="295">
        <v>0</v>
      </c>
    </row>
    <row r="68" spans="1:28" ht="15" customHeight="1">
      <c r="A68" s="39" t="s">
        <v>19</v>
      </c>
      <c r="AB68" s="149"/>
    </row>
    <row r="69" spans="1:28" ht="15" customHeight="1">
      <c r="A69" s="249"/>
      <c r="B69" s="250"/>
      <c r="C69" s="251"/>
      <c r="D69" s="252"/>
      <c r="E69" s="284">
        <v>1</v>
      </c>
      <c r="F69" s="284">
        <v>2</v>
      </c>
      <c r="G69" s="284">
        <v>3</v>
      </c>
      <c r="H69" s="284">
        <v>4</v>
      </c>
      <c r="I69" s="284">
        <v>5</v>
      </c>
      <c r="J69" s="284">
        <v>6</v>
      </c>
      <c r="K69" s="284">
        <v>7</v>
      </c>
      <c r="L69" s="284">
        <v>8</v>
      </c>
      <c r="M69" s="284">
        <v>9</v>
      </c>
      <c r="N69" s="284">
        <v>10</v>
      </c>
      <c r="O69" s="284">
        <v>11</v>
      </c>
      <c r="P69" s="284">
        <v>12</v>
      </c>
      <c r="Q69" s="284">
        <v>13</v>
      </c>
      <c r="R69" s="284">
        <v>14</v>
      </c>
      <c r="S69" s="284">
        <v>15</v>
      </c>
      <c r="T69" s="284">
        <v>16</v>
      </c>
      <c r="U69" s="284">
        <v>17</v>
      </c>
      <c r="V69" s="284">
        <v>18</v>
      </c>
      <c r="W69" s="285">
        <v>19</v>
      </c>
      <c r="X69" s="285">
        <v>20</v>
      </c>
      <c r="Y69" s="285">
        <v>21</v>
      </c>
      <c r="Z69" s="285">
        <v>22</v>
      </c>
      <c r="AA69" s="285">
        <v>23</v>
      </c>
      <c r="AB69" s="286">
        <v>24</v>
      </c>
    </row>
    <row r="70" spans="1:28" ht="15" customHeight="1" thickBot="1">
      <c r="A70" s="253" t="s">
        <v>174</v>
      </c>
      <c r="B70" s="254" t="s">
        <v>166</v>
      </c>
      <c r="C70" s="255"/>
      <c r="D70" s="256"/>
      <c r="E70" s="258">
        <v>0</v>
      </c>
      <c r="F70" s="258">
        <v>0</v>
      </c>
      <c r="G70" s="258">
        <v>0</v>
      </c>
      <c r="H70" s="258">
        <v>0</v>
      </c>
      <c r="I70" s="258">
        <v>0</v>
      </c>
      <c r="J70" s="258">
        <v>27</v>
      </c>
      <c r="K70" s="258">
        <v>71</v>
      </c>
      <c r="L70" s="258">
        <v>105</v>
      </c>
      <c r="M70" s="258">
        <v>134</v>
      </c>
      <c r="N70" s="258">
        <v>154</v>
      </c>
      <c r="O70" s="258">
        <v>167</v>
      </c>
      <c r="P70" s="258">
        <v>167</v>
      </c>
      <c r="Q70" s="258">
        <v>158</v>
      </c>
      <c r="R70" s="258">
        <v>138</v>
      </c>
      <c r="S70" s="258">
        <v>116</v>
      </c>
      <c r="T70" s="258">
        <v>85</v>
      </c>
      <c r="U70" s="258">
        <v>38</v>
      </c>
      <c r="V70" s="258">
        <v>4</v>
      </c>
      <c r="W70" s="258">
        <v>0</v>
      </c>
      <c r="X70" s="258">
        <v>0</v>
      </c>
      <c r="Y70" s="258">
        <v>0</v>
      </c>
      <c r="Z70" s="258">
        <v>0</v>
      </c>
      <c r="AA70" s="258">
        <v>0</v>
      </c>
      <c r="AB70" s="259">
        <v>0</v>
      </c>
    </row>
    <row r="71" spans="1:28" ht="15" customHeight="1" thickBot="1">
      <c r="A71" s="260" t="s">
        <v>177</v>
      </c>
      <c r="B71" s="261" t="s">
        <v>168</v>
      </c>
      <c r="C71" s="262"/>
      <c r="D71" s="263"/>
      <c r="E71" s="265">
        <v>0</v>
      </c>
      <c r="F71" s="265">
        <v>0</v>
      </c>
      <c r="G71" s="265">
        <v>0</v>
      </c>
      <c r="H71" s="265">
        <v>0</v>
      </c>
      <c r="I71" s="265">
        <v>0</v>
      </c>
      <c r="J71" s="265">
        <v>19</v>
      </c>
      <c r="K71" s="265">
        <v>47</v>
      </c>
      <c r="L71" s="265">
        <v>72</v>
      </c>
      <c r="M71" s="265">
        <v>88</v>
      </c>
      <c r="N71" s="265">
        <v>96</v>
      </c>
      <c r="O71" s="265">
        <v>101</v>
      </c>
      <c r="P71" s="265">
        <v>100</v>
      </c>
      <c r="Q71" s="265">
        <v>98</v>
      </c>
      <c r="R71" s="265">
        <v>90</v>
      </c>
      <c r="S71" s="265">
        <v>78</v>
      </c>
      <c r="T71" s="265">
        <v>54</v>
      </c>
      <c r="U71" s="265">
        <v>24</v>
      </c>
      <c r="V71" s="265">
        <v>3</v>
      </c>
      <c r="W71" s="265">
        <v>0</v>
      </c>
      <c r="X71" s="265">
        <v>0</v>
      </c>
      <c r="Y71" s="265">
        <v>0</v>
      </c>
      <c r="Z71" s="265">
        <v>0</v>
      </c>
      <c r="AA71" s="265">
        <v>0</v>
      </c>
      <c r="AB71" s="266">
        <v>0</v>
      </c>
    </row>
    <row r="72" spans="1:28" ht="15" customHeight="1" thickBot="1">
      <c r="A72" s="267" t="s">
        <v>67</v>
      </c>
      <c r="B72" s="261" t="s">
        <v>169</v>
      </c>
      <c r="C72" s="262"/>
      <c r="D72" s="263"/>
      <c r="E72" s="265">
        <v>0</v>
      </c>
      <c r="F72" s="265">
        <v>0</v>
      </c>
      <c r="G72" s="265">
        <v>0</v>
      </c>
      <c r="H72" s="265">
        <v>0</v>
      </c>
      <c r="I72" s="265">
        <v>0</v>
      </c>
      <c r="J72" s="265">
        <v>37</v>
      </c>
      <c r="K72" s="265">
        <v>167</v>
      </c>
      <c r="L72" s="265">
        <v>324</v>
      </c>
      <c r="M72" s="265">
        <v>465</v>
      </c>
      <c r="N72" s="265">
        <v>567</v>
      </c>
      <c r="O72" s="265">
        <v>622</v>
      </c>
      <c r="P72" s="265">
        <v>628</v>
      </c>
      <c r="Q72" s="265">
        <v>581</v>
      </c>
      <c r="R72" s="265">
        <v>491</v>
      </c>
      <c r="S72" s="265">
        <v>355</v>
      </c>
      <c r="T72" s="265">
        <v>193</v>
      </c>
      <c r="U72" s="265">
        <v>55</v>
      </c>
      <c r="V72" s="265">
        <v>4</v>
      </c>
      <c r="W72" s="265">
        <v>0</v>
      </c>
      <c r="X72" s="265">
        <v>0</v>
      </c>
      <c r="Y72" s="265">
        <v>0</v>
      </c>
      <c r="Z72" s="265">
        <v>0</v>
      </c>
      <c r="AA72" s="265">
        <v>0</v>
      </c>
      <c r="AB72" s="266">
        <v>0</v>
      </c>
    </row>
    <row r="73" spans="1:28" ht="15" customHeight="1">
      <c r="A73" s="268" t="s">
        <v>68</v>
      </c>
      <c r="B73" s="269" t="s">
        <v>170</v>
      </c>
      <c r="C73" s="270"/>
      <c r="D73" s="271"/>
      <c r="E73" s="288">
        <v>0</v>
      </c>
      <c r="F73" s="288">
        <v>0</v>
      </c>
      <c r="G73" s="288">
        <v>0</v>
      </c>
      <c r="H73" s="288">
        <v>0</v>
      </c>
      <c r="I73" s="288">
        <v>0</v>
      </c>
      <c r="J73" s="288">
        <v>95</v>
      </c>
      <c r="K73" s="288">
        <v>72</v>
      </c>
      <c r="L73" s="288">
        <v>0</v>
      </c>
      <c r="M73" s="288">
        <v>0</v>
      </c>
      <c r="N73" s="288">
        <v>0</v>
      </c>
      <c r="O73" s="288">
        <v>0</v>
      </c>
      <c r="P73" s="288">
        <v>0</v>
      </c>
      <c r="Q73" s="288">
        <v>0</v>
      </c>
      <c r="R73" s="288">
        <v>0</v>
      </c>
      <c r="S73" s="288">
        <v>0</v>
      </c>
      <c r="T73" s="288">
        <v>0</v>
      </c>
      <c r="U73" s="288">
        <v>0</v>
      </c>
      <c r="V73" s="288">
        <v>0</v>
      </c>
      <c r="W73" s="288">
        <v>0</v>
      </c>
      <c r="X73" s="288">
        <v>0</v>
      </c>
      <c r="Y73" s="288">
        <v>0</v>
      </c>
      <c r="Z73" s="288">
        <v>0</v>
      </c>
      <c r="AA73" s="288">
        <v>0</v>
      </c>
      <c r="AB73" s="289">
        <v>0</v>
      </c>
    </row>
    <row r="74" spans="1:28" ht="15" customHeight="1">
      <c r="A74" s="272"/>
      <c r="B74" s="273" t="s">
        <v>176</v>
      </c>
      <c r="C74" s="274"/>
      <c r="D74" s="275"/>
      <c r="E74" s="291">
        <v>1</v>
      </c>
      <c r="F74" s="291">
        <v>1</v>
      </c>
      <c r="G74" s="291">
        <v>1</v>
      </c>
      <c r="H74" s="291">
        <v>1</v>
      </c>
      <c r="I74" s="291">
        <v>1</v>
      </c>
      <c r="J74" s="291">
        <v>1</v>
      </c>
      <c r="K74" s="291">
        <v>1</v>
      </c>
      <c r="L74" s="291">
        <v>1</v>
      </c>
      <c r="M74" s="291">
        <v>1</v>
      </c>
      <c r="N74" s="291">
        <v>1</v>
      </c>
      <c r="O74" s="291">
        <v>1</v>
      </c>
      <c r="P74" s="291">
        <v>1</v>
      </c>
      <c r="Q74" s="291">
        <v>1</v>
      </c>
      <c r="R74" s="291">
        <v>1</v>
      </c>
      <c r="S74" s="291">
        <v>1</v>
      </c>
      <c r="T74" s="291">
        <v>1</v>
      </c>
      <c r="U74" s="291">
        <v>1</v>
      </c>
      <c r="V74" s="291">
        <v>1</v>
      </c>
      <c r="W74" s="291">
        <v>1</v>
      </c>
      <c r="X74" s="291">
        <v>1</v>
      </c>
      <c r="Y74" s="291">
        <v>1</v>
      </c>
      <c r="Z74" s="291">
        <v>1</v>
      </c>
      <c r="AA74" s="291">
        <v>1</v>
      </c>
      <c r="AB74" s="292">
        <v>1</v>
      </c>
    </row>
    <row r="75" spans="1:28" ht="15" customHeight="1" thickBot="1">
      <c r="A75" s="276"/>
      <c r="B75" s="277" t="s">
        <v>172</v>
      </c>
      <c r="C75" s="278"/>
      <c r="D75" s="279"/>
      <c r="E75" s="294">
        <v>0</v>
      </c>
      <c r="F75" s="294">
        <v>0</v>
      </c>
      <c r="G75" s="294">
        <v>0</v>
      </c>
      <c r="H75" s="294">
        <v>0</v>
      </c>
      <c r="I75" s="294">
        <v>0</v>
      </c>
      <c r="J75" s="294">
        <v>114</v>
      </c>
      <c r="K75" s="294">
        <v>119</v>
      </c>
      <c r="L75" s="294">
        <v>72</v>
      </c>
      <c r="M75" s="294">
        <v>88</v>
      </c>
      <c r="N75" s="294">
        <v>97</v>
      </c>
      <c r="O75" s="294">
        <v>101</v>
      </c>
      <c r="P75" s="294">
        <v>101</v>
      </c>
      <c r="Q75" s="294">
        <v>98</v>
      </c>
      <c r="R75" s="294">
        <v>91</v>
      </c>
      <c r="S75" s="294">
        <v>78</v>
      </c>
      <c r="T75" s="294">
        <v>55</v>
      </c>
      <c r="U75" s="294">
        <v>24</v>
      </c>
      <c r="V75" s="294">
        <v>3</v>
      </c>
      <c r="W75" s="294">
        <v>0</v>
      </c>
      <c r="X75" s="294">
        <v>0</v>
      </c>
      <c r="Y75" s="294">
        <v>0</v>
      </c>
      <c r="Z75" s="294">
        <v>0</v>
      </c>
      <c r="AA75" s="294">
        <v>0</v>
      </c>
      <c r="AB75" s="295">
        <v>0</v>
      </c>
    </row>
    <row r="76" spans="1:28" ht="15" customHeight="1">
      <c r="A76" s="268" t="s">
        <v>69</v>
      </c>
      <c r="B76" s="269" t="s">
        <v>170</v>
      </c>
      <c r="C76" s="270"/>
      <c r="D76" s="271"/>
      <c r="E76" s="288">
        <v>0</v>
      </c>
      <c r="F76" s="288">
        <v>0</v>
      </c>
      <c r="G76" s="288">
        <v>0</v>
      </c>
      <c r="H76" s="288">
        <v>0</v>
      </c>
      <c r="I76" s="288">
        <v>0</v>
      </c>
      <c r="J76" s="288">
        <v>275</v>
      </c>
      <c r="K76" s="288">
        <v>372</v>
      </c>
      <c r="L76" s="288">
        <v>348</v>
      </c>
      <c r="M76" s="288">
        <v>242</v>
      </c>
      <c r="N76" s="288">
        <v>90</v>
      </c>
      <c r="O76" s="288">
        <v>0</v>
      </c>
      <c r="P76" s="288">
        <v>0</v>
      </c>
      <c r="Q76" s="288">
        <v>0</v>
      </c>
      <c r="R76" s="288">
        <v>0</v>
      </c>
      <c r="S76" s="288">
        <v>0</v>
      </c>
      <c r="T76" s="288">
        <v>0</v>
      </c>
      <c r="U76" s="288">
        <v>0</v>
      </c>
      <c r="V76" s="288">
        <v>0</v>
      </c>
      <c r="W76" s="288">
        <v>0</v>
      </c>
      <c r="X76" s="288">
        <v>0</v>
      </c>
      <c r="Y76" s="288">
        <v>0</v>
      </c>
      <c r="Z76" s="288">
        <v>0</v>
      </c>
      <c r="AA76" s="288">
        <v>0</v>
      </c>
      <c r="AB76" s="289">
        <v>0</v>
      </c>
    </row>
    <row r="77" spans="1:28" ht="15" customHeight="1">
      <c r="A77" s="272"/>
      <c r="B77" s="273" t="s">
        <v>171</v>
      </c>
      <c r="C77" s="274"/>
      <c r="D77" s="275"/>
      <c r="E77" s="291">
        <v>1</v>
      </c>
      <c r="F77" s="291">
        <v>1</v>
      </c>
      <c r="G77" s="291">
        <v>1</v>
      </c>
      <c r="H77" s="291">
        <v>1</v>
      </c>
      <c r="I77" s="291">
        <v>1</v>
      </c>
      <c r="J77" s="291">
        <v>1</v>
      </c>
      <c r="K77" s="291">
        <v>1</v>
      </c>
      <c r="L77" s="291">
        <v>1</v>
      </c>
      <c r="M77" s="291">
        <v>1</v>
      </c>
      <c r="N77" s="291">
        <v>1</v>
      </c>
      <c r="O77" s="291">
        <v>1</v>
      </c>
      <c r="P77" s="291">
        <v>1</v>
      </c>
      <c r="Q77" s="291">
        <v>1</v>
      </c>
      <c r="R77" s="291">
        <v>1</v>
      </c>
      <c r="S77" s="291">
        <v>1</v>
      </c>
      <c r="T77" s="291">
        <v>1</v>
      </c>
      <c r="U77" s="291">
        <v>1</v>
      </c>
      <c r="V77" s="291">
        <v>1</v>
      </c>
      <c r="W77" s="291">
        <v>1</v>
      </c>
      <c r="X77" s="291">
        <v>1</v>
      </c>
      <c r="Y77" s="291">
        <v>1</v>
      </c>
      <c r="Z77" s="291">
        <v>1</v>
      </c>
      <c r="AA77" s="291">
        <v>1</v>
      </c>
      <c r="AB77" s="292">
        <v>1</v>
      </c>
    </row>
    <row r="78" spans="1:28" ht="15" customHeight="1" thickBot="1">
      <c r="A78" s="276"/>
      <c r="B78" s="277" t="s">
        <v>172</v>
      </c>
      <c r="C78" s="278"/>
      <c r="D78" s="279"/>
      <c r="E78" s="294">
        <v>0</v>
      </c>
      <c r="F78" s="294">
        <v>0</v>
      </c>
      <c r="G78" s="294">
        <v>0</v>
      </c>
      <c r="H78" s="294">
        <v>0</v>
      </c>
      <c r="I78" s="294">
        <v>0</v>
      </c>
      <c r="J78" s="294">
        <v>294</v>
      </c>
      <c r="K78" s="294">
        <v>419</v>
      </c>
      <c r="L78" s="294">
        <v>420</v>
      </c>
      <c r="M78" s="294">
        <v>330</v>
      </c>
      <c r="N78" s="294">
        <v>187</v>
      </c>
      <c r="O78" s="294">
        <v>101</v>
      </c>
      <c r="P78" s="294">
        <v>101</v>
      </c>
      <c r="Q78" s="294">
        <v>98</v>
      </c>
      <c r="R78" s="294">
        <v>91</v>
      </c>
      <c r="S78" s="294">
        <v>78</v>
      </c>
      <c r="T78" s="294">
        <v>55</v>
      </c>
      <c r="U78" s="294">
        <v>24</v>
      </c>
      <c r="V78" s="294">
        <v>3</v>
      </c>
      <c r="W78" s="294">
        <v>0</v>
      </c>
      <c r="X78" s="294">
        <v>0</v>
      </c>
      <c r="Y78" s="294">
        <v>0</v>
      </c>
      <c r="Z78" s="294">
        <v>0</v>
      </c>
      <c r="AA78" s="294">
        <v>0</v>
      </c>
      <c r="AB78" s="295">
        <v>0</v>
      </c>
    </row>
    <row r="79" spans="1:28" ht="15" customHeight="1">
      <c r="A79" s="268" t="s">
        <v>70</v>
      </c>
      <c r="B79" s="269" t="s">
        <v>170</v>
      </c>
      <c r="C79" s="270"/>
      <c r="D79" s="271"/>
      <c r="E79" s="288">
        <v>0</v>
      </c>
      <c r="F79" s="288">
        <v>0</v>
      </c>
      <c r="G79" s="288">
        <v>0</v>
      </c>
      <c r="H79" s="288">
        <v>0</v>
      </c>
      <c r="I79" s="288">
        <v>0</v>
      </c>
      <c r="J79" s="288">
        <v>282</v>
      </c>
      <c r="K79" s="288">
        <v>441</v>
      </c>
      <c r="L79" s="288">
        <v>494</v>
      </c>
      <c r="M79" s="288">
        <v>459</v>
      </c>
      <c r="N79" s="288">
        <v>356</v>
      </c>
      <c r="O79" s="288">
        <v>204</v>
      </c>
      <c r="P79" s="288">
        <v>40</v>
      </c>
      <c r="Q79" s="288">
        <v>0</v>
      </c>
      <c r="R79" s="288">
        <v>0</v>
      </c>
      <c r="S79" s="288">
        <v>0</v>
      </c>
      <c r="T79" s="288">
        <v>0</v>
      </c>
      <c r="U79" s="288">
        <v>0</v>
      </c>
      <c r="V79" s="288">
        <v>-1</v>
      </c>
      <c r="W79" s="288">
        <v>0</v>
      </c>
      <c r="X79" s="288">
        <v>0</v>
      </c>
      <c r="Y79" s="288">
        <v>0</v>
      </c>
      <c r="Z79" s="288">
        <v>0</v>
      </c>
      <c r="AA79" s="288">
        <v>0</v>
      </c>
      <c r="AB79" s="289">
        <v>0</v>
      </c>
    </row>
    <row r="80" spans="1:28" ht="15" customHeight="1">
      <c r="A80" s="272"/>
      <c r="B80" s="273" t="s">
        <v>173</v>
      </c>
      <c r="C80" s="274"/>
      <c r="D80" s="275"/>
      <c r="E80" s="291">
        <v>1</v>
      </c>
      <c r="F80" s="291">
        <v>1</v>
      </c>
      <c r="G80" s="291">
        <v>1</v>
      </c>
      <c r="H80" s="291">
        <v>1</v>
      </c>
      <c r="I80" s="291">
        <v>1</v>
      </c>
      <c r="J80" s="291">
        <v>1</v>
      </c>
      <c r="K80" s="291">
        <v>1</v>
      </c>
      <c r="L80" s="291">
        <v>1</v>
      </c>
      <c r="M80" s="291">
        <v>1</v>
      </c>
      <c r="N80" s="291">
        <v>1</v>
      </c>
      <c r="O80" s="291">
        <v>1</v>
      </c>
      <c r="P80" s="291">
        <v>1</v>
      </c>
      <c r="Q80" s="291">
        <v>1</v>
      </c>
      <c r="R80" s="291">
        <v>1</v>
      </c>
      <c r="S80" s="291">
        <v>1</v>
      </c>
      <c r="T80" s="291">
        <v>1</v>
      </c>
      <c r="U80" s="291">
        <v>1</v>
      </c>
      <c r="V80" s="291">
        <v>1</v>
      </c>
      <c r="W80" s="291">
        <v>1</v>
      </c>
      <c r="X80" s="291">
        <v>1</v>
      </c>
      <c r="Y80" s="291">
        <v>1</v>
      </c>
      <c r="Z80" s="291">
        <v>1</v>
      </c>
      <c r="AA80" s="291">
        <v>1</v>
      </c>
      <c r="AB80" s="292">
        <v>1</v>
      </c>
    </row>
    <row r="81" spans="1:28" ht="15" customHeight="1" thickBot="1">
      <c r="A81" s="276"/>
      <c r="B81" s="277" t="s">
        <v>172</v>
      </c>
      <c r="C81" s="278"/>
      <c r="D81" s="279"/>
      <c r="E81" s="294">
        <v>0</v>
      </c>
      <c r="F81" s="294">
        <v>0</v>
      </c>
      <c r="G81" s="294">
        <v>0</v>
      </c>
      <c r="H81" s="294">
        <v>0</v>
      </c>
      <c r="I81" s="294">
        <v>0</v>
      </c>
      <c r="J81" s="294">
        <v>301</v>
      </c>
      <c r="K81" s="294">
        <v>488</v>
      </c>
      <c r="L81" s="294">
        <v>566</v>
      </c>
      <c r="M81" s="294">
        <v>547</v>
      </c>
      <c r="N81" s="294">
        <v>453</v>
      </c>
      <c r="O81" s="294">
        <v>305</v>
      </c>
      <c r="P81" s="294">
        <v>141</v>
      </c>
      <c r="Q81" s="294">
        <v>98</v>
      </c>
      <c r="R81" s="294">
        <v>91</v>
      </c>
      <c r="S81" s="294">
        <v>78</v>
      </c>
      <c r="T81" s="294">
        <v>55</v>
      </c>
      <c r="U81" s="294">
        <v>24</v>
      </c>
      <c r="V81" s="294">
        <v>2</v>
      </c>
      <c r="W81" s="294">
        <v>0</v>
      </c>
      <c r="X81" s="294">
        <v>0</v>
      </c>
      <c r="Y81" s="294">
        <v>0</v>
      </c>
      <c r="Z81" s="294">
        <v>0</v>
      </c>
      <c r="AA81" s="294">
        <v>0</v>
      </c>
      <c r="AB81" s="295">
        <v>0</v>
      </c>
    </row>
    <row r="82" spans="1:28" ht="15" customHeight="1">
      <c r="A82" s="268" t="s">
        <v>71</v>
      </c>
      <c r="B82" s="269" t="s">
        <v>170</v>
      </c>
      <c r="C82" s="270"/>
      <c r="D82" s="271"/>
      <c r="E82" s="288">
        <v>0</v>
      </c>
      <c r="F82" s="288">
        <v>0</v>
      </c>
      <c r="G82" s="288">
        <v>0</v>
      </c>
      <c r="H82" s="288">
        <v>0</v>
      </c>
      <c r="I82" s="288">
        <v>0</v>
      </c>
      <c r="J82" s="288">
        <v>42</v>
      </c>
      <c r="K82" s="288">
        <v>164</v>
      </c>
      <c r="L82" s="288">
        <v>284</v>
      </c>
      <c r="M82" s="288">
        <v>360</v>
      </c>
      <c r="N82" s="288">
        <v>381</v>
      </c>
      <c r="O82" s="288">
        <v>353</v>
      </c>
      <c r="P82" s="288">
        <v>283</v>
      </c>
      <c r="Q82" s="288">
        <v>183</v>
      </c>
      <c r="R82" s="288">
        <v>74</v>
      </c>
      <c r="S82" s="288">
        <v>0</v>
      </c>
      <c r="T82" s="288">
        <v>0</v>
      </c>
      <c r="U82" s="288">
        <v>0</v>
      </c>
      <c r="V82" s="288">
        <v>-3</v>
      </c>
      <c r="W82" s="288">
        <v>0</v>
      </c>
      <c r="X82" s="288">
        <v>0</v>
      </c>
      <c r="Y82" s="288">
        <v>0</v>
      </c>
      <c r="Z82" s="288">
        <v>0</v>
      </c>
      <c r="AA82" s="288">
        <v>0</v>
      </c>
      <c r="AB82" s="289">
        <v>0</v>
      </c>
    </row>
    <row r="83" spans="1:28" ht="15" customHeight="1">
      <c r="A83" s="272"/>
      <c r="B83" s="273" t="s">
        <v>171</v>
      </c>
      <c r="C83" s="274"/>
      <c r="D83" s="275"/>
      <c r="E83" s="291">
        <v>1</v>
      </c>
      <c r="F83" s="291">
        <v>1</v>
      </c>
      <c r="G83" s="291">
        <v>1</v>
      </c>
      <c r="H83" s="291">
        <v>1</v>
      </c>
      <c r="I83" s="291">
        <v>1</v>
      </c>
      <c r="J83" s="291">
        <v>1</v>
      </c>
      <c r="K83" s="291">
        <v>1</v>
      </c>
      <c r="L83" s="291">
        <v>1</v>
      </c>
      <c r="M83" s="291">
        <v>1</v>
      </c>
      <c r="N83" s="291">
        <v>1</v>
      </c>
      <c r="O83" s="291">
        <v>1</v>
      </c>
      <c r="P83" s="291">
        <v>1</v>
      </c>
      <c r="Q83" s="291">
        <v>1</v>
      </c>
      <c r="R83" s="291">
        <v>1</v>
      </c>
      <c r="S83" s="291">
        <v>1</v>
      </c>
      <c r="T83" s="291">
        <v>1</v>
      </c>
      <c r="U83" s="291">
        <v>1</v>
      </c>
      <c r="V83" s="291">
        <v>1</v>
      </c>
      <c r="W83" s="291">
        <v>1</v>
      </c>
      <c r="X83" s="291">
        <v>1</v>
      </c>
      <c r="Y83" s="291">
        <v>1</v>
      </c>
      <c r="Z83" s="291">
        <v>1</v>
      </c>
      <c r="AA83" s="291">
        <v>1</v>
      </c>
      <c r="AB83" s="292">
        <v>1</v>
      </c>
    </row>
    <row r="84" spans="1:28" ht="15" customHeight="1" thickBot="1">
      <c r="A84" s="276"/>
      <c r="B84" s="277" t="s">
        <v>172</v>
      </c>
      <c r="C84" s="278"/>
      <c r="D84" s="279"/>
      <c r="E84" s="294">
        <v>0</v>
      </c>
      <c r="F84" s="294">
        <v>0</v>
      </c>
      <c r="G84" s="294">
        <v>0</v>
      </c>
      <c r="H84" s="294">
        <v>0</v>
      </c>
      <c r="I84" s="294">
        <v>0</v>
      </c>
      <c r="J84" s="294">
        <v>61</v>
      </c>
      <c r="K84" s="294">
        <v>211</v>
      </c>
      <c r="L84" s="294">
        <v>356</v>
      </c>
      <c r="M84" s="294">
        <v>448</v>
      </c>
      <c r="N84" s="294">
        <v>478</v>
      </c>
      <c r="O84" s="294">
        <v>454</v>
      </c>
      <c r="P84" s="294">
        <v>384</v>
      </c>
      <c r="Q84" s="294">
        <v>281</v>
      </c>
      <c r="R84" s="294">
        <v>165</v>
      </c>
      <c r="S84" s="294">
        <v>78</v>
      </c>
      <c r="T84" s="294">
        <v>55</v>
      </c>
      <c r="U84" s="294">
        <v>24</v>
      </c>
      <c r="V84" s="294">
        <v>0</v>
      </c>
      <c r="W84" s="294">
        <v>0</v>
      </c>
      <c r="X84" s="294">
        <v>0</v>
      </c>
      <c r="Y84" s="294">
        <v>0</v>
      </c>
      <c r="Z84" s="294">
        <v>0</v>
      </c>
      <c r="AA84" s="294">
        <v>0</v>
      </c>
      <c r="AB84" s="295">
        <v>0</v>
      </c>
    </row>
    <row r="85" spans="1:28" ht="15" customHeight="1">
      <c r="A85" s="268" t="s">
        <v>72</v>
      </c>
      <c r="B85" s="269" t="s">
        <v>170</v>
      </c>
      <c r="C85" s="270"/>
      <c r="D85" s="271"/>
      <c r="E85" s="288">
        <v>0</v>
      </c>
      <c r="F85" s="288">
        <v>0</v>
      </c>
      <c r="G85" s="288">
        <v>0</v>
      </c>
      <c r="H85" s="288">
        <v>0</v>
      </c>
      <c r="I85" s="288">
        <v>0</v>
      </c>
      <c r="J85" s="288">
        <v>0</v>
      </c>
      <c r="K85" s="288">
        <v>0</v>
      </c>
      <c r="L85" s="288">
        <v>0</v>
      </c>
      <c r="M85" s="288">
        <v>0</v>
      </c>
      <c r="N85" s="288">
        <v>73</v>
      </c>
      <c r="O85" s="288">
        <v>226</v>
      </c>
      <c r="P85" s="288">
        <v>335</v>
      </c>
      <c r="Q85" s="288">
        <v>382</v>
      </c>
      <c r="R85" s="288">
        <v>382</v>
      </c>
      <c r="S85" s="288">
        <v>325</v>
      </c>
      <c r="T85" s="288">
        <v>221</v>
      </c>
      <c r="U85" s="288">
        <v>107</v>
      </c>
      <c r="V85" s="288">
        <v>-3</v>
      </c>
      <c r="W85" s="288">
        <v>0</v>
      </c>
      <c r="X85" s="288">
        <v>0</v>
      </c>
      <c r="Y85" s="288">
        <v>0</v>
      </c>
      <c r="Z85" s="288">
        <v>0</v>
      </c>
      <c r="AA85" s="288">
        <v>0</v>
      </c>
      <c r="AB85" s="289">
        <v>0</v>
      </c>
    </row>
    <row r="86" spans="1:28" ht="15" customHeight="1">
      <c r="A86" s="272"/>
      <c r="B86" s="273" t="s">
        <v>171</v>
      </c>
      <c r="C86" s="274"/>
      <c r="D86" s="275"/>
      <c r="E86" s="291">
        <v>1</v>
      </c>
      <c r="F86" s="291">
        <v>1</v>
      </c>
      <c r="G86" s="291">
        <v>1</v>
      </c>
      <c r="H86" s="291">
        <v>1</v>
      </c>
      <c r="I86" s="291">
        <v>1</v>
      </c>
      <c r="J86" s="291">
        <v>1</v>
      </c>
      <c r="K86" s="291">
        <v>1</v>
      </c>
      <c r="L86" s="291">
        <v>1</v>
      </c>
      <c r="M86" s="291">
        <v>1</v>
      </c>
      <c r="N86" s="291">
        <v>1</v>
      </c>
      <c r="O86" s="291">
        <v>1</v>
      </c>
      <c r="P86" s="291">
        <v>1</v>
      </c>
      <c r="Q86" s="291">
        <v>1</v>
      </c>
      <c r="R86" s="291">
        <v>1</v>
      </c>
      <c r="S86" s="291">
        <v>1</v>
      </c>
      <c r="T86" s="291">
        <v>1</v>
      </c>
      <c r="U86" s="291">
        <v>1</v>
      </c>
      <c r="V86" s="291">
        <v>1</v>
      </c>
      <c r="W86" s="291">
        <v>1</v>
      </c>
      <c r="X86" s="291">
        <v>1</v>
      </c>
      <c r="Y86" s="291">
        <v>1</v>
      </c>
      <c r="Z86" s="291">
        <v>1</v>
      </c>
      <c r="AA86" s="291">
        <v>1</v>
      </c>
      <c r="AB86" s="292">
        <v>1</v>
      </c>
    </row>
    <row r="87" spans="1:28" ht="15" customHeight="1" thickBot="1">
      <c r="A87" s="276"/>
      <c r="B87" s="277" t="s">
        <v>172</v>
      </c>
      <c r="C87" s="278"/>
      <c r="D87" s="279"/>
      <c r="E87" s="294">
        <v>0</v>
      </c>
      <c r="F87" s="294">
        <v>0</v>
      </c>
      <c r="G87" s="294">
        <v>0</v>
      </c>
      <c r="H87" s="294">
        <v>0</v>
      </c>
      <c r="I87" s="294">
        <v>0</v>
      </c>
      <c r="J87" s="294">
        <v>19</v>
      </c>
      <c r="K87" s="294">
        <v>47</v>
      </c>
      <c r="L87" s="294">
        <v>72</v>
      </c>
      <c r="M87" s="294">
        <v>88</v>
      </c>
      <c r="N87" s="294">
        <v>170</v>
      </c>
      <c r="O87" s="294">
        <v>327</v>
      </c>
      <c r="P87" s="294">
        <v>436</v>
      </c>
      <c r="Q87" s="294">
        <v>480</v>
      </c>
      <c r="R87" s="294">
        <v>473</v>
      </c>
      <c r="S87" s="294">
        <v>403</v>
      </c>
      <c r="T87" s="294">
        <v>276</v>
      </c>
      <c r="U87" s="294">
        <v>131</v>
      </c>
      <c r="V87" s="294">
        <v>0</v>
      </c>
      <c r="W87" s="294">
        <v>0</v>
      </c>
      <c r="X87" s="294">
        <v>0</v>
      </c>
      <c r="Y87" s="294">
        <v>0</v>
      </c>
      <c r="Z87" s="294">
        <v>0</v>
      </c>
      <c r="AA87" s="294">
        <v>0</v>
      </c>
      <c r="AB87" s="295">
        <v>0</v>
      </c>
    </row>
    <row r="88" spans="1:28" ht="15" customHeight="1">
      <c r="A88" s="268" t="s">
        <v>73</v>
      </c>
      <c r="B88" s="269" t="s">
        <v>170</v>
      </c>
      <c r="C88" s="270"/>
      <c r="D88" s="271"/>
      <c r="E88" s="288">
        <v>0</v>
      </c>
      <c r="F88" s="288">
        <v>0</v>
      </c>
      <c r="G88" s="288">
        <v>0</v>
      </c>
      <c r="H88" s="288">
        <v>0</v>
      </c>
      <c r="I88" s="288">
        <v>0</v>
      </c>
      <c r="J88" s="288">
        <v>0</v>
      </c>
      <c r="K88" s="288">
        <v>0</v>
      </c>
      <c r="L88" s="288">
        <v>0</v>
      </c>
      <c r="M88" s="288">
        <v>0</v>
      </c>
      <c r="N88" s="288">
        <v>0</v>
      </c>
      <c r="O88" s="288">
        <v>0</v>
      </c>
      <c r="P88" s="288">
        <v>98</v>
      </c>
      <c r="Q88" s="288">
        <v>304</v>
      </c>
      <c r="R88" s="288">
        <v>443</v>
      </c>
      <c r="S88" s="288">
        <v>485</v>
      </c>
      <c r="T88" s="288">
        <v>419</v>
      </c>
      <c r="U88" s="288">
        <v>267</v>
      </c>
      <c r="V88" s="288">
        <v>0</v>
      </c>
      <c r="W88" s="288">
        <v>0</v>
      </c>
      <c r="X88" s="288">
        <v>0</v>
      </c>
      <c r="Y88" s="288">
        <v>0</v>
      </c>
      <c r="Z88" s="288">
        <v>0</v>
      </c>
      <c r="AA88" s="288">
        <v>0</v>
      </c>
      <c r="AB88" s="289">
        <v>0</v>
      </c>
    </row>
    <row r="89" spans="1:28" ht="15" customHeight="1">
      <c r="A89" s="272"/>
      <c r="B89" s="273" t="s">
        <v>171</v>
      </c>
      <c r="C89" s="274"/>
      <c r="D89" s="275"/>
      <c r="E89" s="291">
        <v>1</v>
      </c>
      <c r="F89" s="291">
        <v>1</v>
      </c>
      <c r="G89" s="291">
        <v>1</v>
      </c>
      <c r="H89" s="291">
        <v>1</v>
      </c>
      <c r="I89" s="291">
        <v>1</v>
      </c>
      <c r="J89" s="291">
        <v>1</v>
      </c>
      <c r="K89" s="291">
        <v>1</v>
      </c>
      <c r="L89" s="291">
        <v>1</v>
      </c>
      <c r="M89" s="291">
        <v>1</v>
      </c>
      <c r="N89" s="291">
        <v>1</v>
      </c>
      <c r="O89" s="291">
        <v>1</v>
      </c>
      <c r="P89" s="291">
        <v>1</v>
      </c>
      <c r="Q89" s="291">
        <v>1</v>
      </c>
      <c r="R89" s="291">
        <v>1</v>
      </c>
      <c r="S89" s="291">
        <v>1</v>
      </c>
      <c r="T89" s="291">
        <v>1</v>
      </c>
      <c r="U89" s="291">
        <v>1</v>
      </c>
      <c r="V89" s="291">
        <v>1</v>
      </c>
      <c r="W89" s="291">
        <v>1</v>
      </c>
      <c r="X89" s="291">
        <v>1</v>
      </c>
      <c r="Y89" s="291">
        <v>1</v>
      </c>
      <c r="Z89" s="291">
        <v>1</v>
      </c>
      <c r="AA89" s="291">
        <v>1</v>
      </c>
      <c r="AB89" s="292">
        <v>1</v>
      </c>
    </row>
    <row r="90" spans="1:28" ht="15" customHeight="1" thickBot="1">
      <c r="A90" s="276"/>
      <c r="B90" s="277" t="s">
        <v>172</v>
      </c>
      <c r="C90" s="278"/>
      <c r="D90" s="279"/>
      <c r="E90" s="294">
        <v>0</v>
      </c>
      <c r="F90" s="294">
        <v>0</v>
      </c>
      <c r="G90" s="294">
        <v>0</v>
      </c>
      <c r="H90" s="294">
        <v>0</v>
      </c>
      <c r="I90" s="294">
        <v>0</v>
      </c>
      <c r="J90" s="294">
        <v>19</v>
      </c>
      <c r="K90" s="294">
        <v>47</v>
      </c>
      <c r="L90" s="294">
        <v>72</v>
      </c>
      <c r="M90" s="294">
        <v>88</v>
      </c>
      <c r="N90" s="294">
        <v>97</v>
      </c>
      <c r="O90" s="294">
        <v>101</v>
      </c>
      <c r="P90" s="294">
        <v>199</v>
      </c>
      <c r="Q90" s="294">
        <v>402</v>
      </c>
      <c r="R90" s="294">
        <v>534</v>
      </c>
      <c r="S90" s="294">
        <v>563</v>
      </c>
      <c r="T90" s="294">
        <v>474</v>
      </c>
      <c r="U90" s="294">
        <v>291</v>
      </c>
      <c r="V90" s="294">
        <v>3</v>
      </c>
      <c r="W90" s="294">
        <v>0</v>
      </c>
      <c r="X90" s="294">
        <v>0</v>
      </c>
      <c r="Y90" s="294">
        <v>0</v>
      </c>
      <c r="Z90" s="294">
        <v>0</v>
      </c>
      <c r="AA90" s="294">
        <v>0</v>
      </c>
      <c r="AB90" s="295">
        <v>0</v>
      </c>
    </row>
    <row r="91" spans="1:28" ht="15" customHeight="1">
      <c r="A91" s="268" t="s">
        <v>74</v>
      </c>
      <c r="B91" s="269" t="s">
        <v>170</v>
      </c>
      <c r="C91" s="270"/>
      <c r="D91" s="271"/>
      <c r="E91" s="288">
        <v>0</v>
      </c>
      <c r="F91" s="288">
        <v>0</v>
      </c>
      <c r="G91" s="288">
        <v>0</v>
      </c>
      <c r="H91" s="288">
        <v>0</v>
      </c>
      <c r="I91" s="288">
        <v>0</v>
      </c>
      <c r="J91" s="288">
        <v>0</v>
      </c>
      <c r="K91" s="288">
        <v>0</v>
      </c>
      <c r="L91" s="288">
        <v>0</v>
      </c>
      <c r="M91" s="288">
        <v>0</v>
      </c>
      <c r="N91" s="288">
        <v>0</v>
      </c>
      <c r="O91" s="288">
        <v>0</v>
      </c>
      <c r="P91" s="288">
        <v>0</v>
      </c>
      <c r="Q91" s="288">
        <v>0</v>
      </c>
      <c r="R91" s="288">
        <v>133</v>
      </c>
      <c r="S91" s="288">
        <v>300</v>
      </c>
      <c r="T91" s="288">
        <v>342</v>
      </c>
      <c r="U91" s="288">
        <v>258</v>
      </c>
      <c r="V91" s="288">
        <v>0</v>
      </c>
      <c r="W91" s="288">
        <v>0</v>
      </c>
      <c r="X91" s="288">
        <v>0</v>
      </c>
      <c r="Y91" s="288">
        <v>0</v>
      </c>
      <c r="Z91" s="288">
        <v>0</v>
      </c>
      <c r="AA91" s="288">
        <v>0</v>
      </c>
      <c r="AB91" s="289">
        <v>0</v>
      </c>
    </row>
    <row r="92" spans="1:28" ht="15" customHeight="1">
      <c r="A92" s="272"/>
      <c r="B92" s="273" t="s">
        <v>173</v>
      </c>
      <c r="C92" s="274"/>
      <c r="D92" s="275"/>
      <c r="E92" s="291">
        <v>1</v>
      </c>
      <c r="F92" s="291">
        <v>1</v>
      </c>
      <c r="G92" s="291">
        <v>1</v>
      </c>
      <c r="H92" s="291">
        <v>1</v>
      </c>
      <c r="I92" s="291">
        <v>1</v>
      </c>
      <c r="J92" s="291">
        <v>1</v>
      </c>
      <c r="K92" s="291">
        <v>1</v>
      </c>
      <c r="L92" s="291">
        <v>1</v>
      </c>
      <c r="M92" s="291">
        <v>1</v>
      </c>
      <c r="N92" s="291">
        <v>1</v>
      </c>
      <c r="O92" s="291">
        <v>1</v>
      </c>
      <c r="P92" s="291">
        <v>1</v>
      </c>
      <c r="Q92" s="291">
        <v>1</v>
      </c>
      <c r="R92" s="291">
        <v>1</v>
      </c>
      <c r="S92" s="291">
        <v>1</v>
      </c>
      <c r="T92" s="291">
        <v>1</v>
      </c>
      <c r="U92" s="291">
        <v>1</v>
      </c>
      <c r="V92" s="291">
        <v>1</v>
      </c>
      <c r="W92" s="291">
        <v>1</v>
      </c>
      <c r="X92" s="291">
        <v>1</v>
      </c>
      <c r="Y92" s="291">
        <v>1</v>
      </c>
      <c r="Z92" s="291">
        <v>1</v>
      </c>
      <c r="AA92" s="291">
        <v>1</v>
      </c>
      <c r="AB92" s="292">
        <v>1</v>
      </c>
    </row>
    <row r="93" spans="1:28" ht="15" customHeight="1" thickBot="1">
      <c r="A93" s="276"/>
      <c r="B93" s="277" t="s">
        <v>172</v>
      </c>
      <c r="C93" s="278"/>
      <c r="D93" s="279"/>
      <c r="E93" s="294">
        <v>0</v>
      </c>
      <c r="F93" s="294">
        <v>0</v>
      </c>
      <c r="G93" s="294">
        <v>0</v>
      </c>
      <c r="H93" s="294">
        <v>0</v>
      </c>
      <c r="I93" s="294">
        <v>0</v>
      </c>
      <c r="J93" s="294">
        <v>19</v>
      </c>
      <c r="K93" s="294">
        <v>47</v>
      </c>
      <c r="L93" s="294">
        <v>72</v>
      </c>
      <c r="M93" s="294">
        <v>88</v>
      </c>
      <c r="N93" s="294">
        <v>97</v>
      </c>
      <c r="O93" s="294">
        <v>101</v>
      </c>
      <c r="P93" s="294">
        <v>101</v>
      </c>
      <c r="Q93" s="294">
        <v>98</v>
      </c>
      <c r="R93" s="294">
        <v>224</v>
      </c>
      <c r="S93" s="294">
        <v>378</v>
      </c>
      <c r="T93" s="294">
        <v>397</v>
      </c>
      <c r="U93" s="294">
        <v>282</v>
      </c>
      <c r="V93" s="294">
        <v>3</v>
      </c>
      <c r="W93" s="294">
        <v>0</v>
      </c>
      <c r="X93" s="294">
        <v>0</v>
      </c>
      <c r="Y93" s="294">
        <v>0</v>
      </c>
      <c r="Z93" s="294">
        <v>0</v>
      </c>
      <c r="AA93" s="294">
        <v>0</v>
      </c>
      <c r="AB93" s="295">
        <v>0</v>
      </c>
    </row>
    <row r="94" spans="1:28" ht="15" customHeight="1">
      <c r="A94" s="280" t="s">
        <v>75</v>
      </c>
      <c r="B94" s="269" t="s">
        <v>170</v>
      </c>
      <c r="C94" s="270"/>
      <c r="D94" s="271"/>
      <c r="E94" s="288">
        <v>0</v>
      </c>
      <c r="F94" s="288">
        <v>0</v>
      </c>
      <c r="G94" s="288">
        <v>0</v>
      </c>
      <c r="H94" s="288">
        <v>0</v>
      </c>
      <c r="I94" s="288">
        <v>0</v>
      </c>
      <c r="J94" s="288">
        <v>0</v>
      </c>
      <c r="K94" s="288">
        <v>0</v>
      </c>
      <c r="L94" s="288">
        <v>0</v>
      </c>
      <c r="M94" s="288">
        <v>0</v>
      </c>
      <c r="N94" s="288">
        <v>0</v>
      </c>
      <c r="O94" s="288">
        <v>0</v>
      </c>
      <c r="P94" s="288">
        <v>0</v>
      </c>
      <c r="Q94" s="288">
        <v>0</v>
      </c>
      <c r="R94" s="288">
        <v>0</v>
      </c>
      <c r="S94" s="288">
        <v>0</v>
      </c>
      <c r="T94" s="288">
        <v>0</v>
      </c>
      <c r="U94" s="288">
        <v>15</v>
      </c>
      <c r="V94" s="288">
        <v>0</v>
      </c>
      <c r="W94" s="288">
        <v>0</v>
      </c>
      <c r="X94" s="288">
        <v>0</v>
      </c>
      <c r="Y94" s="288">
        <v>0</v>
      </c>
      <c r="Z94" s="288">
        <v>0</v>
      </c>
      <c r="AA94" s="288">
        <v>0</v>
      </c>
      <c r="AB94" s="289">
        <v>0</v>
      </c>
    </row>
    <row r="95" spans="1:28" ht="15" customHeight="1">
      <c r="A95" s="281"/>
      <c r="B95" s="273" t="s">
        <v>171</v>
      </c>
      <c r="C95" s="274"/>
      <c r="D95" s="275"/>
      <c r="E95" s="291">
        <v>1</v>
      </c>
      <c r="F95" s="291">
        <v>1</v>
      </c>
      <c r="G95" s="291">
        <v>1</v>
      </c>
      <c r="H95" s="291">
        <v>1</v>
      </c>
      <c r="I95" s="291">
        <v>1</v>
      </c>
      <c r="J95" s="291">
        <v>1</v>
      </c>
      <c r="K95" s="291">
        <v>1</v>
      </c>
      <c r="L95" s="291">
        <v>1</v>
      </c>
      <c r="M95" s="291">
        <v>1</v>
      </c>
      <c r="N95" s="291">
        <v>1</v>
      </c>
      <c r="O95" s="291">
        <v>1</v>
      </c>
      <c r="P95" s="291">
        <v>1</v>
      </c>
      <c r="Q95" s="291">
        <v>1</v>
      </c>
      <c r="R95" s="291">
        <v>1</v>
      </c>
      <c r="S95" s="291">
        <v>1</v>
      </c>
      <c r="T95" s="291">
        <v>1</v>
      </c>
      <c r="U95" s="291">
        <v>1</v>
      </c>
      <c r="V95" s="291">
        <v>1</v>
      </c>
      <c r="W95" s="291">
        <v>1</v>
      </c>
      <c r="X95" s="291">
        <v>1</v>
      </c>
      <c r="Y95" s="291">
        <v>1</v>
      </c>
      <c r="Z95" s="291">
        <v>1</v>
      </c>
      <c r="AA95" s="291">
        <v>1</v>
      </c>
      <c r="AB95" s="292">
        <v>1</v>
      </c>
    </row>
    <row r="96" spans="1:28" ht="15" customHeight="1" thickBot="1">
      <c r="A96" s="282"/>
      <c r="B96" s="277" t="s">
        <v>172</v>
      </c>
      <c r="C96" s="278"/>
      <c r="D96" s="279"/>
      <c r="E96" s="294">
        <v>0</v>
      </c>
      <c r="F96" s="294">
        <v>0</v>
      </c>
      <c r="G96" s="294">
        <v>0</v>
      </c>
      <c r="H96" s="294">
        <v>0</v>
      </c>
      <c r="I96" s="294">
        <v>0</v>
      </c>
      <c r="J96" s="294">
        <v>19</v>
      </c>
      <c r="K96" s="294">
        <v>47</v>
      </c>
      <c r="L96" s="294">
        <v>72</v>
      </c>
      <c r="M96" s="294">
        <v>88</v>
      </c>
      <c r="N96" s="294">
        <v>97</v>
      </c>
      <c r="O96" s="294">
        <v>101</v>
      </c>
      <c r="P96" s="294">
        <v>101</v>
      </c>
      <c r="Q96" s="294">
        <v>98</v>
      </c>
      <c r="R96" s="294">
        <v>91</v>
      </c>
      <c r="S96" s="294">
        <v>78</v>
      </c>
      <c r="T96" s="294">
        <v>55</v>
      </c>
      <c r="U96" s="294">
        <v>39</v>
      </c>
      <c r="V96" s="294">
        <v>3</v>
      </c>
      <c r="W96" s="294">
        <v>0</v>
      </c>
      <c r="X96" s="294">
        <v>0</v>
      </c>
      <c r="Y96" s="294">
        <v>0</v>
      </c>
      <c r="Z96" s="294">
        <v>0</v>
      </c>
      <c r="AA96" s="294">
        <v>0</v>
      </c>
      <c r="AB96" s="295">
        <v>0</v>
      </c>
    </row>
  </sheetData>
  <mergeCells count="108">
    <mergeCell ref="A94:A96"/>
    <mergeCell ref="B94:D94"/>
    <mergeCell ref="B95:D95"/>
    <mergeCell ref="B96:D96"/>
    <mergeCell ref="A88:A90"/>
    <mergeCell ref="B88:D88"/>
    <mergeCell ref="B89:D89"/>
    <mergeCell ref="B90:D90"/>
    <mergeCell ref="A91:A93"/>
    <mergeCell ref="B91:D91"/>
    <mergeCell ref="B92:D92"/>
    <mergeCell ref="B93:D93"/>
    <mergeCell ref="A82:A84"/>
    <mergeCell ref="B82:D82"/>
    <mergeCell ref="B83:D83"/>
    <mergeCell ref="B84:D84"/>
    <mergeCell ref="A85:A87"/>
    <mergeCell ref="B85:D85"/>
    <mergeCell ref="B86:D86"/>
    <mergeCell ref="B87:D87"/>
    <mergeCell ref="A76:A78"/>
    <mergeCell ref="B76:D76"/>
    <mergeCell ref="B77:D77"/>
    <mergeCell ref="B78:D78"/>
    <mergeCell ref="A79:A81"/>
    <mergeCell ref="B79:D79"/>
    <mergeCell ref="B80:D80"/>
    <mergeCell ref="B81:D81"/>
    <mergeCell ref="B71:D71"/>
    <mergeCell ref="B72:D72"/>
    <mergeCell ref="A73:A75"/>
    <mergeCell ref="B73:D73"/>
    <mergeCell ref="B74:D74"/>
    <mergeCell ref="B75:D75"/>
    <mergeCell ref="A65:A67"/>
    <mergeCell ref="B65:D65"/>
    <mergeCell ref="B66:D66"/>
    <mergeCell ref="B67:D67"/>
    <mergeCell ref="B69:D69"/>
    <mergeCell ref="B70:D70"/>
    <mergeCell ref="A59:A61"/>
    <mergeCell ref="B59:D59"/>
    <mergeCell ref="B60:D60"/>
    <mergeCell ref="B61:D61"/>
    <mergeCell ref="A62:A64"/>
    <mergeCell ref="B62:D62"/>
    <mergeCell ref="B63:D63"/>
    <mergeCell ref="B64:D64"/>
    <mergeCell ref="A53:A55"/>
    <mergeCell ref="B53:D53"/>
    <mergeCell ref="B54:D54"/>
    <mergeCell ref="B55:D55"/>
    <mergeCell ref="A56:A58"/>
    <mergeCell ref="B56:D56"/>
    <mergeCell ref="B57:D57"/>
    <mergeCell ref="B58:D58"/>
    <mergeCell ref="A47:A49"/>
    <mergeCell ref="B47:D47"/>
    <mergeCell ref="B48:D48"/>
    <mergeCell ref="B49:D49"/>
    <mergeCell ref="A50:A52"/>
    <mergeCell ref="B50:D50"/>
    <mergeCell ref="B51:D51"/>
    <mergeCell ref="B52:D52"/>
    <mergeCell ref="B42:D42"/>
    <mergeCell ref="B43:D43"/>
    <mergeCell ref="A44:A46"/>
    <mergeCell ref="B44:D44"/>
    <mergeCell ref="B45:D45"/>
    <mergeCell ref="B46:D46"/>
    <mergeCell ref="A36:A38"/>
    <mergeCell ref="B36:D36"/>
    <mergeCell ref="B37:D37"/>
    <mergeCell ref="B38:D38"/>
    <mergeCell ref="B40:D40"/>
    <mergeCell ref="B41:D41"/>
    <mergeCell ref="A30:A32"/>
    <mergeCell ref="B30:D30"/>
    <mergeCell ref="B31:D31"/>
    <mergeCell ref="B32:D32"/>
    <mergeCell ref="A33:A35"/>
    <mergeCell ref="B33:D33"/>
    <mergeCell ref="B34:D34"/>
    <mergeCell ref="B35:D35"/>
    <mergeCell ref="A24:A26"/>
    <mergeCell ref="B24:D24"/>
    <mergeCell ref="B25:D25"/>
    <mergeCell ref="B26:D26"/>
    <mergeCell ref="A27:A29"/>
    <mergeCell ref="B27:D27"/>
    <mergeCell ref="B28:D28"/>
    <mergeCell ref="B29:D29"/>
    <mergeCell ref="A18:A20"/>
    <mergeCell ref="B18:D18"/>
    <mergeCell ref="B19:D19"/>
    <mergeCell ref="B20:D20"/>
    <mergeCell ref="A21:A23"/>
    <mergeCell ref="B21:D21"/>
    <mergeCell ref="B22:D22"/>
    <mergeCell ref="B23:D23"/>
    <mergeCell ref="B11:D11"/>
    <mergeCell ref="B12:D12"/>
    <mergeCell ref="B13:D13"/>
    <mergeCell ref="B14:D14"/>
    <mergeCell ref="A15:A17"/>
    <mergeCell ref="B15:D15"/>
    <mergeCell ref="B16:D16"/>
    <mergeCell ref="B17:D17"/>
  </mergeCells>
  <phoneticPr fontId="4"/>
  <printOptions horizontalCentered="1"/>
  <pageMargins left="0.59055118110236227" right="0.47244094488188981" top="0.98425196850393704" bottom="0.39370078740157483" header="0.78740157480314965" footer="0.15748031496062992"/>
  <pageSetup paperSize="9" scale="69" fitToHeight="0" orientation="landscape" horizontalDpi="400" verticalDpi="400" r:id="rId1"/>
  <headerFooter scaleWithDoc="0" alignWithMargins="0">
    <oddFooter>&amp;C&amp;"ＭＳ Ｐゴシック,標準"&amp;9( &amp;P / &amp;N )</oddFooter>
  </headerFooter>
  <rowBreaks count="2" manualBreakCount="2">
    <brk id="38" max="16383" man="1"/>
    <brk id="67" max="2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B96"/>
  <sheetViews>
    <sheetView showGridLines="0" zoomScale="80" zoomScaleNormal="80" workbookViewId="0"/>
  </sheetViews>
  <sheetFormatPr defaultColWidth="8.42578125" defaultRowHeight="15" customHeight="1"/>
  <cols>
    <col min="1" max="1" width="7.7109375" style="111" customWidth="1"/>
    <col min="2" max="26" width="7.7109375" style="54" customWidth="1"/>
    <col min="27" max="16384" width="8.42578125" style="54"/>
  </cols>
  <sheetData>
    <row r="1" spans="1:28" s="53" customFormat="1" ht="26.1" customHeight="1">
      <c r="A1" s="236" t="s">
        <v>187</v>
      </c>
      <c r="B1" s="50"/>
      <c r="C1" s="50"/>
      <c r="D1" s="50"/>
      <c r="E1" s="50"/>
      <c r="F1" s="50"/>
      <c r="G1" s="50"/>
      <c r="H1" s="50"/>
      <c r="I1" s="50"/>
      <c r="J1" s="50"/>
      <c r="K1" s="50"/>
      <c r="L1" s="50"/>
      <c r="M1" s="50"/>
      <c r="N1" s="50"/>
      <c r="O1" s="50"/>
      <c r="P1" s="50"/>
      <c r="Q1" s="50"/>
      <c r="R1" s="50"/>
      <c r="S1" s="50"/>
      <c r="T1" s="50"/>
      <c r="U1" s="50"/>
      <c r="V1" s="50"/>
      <c r="W1" s="50"/>
      <c r="X1" s="50"/>
      <c r="Y1" s="50"/>
      <c r="Z1" s="50"/>
      <c r="AA1" s="50"/>
      <c r="AB1" s="52"/>
    </row>
    <row r="2" spans="1:28" ht="15" customHeight="1">
      <c r="V2" s="237"/>
      <c r="W2" s="237"/>
    </row>
    <row r="3" spans="1:28" ht="15" customHeight="1">
      <c r="A3" s="111" t="s">
        <v>153</v>
      </c>
      <c r="C3" s="238" t="s">
        <v>22</v>
      </c>
      <c r="D3" s="238"/>
      <c r="E3" s="61"/>
      <c r="F3" s="61"/>
      <c r="O3" s="61"/>
      <c r="P3" s="61"/>
      <c r="Q3" s="61"/>
      <c r="R3" s="61"/>
      <c r="S3" s="61"/>
      <c r="T3" s="61"/>
      <c r="U3" s="61"/>
      <c r="V3" s="237"/>
      <c r="W3" s="54" t="s">
        <v>154</v>
      </c>
    </row>
    <row r="4" spans="1:28" ht="15" customHeight="1">
      <c r="A4" s="111" t="s">
        <v>155</v>
      </c>
      <c r="C4" s="238" t="s">
        <v>188</v>
      </c>
      <c r="D4" s="238"/>
      <c r="E4" s="61"/>
      <c r="F4" s="61"/>
      <c r="O4" s="239" t="s">
        <v>156</v>
      </c>
      <c r="P4" s="240"/>
      <c r="Q4" s="240"/>
      <c r="R4" s="240"/>
      <c r="S4" s="240"/>
      <c r="T4" s="240"/>
      <c r="U4" s="241"/>
      <c r="V4" s="237"/>
      <c r="W4" s="181" t="s">
        <v>180</v>
      </c>
    </row>
    <row r="5" spans="1:28" ht="15" customHeight="1">
      <c r="O5" s="242" t="s">
        <v>74</v>
      </c>
      <c r="P5" s="243" t="s">
        <v>157</v>
      </c>
      <c r="Q5" s="243" t="s">
        <v>158</v>
      </c>
      <c r="R5" s="243" t="s">
        <v>159</v>
      </c>
      <c r="S5" s="243" t="s">
        <v>160</v>
      </c>
      <c r="T5" s="243" t="s">
        <v>161</v>
      </c>
      <c r="U5" s="244" t="s">
        <v>162</v>
      </c>
      <c r="W5" s="181" t="s">
        <v>181</v>
      </c>
    </row>
    <row r="6" spans="1:28" ht="15" customHeight="1">
      <c r="O6" s="245">
        <v>2200</v>
      </c>
      <c r="P6" s="246">
        <v>2200</v>
      </c>
      <c r="Q6" s="246">
        <v>5600</v>
      </c>
      <c r="R6" s="246">
        <v>3600</v>
      </c>
      <c r="S6" s="246">
        <v>3400</v>
      </c>
      <c r="T6" s="246">
        <v>1500</v>
      </c>
      <c r="U6" s="247">
        <v>1200</v>
      </c>
      <c r="W6" s="181" t="s">
        <v>182</v>
      </c>
    </row>
    <row r="7" spans="1:28" ht="15" customHeight="1">
      <c r="Q7" s="237"/>
      <c r="R7" s="237"/>
      <c r="S7" s="237"/>
      <c r="T7" s="237"/>
      <c r="U7" s="237"/>
      <c r="W7" s="181" t="s">
        <v>183</v>
      </c>
    </row>
    <row r="8" spans="1:28" ht="15" customHeight="1">
      <c r="P8" s="237"/>
      <c r="Q8" s="237"/>
      <c r="R8" s="237"/>
      <c r="S8" s="237"/>
      <c r="T8" s="237"/>
      <c r="U8" s="237"/>
      <c r="W8" s="181" t="s">
        <v>184</v>
      </c>
    </row>
    <row r="9" spans="1:28" ht="15" customHeight="1" thickBot="1">
      <c r="G9" s="54" t="s">
        <v>163</v>
      </c>
      <c r="L9" s="54" t="s">
        <v>164</v>
      </c>
      <c r="P9" s="237"/>
      <c r="Q9" s="237"/>
      <c r="R9" s="237"/>
      <c r="S9" s="237"/>
      <c r="T9" s="237"/>
      <c r="U9" s="237"/>
      <c r="W9" s="86" t="s">
        <v>185</v>
      </c>
    </row>
    <row r="10" spans="1:28" ht="15" customHeight="1">
      <c r="A10" s="248" t="s">
        <v>29</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149"/>
    </row>
    <row r="11" spans="1:28" ht="15" customHeight="1">
      <c r="A11" s="249"/>
      <c r="B11" s="250"/>
      <c r="C11" s="251"/>
      <c r="D11" s="252"/>
      <c r="E11" s="151">
        <v>1</v>
      </c>
      <c r="F11" s="152">
        <v>2</v>
      </c>
      <c r="G11" s="152">
        <v>3</v>
      </c>
      <c r="H11" s="152">
        <v>4</v>
      </c>
      <c r="I11" s="152">
        <v>5</v>
      </c>
      <c r="J11" s="152">
        <v>6</v>
      </c>
      <c r="K11" s="152">
        <v>7</v>
      </c>
      <c r="L11" s="152">
        <v>8</v>
      </c>
      <c r="M11" s="152">
        <v>9</v>
      </c>
      <c r="N11" s="152">
        <v>10</v>
      </c>
      <c r="O11" s="152">
        <v>11</v>
      </c>
      <c r="P11" s="152">
        <v>12</v>
      </c>
      <c r="Q11" s="152">
        <v>13</v>
      </c>
      <c r="R11" s="152">
        <v>14</v>
      </c>
      <c r="S11" s="152">
        <v>15</v>
      </c>
      <c r="T11" s="152">
        <v>16</v>
      </c>
      <c r="U11" s="152">
        <v>17</v>
      </c>
      <c r="V11" s="152">
        <v>18</v>
      </c>
      <c r="W11" s="154">
        <v>19</v>
      </c>
      <c r="X11" s="154">
        <v>20</v>
      </c>
      <c r="Y11" s="154">
        <v>21</v>
      </c>
      <c r="Z11" s="154">
        <v>22</v>
      </c>
      <c r="AA11" s="154">
        <v>23</v>
      </c>
      <c r="AB11" s="155">
        <v>24</v>
      </c>
    </row>
    <row r="12" spans="1:28" ht="15" customHeight="1" thickBot="1">
      <c r="A12" s="253" t="s">
        <v>165</v>
      </c>
      <c r="B12" s="254" t="s">
        <v>166</v>
      </c>
      <c r="C12" s="255"/>
      <c r="D12" s="256"/>
      <c r="E12" s="257">
        <v>0</v>
      </c>
      <c r="F12" s="258">
        <v>0</v>
      </c>
      <c r="G12" s="258">
        <v>0</v>
      </c>
      <c r="H12" s="258">
        <v>0</v>
      </c>
      <c r="I12" s="258">
        <v>7</v>
      </c>
      <c r="J12" s="258">
        <v>56</v>
      </c>
      <c r="K12" s="258">
        <v>120</v>
      </c>
      <c r="L12" s="258">
        <v>187</v>
      </c>
      <c r="M12" s="258">
        <v>247</v>
      </c>
      <c r="N12" s="258">
        <v>294</v>
      </c>
      <c r="O12" s="258">
        <v>321</v>
      </c>
      <c r="P12" s="258">
        <v>325</v>
      </c>
      <c r="Q12" s="258">
        <v>307</v>
      </c>
      <c r="R12" s="258">
        <v>272</v>
      </c>
      <c r="S12" s="258">
        <v>220</v>
      </c>
      <c r="T12" s="258">
        <v>158</v>
      </c>
      <c r="U12" s="258">
        <v>94</v>
      </c>
      <c r="V12" s="258">
        <v>24</v>
      </c>
      <c r="W12" s="258">
        <v>0</v>
      </c>
      <c r="X12" s="258">
        <v>0</v>
      </c>
      <c r="Y12" s="258">
        <v>0</v>
      </c>
      <c r="Z12" s="258">
        <v>0</v>
      </c>
      <c r="AA12" s="258">
        <v>0</v>
      </c>
      <c r="AB12" s="259">
        <v>0</v>
      </c>
    </row>
    <row r="13" spans="1:28" ht="15" customHeight="1" thickBot="1">
      <c r="A13" s="260" t="s">
        <v>175</v>
      </c>
      <c r="B13" s="261" t="s">
        <v>168</v>
      </c>
      <c r="C13" s="262"/>
      <c r="D13" s="263"/>
      <c r="E13" s="264">
        <v>0</v>
      </c>
      <c r="F13" s="265">
        <v>0</v>
      </c>
      <c r="G13" s="265">
        <v>0</v>
      </c>
      <c r="H13" s="265">
        <v>0</v>
      </c>
      <c r="I13" s="265">
        <v>4</v>
      </c>
      <c r="J13" s="265">
        <v>31</v>
      </c>
      <c r="K13" s="265">
        <v>63</v>
      </c>
      <c r="L13" s="265">
        <v>93</v>
      </c>
      <c r="M13" s="265">
        <v>116</v>
      </c>
      <c r="N13" s="265">
        <v>130</v>
      </c>
      <c r="O13" s="265">
        <v>135</v>
      </c>
      <c r="P13" s="265">
        <v>135</v>
      </c>
      <c r="Q13" s="265">
        <v>133</v>
      </c>
      <c r="R13" s="265">
        <v>125</v>
      </c>
      <c r="S13" s="265">
        <v>107</v>
      </c>
      <c r="T13" s="265">
        <v>81</v>
      </c>
      <c r="U13" s="265">
        <v>49</v>
      </c>
      <c r="V13" s="265">
        <v>14</v>
      </c>
      <c r="W13" s="265">
        <v>0</v>
      </c>
      <c r="X13" s="265">
        <v>0</v>
      </c>
      <c r="Y13" s="265">
        <v>0</v>
      </c>
      <c r="Z13" s="265">
        <v>0</v>
      </c>
      <c r="AA13" s="265">
        <v>0</v>
      </c>
      <c r="AB13" s="266">
        <v>0</v>
      </c>
    </row>
    <row r="14" spans="1:28" ht="15" customHeight="1" thickBot="1">
      <c r="A14" s="267" t="s">
        <v>67</v>
      </c>
      <c r="B14" s="261" t="s">
        <v>169</v>
      </c>
      <c r="C14" s="262"/>
      <c r="D14" s="263"/>
      <c r="E14" s="264">
        <v>0</v>
      </c>
      <c r="F14" s="265">
        <v>0</v>
      </c>
      <c r="G14" s="265">
        <v>0</v>
      </c>
      <c r="H14" s="265">
        <v>0</v>
      </c>
      <c r="I14" s="265">
        <v>7</v>
      </c>
      <c r="J14" s="265">
        <v>71</v>
      </c>
      <c r="K14" s="265">
        <v>179</v>
      </c>
      <c r="L14" s="265">
        <v>298</v>
      </c>
      <c r="M14" s="265">
        <v>413</v>
      </c>
      <c r="N14" s="265">
        <v>498</v>
      </c>
      <c r="O14" s="265">
        <v>554</v>
      </c>
      <c r="P14" s="265">
        <v>571</v>
      </c>
      <c r="Q14" s="265">
        <v>549</v>
      </c>
      <c r="R14" s="265">
        <v>481</v>
      </c>
      <c r="S14" s="265">
        <v>372</v>
      </c>
      <c r="T14" s="265">
        <v>246</v>
      </c>
      <c r="U14" s="265">
        <v>132</v>
      </c>
      <c r="V14" s="265">
        <v>26</v>
      </c>
      <c r="W14" s="265">
        <v>0</v>
      </c>
      <c r="X14" s="265">
        <v>0</v>
      </c>
      <c r="Y14" s="265">
        <v>0</v>
      </c>
      <c r="Z14" s="265">
        <v>0</v>
      </c>
      <c r="AA14" s="265">
        <v>0</v>
      </c>
      <c r="AB14" s="266">
        <v>0</v>
      </c>
    </row>
    <row r="15" spans="1:28" ht="15" customHeight="1">
      <c r="A15" s="268" t="s">
        <v>68</v>
      </c>
      <c r="B15" s="269" t="s">
        <v>170</v>
      </c>
      <c r="C15" s="270"/>
      <c r="D15" s="271"/>
      <c r="E15" s="287">
        <v>0</v>
      </c>
      <c r="F15" s="288">
        <v>0</v>
      </c>
      <c r="G15" s="288">
        <v>0</v>
      </c>
      <c r="H15" s="288">
        <v>0</v>
      </c>
      <c r="I15" s="288">
        <v>12</v>
      </c>
      <c r="J15" s="288">
        <v>89</v>
      </c>
      <c r="K15" s="288">
        <v>84</v>
      </c>
      <c r="L15" s="288">
        <v>63</v>
      </c>
      <c r="M15" s="288">
        <v>17</v>
      </c>
      <c r="N15" s="288">
        <v>0</v>
      </c>
      <c r="O15" s="288">
        <v>0</v>
      </c>
      <c r="P15" s="288">
        <v>0</v>
      </c>
      <c r="Q15" s="288">
        <v>0</v>
      </c>
      <c r="R15" s="288">
        <v>0</v>
      </c>
      <c r="S15" s="288">
        <v>0</v>
      </c>
      <c r="T15" s="288">
        <v>0</v>
      </c>
      <c r="U15" s="288">
        <v>0</v>
      </c>
      <c r="V15" s="288">
        <v>0</v>
      </c>
      <c r="W15" s="288">
        <v>0</v>
      </c>
      <c r="X15" s="288">
        <v>0</v>
      </c>
      <c r="Y15" s="288">
        <v>0</v>
      </c>
      <c r="Z15" s="288">
        <v>0</v>
      </c>
      <c r="AA15" s="288">
        <v>0</v>
      </c>
      <c r="AB15" s="289">
        <v>0</v>
      </c>
    </row>
    <row r="16" spans="1:28" ht="15" customHeight="1">
      <c r="A16" s="272"/>
      <c r="B16" s="273" t="s">
        <v>171</v>
      </c>
      <c r="C16" s="274"/>
      <c r="D16" s="275"/>
      <c r="E16" s="290">
        <v>0</v>
      </c>
      <c r="F16" s="291">
        <v>0</v>
      </c>
      <c r="G16" s="291">
        <v>0</v>
      </c>
      <c r="H16" s="291">
        <v>0</v>
      </c>
      <c r="I16" s="291">
        <v>0</v>
      </c>
      <c r="J16" s="291">
        <v>0</v>
      </c>
      <c r="K16" s="291">
        <v>0</v>
      </c>
      <c r="L16" s="291">
        <v>0</v>
      </c>
      <c r="M16" s="291">
        <v>0</v>
      </c>
      <c r="N16" s="291">
        <v>0</v>
      </c>
      <c r="O16" s="291">
        <v>0</v>
      </c>
      <c r="P16" s="291">
        <v>0</v>
      </c>
      <c r="Q16" s="291">
        <v>0</v>
      </c>
      <c r="R16" s="291">
        <v>0</v>
      </c>
      <c r="S16" s="291">
        <v>0</v>
      </c>
      <c r="T16" s="291">
        <v>0</v>
      </c>
      <c r="U16" s="291">
        <v>0</v>
      </c>
      <c r="V16" s="291">
        <v>0</v>
      </c>
      <c r="W16" s="291">
        <v>0</v>
      </c>
      <c r="X16" s="291">
        <v>0</v>
      </c>
      <c r="Y16" s="291">
        <v>0</v>
      </c>
      <c r="Z16" s="291">
        <v>0</v>
      </c>
      <c r="AA16" s="291">
        <v>0</v>
      </c>
      <c r="AB16" s="292">
        <v>0</v>
      </c>
    </row>
    <row r="17" spans="1:28" ht="15" customHeight="1" thickBot="1">
      <c r="A17" s="276"/>
      <c r="B17" s="277" t="s">
        <v>172</v>
      </c>
      <c r="C17" s="278"/>
      <c r="D17" s="279"/>
      <c r="E17" s="293">
        <v>0</v>
      </c>
      <c r="F17" s="294">
        <v>0</v>
      </c>
      <c r="G17" s="294">
        <v>0</v>
      </c>
      <c r="H17" s="294">
        <v>0</v>
      </c>
      <c r="I17" s="294">
        <v>4</v>
      </c>
      <c r="J17" s="294">
        <v>31</v>
      </c>
      <c r="K17" s="294">
        <v>63</v>
      </c>
      <c r="L17" s="294">
        <v>93</v>
      </c>
      <c r="M17" s="294">
        <v>116</v>
      </c>
      <c r="N17" s="294">
        <v>130</v>
      </c>
      <c r="O17" s="294">
        <v>135</v>
      </c>
      <c r="P17" s="294">
        <v>136</v>
      </c>
      <c r="Q17" s="294">
        <v>134</v>
      </c>
      <c r="R17" s="294">
        <v>125</v>
      </c>
      <c r="S17" s="294">
        <v>107</v>
      </c>
      <c r="T17" s="294">
        <v>80</v>
      </c>
      <c r="U17" s="294">
        <v>50</v>
      </c>
      <c r="V17" s="294">
        <v>14</v>
      </c>
      <c r="W17" s="294">
        <v>0</v>
      </c>
      <c r="X17" s="294">
        <v>0</v>
      </c>
      <c r="Y17" s="294">
        <v>0</v>
      </c>
      <c r="Z17" s="294">
        <v>0</v>
      </c>
      <c r="AA17" s="294">
        <v>0</v>
      </c>
      <c r="AB17" s="295">
        <v>0</v>
      </c>
    </row>
    <row r="18" spans="1:28" ht="15" customHeight="1">
      <c r="A18" s="268" t="s">
        <v>69</v>
      </c>
      <c r="B18" s="269" t="s">
        <v>170</v>
      </c>
      <c r="C18" s="270"/>
      <c r="D18" s="271"/>
      <c r="E18" s="287">
        <v>0</v>
      </c>
      <c r="F18" s="288">
        <v>0</v>
      </c>
      <c r="G18" s="288">
        <v>0</v>
      </c>
      <c r="H18" s="288">
        <v>0</v>
      </c>
      <c r="I18" s="288">
        <v>18</v>
      </c>
      <c r="J18" s="288">
        <v>163</v>
      </c>
      <c r="K18" s="288">
        <v>194</v>
      </c>
      <c r="L18" s="288">
        <v>216</v>
      </c>
      <c r="M18" s="288">
        <v>179</v>
      </c>
      <c r="N18" s="288">
        <v>99</v>
      </c>
      <c r="O18" s="288">
        <v>11</v>
      </c>
      <c r="P18" s="288">
        <v>0</v>
      </c>
      <c r="Q18" s="288">
        <v>0</v>
      </c>
      <c r="R18" s="288">
        <v>0</v>
      </c>
      <c r="S18" s="288">
        <v>0</v>
      </c>
      <c r="T18" s="288">
        <v>0</v>
      </c>
      <c r="U18" s="288">
        <v>0</v>
      </c>
      <c r="V18" s="288">
        <v>0</v>
      </c>
      <c r="W18" s="288">
        <v>0</v>
      </c>
      <c r="X18" s="288">
        <v>0</v>
      </c>
      <c r="Y18" s="288">
        <v>0</v>
      </c>
      <c r="Z18" s="288">
        <v>0</v>
      </c>
      <c r="AA18" s="288">
        <v>0</v>
      </c>
      <c r="AB18" s="289">
        <v>0</v>
      </c>
    </row>
    <row r="19" spans="1:28" ht="15" customHeight="1">
      <c r="A19" s="272"/>
      <c r="B19" s="273" t="s">
        <v>171</v>
      </c>
      <c r="C19" s="274"/>
      <c r="D19" s="275"/>
      <c r="E19" s="290">
        <v>0</v>
      </c>
      <c r="F19" s="291">
        <v>0</v>
      </c>
      <c r="G19" s="291">
        <v>0</v>
      </c>
      <c r="H19" s="291">
        <v>0</v>
      </c>
      <c r="I19" s="291">
        <v>1</v>
      </c>
      <c r="J19" s="291">
        <v>1</v>
      </c>
      <c r="K19" s="291">
        <v>0.73299999999999998</v>
      </c>
      <c r="L19" s="291">
        <v>0.193</v>
      </c>
      <c r="M19" s="291">
        <v>0</v>
      </c>
      <c r="N19" s="291">
        <v>0</v>
      </c>
      <c r="O19" s="291">
        <v>0</v>
      </c>
      <c r="P19" s="291">
        <v>0</v>
      </c>
      <c r="Q19" s="291">
        <v>0</v>
      </c>
      <c r="R19" s="291">
        <v>0</v>
      </c>
      <c r="S19" s="291">
        <v>0</v>
      </c>
      <c r="T19" s="291">
        <v>0</v>
      </c>
      <c r="U19" s="291">
        <v>0</v>
      </c>
      <c r="V19" s="291">
        <v>0</v>
      </c>
      <c r="W19" s="291">
        <v>0</v>
      </c>
      <c r="X19" s="291">
        <v>0</v>
      </c>
      <c r="Y19" s="291">
        <v>0</v>
      </c>
      <c r="Z19" s="291">
        <v>0</v>
      </c>
      <c r="AA19" s="291">
        <v>0</v>
      </c>
      <c r="AB19" s="292">
        <v>0</v>
      </c>
    </row>
    <row r="20" spans="1:28" ht="15" customHeight="1" thickBot="1">
      <c r="A20" s="276"/>
      <c r="B20" s="277" t="s">
        <v>172</v>
      </c>
      <c r="C20" s="278"/>
      <c r="D20" s="279"/>
      <c r="E20" s="293">
        <v>0</v>
      </c>
      <c r="F20" s="294">
        <v>0</v>
      </c>
      <c r="G20" s="294">
        <v>0</v>
      </c>
      <c r="H20" s="294">
        <v>0</v>
      </c>
      <c r="I20" s="294">
        <v>22</v>
      </c>
      <c r="J20" s="294">
        <v>194</v>
      </c>
      <c r="K20" s="294">
        <v>206</v>
      </c>
      <c r="L20" s="294">
        <v>135</v>
      </c>
      <c r="M20" s="294">
        <v>116</v>
      </c>
      <c r="N20" s="294">
        <v>130</v>
      </c>
      <c r="O20" s="294">
        <v>135</v>
      </c>
      <c r="P20" s="294">
        <v>136</v>
      </c>
      <c r="Q20" s="294">
        <v>134</v>
      </c>
      <c r="R20" s="294">
        <v>125</v>
      </c>
      <c r="S20" s="294">
        <v>107</v>
      </c>
      <c r="T20" s="294">
        <v>80</v>
      </c>
      <c r="U20" s="294">
        <v>50</v>
      </c>
      <c r="V20" s="294">
        <v>14</v>
      </c>
      <c r="W20" s="294">
        <v>0</v>
      </c>
      <c r="X20" s="294">
        <v>0</v>
      </c>
      <c r="Y20" s="294">
        <v>0</v>
      </c>
      <c r="Z20" s="294">
        <v>0</v>
      </c>
      <c r="AA20" s="294">
        <v>0</v>
      </c>
      <c r="AB20" s="295">
        <v>0</v>
      </c>
    </row>
    <row r="21" spans="1:28" ht="15" customHeight="1">
      <c r="A21" s="268" t="s">
        <v>70</v>
      </c>
      <c r="B21" s="269" t="s">
        <v>170</v>
      </c>
      <c r="C21" s="270"/>
      <c r="D21" s="271"/>
      <c r="E21" s="287">
        <v>0</v>
      </c>
      <c r="F21" s="288">
        <v>0</v>
      </c>
      <c r="G21" s="288">
        <v>0</v>
      </c>
      <c r="H21" s="288">
        <v>0</v>
      </c>
      <c r="I21" s="288">
        <v>12</v>
      </c>
      <c r="J21" s="288">
        <v>130</v>
      </c>
      <c r="K21" s="288">
        <v>179</v>
      </c>
      <c r="L21" s="288">
        <v>229</v>
      </c>
      <c r="M21" s="288">
        <v>228</v>
      </c>
      <c r="N21" s="288">
        <v>180</v>
      </c>
      <c r="O21" s="288">
        <v>96</v>
      </c>
      <c r="P21" s="288">
        <v>11</v>
      </c>
      <c r="Q21" s="288">
        <v>0</v>
      </c>
      <c r="R21" s="288">
        <v>0</v>
      </c>
      <c r="S21" s="288">
        <v>0</v>
      </c>
      <c r="T21" s="288">
        <v>0</v>
      </c>
      <c r="U21" s="288">
        <v>0</v>
      </c>
      <c r="V21" s="288">
        <v>0</v>
      </c>
      <c r="W21" s="288">
        <v>0</v>
      </c>
      <c r="X21" s="288">
        <v>0</v>
      </c>
      <c r="Y21" s="288">
        <v>0</v>
      </c>
      <c r="Z21" s="288">
        <v>0</v>
      </c>
      <c r="AA21" s="288">
        <v>0</v>
      </c>
      <c r="AB21" s="289">
        <v>0</v>
      </c>
    </row>
    <row r="22" spans="1:28" ht="15" customHeight="1">
      <c r="A22" s="272"/>
      <c r="B22" s="273" t="s">
        <v>171</v>
      </c>
      <c r="C22" s="274"/>
      <c r="D22" s="275"/>
      <c r="E22" s="290">
        <v>0</v>
      </c>
      <c r="F22" s="291">
        <v>0</v>
      </c>
      <c r="G22" s="291">
        <v>0</v>
      </c>
      <c r="H22" s="291">
        <v>0</v>
      </c>
      <c r="I22" s="291">
        <v>0.74</v>
      </c>
      <c r="J22" s="291">
        <v>0.88100000000000001</v>
      </c>
      <c r="K22" s="291">
        <v>0.71199999999999997</v>
      </c>
      <c r="L22" s="291">
        <v>0.308</v>
      </c>
      <c r="M22" s="291">
        <v>0</v>
      </c>
      <c r="N22" s="291">
        <v>0</v>
      </c>
      <c r="O22" s="291">
        <v>0</v>
      </c>
      <c r="P22" s="291">
        <v>0</v>
      </c>
      <c r="Q22" s="291">
        <v>0</v>
      </c>
      <c r="R22" s="291">
        <v>0</v>
      </c>
      <c r="S22" s="291">
        <v>0</v>
      </c>
      <c r="T22" s="291">
        <v>0</v>
      </c>
      <c r="U22" s="291">
        <v>0</v>
      </c>
      <c r="V22" s="291">
        <v>0</v>
      </c>
      <c r="W22" s="291">
        <v>0</v>
      </c>
      <c r="X22" s="291">
        <v>0</v>
      </c>
      <c r="Y22" s="291">
        <v>0</v>
      </c>
      <c r="Z22" s="291">
        <v>0</v>
      </c>
      <c r="AA22" s="291">
        <v>0</v>
      </c>
      <c r="AB22" s="292">
        <v>0</v>
      </c>
    </row>
    <row r="23" spans="1:28" ht="15" customHeight="1" thickBot="1">
      <c r="A23" s="276"/>
      <c r="B23" s="277" t="s">
        <v>172</v>
      </c>
      <c r="C23" s="278"/>
      <c r="D23" s="279"/>
      <c r="E23" s="293">
        <v>0</v>
      </c>
      <c r="F23" s="294">
        <v>0</v>
      </c>
      <c r="G23" s="294">
        <v>0</v>
      </c>
      <c r="H23" s="294">
        <v>0</v>
      </c>
      <c r="I23" s="294">
        <v>13</v>
      </c>
      <c r="J23" s="294">
        <v>146</v>
      </c>
      <c r="K23" s="294">
        <v>191</v>
      </c>
      <c r="L23" s="294">
        <v>164</v>
      </c>
      <c r="M23" s="294">
        <v>116</v>
      </c>
      <c r="N23" s="294">
        <v>130</v>
      </c>
      <c r="O23" s="294">
        <v>135</v>
      </c>
      <c r="P23" s="294">
        <v>136</v>
      </c>
      <c r="Q23" s="294">
        <v>134</v>
      </c>
      <c r="R23" s="294">
        <v>125</v>
      </c>
      <c r="S23" s="294">
        <v>107</v>
      </c>
      <c r="T23" s="294">
        <v>80</v>
      </c>
      <c r="U23" s="294">
        <v>50</v>
      </c>
      <c r="V23" s="294">
        <v>14</v>
      </c>
      <c r="W23" s="294">
        <v>0</v>
      </c>
      <c r="X23" s="294">
        <v>0</v>
      </c>
      <c r="Y23" s="294">
        <v>0</v>
      </c>
      <c r="Z23" s="294">
        <v>0</v>
      </c>
      <c r="AA23" s="294">
        <v>0</v>
      </c>
      <c r="AB23" s="295">
        <v>0</v>
      </c>
    </row>
    <row r="24" spans="1:28" ht="15" customHeight="1">
      <c r="A24" s="268" t="s">
        <v>71</v>
      </c>
      <c r="B24" s="269" t="s">
        <v>170</v>
      </c>
      <c r="C24" s="270"/>
      <c r="D24" s="271"/>
      <c r="E24" s="287">
        <v>0</v>
      </c>
      <c r="F24" s="288">
        <v>0</v>
      </c>
      <c r="G24" s="288">
        <v>0</v>
      </c>
      <c r="H24" s="288">
        <v>0</v>
      </c>
      <c r="I24" s="288">
        <v>0</v>
      </c>
      <c r="J24" s="288">
        <v>0</v>
      </c>
      <c r="K24" s="288">
        <v>0</v>
      </c>
      <c r="L24" s="288">
        <v>44</v>
      </c>
      <c r="M24" s="288">
        <v>90</v>
      </c>
      <c r="N24" s="288">
        <v>115</v>
      </c>
      <c r="O24" s="288">
        <v>112</v>
      </c>
      <c r="P24" s="288">
        <v>82</v>
      </c>
      <c r="Q24" s="288">
        <v>35</v>
      </c>
      <c r="R24" s="288">
        <v>0</v>
      </c>
      <c r="S24" s="288">
        <v>0</v>
      </c>
      <c r="T24" s="288">
        <v>0</v>
      </c>
      <c r="U24" s="288">
        <v>0</v>
      </c>
      <c r="V24" s="288">
        <v>0</v>
      </c>
      <c r="W24" s="288">
        <v>0</v>
      </c>
      <c r="X24" s="288">
        <v>0</v>
      </c>
      <c r="Y24" s="288">
        <v>0</v>
      </c>
      <c r="Z24" s="288">
        <v>0</v>
      </c>
      <c r="AA24" s="288">
        <v>0</v>
      </c>
      <c r="AB24" s="289">
        <v>0</v>
      </c>
    </row>
    <row r="25" spans="1:28" ht="15" customHeight="1">
      <c r="A25" s="272"/>
      <c r="B25" s="273" t="s">
        <v>171</v>
      </c>
      <c r="C25" s="274"/>
      <c r="D25" s="275"/>
      <c r="E25" s="290">
        <v>0</v>
      </c>
      <c r="F25" s="291">
        <v>0</v>
      </c>
      <c r="G25" s="291">
        <v>0</v>
      </c>
      <c r="H25" s="291">
        <v>0</v>
      </c>
      <c r="I25" s="291">
        <v>0</v>
      </c>
      <c r="J25" s="291">
        <v>0</v>
      </c>
      <c r="K25" s="291">
        <v>0</v>
      </c>
      <c r="L25" s="291">
        <v>0</v>
      </c>
      <c r="M25" s="291">
        <v>0</v>
      </c>
      <c r="N25" s="291">
        <v>0</v>
      </c>
      <c r="O25" s="291">
        <v>0</v>
      </c>
      <c r="P25" s="291">
        <v>0</v>
      </c>
      <c r="Q25" s="291">
        <v>0</v>
      </c>
      <c r="R25" s="291">
        <v>0</v>
      </c>
      <c r="S25" s="291">
        <v>0</v>
      </c>
      <c r="T25" s="291">
        <v>0</v>
      </c>
      <c r="U25" s="291">
        <v>0</v>
      </c>
      <c r="V25" s="291">
        <v>0</v>
      </c>
      <c r="W25" s="291">
        <v>0</v>
      </c>
      <c r="X25" s="291">
        <v>0</v>
      </c>
      <c r="Y25" s="291">
        <v>0</v>
      </c>
      <c r="Z25" s="291">
        <v>0</v>
      </c>
      <c r="AA25" s="291">
        <v>0</v>
      </c>
      <c r="AB25" s="292">
        <v>0</v>
      </c>
    </row>
    <row r="26" spans="1:28" ht="15" customHeight="1" thickBot="1">
      <c r="A26" s="276"/>
      <c r="B26" s="277" t="s">
        <v>172</v>
      </c>
      <c r="C26" s="278"/>
      <c r="D26" s="279"/>
      <c r="E26" s="293">
        <v>0</v>
      </c>
      <c r="F26" s="294">
        <v>0</v>
      </c>
      <c r="G26" s="294">
        <v>0</v>
      </c>
      <c r="H26" s="294">
        <v>0</v>
      </c>
      <c r="I26" s="294">
        <v>4</v>
      </c>
      <c r="J26" s="294">
        <v>31</v>
      </c>
      <c r="K26" s="294">
        <v>63</v>
      </c>
      <c r="L26" s="294">
        <v>93</v>
      </c>
      <c r="M26" s="294">
        <v>116</v>
      </c>
      <c r="N26" s="294">
        <v>130</v>
      </c>
      <c r="O26" s="294">
        <v>135</v>
      </c>
      <c r="P26" s="294">
        <v>136</v>
      </c>
      <c r="Q26" s="294">
        <v>134</v>
      </c>
      <c r="R26" s="294">
        <v>125</v>
      </c>
      <c r="S26" s="294">
        <v>107</v>
      </c>
      <c r="T26" s="294">
        <v>80</v>
      </c>
      <c r="U26" s="294">
        <v>50</v>
      </c>
      <c r="V26" s="294">
        <v>14</v>
      </c>
      <c r="W26" s="294">
        <v>0</v>
      </c>
      <c r="X26" s="294">
        <v>0</v>
      </c>
      <c r="Y26" s="294">
        <v>0</v>
      </c>
      <c r="Z26" s="294">
        <v>0</v>
      </c>
      <c r="AA26" s="294">
        <v>0</v>
      </c>
      <c r="AB26" s="295">
        <v>0</v>
      </c>
    </row>
    <row r="27" spans="1:28" ht="15" customHeight="1">
      <c r="A27" s="268" t="s">
        <v>72</v>
      </c>
      <c r="B27" s="269" t="s">
        <v>170</v>
      </c>
      <c r="C27" s="270"/>
      <c r="D27" s="271"/>
      <c r="E27" s="287">
        <v>0</v>
      </c>
      <c r="F27" s="288">
        <v>0</v>
      </c>
      <c r="G27" s="288">
        <v>0</v>
      </c>
      <c r="H27" s="288">
        <v>0</v>
      </c>
      <c r="I27" s="288">
        <v>0</v>
      </c>
      <c r="J27" s="288">
        <v>0</v>
      </c>
      <c r="K27" s="288">
        <v>0</v>
      </c>
      <c r="L27" s="288">
        <v>0</v>
      </c>
      <c r="M27" s="288">
        <v>0</v>
      </c>
      <c r="N27" s="288">
        <v>0</v>
      </c>
      <c r="O27" s="288">
        <v>28</v>
      </c>
      <c r="P27" s="288">
        <v>93</v>
      </c>
      <c r="Q27" s="288">
        <v>135</v>
      </c>
      <c r="R27" s="288">
        <v>142</v>
      </c>
      <c r="S27" s="288">
        <v>117</v>
      </c>
      <c r="T27" s="288">
        <v>76</v>
      </c>
      <c r="U27" s="288">
        <v>34</v>
      </c>
      <c r="V27" s="288">
        <v>2</v>
      </c>
      <c r="W27" s="288">
        <v>0</v>
      </c>
      <c r="X27" s="288">
        <v>0</v>
      </c>
      <c r="Y27" s="288">
        <v>0</v>
      </c>
      <c r="Z27" s="288">
        <v>0</v>
      </c>
      <c r="AA27" s="288">
        <v>0</v>
      </c>
      <c r="AB27" s="289">
        <v>0</v>
      </c>
    </row>
    <row r="28" spans="1:28" ht="15" customHeight="1">
      <c r="A28" s="272"/>
      <c r="B28" s="273" t="s">
        <v>171</v>
      </c>
      <c r="C28" s="274"/>
      <c r="D28" s="275"/>
      <c r="E28" s="290">
        <v>0</v>
      </c>
      <c r="F28" s="291">
        <v>0</v>
      </c>
      <c r="G28" s="291">
        <v>0</v>
      </c>
      <c r="H28" s="291">
        <v>0</v>
      </c>
      <c r="I28" s="291">
        <v>0</v>
      </c>
      <c r="J28" s="291">
        <v>0</v>
      </c>
      <c r="K28" s="291">
        <v>0</v>
      </c>
      <c r="L28" s="291">
        <v>0</v>
      </c>
      <c r="M28" s="291">
        <v>0</v>
      </c>
      <c r="N28" s="291">
        <v>0</v>
      </c>
      <c r="O28" s="291">
        <v>0</v>
      </c>
      <c r="P28" s="291">
        <v>0</v>
      </c>
      <c r="Q28" s="291">
        <v>0</v>
      </c>
      <c r="R28" s="291">
        <v>0</v>
      </c>
      <c r="S28" s="291">
        <v>0</v>
      </c>
      <c r="T28" s="291">
        <v>0</v>
      </c>
      <c r="U28" s="291">
        <v>0</v>
      </c>
      <c r="V28" s="291">
        <v>0</v>
      </c>
      <c r="W28" s="291">
        <v>0</v>
      </c>
      <c r="X28" s="291">
        <v>0</v>
      </c>
      <c r="Y28" s="291">
        <v>0</v>
      </c>
      <c r="Z28" s="291">
        <v>0</v>
      </c>
      <c r="AA28" s="291">
        <v>0</v>
      </c>
      <c r="AB28" s="292">
        <v>0</v>
      </c>
    </row>
    <row r="29" spans="1:28" ht="15" customHeight="1" thickBot="1">
      <c r="A29" s="276"/>
      <c r="B29" s="277" t="s">
        <v>172</v>
      </c>
      <c r="C29" s="278"/>
      <c r="D29" s="279"/>
      <c r="E29" s="293">
        <v>0</v>
      </c>
      <c r="F29" s="294">
        <v>0</v>
      </c>
      <c r="G29" s="294">
        <v>0</v>
      </c>
      <c r="H29" s="294">
        <v>0</v>
      </c>
      <c r="I29" s="294">
        <v>4</v>
      </c>
      <c r="J29" s="294">
        <v>31</v>
      </c>
      <c r="K29" s="294">
        <v>63</v>
      </c>
      <c r="L29" s="294">
        <v>93</v>
      </c>
      <c r="M29" s="294">
        <v>116</v>
      </c>
      <c r="N29" s="294">
        <v>130</v>
      </c>
      <c r="O29" s="294">
        <v>135</v>
      </c>
      <c r="P29" s="294">
        <v>136</v>
      </c>
      <c r="Q29" s="294">
        <v>134</v>
      </c>
      <c r="R29" s="294">
        <v>125</v>
      </c>
      <c r="S29" s="294">
        <v>107</v>
      </c>
      <c r="T29" s="294">
        <v>80</v>
      </c>
      <c r="U29" s="294">
        <v>50</v>
      </c>
      <c r="V29" s="294">
        <v>14</v>
      </c>
      <c r="W29" s="294">
        <v>0</v>
      </c>
      <c r="X29" s="294">
        <v>0</v>
      </c>
      <c r="Y29" s="294">
        <v>0</v>
      </c>
      <c r="Z29" s="294">
        <v>0</v>
      </c>
      <c r="AA29" s="294">
        <v>0</v>
      </c>
      <c r="AB29" s="295">
        <v>0</v>
      </c>
    </row>
    <row r="30" spans="1:28" ht="15" customHeight="1">
      <c r="A30" s="268" t="s">
        <v>73</v>
      </c>
      <c r="B30" s="269" t="s">
        <v>170</v>
      </c>
      <c r="C30" s="270"/>
      <c r="D30" s="271"/>
      <c r="E30" s="287">
        <v>0</v>
      </c>
      <c r="F30" s="288">
        <v>0</v>
      </c>
      <c r="G30" s="288">
        <v>0</v>
      </c>
      <c r="H30" s="288">
        <v>0</v>
      </c>
      <c r="I30" s="288">
        <v>0</v>
      </c>
      <c r="J30" s="288">
        <v>0</v>
      </c>
      <c r="K30" s="288">
        <v>0</v>
      </c>
      <c r="L30" s="288">
        <v>0</v>
      </c>
      <c r="M30" s="288">
        <v>0</v>
      </c>
      <c r="N30" s="288">
        <v>0</v>
      </c>
      <c r="O30" s="288">
        <v>0</v>
      </c>
      <c r="P30" s="288">
        <v>21</v>
      </c>
      <c r="Q30" s="288">
        <v>130</v>
      </c>
      <c r="R30" s="288">
        <v>217</v>
      </c>
      <c r="S30" s="288">
        <v>242</v>
      </c>
      <c r="T30" s="288">
        <v>218</v>
      </c>
      <c r="U30" s="288">
        <v>157</v>
      </c>
      <c r="V30" s="288">
        <v>39</v>
      </c>
      <c r="W30" s="288">
        <v>0</v>
      </c>
      <c r="X30" s="288">
        <v>0</v>
      </c>
      <c r="Y30" s="288">
        <v>0</v>
      </c>
      <c r="Z30" s="288">
        <v>0</v>
      </c>
      <c r="AA30" s="288">
        <v>0</v>
      </c>
      <c r="AB30" s="289">
        <v>0</v>
      </c>
    </row>
    <row r="31" spans="1:28" ht="15" customHeight="1">
      <c r="A31" s="272"/>
      <c r="B31" s="273" t="s">
        <v>171</v>
      </c>
      <c r="C31" s="274"/>
      <c r="D31" s="275"/>
      <c r="E31" s="290">
        <v>0</v>
      </c>
      <c r="F31" s="291">
        <v>0</v>
      </c>
      <c r="G31" s="291">
        <v>0</v>
      </c>
      <c r="H31" s="291">
        <v>0</v>
      </c>
      <c r="I31" s="291">
        <v>0</v>
      </c>
      <c r="J31" s="291">
        <v>0</v>
      </c>
      <c r="K31" s="291">
        <v>0</v>
      </c>
      <c r="L31" s="291">
        <v>0</v>
      </c>
      <c r="M31" s="291">
        <v>0</v>
      </c>
      <c r="N31" s="291">
        <v>0</v>
      </c>
      <c r="O31" s="291">
        <v>0</v>
      </c>
      <c r="P31" s="291">
        <v>0</v>
      </c>
      <c r="Q31" s="291">
        <v>0</v>
      </c>
      <c r="R31" s="291">
        <v>0</v>
      </c>
      <c r="S31" s="291">
        <v>0</v>
      </c>
      <c r="T31" s="291">
        <v>0.45</v>
      </c>
      <c r="U31" s="291">
        <v>0.73099999999999998</v>
      </c>
      <c r="V31" s="291">
        <v>0.73399999999999999</v>
      </c>
      <c r="W31" s="291">
        <v>0</v>
      </c>
      <c r="X31" s="291">
        <v>0</v>
      </c>
      <c r="Y31" s="291">
        <v>0</v>
      </c>
      <c r="Z31" s="291">
        <v>0</v>
      </c>
      <c r="AA31" s="291">
        <v>0</v>
      </c>
      <c r="AB31" s="292">
        <v>0</v>
      </c>
    </row>
    <row r="32" spans="1:28" ht="15" customHeight="1" thickBot="1">
      <c r="A32" s="276"/>
      <c r="B32" s="277" t="s">
        <v>172</v>
      </c>
      <c r="C32" s="278"/>
      <c r="D32" s="279"/>
      <c r="E32" s="293">
        <v>0</v>
      </c>
      <c r="F32" s="294">
        <v>0</v>
      </c>
      <c r="G32" s="294">
        <v>0</v>
      </c>
      <c r="H32" s="294">
        <v>0</v>
      </c>
      <c r="I32" s="294">
        <v>4</v>
      </c>
      <c r="J32" s="294">
        <v>31</v>
      </c>
      <c r="K32" s="294">
        <v>63</v>
      </c>
      <c r="L32" s="294">
        <v>93</v>
      </c>
      <c r="M32" s="294">
        <v>116</v>
      </c>
      <c r="N32" s="294">
        <v>130</v>
      </c>
      <c r="O32" s="294">
        <v>135</v>
      </c>
      <c r="P32" s="294">
        <v>136</v>
      </c>
      <c r="Q32" s="294">
        <v>134</v>
      </c>
      <c r="R32" s="294">
        <v>125</v>
      </c>
      <c r="S32" s="294">
        <v>107</v>
      </c>
      <c r="T32" s="294">
        <v>178</v>
      </c>
      <c r="U32" s="294">
        <v>165</v>
      </c>
      <c r="V32" s="294">
        <v>42</v>
      </c>
      <c r="W32" s="294">
        <v>0</v>
      </c>
      <c r="X32" s="294">
        <v>0</v>
      </c>
      <c r="Y32" s="294">
        <v>0</v>
      </c>
      <c r="Z32" s="294">
        <v>0</v>
      </c>
      <c r="AA32" s="294">
        <v>0</v>
      </c>
      <c r="AB32" s="295">
        <v>0</v>
      </c>
    </row>
    <row r="33" spans="1:28" ht="15" customHeight="1">
      <c r="A33" s="268" t="s">
        <v>74</v>
      </c>
      <c r="B33" s="269" t="s">
        <v>170</v>
      </c>
      <c r="C33" s="270"/>
      <c r="D33" s="271"/>
      <c r="E33" s="287">
        <v>0</v>
      </c>
      <c r="F33" s="288">
        <v>0</v>
      </c>
      <c r="G33" s="288">
        <v>0</v>
      </c>
      <c r="H33" s="288">
        <v>0</v>
      </c>
      <c r="I33" s="288">
        <v>0</v>
      </c>
      <c r="J33" s="288">
        <v>0</v>
      </c>
      <c r="K33" s="288">
        <v>0</v>
      </c>
      <c r="L33" s="288">
        <v>0</v>
      </c>
      <c r="M33" s="288">
        <v>0</v>
      </c>
      <c r="N33" s="288">
        <v>0</v>
      </c>
      <c r="O33" s="288">
        <v>0</v>
      </c>
      <c r="P33" s="288">
        <v>0</v>
      </c>
      <c r="Q33" s="288">
        <v>14</v>
      </c>
      <c r="R33" s="288">
        <v>117</v>
      </c>
      <c r="S33" s="288">
        <v>201</v>
      </c>
      <c r="T33" s="288">
        <v>219</v>
      </c>
      <c r="U33" s="288">
        <v>182</v>
      </c>
      <c r="V33" s="288">
        <v>52</v>
      </c>
      <c r="W33" s="288">
        <v>0</v>
      </c>
      <c r="X33" s="288">
        <v>0</v>
      </c>
      <c r="Y33" s="288">
        <v>0</v>
      </c>
      <c r="Z33" s="288">
        <v>0</v>
      </c>
      <c r="AA33" s="288">
        <v>0</v>
      </c>
      <c r="AB33" s="289">
        <v>0</v>
      </c>
    </row>
    <row r="34" spans="1:28" ht="15" customHeight="1">
      <c r="A34" s="272"/>
      <c r="B34" s="273" t="s">
        <v>171</v>
      </c>
      <c r="C34" s="274"/>
      <c r="D34" s="275"/>
      <c r="E34" s="290">
        <v>0</v>
      </c>
      <c r="F34" s="291">
        <v>0</v>
      </c>
      <c r="G34" s="291">
        <v>0</v>
      </c>
      <c r="H34" s="291">
        <v>0</v>
      </c>
      <c r="I34" s="291">
        <v>0</v>
      </c>
      <c r="J34" s="291">
        <v>0</v>
      </c>
      <c r="K34" s="291">
        <v>0</v>
      </c>
      <c r="L34" s="291">
        <v>0</v>
      </c>
      <c r="M34" s="291">
        <v>0</v>
      </c>
      <c r="N34" s="291">
        <v>0</v>
      </c>
      <c r="O34" s="291">
        <v>0</v>
      </c>
      <c r="P34" s="291">
        <v>0</v>
      </c>
      <c r="Q34" s="291">
        <v>0</v>
      </c>
      <c r="R34" s="291">
        <v>0</v>
      </c>
      <c r="S34" s="291">
        <v>0</v>
      </c>
      <c r="T34" s="291">
        <v>0.499</v>
      </c>
      <c r="U34" s="291">
        <v>0.92400000000000004</v>
      </c>
      <c r="V34" s="291">
        <v>1</v>
      </c>
      <c r="W34" s="291">
        <v>0</v>
      </c>
      <c r="X34" s="291">
        <v>0</v>
      </c>
      <c r="Y34" s="291">
        <v>0</v>
      </c>
      <c r="Z34" s="291">
        <v>0</v>
      </c>
      <c r="AA34" s="291">
        <v>0</v>
      </c>
      <c r="AB34" s="292">
        <v>0</v>
      </c>
    </row>
    <row r="35" spans="1:28" ht="15" customHeight="1" thickBot="1">
      <c r="A35" s="276"/>
      <c r="B35" s="277" t="s">
        <v>172</v>
      </c>
      <c r="C35" s="278"/>
      <c r="D35" s="279"/>
      <c r="E35" s="293">
        <v>0</v>
      </c>
      <c r="F35" s="294">
        <v>0</v>
      </c>
      <c r="G35" s="294">
        <v>0</v>
      </c>
      <c r="H35" s="294">
        <v>0</v>
      </c>
      <c r="I35" s="294">
        <v>4</v>
      </c>
      <c r="J35" s="294">
        <v>31</v>
      </c>
      <c r="K35" s="294">
        <v>63</v>
      </c>
      <c r="L35" s="294">
        <v>93</v>
      </c>
      <c r="M35" s="294">
        <v>116</v>
      </c>
      <c r="N35" s="294">
        <v>130</v>
      </c>
      <c r="O35" s="294">
        <v>135</v>
      </c>
      <c r="P35" s="294">
        <v>136</v>
      </c>
      <c r="Q35" s="294">
        <v>134</v>
      </c>
      <c r="R35" s="294">
        <v>125</v>
      </c>
      <c r="S35" s="294">
        <v>107</v>
      </c>
      <c r="T35" s="294">
        <v>189</v>
      </c>
      <c r="U35" s="294">
        <v>218</v>
      </c>
      <c r="V35" s="294">
        <v>66</v>
      </c>
      <c r="W35" s="294">
        <v>0</v>
      </c>
      <c r="X35" s="294">
        <v>0</v>
      </c>
      <c r="Y35" s="294">
        <v>0</v>
      </c>
      <c r="Z35" s="294">
        <v>0</v>
      </c>
      <c r="AA35" s="294">
        <v>0</v>
      </c>
      <c r="AB35" s="295">
        <v>0</v>
      </c>
    </row>
    <row r="36" spans="1:28" ht="15" customHeight="1">
      <c r="A36" s="280" t="s">
        <v>75</v>
      </c>
      <c r="B36" s="269" t="s">
        <v>170</v>
      </c>
      <c r="C36" s="270"/>
      <c r="D36" s="271"/>
      <c r="E36" s="287">
        <v>0</v>
      </c>
      <c r="F36" s="288">
        <v>0</v>
      </c>
      <c r="G36" s="288">
        <v>0</v>
      </c>
      <c r="H36" s="288">
        <v>0</v>
      </c>
      <c r="I36" s="288">
        <v>0</v>
      </c>
      <c r="J36" s="288">
        <v>0</v>
      </c>
      <c r="K36" s="288">
        <v>0</v>
      </c>
      <c r="L36" s="288">
        <v>0</v>
      </c>
      <c r="M36" s="288">
        <v>0</v>
      </c>
      <c r="N36" s="288">
        <v>0</v>
      </c>
      <c r="O36" s="288">
        <v>0</v>
      </c>
      <c r="P36" s="288">
        <v>0</v>
      </c>
      <c r="Q36" s="288">
        <v>0</v>
      </c>
      <c r="R36" s="288">
        <v>0</v>
      </c>
      <c r="S36" s="288">
        <v>0</v>
      </c>
      <c r="T36" s="288">
        <v>26</v>
      </c>
      <c r="U36" s="288">
        <v>62</v>
      </c>
      <c r="V36" s="288">
        <v>28</v>
      </c>
      <c r="W36" s="288">
        <v>0</v>
      </c>
      <c r="X36" s="288">
        <v>0</v>
      </c>
      <c r="Y36" s="288">
        <v>0</v>
      </c>
      <c r="Z36" s="288">
        <v>0</v>
      </c>
      <c r="AA36" s="288">
        <v>0</v>
      </c>
      <c r="AB36" s="289">
        <v>0</v>
      </c>
    </row>
    <row r="37" spans="1:28" ht="15" customHeight="1">
      <c r="A37" s="281"/>
      <c r="B37" s="273" t="s">
        <v>171</v>
      </c>
      <c r="C37" s="274"/>
      <c r="D37" s="275"/>
      <c r="E37" s="290">
        <v>0</v>
      </c>
      <c r="F37" s="291">
        <v>0</v>
      </c>
      <c r="G37" s="291">
        <v>0</v>
      </c>
      <c r="H37" s="291">
        <v>0</v>
      </c>
      <c r="I37" s="291">
        <v>0</v>
      </c>
      <c r="J37" s="291">
        <v>0</v>
      </c>
      <c r="K37" s="291">
        <v>0</v>
      </c>
      <c r="L37" s="291">
        <v>0</v>
      </c>
      <c r="M37" s="291">
        <v>0</v>
      </c>
      <c r="N37" s="291">
        <v>0</v>
      </c>
      <c r="O37" s="291">
        <v>0</v>
      </c>
      <c r="P37" s="291">
        <v>0</v>
      </c>
      <c r="Q37" s="291">
        <v>0</v>
      </c>
      <c r="R37" s="291">
        <v>0</v>
      </c>
      <c r="S37" s="291">
        <v>0</v>
      </c>
      <c r="T37" s="291">
        <v>0</v>
      </c>
      <c r="U37" s="291">
        <v>0.182</v>
      </c>
      <c r="V37" s="291">
        <v>0.59299999999999997</v>
      </c>
      <c r="W37" s="291">
        <v>0</v>
      </c>
      <c r="X37" s="291">
        <v>0</v>
      </c>
      <c r="Y37" s="291">
        <v>0</v>
      </c>
      <c r="Z37" s="291">
        <v>0</v>
      </c>
      <c r="AA37" s="291">
        <v>0</v>
      </c>
      <c r="AB37" s="292">
        <v>0</v>
      </c>
    </row>
    <row r="38" spans="1:28" ht="15" customHeight="1" thickBot="1">
      <c r="A38" s="282"/>
      <c r="B38" s="277" t="s">
        <v>172</v>
      </c>
      <c r="C38" s="278"/>
      <c r="D38" s="279"/>
      <c r="E38" s="293">
        <v>0</v>
      </c>
      <c r="F38" s="294">
        <v>0</v>
      </c>
      <c r="G38" s="294">
        <v>0</v>
      </c>
      <c r="H38" s="294">
        <v>0</v>
      </c>
      <c r="I38" s="294">
        <v>4</v>
      </c>
      <c r="J38" s="294">
        <v>31</v>
      </c>
      <c r="K38" s="294">
        <v>63</v>
      </c>
      <c r="L38" s="294">
        <v>93</v>
      </c>
      <c r="M38" s="294">
        <v>116</v>
      </c>
      <c r="N38" s="294">
        <v>130</v>
      </c>
      <c r="O38" s="294">
        <v>135</v>
      </c>
      <c r="P38" s="294">
        <v>136</v>
      </c>
      <c r="Q38" s="294">
        <v>134</v>
      </c>
      <c r="R38" s="294">
        <v>125</v>
      </c>
      <c r="S38" s="294">
        <v>107</v>
      </c>
      <c r="T38" s="294">
        <v>80</v>
      </c>
      <c r="U38" s="294">
        <v>61</v>
      </c>
      <c r="V38" s="294">
        <v>30</v>
      </c>
      <c r="W38" s="294">
        <v>0</v>
      </c>
      <c r="X38" s="294">
        <v>0</v>
      </c>
      <c r="Y38" s="294">
        <v>0</v>
      </c>
      <c r="Z38" s="294">
        <v>0</v>
      </c>
      <c r="AA38" s="294">
        <v>0</v>
      </c>
      <c r="AB38" s="295">
        <v>0</v>
      </c>
    </row>
    <row r="39" spans="1:28" ht="15" customHeight="1">
      <c r="A39" s="283" t="s">
        <v>34</v>
      </c>
      <c r="AB39" s="149"/>
    </row>
    <row r="40" spans="1:28" ht="15" customHeight="1">
      <c r="A40" s="249"/>
      <c r="B40" s="250"/>
      <c r="C40" s="251"/>
      <c r="D40" s="252"/>
      <c r="E40" s="151">
        <v>1</v>
      </c>
      <c r="F40" s="152">
        <v>2</v>
      </c>
      <c r="G40" s="152">
        <v>3</v>
      </c>
      <c r="H40" s="152">
        <v>4</v>
      </c>
      <c r="I40" s="152">
        <v>5</v>
      </c>
      <c r="J40" s="152">
        <v>6</v>
      </c>
      <c r="K40" s="152">
        <v>7</v>
      </c>
      <c r="L40" s="152">
        <v>8</v>
      </c>
      <c r="M40" s="152">
        <v>9</v>
      </c>
      <c r="N40" s="152">
        <v>10</v>
      </c>
      <c r="O40" s="152">
        <v>11</v>
      </c>
      <c r="P40" s="152">
        <v>12</v>
      </c>
      <c r="Q40" s="152">
        <v>13</v>
      </c>
      <c r="R40" s="152">
        <v>14</v>
      </c>
      <c r="S40" s="152">
        <v>15</v>
      </c>
      <c r="T40" s="152">
        <v>16</v>
      </c>
      <c r="U40" s="152">
        <v>17</v>
      </c>
      <c r="V40" s="152">
        <v>18</v>
      </c>
      <c r="W40" s="154">
        <v>19</v>
      </c>
      <c r="X40" s="154">
        <v>20</v>
      </c>
      <c r="Y40" s="154">
        <v>21</v>
      </c>
      <c r="Z40" s="154">
        <v>22</v>
      </c>
      <c r="AA40" s="154">
        <v>23</v>
      </c>
      <c r="AB40" s="155">
        <v>24</v>
      </c>
    </row>
    <row r="41" spans="1:28" ht="15" customHeight="1" thickBot="1">
      <c r="A41" s="253" t="s">
        <v>174</v>
      </c>
      <c r="B41" s="254" t="s">
        <v>166</v>
      </c>
      <c r="C41" s="255"/>
      <c r="D41" s="256"/>
      <c r="E41" s="258">
        <v>0</v>
      </c>
      <c r="F41" s="258">
        <v>0</v>
      </c>
      <c r="G41" s="258">
        <v>0</v>
      </c>
      <c r="H41" s="258">
        <v>0</v>
      </c>
      <c r="I41" s="258">
        <v>9</v>
      </c>
      <c r="J41" s="258">
        <v>56</v>
      </c>
      <c r="K41" s="258">
        <v>96</v>
      </c>
      <c r="L41" s="258">
        <v>134</v>
      </c>
      <c r="M41" s="258">
        <v>174</v>
      </c>
      <c r="N41" s="258">
        <v>205</v>
      </c>
      <c r="O41" s="258">
        <v>225</v>
      </c>
      <c r="P41" s="258">
        <v>227</v>
      </c>
      <c r="Q41" s="258">
        <v>218</v>
      </c>
      <c r="R41" s="258">
        <v>194</v>
      </c>
      <c r="S41" s="258">
        <v>160</v>
      </c>
      <c r="T41" s="258">
        <v>122</v>
      </c>
      <c r="U41" s="258">
        <v>80</v>
      </c>
      <c r="V41" s="258">
        <v>33</v>
      </c>
      <c r="W41" s="258">
        <v>2</v>
      </c>
      <c r="X41" s="258">
        <v>0</v>
      </c>
      <c r="Y41" s="258">
        <v>0</v>
      </c>
      <c r="Z41" s="258">
        <v>0</v>
      </c>
      <c r="AA41" s="258">
        <v>0</v>
      </c>
      <c r="AB41" s="259">
        <v>0</v>
      </c>
    </row>
    <row r="42" spans="1:28" ht="15" customHeight="1" thickBot="1">
      <c r="A42" s="260" t="s">
        <v>175</v>
      </c>
      <c r="B42" s="261" t="s">
        <v>168</v>
      </c>
      <c r="C42" s="262"/>
      <c r="D42" s="263"/>
      <c r="E42" s="265">
        <v>0</v>
      </c>
      <c r="F42" s="265">
        <v>0</v>
      </c>
      <c r="G42" s="265">
        <v>0</v>
      </c>
      <c r="H42" s="265">
        <v>0</v>
      </c>
      <c r="I42" s="265">
        <v>5</v>
      </c>
      <c r="J42" s="265">
        <v>35</v>
      </c>
      <c r="K42" s="265">
        <v>62</v>
      </c>
      <c r="L42" s="265">
        <v>86</v>
      </c>
      <c r="M42" s="265">
        <v>103</v>
      </c>
      <c r="N42" s="265">
        <v>110</v>
      </c>
      <c r="O42" s="265">
        <v>111</v>
      </c>
      <c r="P42" s="265">
        <v>110</v>
      </c>
      <c r="Q42" s="265">
        <v>111</v>
      </c>
      <c r="R42" s="265">
        <v>108</v>
      </c>
      <c r="S42" s="265">
        <v>98</v>
      </c>
      <c r="T42" s="265">
        <v>76</v>
      </c>
      <c r="U42" s="265">
        <v>51</v>
      </c>
      <c r="V42" s="265">
        <v>21</v>
      </c>
      <c r="W42" s="265">
        <v>1</v>
      </c>
      <c r="X42" s="265">
        <v>0</v>
      </c>
      <c r="Y42" s="265">
        <v>0</v>
      </c>
      <c r="Z42" s="265">
        <v>0</v>
      </c>
      <c r="AA42" s="265">
        <v>0</v>
      </c>
      <c r="AB42" s="266">
        <v>0</v>
      </c>
    </row>
    <row r="43" spans="1:28" ht="15" customHeight="1" thickBot="1">
      <c r="A43" s="267" t="s">
        <v>67</v>
      </c>
      <c r="B43" s="261" t="s">
        <v>169</v>
      </c>
      <c r="C43" s="262"/>
      <c r="D43" s="263"/>
      <c r="E43" s="265">
        <v>0</v>
      </c>
      <c r="F43" s="265">
        <v>0</v>
      </c>
      <c r="G43" s="265">
        <v>0</v>
      </c>
      <c r="H43" s="265">
        <v>0</v>
      </c>
      <c r="I43" s="265">
        <v>9</v>
      </c>
      <c r="J43" s="265">
        <v>96</v>
      </c>
      <c r="K43" s="265">
        <v>250</v>
      </c>
      <c r="L43" s="265">
        <v>409</v>
      </c>
      <c r="M43" s="265">
        <v>545</v>
      </c>
      <c r="N43" s="265">
        <v>647</v>
      </c>
      <c r="O43" s="265">
        <v>706</v>
      </c>
      <c r="P43" s="265">
        <v>721</v>
      </c>
      <c r="Q43" s="265">
        <v>687</v>
      </c>
      <c r="R43" s="265">
        <v>606</v>
      </c>
      <c r="S43" s="265">
        <v>487</v>
      </c>
      <c r="T43" s="265">
        <v>336</v>
      </c>
      <c r="U43" s="265">
        <v>179</v>
      </c>
      <c r="V43" s="265">
        <v>43</v>
      </c>
      <c r="W43" s="265">
        <v>2</v>
      </c>
      <c r="X43" s="265">
        <v>0</v>
      </c>
      <c r="Y43" s="265">
        <v>0</v>
      </c>
      <c r="Z43" s="265">
        <v>0</v>
      </c>
      <c r="AA43" s="265">
        <v>0</v>
      </c>
      <c r="AB43" s="266">
        <v>0</v>
      </c>
    </row>
    <row r="44" spans="1:28" ht="15" customHeight="1">
      <c r="A44" s="268" t="s">
        <v>68</v>
      </c>
      <c r="B44" s="269" t="s">
        <v>170</v>
      </c>
      <c r="C44" s="270"/>
      <c r="D44" s="271"/>
      <c r="E44" s="288">
        <v>0</v>
      </c>
      <c r="F44" s="288">
        <v>0</v>
      </c>
      <c r="G44" s="288">
        <v>0</v>
      </c>
      <c r="H44" s="288">
        <v>0</v>
      </c>
      <c r="I44" s="288">
        <v>49</v>
      </c>
      <c r="J44" s="288">
        <v>198</v>
      </c>
      <c r="K44" s="288">
        <v>191</v>
      </c>
      <c r="L44" s="288">
        <v>121</v>
      </c>
      <c r="M44" s="288">
        <v>30</v>
      </c>
      <c r="N44" s="288">
        <v>0</v>
      </c>
      <c r="O44" s="288">
        <v>0</v>
      </c>
      <c r="P44" s="288">
        <v>0</v>
      </c>
      <c r="Q44" s="288">
        <v>0</v>
      </c>
      <c r="R44" s="288">
        <v>0</v>
      </c>
      <c r="S44" s="288">
        <v>0</v>
      </c>
      <c r="T44" s="288">
        <v>0</v>
      </c>
      <c r="U44" s="288">
        <v>0</v>
      </c>
      <c r="V44" s="288">
        <v>0</v>
      </c>
      <c r="W44" s="288">
        <v>0</v>
      </c>
      <c r="X44" s="288">
        <v>0</v>
      </c>
      <c r="Y44" s="288">
        <v>0</v>
      </c>
      <c r="Z44" s="288">
        <v>0</v>
      </c>
      <c r="AA44" s="288">
        <v>0</v>
      </c>
      <c r="AB44" s="289">
        <v>0</v>
      </c>
    </row>
    <row r="45" spans="1:28" ht="15" customHeight="1">
      <c r="A45" s="272"/>
      <c r="B45" s="273" t="s">
        <v>171</v>
      </c>
      <c r="C45" s="274"/>
      <c r="D45" s="275"/>
      <c r="E45" s="291">
        <v>0</v>
      </c>
      <c r="F45" s="291">
        <v>0</v>
      </c>
      <c r="G45" s="291">
        <v>0</v>
      </c>
      <c r="H45" s="291">
        <v>0</v>
      </c>
      <c r="I45" s="291">
        <v>0</v>
      </c>
      <c r="J45" s="291">
        <v>0</v>
      </c>
      <c r="K45" s="291">
        <v>0</v>
      </c>
      <c r="L45" s="291">
        <v>0</v>
      </c>
      <c r="M45" s="291">
        <v>0</v>
      </c>
      <c r="N45" s="291">
        <v>0</v>
      </c>
      <c r="O45" s="291">
        <v>0</v>
      </c>
      <c r="P45" s="291">
        <v>0</v>
      </c>
      <c r="Q45" s="291">
        <v>0</v>
      </c>
      <c r="R45" s="291">
        <v>0</v>
      </c>
      <c r="S45" s="291">
        <v>0</v>
      </c>
      <c r="T45" s="291">
        <v>0</v>
      </c>
      <c r="U45" s="291">
        <v>0</v>
      </c>
      <c r="V45" s="291">
        <v>0</v>
      </c>
      <c r="W45" s="291">
        <v>0</v>
      </c>
      <c r="X45" s="291">
        <v>0</v>
      </c>
      <c r="Y45" s="291">
        <v>0</v>
      </c>
      <c r="Z45" s="291">
        <v>0</v>
      </c>
      <c r="AA45" s="291">
        <v>0</v>
      </c>
      <c r="AB45" s="292">
        <v>0</v>
      </c>
    </row>
    <row r="46" spans="1:28" ht="15" customHeight="1" thickBot="1">
      <c r="A46" s="276"/>
      <c r="B46" s="277" t="s">
        <v>172</v>
      </c>
      <c r="C46" s="278"/>
      <c r="D46" s="279"/>
      <c r="E46" s="294">
        <v>0</v>
      </c>
      <c r="F46" s="294">
        <v>0</v>
      </c>
      <c r="G46" s="294">
        <v>0</v>
      </c>
      <c r="H46" s="294">
        <v>0</v>
      </c>
      <c r="I46" s="294">
        <v>6</v>
      </c>
      <c r="J46" s="294">
        <v>35</v>
      </c>
      <c r="K46" s="294">
        <v>62</v>
      </c>
      <c r="L46" s="294">
        <v>87</v>
      </c>
      <c r="M46" s="294">
        <v>103</v>
      </c>
      <c r="N46" s="294">
        <v>110</v>
      </c>
      <c r="O46" s="294">
        <v>111</v>
      </c>
      <c r="P46" s="294">
        <v>110</v>
      </c>
      <c r="Q46" s="294">
        <v>112</v>
      </c>
      <c r="R46" s="294">
        <v>109</v>
      </c>
      <c r="S46" s="294">
        <v>98</v>
      </c>
      <c r="T46" s="294">
        <v>76</v>
      </c>
      <c r="U46" s="294">
        <v>51</v>
      </c>
      <c r="V46" s="294">
        <v>21</v>
      </c>
      <c r="W46" s="294">
        <v>2</v>
      </c>
      <c r="X46" s="294">
        <v>0</v>
      </c>
      <c r="Y46" s="294">
        <v>0</v>
      </c>
      <c r="Z46" s="294">
        <v>0</v>
      </c>
      <c r="AA46" s="294">
        <v>0</v>
      </c>
      <c r="AB46" s="295">
        <v>0</v>
      </c>
    </row>
    <row r="47" spans="1:28" ht="15" customHeight="1">
      <c r="A47" s="268" t="s">
        <v>69</v>
      </c>
      <c r="B47" s="269" t="s">
        <v>170</v>
      </c>
      <c r="C47" s="270"/>
      <c r="D47" s="271"/>
      <c r="E47" s="288">
        <v>0</v>
      </c>
      <c r="F47" s="288">
        <v>0</v>
      </c>
      <c r="G47" s="288">
        <v>0</v>
      </c>
      <c r="H47" s="288">
        <v>0</v>
      </c>
      <c r="I47" s="288">
        <v>74</v>
      </c>
      <c r="J47" s="288">
        <v>361</v>
      </c>
      <c r="K47" s="288">
        <v>443</v>
      </c>
      <c r="L47" s="288">
        <v>415</v>
      </c>
      <c r="M47" s="288">
        <v>311</v>
      </c>
      <c r="N47" s="288">
        <v>164</v>
      </c>
      <c r="O47" s="288">
        <v>18</v>
      </c>
      <c r="P47" s="288">
        <v>0</v>
      </c>
      <c r="Q47" s="288">
        <v>0</v>
      </c>
      <c r="R47" s="288">
        <v>0</v>
      </c>
      <c r="S47" s="288">
        <v>0</v>
      </c>
      <c r="T47" s="288">
        <v>0</v>
      </c>
      <c r="U47" s="288">
        <v>0</v>
      </c>
      <c r="V47" s="288">
        <v>0</v>
      </c>
      <c r="W47" s="288">
        <v>0</v>
      </c>
      <c r="X47" s="288">
        <v>0</v>
      </c>
      <c r="Y47" s="288">
        <v>0</v>
      </c>
      <c r="Z47" s="288">
        <v>0</v>
      </c>
      <c r="AA47" s="288">
        <v>0</v>
      </c>
      <c r="AB47" s="289">
        <v>0</v>
      </c>
    </row>
    <row r="48" spans="1:28" ht="15" customHeight="1">
      <c r="A48" s="272"/>
      <c r="B48" s="273" t="s">
        <v>171</v>
      </c>
      <c r="C48" s="274"/>
      <c r="D48" s="275"/>
      <c r="E48" s="291">
        <v>0</v>
      </c>
      <c r="F48" s="291">
        <v>0</v>
      </c>
      <c r="G48" s="291">
        <v>0</v>
      </c>
      <c r="H48" s="291">
        <v>0</v>
      </c>
      <c r="I48" s="291">
        <v>1</v>
      </c>
      <c r="J48" s="291">
        <v>1</v>
      </c>
      <c r="K48" s="291">
        <v>0.73299999999999998</v>
      </c>
      <c r="L48" s="291">
        <v>0.193</v>
      </c>
      <c r="M48" s="291">
        <v>0</v>
      </c>
      <c r="N48" s="291">
        <v>0</v>
      </c>
      <c r="O48" s="291">
        <v>0</v>
      </c>
      <c r="P48" s="291">
        <v>0</v>
      </c>
      <c r="Q48" s="291">
        <v>0</v>
      </c>
      <c r="R48" s="291">
        <v>0</v>
      </c>
      <c r="S48" s="291">
        <v>0</v>
      </c>
      <c r="T48" s="291">
        <v>0</v>
      </c>
      <c r="U48" s="291">
        <v>0</v>
      </c>
      <c r="V48" s="291">
        <v>0</v>
      </c>
      <c r="W48" s="291">
        <v>0</v>
      </c>
      <c r="X48" s="291">
        <v>0</v>
      </c>
      <c r="Y48" s="291">
        <v>0</v>
      </c>
      <c r="Z48" s="291">
        <v>0</v>
      </c>
      <c r="AA48" s="291">
        <v>0</v>
      </c>
      <c r="AB48" s="292">
        <v>0</v>
      </c>
    </row>
    <row r="49" spans="1:28" ht="15" customHeight="1" thickBot="1">
      <c r="A49" s="276"/>
      <c r="B49" s="277" t="s">
        <v>172</v>
      </c>
      <c r="C49" s="278"/>
      <c r="D49" s="279"/>
      <c r="E49" s="294">
        <v>0</v>
      </c>
      <c r="F49" s="294">
        <v>0</v>
      </c>
      <c r="G49" s="294">
        <v>0</v>
      </c>
      <c r="H49" s="294">
        <v>0</v>
      </c>
      <c r="I49" s="294">
        <v>80</v>
      </c>
      <c r="J49" s="294">
        <v>396</v>
      </c>
      <c r="K49" s="294">
        <v>387</v>
      </c>
      <c r="L49" s="294">
        <v>167</v>
      </c>
      <c r="M49" s="294">
        <v>103</v>
      </c>
      <c r="N49" s="294">
        <v>110</v>
      </c>
      <c r="O49" s="294">
        <v>111</v>
      </c>
      <c r="P49" s="294">
        <v>110</v>
      </c>
      <c r="Q49" s="294">
        <v>112</v>
      </c>
      <c r="R49" s="294">
        <v>109</v>
      </c>
      <c r="S49" s="294">
        <v>98</v>
      </c>
      <c r="T49" s="294">
        <v>76</v>
      </c>
      <c r="U49" s="294">
        <v>51</v>
      </c>
      <c r="V49" s="294">
        <v>21</v>
      </c>
      <c r="W49" s="294">
        <v>2</v>
      </c>
      <c r="X49" s="294">
        <v>0</v>
      </c>
      <c r="Y49" s="294">
        <v>0</v>
      </c>
      <c r="Z49" s="294">
        <v>0</v>
      </c>
      <c r="AA49" s="294">
        <v>0</v>
      </c>
      <c r="AB49" s="295">
        <v>0</v>
      </c>
    </row>
    <row r="50" spans="1:28" ht="15" customHeight="1">
      <c r="A50" s="268" t="s">
        <v>70</v>
      </c>
      <c r="B50" s="269" t="s">
        <v>170</v>
      </c>
      <c r="C50" s="270"/>
      <c r="D50" s="271"/>
      <c r="E50" s="288">
        <v>0</v>
      </c>
      <c r="F50" s="288">
        <v>0</v>
      </c>
      <c r="G50" s="288">
        <v>0</v>
      </c>
      <c r="H50" s="288">
        <v>0</v>
      </c>
      <c r="I50" s="288">
        <v>50</v>
      </c>
      <c r="J50" s="288">
        <v>290</v>
      </c>
      <c r="K50" s="288">
        <v>409</v>
      </c>
      <c r="L50" s="288">
        <v>440</v>
      </c>
      <c r="M50" s="288">
        <v>395</v>
      </c>
      <c r="N50" s="288">
        <v>296</v>
      </c>
      <c r="O50" s="288">
        <v>152</v>
      </c>
      <c r="P50" s="288">
        <v>17</v>
      </c>
      <c r="Q50" s="288">
        <v>0</v>
      </c>
      <c r="R50" s="288">
        <v>0</v>
      </c>
      <c r="S50" s="288">
        <v>0</v>
      </c>
      <c r="T50" s="288">
        <v>0</v>
      </c>
      <c r="U50" s="288">
        <v>0</v>
      </c>
      <c r="V50" s="288">
        <v>0</v>
      </c>
      <c r="W50" s="288">
        <v>-1</v>
      </c>
      <c r="X50" s="288">
        <v>0</v>
      </c>
      <c r="Y50" s="288">
        <v>0</v>
      </c>
      <c r="Z50" s="288">
        <v>0</v>
      </c>
      <c r="AA50" s="288">
        <v>0</v>
      </c>
      <c r="AB50" s="289">
        <v>0</v>
      </c>
    </row>
    <row r="51" spans="1:28" ht="15" customHeight="1">
      <c r="A51" s="272"/>
      <c r="B51" s="273" t="s">
        <v>171</v>
      </c>
      <c r="C51" s="274"/>
      <c r="D51" s="275"/>
      <c r="E51" s="291">
        <v>0</v>
      </c>
      <c r="F51" s="291">
        <v>0</v>
      </c>
      <c r="G51" s="291">
        <v>0</v>
      </c>
      <c r="H51" s="291">
        <v>0</v>
      </c>
      <c r="I51" s="291">
        <v>0.74</v>
      </c>
      <c r="J51" s="291">
        <v>0.88100000000000001</v>
      </c>
      <c r="K51" s="291">
        <v>0.71199999999999997</v>
      </c>
      <c r="L51" s="291">
        <v>0.308</v>
      </c>
      <c r="M51" s="291">
        <v>0</v>
      </c>
      <c r="N51" s="291">
        <v>0</v>
      </c>
      <c r="O51" s="291">
        <v>0</v>
      </c>
      <c r="P51" s="291">
        <v>0</v>
      </c>
      <c r="Q51" s="291">
        <v>0</v>
      </c>
      <c r="R51" s="291">
        <v>0</v>
      </c>
      <c r="S51" s="291">
        <v>0</v>
      </c>
      <c r="T51" s="291">
        <v>0</v>
      </c>
      <c r="U51" s="291">
        <v>0</v>
      </c>
      <c r="V51" s="291">
        <v>0</v>
      </c>
      <c r="W51" s="291">
        <v>0</v>
      </c>
      <c r="X51" s="291">
        <v>0</v>
      </c>
      <c r="Y51" s="291">
        <v>0</v>
      </c>
      <c r="Z51" s="291">
        <v>0</v>
      </c>
      <c r="AA51" s="291">
        <v>0</v>
      </c>
      <c r="AB51" s="292">
        <v>0</v>
      </c>
    </row>
    <row r="52" spans="1:28" ht="15" customHeight="1" thickBot="1">
      <c r="A52" s="276"/>
      <c r="B52" s="277" t="s">
        <v>172</v>
      </c>
      <c r="C52" s="278"/>
      <c r="D52" s="279"/>
      <c r="E52" s="294">
        <v>0</v>
      </c>
      <c r="F52" s="294">
        <v>0</v>
      </c>
      <c r="G52" s="294">
        <v>0</v>
      </c>
      <c r="H52" s="294">
        <v>0</v>
      </c>
      <c r="I52" s="294">
        <v>43</v>
      </c>
      <c r="J52" s="294">
        <v>290</v>
      </c>
      <c r="K52" s="294">
        <v>353</v>
      </c>
      <c r="L52" s="294">
        <v>223</v>
      </c>
      <c r="M52" s="294">
        <v>103</v>
      </c>
      <c r="N52" s="294">
        <v>110</v>
      </c>
      <c r="O52" s="294">
        <v>111</v>
      </c>
      <c r="P52" s="294">
        <v>110</v>
      </c>
      <c r="Q52" s="294">
        <v>112</v>
      </c>
      <c r="R52" s="294">
        <v>109</v>
      </c>
      <c r="S52" s="294">
        <v>98</v>
      </c>
      <c r="T52" s="294">
        <v>76</v>
      </c>
      <c r="U52" s="294">
        <v>51</v>
      </c>
      <c r="V52" s="294">
        <v>21</v>
      </c>
      <c r="W52" s="294">
        <v>2</v>
      </c>
      <c r="X52" s="294">
        <v>0</v>
      </c>
      <c r="Y52" s="294">
        <v>0</v>
      </c>
      <c r="Z52" s="294">
        <v>0</v>
      </c>
      <c r="AA52" s="294">
        <v>0</v>
      </c>
      <c r="AB52" s="295">
        <v>0</v>
      </c>
    </row>
    <row r="53" spans="1:28" ht="15" customHeight="1">
      <c r="A53" s="268" t="s">
        <v>71</v>
      </c>
      <c r="B53" s="269" t="s">
        <v>170</v>
      </c>
      <c r="C53" s="270"/>
      <c r="D53" s="271"/>
      <c r="E53" s="288">
        <v>0</v>
      </c>
      <c r="F53" s="288">
        <v>0</v>
      </c>
      <c r="G53" s="288">
        <v>0</v>
      </c>
      <c r="H53" s="288">
        <v>0</v>
      </c>
      <c r="I53" s="288">
        <v>0</v>
      </c>
      <c r="J53" s="288">
        <v>0</v>
      </c>
      <c r="K53" s="288">
        <v>0</v>
      </c>
      <c r="L53" s="288">
        <v>84</v>
      </c>
      <c r="M53" s="288">
        <v>156</v>
      </c>
      <c r="N53" s="288">
        <v>189</v>
      </c>
      <c r="O53" s="288">
        <v>177</v>
      </c>
      <c r="P53" s="288">
        <v>127</v>
      </c>
      <c r="Q53" s="288">
        <v>54</v>
      </c>
      <c r="R53" s="288">
        <v>0</v>
      </c>
      <c r="S53" s="288">
        <v>0</v>
      </c>
      <c r="T53" s="288">
        <v>0</v>
      </c>
      <c r="U53" s="288">
        <v>0</v>
      </c>
      <c r="V53" s="288">
        <v>0</v>
      </c>
      <c r="W53" s="288">
        <v>-2</v>
      </c>
      <c r="X53" s="288">
        <v>0</v>
      </c>
      <c r="Y53" s="288">
        <v>0</v>
      </c>
      <c r="Z53" s="288">
        <v>0</v>
      </c>
      <c r="AA53" s="288">
        <v>0</v>
      </c>
      <c r="AB53" s="289">
        <v>0</v>
      </c>
    </row>
    <row r="54" spans="1:28" ht="15" customHeight="1">
      <c r="A54" s="272"/>
      <c r="B54" s="273" t="s">
        <v>171</v>
      </c>
      <c r="C54" s="274"/>
      <c r="D54" s="275"/>
      <c r="E54" s="291">
        <v>0</v>
      </c>
      <c r="F54" s="291">
        <v>0</v>
      </c>
      <c r="G54" s="291">
        <v>0</v>
      </c>
      <c r="H54" s="291">
        <v>0</v>
      </c>
      <c r="I54" s="291">
        <v>0</v>
      </c>
      <c r="J54" s="291">
        <v>0</v>
      </c>
      <c r="K54" s="291">
        <v>0</v>
      </c>
      <c r="L54" s="291">
        <v>0</v>
      </c>
      <c r="M54" s="291">
        <v>0</v>
      </c>
      <c r="N54" s="291">
        <v>0</v>
      </c>
      <c r="O54" s="291">
        <v>0</v>
      </c>
      <c r="P54" s="291">
        <v>0</v>
      </c>
      <c r="Q54" s="291">
        <v>0</v>
      </c>
      <c r="R54" s="291">
        <v>0</v>
      </c>
      <c r="S54" s="291">
        <v>0</v>
      </c>
      <c r="T54" s="291">
        <v>0</v>
      </c>
      <c r="U54" s="291">
        <v>0</v>
      </c>
      <c r="V54" s="291">
        <v>0</v>
      </c>
      <c r="W54" s="291">
        <v>0</v>
      </c>
      <c r="X54" s="291">
        <v>0</v>
      </c>
      <c r="Y54" s="291">
        <v>0</v>
      </c>
      <c r="Z54" s="291">
        <v>0</v>
      </c>
      <c r="AA54" s="291">
        <v>0</v>
      </c>
      <c r="AB54" s="292">
        <v>0</v>
      </c>
    </row>
    <row r="55" spans="1:28" ht="15" customHeight="1" thickBot="1">
      <c r="A55" s="276"/>
      <c r="B55" s="277" t="s">
        <v>172</v>
      </c>
      <c r="C55" s="278"/>
      <c r="D55" s="279"/>
      <c r="E55" s="294">
        <v>0</v>
      </c>
      <c r="F55" s="294">
        <v>0</v>
      </c>
      <c r="G55" s="294">
        <v>0</v>
      </c>
      <c r="H55" s="294">
        <v>0</v>
      </c>
      <c r="I55" s="294">
        <v>6</v>
      </c>
      <c r="J55" s="294">
        <v>35</v>
      </c>
      <c r="K55" s="294">
        <v>62</v>
      </c>
      <c r="L55" s="294">
        <v>87</v>
      </c>
      <c r="M55" s="294">
        <v>103</v>
      </c>
      <c r="N55" s="294">
        <v>110</v>
      </c>
      <c r="O55" s="294">
        <v>111</v>
      </c>
      <c r="P55" s="294">
        <v>110</v>
      </c>
      <c r="Q55" s="294">
        <v>112</v>
      </c>
      <c r="R55" s="294">
        <v>109</v>
      </c>
      <c r="S55" s="294">
        <v>98</v>
      </c>
      <c r="T55" s="294">
        <v>76</v>
      </c>
      <c r="U55" s="294">
        <v>51</v>
      </c>
      <c r="V55" s="294">
        <v>21</v>
      </c>
      <c r="W55" s="294">
        <v>2</v>
      </c>
      <c r="X55" s="294">
        <v>0</v>
      </c>
      <c r="Y55" s="294">
        <v>0</v>
      </c>
      <c r="Z55" s="294">
        <v>0</v>
      </c>
      <c r="AA55" s="294">
        <v>0</v>
      </c>
      <c r="AB55" s="295">
        <v>0</v>
      </c>
    </row>
    <row r="56" spans="1:28" ht="15" customHeight="1">
      <c r="A56" s="268" t="s">
        <v>72</v>
      </c>
      <c r="B56" s="269" t="s">
        <v>170</v>
      </c>
      <c r="C56" s="270"/>
      <c r="D56" s="271"/>
      <c r="E56" s="288">
        <v>0</v>
      </c>
      <c r="F56" s="288">
        <v>0</v>
      </c>
      <c r="G56" s="288">
        <v>0</v>
      </c>
      <c r="H56" s="288">
        <v>0</v>
      </c>
      <c r="I56" s="288">
        <v>0</v>
      </c>
      <c r="J56" s="288">
        <v>0</v>
      </c>
      <c r="K56" s="288">
        <v>0</v>
      </c>
      <c r="L56" s="288">
        <v>0</v>
      </c>
      <c r="M56" s="288">
        <v>0</v>
      </c>
      <c r="N56" s="288">
        <v>0</v>
      </c>
      <c r="O56" s="288">
        <v>44</v>
      </c>
      <c r="P56" s="288">
        <v>144</v>
      </c>
      <c r="Q56" s="288">
        <v>208</v>
      </c>
      <c r="R56" s="288">
        <v>225</v>
      </c>
      <c r="S56" s="288">
        <v>203</v>
      </c>
      <c r="T56" s="288">
        <v>146</v>
      </c>
      <c r="U56" s="288">
        <v>79</v>
      </c>
      <c r="V56" s="288">
        <v>11</v>
      </c>
      <c r="W56" s="288">
        <v>-2</v>
      </c>
      <c r="X56" s="288">
        <v>0</v>
      </c>
      <c r="Y56" s="288">
        <v>0</v>
      </c>
      <c r="Z56" s="288">
        <v>0</v>
      </c>
      <c r="AA56" s="288">
        <v>0</v>
      </c>
      <c r="AB56" s="289">
        <v>0</v>
      </c>
    </row>
    <row r="57" spans="1:28" ht="15" customHeight="1">
      <c r="A57" s="272"/>
      <c r="B57" s="273" t="s">
        <v>171</v>
      </c>
      <c r="C57" s="274"/>
      <c r="D57" s="275"/>
      <c r="E57" s="291">
        <v>0</v>
      </c>
      <c r="F57" s="291">
        <v>0</v>
      </c>
      <c r="G57" s="291">
        <v>0</v>
      </c>
      <c r="H57" s="291">
        <v>0</v>
      </c>
      <c r="I57" s="291">
        <v>0</v>
      </c>
      <c r="J57" s="291">
        <v>0</v>
      </c>
      <c r="K57" s="291">
        <v>0</v>
      </c>
      <c r="L57" s="291">
        <v>0</v>
      </c>
      <c r="M57" s="291">
        <v>0</v>
      </c>
      <c r="N57" s="291">
        <v>0</v>
      </c>
      <c r="O57" s="291">
        <v>0</v>
      </c>
      <c r="P57" s="291">
        <v>0</v>
      </c>
      <c r="Q57" s="291">
        <v>0</v>
      </c>
      <c r="R57" s="291">
        <v>0</v>
      </c>
      <c r="S57" s="291">
        <v>0</v>
      </c>
      <c r="T57" s="291">
        <v>0</v>
      </c>
      <c r="U57" s="291">
        <v>0</v>
      </c>
      <c r="V57" s="291">
        <v>0</v>
      </c>
      <c r="W57" s="291">
        <v>0</v>
      </c>
      <c r="X57" s="291">
        <v>0</v>
      </c>
      <c r="Y57" s="291">
        <v>0</v>
      </c>
      <c r="Z57" s="291">
        <v>0</v>
      </c>
      <c r="AA57" s="291">
        <v>0</v>
      </c>
      <c r="AB57" s="292">
        <v>0</v>
      </c>
    </row>
    <row r="58" spans="1:28" ht="15" customHeight="1" thickBot="1">
      <c r="A58" s="276"/>
      <c r="B58" s="277" t="s">
        <v>172</v>
      </c>
      <c r="C58" s="278"/>
      <c r="D58" s="279"/>
      <c r="E58" s="294">
        <v>0</v>
      </c>
      <c r="F58" s="294">
        <v>0</v>
      </c>
      <c r="G58" s="294">
        <v>0</v>
      </c>
      <c r="H58" s="294">
        <v>0</v>
      </c>
      <c r="I58" s="294">
        <v>6</v>
      </c>
      <c r="J58" s="294">
        <v>35</v>
      </c>
      <c r="K58" s="294">
        <v>62</v>
      </c>
      <c r="L58" s="294">
        <v>87</v>
      </c>
      <c r="M58" s="294">
        <v>103</v>
      </c>
      <c r="N58" s="294">
        <v>110</v>
      </c>
      <c r="O58" s="294">
        <v>111</v>
      </c>
      <c r="P58" s="294">
        <v>110</v>
      </c>
      <c r="Q58" s="294">
        <v>112</v>
      </c>
      <c r="R58" s="294">
        <v>109</v>
      </c>
      <c r="S58" s="294">
        <v>98</v>
      </c>
      <c r="T58" s="294">
        <v>76</v>
      </c>
      <c r="U58" s="294">
        <v>51</v>
      </c>
      <c r="V58" s="294">
        <v>21</v>
      </c>
      <c r="W58" s="294">
        <v>2</v>
      </c>
      <c r="X58" s="294">
        <v>0</v>
      </c>
      <c r="Y58" s="294">
        <v>0</v>
      </c>
      <c r="Z58" s="294">
        <v>0</v>
      </c>
      <c r="AA58" s="294">
        <v>0</v>
      </c>
      <c r="AB58" s="295">
        <v>0</v>
      </c>
    </row>
    <row r="59" spans="1:28" ht="15" customHeight="1">
      <c r="A59" s="268" t="s">
        <v>73</v>
      </c>
      <c r="B59" s="269" t="s">
        <v>170</v>
      </c>
      <c r="C59" s="270"/>
      <c r="D59" s="271"/>
      <c r="E59" s="288">
        <v>0</v>
      </c>
      <c r="F59" s="288">
        <v>0</v>
      </c>
      <c r="G59" s="288">
        <v>0</v>
      </c>
      <c r="H59" s="288">
        <v>0</v>
      </c>
      <c r="I59" s="288">
        <v>0</v>
      </c>
      <c r="J59" s="288">
        <v>0</v>
      </c>
      <c r="K59" s="288">
        <v>0</v>
      </c>
      <c r="L59" s="288">
        <v>0</v>
      </c>
      <c r="M59" s="288">
        <v>0</v>
      </c>
      <c r="N59" s="288">
        <v>0</v>
      </c>
      <c r="O59" s="288">
        <v>0</v>
      </c>
      <c r="P59" s="288">
        <v>32</v>
      </c>
      <c r="Q59" s="288">
        <v>200</v>
      </c>
      <c r="R59" s="288">
        <v>343</v>
      </c>
      <c r="S59" s="288">
        <v>418</v>
      </c>
      <c r="T59" s="288">
        <v>418</v>
      </c>
      <c r="U59" s="288">
        <v>367</v>
      </c>
      <c r="V59" s="288">
        <v>176</v>
      </c>
      <c r="W59" s="288">
        <v>0</v>
      </c>
      <c r="X59" s="288">
        <v>0</v>
      </c>
      <c r="Y59" s="288">
        <v>0</v>
      </c>
      <c r="Z59" s="288">
        <v>0</v>
      </c>
      <c r="AA59" s="288">
        <v>0</v>
      </c>
      <c r="AB59" s="289">
        <v>0</v>
      </c>
    </row>
    <row r="60" spans="1:28" ht="15" customHeight="1">
      <c r="A60" s="272"/>
      <c r="B60" s="273" t="s">
        <v>171</v>
      </c>
      <c r="C60" s="274"/>
      <c r="D60" s="275"/>
      <c r="E60" s="291">
        <v>0</v>
      </c>
      <c r="F60" s="291">
        <v>0</v>
      </c>
      <c r="G60" s="291">
        <v>0</v>
      </c>
      <c r="H60" s="291">
        <v>0</v>
      </c>
      <c r="I60" s="291">
        <v>0</v>
      </c>
      <c r="J60" s="291">
        <v>0</v>
      </c>
      <c r="K60" s="291">
        <v>0</v>
      </c>
      <c r="L60" s="291">
        <v>0</v>
      </c>
      <c r="M60" s="291">
        <v>0</v>
      </c>
      <c r="N60" s="291">
        <v>0</v>
      </c>
      <c r="O60" s="291">
        <v>0</v>
      </c>
      <c r="P60" s="291">
        <v>0</v>
      </c>
      <c r="Q60" s="291">
        <v>0</v>
      </c>
      <c r="R60" s="291">
        <v>0</v>
      </c>
      <c r="S60" s="291">
        <v>0</v>
      </c>
      <c r="T60" s="291">
        <v>0.45</v>
      </c>
      <c r="U60" s="291">
        <v>0.73099999999999998</v>
      </c>
      <c r="V60" s="291">
        <v>0.73399999999999999</v>
      </c>
      <c r="W60" s="291">
        <v>0</v>
      </c>
      <c r="X60" s="291">
        <v>0</v>
      </c>
      <c r="Y60" s="291">
        <v>0</v>
      </c>
      <c r="Z60" s="291">
        <v>0</v>
      </c>
      <c r="AA60" s="291">
        <v>0</v>
      </c>
      <c r="AB60" s="292">
        <v>0</v>
      </c>
    </row>
    <row r="61" spans="1:28" ht="15" customHeight="1" thickBot="1">
      <c r="A61" s="276"/>
      <c r="B61" s="277" t="s">
        <v>172</v>
      </c>
      <c r="C61" s="278"/>
      <c r="D61" s="279"/>
      <c r="E61" s="294">
        <v>0</v>
      </c>
      <c r="F61" s="294">
        <v>0</v>
      </c>
      <c r="G61" s="294">
        <v>0</v>
      </c>
      <c r="H61" s="294">
        <v>0</v>
      </c>
      <c r="I61" s="294">
        <v>6</v>
      </c>
      <c r="J61" s="294">
        <v>35</v>
      </c>
      <c r="K61" s="294">
        <v>62</v>
      </c>
      <c r="L61" s="294">
        <v>87</v>
      </c>
      <c r="M61" s="294">
        <v>103</v>
      </c>
      <c r="N61" s="294">
        <v>110</v>
      </c>
      <c r="O61" s="294">
        <v>111</v>
      </c>
      <c r="P61" s="294">
        <v>110</v>
      </c>
      <c r="Q61" s="294">
        <v>112</v>
      </c>
      <c r="R61" s="294">
        <v>109</v>
      </c>
      <c r="S61" s="294">
        <v>98</v>
      </c>
      <c r="T61" s="294">
        <v>264</v>
      </c>
      <c r="U61" s="294">
        <v>319</v>
      </c>
      <c r="V61" s="294">
        <v>150</v>
      </c>
      <c r="W61" s="294">
        <v>2</v>
      </c>
      <c r="X61" s="294">
        <v>0</v>
      </c>
      <c r="Y61" s="294">
        <v>0</v>
      </c>
      <c r="Z61" s="294">
        <v>0</v>
      </c>
      <c r="AA61" s="294">
        <v>0</v>
      </c>
      <c r="AB61" s="295">
        <v>0</v>
      </c>
    </row>
    <row r="62" spans="1:28" ht="15" customHeight="1">
      <c r="A62" s="268" t="s">
        <v>74</v>
      </c>
      <c r="B62" s="269" t="s">
        <v>170</v>
      </c>
      <c r="C62" s="270"/>
      <c r="D62" s="271"/>
      <c r="E62" s="288">
        <v>0</v>
      </c>
      <c r="F62" s="288">
        <v>0</v>
      </c>
      <c r="G62" s="288">
        <v>0</v>
      </c>
      <c r="H62" s="288">
        <v>0</v>
      </c>
      <c r="I62" s="288">
        <v>0</v>
      </c>
      <c r="J62" s="288">
        <v>0</v>
      </c>
      <c r="K62" s="288">
        <v>0</v>
      </c>
      <c r="L62" s="288">
        <v>0</v>
      </c>
      <c r="M62" s="288">
        <v>0</v>
      </c>
      <c r="N62" s="288">
        <v>0</v>
      </c>
      <c r="O62" s="288">
        <v>0</v>
      </c>
      <c r="P62" s="288">
        <v>0</v>
      </c>
      <c r="Q62" s="288">
        <v>22</v>
      </c>
      <c r="R62" s="288">
        <v>186</v>
      </c>
      <c r="S62" s="288">
        <v>346</v>
      </c>
      <c r="T62" s="288">
        <v>419</v>
      </c>
      <c r="U62" s="288">
        <v>425</v>
      </c>
      <c r="V62" s="288">
        <v>235</v>
      </c>
      <c r="W62" s="288">
        <v>0</v>
      </c>
      <c r="X62" s="288">
        <v>0</v>
      </c>
      <c r="Y62" s="288">
        <v>0</v>
      </c>
      <c r="Z62" s="288">
        <v>0</v>
      </c>
      <c r="AA62" s="288">
        <v>0</v>
      </c>
      <c r="AB62" s="289">
        <v>0</v>
      </c>
    </row>
    <row r="63" spans="1:28" ht="15" customHeight="1">
      <c r="A63" s="272"/>
      <c r="B63" s="273" t="s">
        <v>186</v>
      </c>
      <c r="C63" s="274"/>
      <c r="D63" s="275"/>
      <c r="E63" s="291">
        <v>0</v>
      </c>
      <c r="F63" s="291">
        <v>0</v>
      </c>
      <c r="G63" s="291">
        <v>0</v>
      </c>
      <c r="H63" s="291">
        <v>0</v>
      </c>
      <c r="I63" s="291">
        <v>0</v>
      </c>
      <c r="J63" s="291">
        <v>0</v>
      </c>
      <c r="K63" s="291">
        <v>0</v>
      </c>
      <c r="L63" s="291">
        <v>0</v>
      </c>
      <c r="M63" s="291">
        <v>0</v>
      </c>
      <c r="N63" s="291">
        <v>0</v>
      </c>
      <c r="O63" s="291">
        <v>0</v>
      </c>
      <c r="P63" s="291">
        <v>0</v>
      </c>
      <c r="Q63" s="291">
        <v>0</v>
      </c>
      <c r="R63" s="291">
        <v>0</v>
      </c>
      <c r="S63" s="291">
        <v>0</v>
      </c>
      <c r="T63" s="291">
        <v>0.499</v>
      </c>
      <c r="U63" s="291">
        <v>0.92400000000000004</v>
      </c>
      <c r="V63" s="291">
        <v>1</v>
      </c>
      <c r="W63" s="291">
        <v>0</v>
      </c>
      <c r="X63" s="291">
        <v>0</v>
      </c>
      <c r="Y63" s="291">
        <v>0</v>
      </c>
      <c r="Z63" s="291">
        <v>0</v>
      </c>
      <c r="AA63" s="291">
        <v>0</v>
      </c>
      <c r="AB63" s="292">
        <v>0</v>
      </c>
    </row>
    <row r="64" spans="1:28" ht="15" customHeight="1" thickBot="1">
      <c r="A64" s="276"/>
      <c r="B64" s="277" t="s">
        <v>172</v>
      </c>
      <c r="C64" s="278"/>
      <c r="D64" s="279"/>
      <c r="E64" s="294">
        <v>0</v>
      </c>
      <c r="F64" s="294">
        <v>0</v>
      </c>
      <c r="G64" s="294">
        <v>0</v>
      </c>
      <c r="H64" s="294">
        <v>0</v>
      </c>
      <c r="I64" s="294">
        <v>6</v>
      </c>
      <c r="J64" s="294">
        <v>35</v>
      </c>
      <c r="K64" s="294">
        <v>62</v>
      </c>
      <c r="L64" s="294">
        <v>87</v>
      </c>
      <c r="M64" s="294">
        <v>103</v>
      </c>
      <c r="N64" s="294">
        <v>110</v>
      </c>
      <c r="O64" s="294">
        <v>111</v>
      </c>
      <c r="P64" s="294">
        <v>110</v>
      </c>
      <c r="Q64" s="294">
        <v>112</v>
      </c>
      <c r="R64" s="294">
        <v>109</v>
      </c>
      <c r="S64" s="294">
        <v>98</v>
      </c>
      <c r="T64" s="294">
        <v>285</v>
      </c>
      <c r="U64" s="294">
        <v>443</v>
      </c>
      <c r="V64" s="294">
        <v>256</v>
      </c>
      <c r="W64" s="294">
        <v>2</v>
      </c>
      <c r="X64" s="294">
        <v>0</v>
      </c>
      <c r="Y64" s="294">
        <v>0</v>
      </c>
      <c r="Z64" s="294">
        <v>0</v>
      </c>
      <c r="AA64" s="294">
        <v>0</v>
      </c>
      <c r="AB64" s="295">
        <v>0</v>
      </c>
    </row>
    <row r="65" spans="1:28" ht="15" customHeight="1">
      <c r="A65" s="280" t="s">
        <v>75</v>
      </c>
      <c r="B65" s="269" t="s">
        <v>170</v>
      </c>
      <c r="C65" s="270"/>
      <c r="D65" s="271"/>
      <c r="E65" s="288">
        <v>0</v>
      </c>
      <c r="F65" s="288">
        <v>0</v>
      </c>
      <c r="G65" s="288">
        <v>0</v>
      </c>
      <c r="H65" s="288">
        <v>0</v>
      </c>
      <c r="I65" s="288">
        <v>0</v>
      </c>
      <c r="J65" s="288">
        <v>0</v>
      </c>
      <c r="K65" s="288">
        <v>0</v>
      </c>
      <c r="L65" s="288">
        <v>0</v>
      </c>
      <c r="M65" s="288">
        <v>0</v>
      </c>
      <c r="N65" s="288">
        <v>0</v>
      </c>
      <c r="O65" s="288">
        <v>0</v>
      </c>
      <c r="P65" s="288">
        <v>0</v>
      </c>
      <c r="Q65" s="288">
        <v>0</v>
      </c>
      <c r="R65" s="288">
        <v>0</v>
      </c>
      <c r="S65" s="288">
        <v>0</v>
      </c>
      <c r="T65" s="288">
        <v>49</v>
      </c>
      <c r="U65" s="288">
        <v>144</v>
      </c>
      <c r="V65" s="288">
        <v>126</v>
      </c>
      <c r="W65" s="288">
        <v>0</v>
      </c>
      <c r="X65" s="288">
        <v>0</v>
      </c>
      <c r="Y65" s="288">
        <v>0</v>
      </c>
      <c r="Z65" s="288">
        <v>0</v>
      </c>
      <c r="AA65" s="288">
        <v>0</v>
      </c>
      <c r="AB65" s="289">
        <v>0</v>
      </c>
    </row>
    <row r="66" spans="1:28" ht="15" customHeight="1">
      <c r="A66" s="281"/>
      <c r="B66" s="273" t="s">
        <v>171</v>
      </c>
      <c r="C66" s="274"/>
      <c r="D66" s="275"/>
      <c r="E66" s="291">
        <v>0</v>
      </c>
      <c r="F66" s="291">
        <v>0</v>
      </c>
      <c r="G66" s="291">
        <v>0</v>
      </c>
      <c r="H66" s="291">
        <v>0</v>
      </c>
      <c r="I66" s="291">
        <v>0</v>
      </c>
      <c r="J66" s="291">
        <v>0</v>
      </c>
      <c r="K66" s="291">
        <v>0</v>
      </c>
      <c r="L66" s="291">
        <v>0</v>
      </c>
      <c r="M66" s="291">
        <v>0</v>
      </c>
      <c r="N66" s="291">
        <v>0</v>
      </c>
      <c r="O66" s="291">
        <v>0</v>
      </c>
      <c r="P66" s="291">
        <v>0</v>
      </c>
      <c r="Q66" s="291">
        <v>0</v>
      </c>
      <c r="R66" s="291">
        <v>0</v>
      </c>
      <c r="S66" s="291">
        <v>0</v>
      </c>
      <c r="T66" s="291">
        <v>0</v>
      </c>
      <c r="U66" s="291">
        <v>0.182</v>
      </c>
      <c r="V66" s="291">
        <v>0.59299999999999997</v>
      </c>
      <c r="W66" s="291">
        <v>0</v>
      </c>
      <c r="X66" s="291">
        <v>0</v>
      </c>
      <c r="Y66" s="291">
        <v>0</v>
      </c>
      <c r="Z66" s="291">
        <v>0</v>
      </c>
      <c r="AA66" s="291">
        <v>0</v>
      </c>
      <c r="AB66" s="292">
        <v>0</v>
      </c>
    </row>
    <row r="67" spans="1:28" ht="15" customHeight="1" thickBot="1">
      <c r="A67" s="282"/>
      <c r="B67" s="277" t="s">
        <v>172</v>
      </c>
      <c r="C67" s="278"/>
      <c r="D67" s="279"/>
      <c r="E67" s="294">
        <v>0</v>
      </c>
      <c r="F67" s="294">
        <v>0</v>
      </c>
      <c r="G67" s="294">
        <v>0</v>
      </c>
      <c r="H67" s="294">
        <v>0</v>
      </c>
      <c r="I67" s="294">
        <v>6</v>
      </c>
      <c r="J67" s="294">
        <v>35</v>
      </c>
      <c r="K67" s="294">
        <v>62</v>
      </c>
      <c r="L67" s="294">
        <v>87</v>
      </c>
      <c r="M67" s="294">
        <v>103</v>
      </c>
      <c r="N67" s="294">
        <v>110</v>
      </c>
      <c r="O67" s="294">
        <v>111</v>
      </c>
      <c r="P67" s="294">
        <v>110</v>
      </c>
      <c r="Q67" s="294">
        <v>112</v>
      </c>
      <c r="R67" s="294">
        <v>109</v>
      </c>
      <c r="S67" s="294">
        <v>98</v>
      </c>
      <c r="T67" s="294">
        <v>76</v>
      </c>
      <c r="U67" s="294">
        <v>77</v>
      </c>
      <c r="V67" s="294">
        <v>96</v>
      </c>
      <c r="W67" s="294">
        <v>2</v>
      </c>
      <c r="X67" s="294">
        <v>0</v>
      </c>
      <c r="Y67" s="294">
        <v>0</v>
      </c>
      <c r="Z67" s="294">
        <v>0</v>
      </c>
      <c r="AA67" s="294">
        <v>0</v>
      </c>
      <c r="AB67" s="295">
        <v>0</v>
      </c>
    </row>
    <row r="68" spans="1:28" ht="15" customHeight="1">
      <c r="A68" s="39" t="s">
        <v>19</v>
      </c>
      <c r="AB68" s="149"/>
    </row>
    <row r="69" spans="1:28" ht="15" customHeight="1">
      <c r="A69" s="249"/>
      <c r="B69" s="250"/>
      <c r="C69" s="251"/>
      <c r="D69" s="252"/>
      <c r="E69" s="284">
        <v>1</v>
      </c>
      <c r="F69" s="284">
        <v>2</v>
      </c>
      <c r="G69" s="284">
        <v>3</v>
      </c>
      <c r="H69" s="284">
        <v>4</v>
      </c>
      <c r="I69" s="284">
        <v>5</v>
      </c>
      <c r="J69" s="284">
        <v>6</v>
      </c>
      <c r="K69" s="284">
        <v>7</v>
      </c>
      <c r="L69" s="284">
        <v>8</v>
      </c>
      <c r="M69" s="284">
        <v>9</v>
      </c>
      <c r="N69" s="284">
        <v>10</v>
      </c>
      <c r="O69" s="284">
        <v>11</v>
      </c>
      <c r="P69" s="284">
        <v>12</v>
      </c>
      <c r="Q69" s="284">
        <v>13</v>
      </c>
      <c r="R69" s="284">
        <v>14</v>
      </c>
      <c r="S69" s="284">
        <v>15</v>
      </c>
      <c r="T69" s="284">
        <v>16</v>
      </c>
      <c r="U69" s="284">
        <v>17</v>
      </c>
      <c r="V69" s="284">
        <v>18</v>
      </c>
      <c r="W69" s="285">
        <v>19</v>
      </c>
      <c r="X69" s="285">
        <v>20</v>
      </c>
      <c r="Y69" s="285">
        <v>21</v>
      </c>
      <c r="Z69" s="285">
        <v>22</v>
      </c>
      <c r="AA69" s="285">
        <v>23</v>
      </c>
      <c r="AB69" s="286">
        <v>24</v>
      </c>
    </row>
    <row r="70" spans="1:28" ht="15" customHeight="1" thickBot="1">
      <c r="A70" s="253" t="s">
        <v>174</v>
      </c>
      <c r="B70" s="254" t="s">
        <v>166</v>
      </c>
      <c r="C70" s="255"/>
      <c r="D70" s="256"/>
      <c r="E70" s="258">
        <v>0</v>
      </c>
      <c r="F70" s="258">
        <v>0</v>
      </c>
      <c r="G70" s="258">
        <v>0</v>
      </c>
      <c r="H70" s="258">
        <v>0</v>
      </c>
      <c r="I70" s="258">
        <v>0</v>
      </c>
      <c r="J70" s="258">
        <v>27</v>
      </c>
      <c r="K70" s="258">
        <v>71</v>
      </c>
      <c r="L70" s="258">
        <v>105</v>
      </c>
      <c r="M70" s="258">
        <v>134</v>
      </c>
      <c r="N70" s="258">
        <v>154</v>
      </c>
      <c r="O70" s="258">
        <v>167</v>
      </c>
      <c r="P70" s="258">
        <v>167</v>
      </c>
      <c r="Q70" s="258">
        <v>158</v>
      </c>
      <c r="R70" s="258">
        <v>138</v>
      </c>
      <c r="S70" s="258">
        <v>116</v>
      </c>
      <c r="T70" s="258">
        <v>85</v>
      </c>
      <c r="U70" s="258">
        <v>38</v>
      </c>
      <c r="V70" s="258">
        <v>4</v>
      </c>
      <c r="W70" s="258">
        <v>0</v>
      </c>
      <c r="X70" s="258">
        <v>0</v>
      </c>
      <c r="Y70" s="258">
        <v>0</v>
      </c>
      <c r="Z70" s="258">
        <v>0</v>
      </c>
      <c r="AA70" s="258">
        <v>0</v>
      </c>
      <c r="AB70" s="259">
        <v>0</v>
      </c>
    </row>
    <row r="71" spans="1:28" ht="15" customHeight="1" thickBot="1">
      <c r="A71" s="260" t="s">
        <v>175</v>
      </c>
      <c r="B71" s="261" t="s">
        <v>168</v>
      </c>
      <c r="C71" s="262"/>
      <c r="D71" s="263"/>
      <c r="E71" s="265">
        <v>0</v>
      </c>
      <c r="F71" s="265">
        <v>0</v>
      </c>
      <c r="G71" s="265">
        <v>0</v>
      </c>
      <c r="H71" s="265">
        <v>0</v>
      </c>
      <c r="I71" s="265">
        <v>0</v>
      </c>
      <c r="J71" s="265">
        <v>19</v>
      </c>
      <c r="K71" s="265">
        <v>47</v>
      </c>
      <c r="L71" s="265">
        <v>72</v>
      </c>
      <c r="M71" s="265">
        <v>88</v>
      </c>
      <c r="N71" s="265">
        <v>96</v>
      </c>
      <c r="O71" s="265">
        <v>101</v>
      </c>
      <c r="P71" s="265">
        <v>100</v>
      </c>
      <c r="Q71" s="265">
        <v>98</v>
      </c>
      <c r="R71" s="265">
        <v>90</v>
      </c>
      <c r="S71" s="265">
        <v>78</v>
      </c>
      <c r="T71" s="265">
        <v>54</v>
      </c>
      <c r="U71" s="265">
        <v>24</v>
      </c>
      <c r="V71" s="265">
        <v>3</v>
      </c>
      <c r="W71" s="265">
        <v>0</v>
      </c>
      <c r="X71" s="265">
        <v>0</v>
      </c>
      <c r="Y71" s="265">
        <v>0</v>
      </c>
      <c r="Z71" s="265">
        <v>0</v>
      </c>
      <c r="AA71" s="265">
        <v>0</v>
      </c>
      <c r="AB71" s="266">
        <v>0</v>
      </c>
    </row>
    <row r="72" spans="1:28" ht="15" customHeight="1" thickBot="1">
      <c r="A72" s="267" t="s">
        <v>67</v>
      </c>
      <c r="B72" s="261" t="s">
        <v>169</v>
      </c>
      <c r="C72" s="262"/>
      <c r="D72" s="263"/>
      <c r="E72" s="265">
        <v>0</v>
      </c>
      <c r="F72" s="265">
        <v>0</v>
      </c>
      <c r="G72" s="265">
        <v>0</v>
      </c>
      <c r="H72" s="265">
        <v>0</v>
      </c>
      <c r="I72" s="265">
        <v>0</v>
      </c>
      <c r="J72" s="265">
        <v>37</v>
      </c>
      <c r="K72" s="265">
        <v>167</v>
      </c>
      <c r="L72" s="265">
        <v>324</v>
      </c>
      <c r="M72" s="265">
        <v>465</v>
      </c>
      <c r="N72" s="265">
        <v>567</v>
      </c>
      <c r="O72" s="265">
        <v>622</v>
      </c>
      <c r="P72" s="265">
        <v>628</v>
      </c>
      <c r="Q72" s="265">
        <v>581</v>
      </c>
      <c r="R72" s="265">
        <v>491</v>
      </c>
      <c r="S72" s="265">
        <v>355</v>
      </c>
      <c r="T72" s="265">
        <v>193</v>
      </c>
      <c r="U72" s="265">
        <v>55</v>
      </c>
      <c r="V72" s="265">
        <v>4</v>
      </c>
      <c r="W72" s="265">
        <v>0</v>
      </c>
      <c r="X72" s="265">
        <v>0</v>
      </c>
      <c r="Y72" s="265">
        <v>0</v>
      </c>
      <c r="Z72" s="265">
        <v>0</v>
      </c>
      <c r="AA72" s="265">
        <v>0</v>
      </c>
      <c r="AB72" s="266">
        <v>0</v>
      </c>
    </row>
    <row r="73" spans="1:28" ht="15" customHeight="1">
      <c r="A73" s="268" t="s">
        <v>68</v>
      </c>
      <c r="B73" s="269" t="s">
        <v>170</v>
      </c>
      <c r="C73" s="270"/>
      <c r="D73" s="271"/>
      <c r="E73" s="288">
        <v>0</v>
      </c>
      <c r="F73" s="288">
        <v>0</v>
      </c>
      <c r="G73" s="288">
        <v>0</v>
      </c>
      <c r="H73" s="288">
        <v>0</v>
      </c>
      <c r="I73" s="288">
        <v>0</v>
      </c>
      <c r="J73" s="288">
        <v>95</v>
      </c>
      <c r="K73" s="288">
        <v>72</v>
      </c>
      <c r="L73" s="288">
        <v>0</v>
      </c>
      <c r="M73" s="288">
        <v>0</v>
      </c>
      <c r="N73" s="288">
        <v>0</v>
      </c>
      <c r="O73" s="288">
        <v>0</v>
      </c>
      <c r="P73" s="288">
        <v>0</v>
      </c>
      <c r="Q73" s="288">
        <v>0</v>
      </c>
      <c r="R73" s="288">
        <v>0</v>
      </c>
      <c r="S73" s="288">
        <v>0</v>
      </c>
      <c r="T73" s="288">
        <v>0</v>
      </c>
      <c r="U73" s="288">
        <v>0</v>
      </c>
      <c r="V73" s="288">
        <v>0</v>
      </c>
      <c r="W73" s="288">
        <v>0</v>
      </c>
      <c r="X73" s="288">
        <v>0</v>
      </c>
      <c r="Y73" s="288">
        <v>0</v>
      </c>
      <c r="Z73" s="288">
        <v>0</v>
      </c>
      <c r="AA73" s="288">
        <v>0</v>
      </c>
      <c r="AB73" s="289">
        <v>0</v>
      </c>
    </row>
    <row r="74" spans="1:28" ht="15" customHeight="1">
      <c r="A74" s="272"/>
      <c r="B74" s="273" t="s">
        <v>171</v>
      </c>
      <c r="C74" s="274"/>
      <c r="D74" s="275"/>
      <c r="E74" s="291">
        <v>0</v>
      </c>
      <c r="F74" s="291">
        <v>0</v>
      </c>
      <c r="G74" s="291">
        <v>0</v>
      </c>
      <c r="H74" s="291">
        <v>0</v>
      </c>
      <c r="I74" s="291">
        <v>0</v>
      </c>
      <c r="J74" s="291">
        <v>0</v>
      </c>
      <c r="K74" s="291">
        <v>0</v>
      </c>
      <c r="L74" s="291">
        <v>0</v>
      </c>
      <c r="M74" s="291">
        <v>0</v>
      </c>
      <c r="N74" s="291">
        <v>0</v>
      </c>
      <c r="O74" s="291">
        <v>0</v>
      </c>
      <c r="P74" s="291">
        <v>0</v>
      </c>
      <c r="Q74" s="291">
        <v>0</v>
      </c>
      <c r="R74" s="291">
        <v>0</v>
      </c>
      <c r="S74" s="291">
        <v>0</v>
      </c>
      <c r="T74" s="291">
        <v>0</v>
      </c>
      <c r="U74" s="291">
        <v>0</v>
      </c>
      <c r="V74" s="291">
        <v>0</v>
      </c>
      <c r="W74" s="291">
        <v>0</v>
      </c>
      <c r="X74" s="291">
        <v>0</v>
      </c>
      <c r="Y74" s="291">
        <v>0</v>
      </c>
      <c r="Z74" s="291">
        <v>0</v>
      </c>
      <c r="AA74" s="291">
        <v>0</v>
      </c>
      <c r="AB74" s="292">
        <v>0</v>
      </c>
    </row>
    <row r="75" spans="1:28" ht="15" customHeight="1" thickBot="1">
      <c r="A75" s="276"/>
      <c r="B75" s="277" t="s">
        <v>172</v>
      </c>
      <c r="C75" s="278"/>
      <c r="D75" s="279"/>
      <c r="E75" s="294">
        <v>0</v>
      </c>
      <c r="F75" s="294">
        <v>0</v>
      </c>
      <c r="G75" s="294">
        <v>0</v>
      </c>
      <c r="H75" s="294">
        <v>0</v>
      </c>
      <c r="I75" s="294">
        <v>0</v>
      </c>
      <c r="J75" s="294">
        <v>19</v>
      </c>
      <c r="K75" s="294">
        <v>47</v>
      </c>
      <c r="L75" s="294">
        <v>72</v>
      </c>
      <c r="M75" s="294">
        <v>88</v>
      </c>
      <c r="N75" s="294">
        <v>97</v>
      </c>
      <c r="O75" s="294">
        <v>101</v>
      </c>
      <c r="P75" s="294">
        <v>101</v>
      </c>
      <c r="Q75" s="294">
        <v>98</v>
      </c>
      <c r="R75" s="294">
        <v>91</v>
      </c>
      <c r="S75" s="294">
        <v>78</v>
      </c>
      <c r="T75" s="294">
        <v>55</v>
      </c>
      <c r="U75" s="294">
        <v>24</v>
      </c>
      <c r="V75" s="294">
        <v>3</v>
      </c>
      <c r="W75" s="294">
        <v>0</v>
      </c>
      <c r="X75" s="294">
        <v>0</v>
      </c>
      <c r="Y75" s="294">
        <v>0</v>
      </c>
      <c r="Z75" s="294">
        <v>0</v>
      </c>
      <c r="AA75" s="294">
        <v>0</v>
      </c>
      <c r="AB75" s="295">
        <v>0</v>
      </c>
    </row>
    <row r="76" spans="1:28" ht="15" customHeight="1">
      <c r="A76" s="268" t="s">
        <v>69</v>
      </c>
      <c r="B76" s="269" t="s">
        <v>170</v>
      </c>
      <c r="C76" s="270"/>
      <c r="D76" s="271"/>
      <c r="E76" s="288">
        <v>0</v>
      </c>
      <c r="F76" s="288">
        <v>0</v>
      </c>
      <c r="G76" s="288">
        <v>0</v>
      </c>
      <c r="H76" s="288">
        <v>0</v>
      </c>
      <c r="I76" s="288">
        <v>0</v>
      </c>
      <c r="J76" s="288">
        <v>275</v>
      </c>
      <c r="K76" s="288">
        <v>372</v>
      </c>
      <c r="L76" s="288">
        <v>348</v>
      </c>
      <c r="M76" s="288">
        <v>242</v>
      </c>
      <c r="N76" s="288">
        <v>90</v>
      </c>
      <c r="O76" s="288">
        <v>0</v>
      </c>
      <c r="P76" s="288">
        <v>0</v>
      </c>
      <c r="Q76" s="288">
        <v>0</v>
      </c>
      <c r="R76" s="288">
        <v>0</v>
      </c>
      <c r="S76" s="288">
        <v>0</v>
      </c>
      <c r="T76" s="288">
        <v>0</v>
      </c>
      <c r="U76" s="288">
        <v>0</v>
      </c>
      <c r="V76" s="288">
        <v>0</v>
      </c>
      <c r="W76" s="288">
        <v>0</v>
      </c>
      <c r="X76" s="288">
        <v>0</v>
      </c>
      <c r="Y76" s="288">
        <v>0</v>
      </c>
      <c r="Z76" s="288">
        <v>0</v>
      </c>
      <c r="AA76" s="288">
        <v>0</v>
      </c>
      <c r="AB76" s="289">
        <v>0</v>
      </c>
    </row>
    <row r="77" spans="1:28" ht="15" customHeight="1">
      <c r="A77" s="272"/>
      <c r="B77" s="273" t="s">
        <v>171</v>
      </c>
      <c r="C77" s="274"/>
      <c r="D77" s="275"/>
      <c r="E77" s="291">
        <v>0</v>
      </c>
      <c r="F77" s="291">
        <v>0</v>
      </c>
      <c r="G77" s="291">
        <v>0</v>
      </c>
      <c r="H77" s="291">
        <v>0</v>
      </c>
      <c r="I77" s="291">
        <v>0</v>
      </c>
      <c r="J77" s="291">
        <v>0.98399999999999999</v>
      </c>
      <c r="K77" s="291">
        <v>0.73599999999999999</v>
      </c>
      <c r="L77" s="291">
        <v>0.156</v>
      </c>
      <c r="M77" s="291">
        <v>0</v>
      </c>
      <c r="N77" s="291">
        <v>0</v>
      </c>
      <c r="O77" s="291">
        <v>0</v>
      </c>
      <c r="P77" s="291">
        <v>0</v>
      </c>
      <c r="Q77" s="291">
        <v>0</v>
      </c>
      <c r="R77" s="291">
        <v>0</v>
      </c>
      <c r="S77" s="291">
        <v>0</v>
      </c>
      <c r="T77" s="291">
        <v>0</v>
      </c>
      <c r="U77" s="291">
        <v>0</v>
      </c>
      <c r="V77" s="291">
        <v>0</v>
      </c>
      <c r="W77" s="291">
        <v>0</v>
      </c>
      <c r="X77" s="291">
        <v>0</v>
      </c>
      <c r="Y77" s="291">
        <v>0</v>
      </c>
      <c r="Z77" s="291">
        <v>0</v>
      </c>
      <c r="AA77" s="291">
        <v>0</v>
      </c>
      <c r="AB77" s="292">
        <v>0</v>
      </c>
    </row>
    <row r="78" spans="1:28" ht="15" customHeight="1" thickBot="1">
      <c r="A78" s="276"/>
      <c r="B78" s="277" t="s">
        <v>172</v>
      </c>
      <c r="C78" s="278"/>
      <c r="D78" s="279"/>
      <c r="E78" s="294">
        <v>0</v>
      </c>
      <c r="F78" s="294">
        <v>0</v>
      </c>
      <c r="G78" s="294">
        <v>0</v>
      </c>
      <c r="H78" s="294">
        <v>0</v>
      </c>
      <c r="I78" s="294">
        <v>0</v>
      </c>
      <c r="J78" s="294">
        <v>289</v>
      </c>
      <c r="K78" s="294">
        <v>321</v>
      </c>
      <c r="L78" s="294">
        <v>126</v>
      </c>
      <c r="M78" s="294">
        <v>88</v>
      </c>
      <c r="N78" s="294">
        <v>97</v>
      </c>
      <c r="O78" s="294">
        <v>101</v>
      </c>
      <c r="P78" s="294">
        <v>101</v>
      </c>
      <c r="Q78" s="294">
        <v>98</v>
      </c>
      <c r="R78" s="294">
        <v>91</v>
      </c>
      <c r="S78" s="294">
        <v>78</v>
      </c>
      <c r="T78" s="294">
        <v>55</v>
      </c>
      <c r="U78" s="294">
        <v>24</v>
      </c>
      <c r="V78" s="294">
        <v>3</v>
      </c>
      <c r="W78" s="294">
        <v>0</v>
      </c>
      <c r="X78" s="294">
        <v>0</v>
      </c>
      <c r="Y78" s="294">
        <v>0</v>
      </c>
      <c r="Z78" s="294">
        <v>0</v>
      </c>
      <c r="AA78" s="294">
        <v>0</v>
      </c>
      <c r="AB78" s="295">
        <v>0</v>
      </c>
    </row>
    <row r="79" spans="1:28" ht="15" customHeight="1">
      <c r="A79" s="268" t="s">
        <v>70</v>
      </c>
      <c r="B79" s="269" t="s">
        <v>170</v>
      </c>
      <c r="C79" s="270"/>
      <c r="D79" s="271"/>
      <c r="E79" s="288">
        <v>0</v>
      </c>
      <c r="F79" s="288">
        <v>0</v>
      </c>
      <c r="G79" s="288">
        <v>0</v>
      </c>
      <c r="H79" s="288">
        <v>0</v>
      </c>
      <c r="I79" s="288">
        <v>0</v>
      </c>
      <c r="J79" s="288">
        <v>282</v>
      </c>
      <c r="K79" s="288">
        <v>441</v>
      </c>
      <c r="L79" s="288">
        <v>494</v>
      </c>
      <c r="M79" s="288">
        <v>459</v>
      </c>
      <c r="N79" s="288">
        <v>356</v>
      </c>
      <c r="O79" s="288">
        <v>204</v>
      </c>
      <c r="P79" s="288">
        <v>40</v>
      </c>
      <c r="Q79" s="288">
        <v>0</v>
      </c>
      <c r="R79" s="288">
        <v>0</v>
      </c>
      <c r="S79" s="288">
        <v>0</v>
      </c>
      <c r="T79" s="288">
        <v>0</v>
      </c>
      <c r="U79" s="288">
        <v>0</v>
      </c>
      <c r="V79" s="288">
        <v>-1</v>
      </c>
      <c r="W79" s="288">
        <v>0</v>
      </c>
      <c r="X79" s="288">
        <v>0</v>
      </c>
      <c r="Y79" s="288">
        <v>0</v>
      </c>
      <c r="Z79" s="288">
        <v>0</v>
      </c>
      <c r="AA79" s="288">
        <v>0</v>
      </c>
      <c r="AB79" s="289">
        <v>0</v>
      </c>
    </row>
    <row r="80" spans="1:28" ht="15" customHeight="1">
      <c r="A80" s="272"/>
      <c r="B80" s="273" t="s">
        <v>171</v>
      </c>
      <c r="C80" s="274"/>
      <c r="D80" s="275"/>
      <c r="E80" s="291">
        <v>0</v>
      </c>
      <c r="F80" s="291">
        <v>0</v>
      </c>
      <c r="G80" s="291">
        <v>0</v>
      </c>
      <c r="H80" s="291">
        <v>0</v>
      </c>
      <c r="I80" s="291">
        <v>0</v>
      </c>
      <c r="J80" s="291">
        <v>1</v>
      </c>
      <c r="K80" s="291">
        <v>0.95299999999999996</v>
      </c>
      <c r="L80" s="291">
        <v>0.60099999999999998</v>
      </c>
      <c r="M80" s="291">
        <v>0.13200000000000001</v>
      </c>
      <c r="N80" s="291">
        <v>0</v>
      </c>
      <c r="O80" s="291">
        <v>0</v>
      </c>
      <c r="P80" s="291">
        <v>0</v>
      </c>
      <c r="Q80" s="291">
        <v>0</v>
      </c>
      <c r="R80" s="291">
        <v>0</v>
      </c>
      <c r="S80" s="291">
        <v>0</v>
      </c>
      <c r="T80" s="291">
        <v>0</v>
      </c>
      <c r="U80" s="291">
        <v>0</v>
      </c>
      <c r="V80" s="291">
        <v>0</v>
      </c>
      <c r="W80" s="291">
        <v>0</v>
      </c>
      <c r="X80" s="291">
        <v>0</v>
      </c>
      <c r="Y80" s="291">
        <v>0</v>
      </c>
      <c r="Z80" s="291">
        <v>0</v>
      </c>
      <c r="AA80" s="291">
        <v>0</v>
      </c>
      <c r="AB80" s="292">
        <v>0</v>
      </c>
    </row>
    <row r="81" spans="1:28" ht="15" customHeight="1" thickBot="1">
      <c r="A81" s="276"/>
      <c r="B81" s="277" t="s">
        <v>172</v>
      </c>
      <c r="C81" s="278"/>
      <c r="D81" s="279"/>
      <c r="E81" s="294">
        <v>0</v>
      </c>
      <c r="F81" s="294">
        <v>0</v>
      </c>
      <c r="G81" s="294">
        <v>0</v>
      </c>
      <c r="H81" s="294">
        <v>0</v>
      </c>
      <c r="I81" s="294">
        <v>0</v>
      </c>
      <c r="J81" s="294">
        <v>301</v>
      </c>
      <c r="K81" s="294">
        <v>467</v>
      </c>
      <c r="L81" s="294">
        <v>369</v>
      </c>
      <c r="M81" s="294">
        <v>149</v>
      </c>
      <c r="N81" s="294">
        <v>97</v>
      </c>
      <c r="O81" s="294">
        <v>101</v>
      </c>
      <c r="P81" s="294">
        <v>101</v>
      </c>
      <c r="Q81" s="294">
        <v>98</v>
      </c>
      <c r="R81" s="294">
        <v>91</v>
      </c>
      <c r="S81" s="294">
        <v>78</v>
      </c>
      <c r="T81" s="294">
        <v>55</v>
      </c>
      <c r="U81" s="294">
        <v>24</v>
      </c>
      <c r="V81" s="294">
        <v>3</v>
      </c>
      <c r="W81" s="294">
        <v>0</v>
      </c>
      <c r="X81" s="294">
        <v>0</v>
      </c>
      <c r="Y81" s="294">
        <v>0</v>
      </c>
      <c r="Z81" s="294">
        <v>0</v>
      </c>
      <c r="AA81" s="294">
        <v>0</v>
      </c>
      <c r="AB81" s="295">
        <v>0</v>
      </c>
    </row>
    <row r="82" spans="1:28" ht="15" customHeight="1">
      <c r="A82" s="268" t="s">
        <v>71</v>
      </c>
      <c r="B82" s="269" t="s">
        <v>170</v>
      </c>
      <c r="C82" s="270"/>
      <c r="D82" s="271"/>
      <c r="E82" s="288">
        <v>0</v>
      </c>
      <c r="F82" s="288">
        <v>0</v>
      </c>
      <c r="G82" s="288">
        <v>0</v>
      </c>
      <c r="H82" s="288">
        <v>0</v>
      </c>
      <c r="I82" s="288">
        <v>0</v>
      </c>
      <c r="J82" s="288">
        <v>42</v>
      </c>
      <c r="K82" s="288">
        <v>164</v>
      </c>
      <c r="L82" s="288">
        <v>284</v>
      </c>
      <c r="M82" s="288">
        <v>360</v>
      </c>
      <c r="N82" s="288">
        <v>381</v>
      </c>
      <c r="O82" s="288">
        <v>353</v>
      </c>
      <c r="P82" s="288">
        <v>283</v>
      </c>
      <c r="Q82" s="288">
        <v>183</v>
      </c>
      <c r="R82" s="288">
        <v>74</v>
      </c>
      <c r="S82" s="288">
        <v>0</v>
      </c>
      <c r="T82" s="288">
        <v>0</v>
      </c>
      <c r="U82" s="288">
        <v>0</v>
      </c>
      <c r="V82" s="288">
        <v>-3</v>
      </c>
      <c r="W82" s="288">
        <v>0</v>
      </c>
      <c r="X82" s="288">
        <v>0</v>
      </c>
      <c r="Y82" s="288">
        <v>0</v>
      </c>
      <c r="Z82" s="288">
        <v>0</v>
      </c>
      <c r="AA82" s="288">
        <v>0</v>
      </c>
      <c r="AB82" s="289">
        <v>0</v>
      </c>
    </row>
    <row r="83" spans="1:28" ht="15" customHeight="1">
      <c r="A83" s="272"/>
      <c r="B83" s="273" t="s">
        <v>171</v>
      </c>
      <c r="C83" s="274"/>
      <c r="D83" s="275"/>
      <c r="E83" s="291">
        <v>0</v>
      </c>
      <c r="F83" s="291">
        <v>0</v>
      </c>
      <c r="G83" s="291">
        <v>0</v>
      </c>
      <c r="H83" s="291">
        <v>0</v>
      </c>
      <c r="I83" s="291">
        <v>0</v>
      </c>
      <c r="J83" s="291">
        <v>1.2999999999999999E-2</v>
      </c>
      <c r="K83" s="291">
        <v>0.23300000000000001</v>
      </c>
      <c r="L83" s="291">
        <v>0.156</v>
      </c>
      <c r="M83" s="291">
        <v>0</v>
      </c>
      <c r="N83" s="291">
        <v>0</v>
      </c>
      <c r="O83" s="291">
        <v>0</v>
      </c>
      <c r="P83" s="291">
        <v>0</v>
      </c>
      <c r="Q83" s="291">
        <v>0</v>
      </c>
      <c r="R83" s="291">
        <v>0</v>
      </c>
      <c r="S83" s="291">
        <v>0</v>
      </c>
      <c r="T83" s="291">
        <v>0</v>
      </c>
      <c r="U83" s="291">
        <v>0</v>
      </c>
      <c r="V83" s="291">
        <v>0</v>
      </c>
      <c r="W83" s="291">
        <v>0</v>
      </c>
      <c r="X83" s="291">
        <v>0</v>
      </c>
      <c r="Y83" s="291">
        <v>0</v>
      </c>
      <c r="Z83" s="291">
        <v>0</v>
      </c>
      <c r="AA83" s="291">
        <v>0</v>
      </c>
      <c r="AB83" s="292">
        <v>0</v>
      </c>
    </row>
    <row r="84" spans="1:28" ht="15" customHeight="1" thickBot="1">
      <c r="A84" s="276"/>
      <c r="B84" s="277" t="s">
        <v>172</v>
      </c>
      <c r="C84" s="278"/>
      <c r="D84" s="279"/>
      <c r="E84" s="294">
        <v>0</v>
      </c>
      <c r="F84" s="294">
        <v>0</v>
      </c>
      <c r="G84" s="294">
        <v>0</v>
      </c>
      <c r="H84" s="294">
        <v>0</v>
      </c>
      <c r="I84" s="294">
        <v>0</v>
      </c>
      <c r="J84" s="294">
        <v>20</v>
      </c>
      <c r="K84" s="294">
        <v>85</v>
      </c>
      <c r="L84" s="294">
        <v>116</v>
      </c>
      <c r="M84" s="294">
        <v>88</v>
      </c>
      <c r="N84" s="294">
        <v>97</v>
      </c>
      <c r="O84" s="294">
        <v>101</v>
      </c>
      <c r="P84" s="294">
        <v>101</v>
      </c>
      <c r="Q84" s="294">
        <v>98</v>
      </c>
      <c r="R84" s="294">
        <v>91</v>
      </c>
      <c r="S84" s="294">
        <v>78</v>
      </c>
      <c r="T84" s="294">
        <v>55</v>
      </c>
      <c r="U84" s="294">
        <v>24</v>
      </c>
      <c r="V84" s="294">
        <v>3</v>
      </c>
      <c r="W84" s="294">
        <v>0</v>
      </c>
      <c r="X84" s="294">
        <v>0</v>
      </c>
      <c r="Y84" s="294">
        <v>0</v>
      </c>
      <c r="Z84" s="294">
        <v>0</v>
      </c>
      <c r="AA84" s="294">
        <v>0</v>
      </c>
      <c r="AB84" s="295">
        <v>0</v>
      </c>
    </row>
    <row r="85" spans="1:28" ht="15" customHeight="1">
      <c r="A85" s="268" t="s">
        <v>72</v>
      </c>
      <c r="B85" s="269" t="s">
        <v>170</v>
      </c>
      <c r="C85" s="270"/>
      <c r="D85" s="271"/>
      <c r="E85" s="288">
        <v>0</v>
      </c>
      <c r="F85" s="288">
        <v>0</v>
      </c>
      <c r="G85" s="288">
        <v>0</v>
      </c>
      <c r="H85" s="288">
        <v>0</v>
      </c>
      <c r="I85" s="288">
        <v>0</v>
      </c>
      <c r="J85" s="288">
        <v>0</v>
      </c>
      <c r="K85" s="288">
        <v>0</v>
      </c>
      <c r="L85" s="288">
        <v>0</v>
      </c>
      <c r="M85" s="288">
        <v>0</v>
      </c>
      <c r="N85" s="288">
        <v>73</v>
      </c>
      <c r="O85" s="288">
        <v>226</v>
      </c>
      <c r="P85" s="288">
        <v>335</v>
      </c>
      <c r="Q85" s="288">
        <v>382</v>
      </c>
      <c r="R85" s="288">
        <v>382</v>
      </c>
      <c r="S85" s="288">
        <v>325</v>
      </c>
      <c r="T85" s="288">
        <v>221</v>
      </c>
      <c r="U85" s="288">
        <v>107</v>
      </c>
      <c r="V85" s="288">
        <v>-3</v>
      </c>
      <c r="W85" s="288">
        <v>0</v>
      </c>
      <c r="X85" s="288">
        <v>0</v>
      </c>
      <c r="Y85" s="288">
        <v>0</v>
      </c>
      <c r="Z85" s="288">
        <v>0</v>
      </c>
      <c r="AA85" s="288">
        <v>0</v>
      </c>
      <c r="AB85" s="289">
        <v>0</v>
      </c>
    </row>
    <row r="86" spans="1:28" ht="15" customHeight="1">
      <c r="A86" s="272"/>
      <c r="B86" s="273" t="s">
        <v>171</v>
      </c>
      <c r="C86" s="274"/>
      <c r="D86" s="275"/>
      <c r="E86" s="291">
        <v>0</v>
      </c>
      <c r="F86" s="291">
        <v>0</v>
      </c>
      <c r="G86" s="291">
        <v>0</v>
      </c>
      <c r="H86" s="291">
        <v>0</v>
      </c>
      <c r="I86" s="291">
        <v>0</v>
      </c>
      <c r="J86" s="291">
        <v>0</v>
      </c>
      <c r="K86" s="291">
        <v>0</v>
      </c>
      <c r="L86" s="291">
        <v>0</v>
      </c>
      <c r="M86" s="291">
        <v>0</v>
      </c>
      <c r="N86" s="291">
        <v>0</v>
      </c>
      <c r="O86" s="291">
        <v>0</v>
      </c>
      <c r="P86" s="291">
        <v>0</v>
      </c>
      <c r="Q86" s="291">
        <v>0</v>
      </c>
      <c r="R86" s="291">
        <v>0</v>
      </c>
      <c r="S86" s="291">
        <v>3.5999999999999997E-2</v>
      </c>
      <c r="T86" s="291">
        <v>0.112</v>
      </c>
      <c r="U86" s="291">
        <v>0</v>
      </c>
      <c r="V86" s="291">
        <v>0</v>
      </c>
      <c r="W86" s="291">
        <v>0</v>
      </c>
      <c r="X86" s="291">
        <v>0</v>
      </c>
      <c r="Y86" s="291">
        <v>0</v>
      </c>
      <c r="Z86" s="291">
        <v>0</v>
      </c>
      <c r="AA86" s="291">
        <v>0</v>
      </c>
      <c r="AB86" s="292">
        <v>0</v>
      </c>
    </row>
    <row r="87" spans="1:28" ht="15" customHeight="1" thickBot="1">
      <c r="A87" s="276"/>
      <c r="B87" s="277" t="s">
        <v>172</v>
      </c>
      <c r="C87" s="278"/>
      <c r="D87" s="279"/>
      <c r="E87" s="294">
        <v>0</v>
      </c>
      <c r="F87" s="294">
        <v>0</v>
      </c>
      <c r="G87" s="294">
        <v>0</v>
      </c>
      <c r="H87" s="294">
        <v>0</v>
      </c>
      <c r="I87" s="294">
        <v>0</v>
      </c>
      <c r="J87" s="294">
        <v>19</v>
      </c>
      <c r="K87" s="294">
        <v>47</v>
      </c>
      <c r="L87" s="294">
        <v>72</v>
      </c>
      <c r="M87" s="294">
        <v>88</v>
      </c>
      <c r="N87" s="294">
        <v>97</v>
      </c>
      <c r="O87" s="294">
        <v>101</v>
      </c>
      <c r="P87" s="294">
        <v>101</v>
      </c>
      <c r="Q87" s="294">
        <v>98</v>
      </c>
      <c r="R87" s="294">
        <v>91</v>
      </c>
      <c r="S87" s="294">
        <v>90</v>
      </c>
      <c r="T87" s="294">
        <v>80</v>
      </c>
      <c r="U87" s="294">
        <v>24</v>
      </c>
      <c r="V87" s="294">
        <v>3</v>
      </c>
      <c r="W87" s="294">
        <v>0</v>
      </c>
      <c r="X87" s="294">
        <v>0</v>
      </c>
      <c r="Y87" s="294">
        <v>0</v>
      </c>
      <c r="Z87" s="294">
        <v>0</v>
      </c>
      <c r="AA87" s="294">
        <v>0</v>
      </c>
      <c r="AB87" s="295">
        <v>0</v>
      </c>
    </row>
    <row r="88" spans="1:28" ht="15" customHeight="1">
      <c r="A88" s="268" t="s">
        <v>73</v>
      </c>
      <c r="B88" s="269" t="s">
        <v>170</v>
      </c>
      <c r="C88" s="270"/>
      <c r="D88" s="271"/>
      <c r="E88" s="288">
        <v>0</v>
      </c>
      <c r="F88" s="288">
        <v>0</v>
      </c>
      <c r="G88" s="288">
        <v>0</v>
      </c>
      <c r="H88" s="288">
        <v>0</v>
      </c>
      <c r="I88" s="288">
        <v>0</v>
      </c>
      <c r="J88" s="288">
        <v>0</v>
      </c>
      <c r="K88" s="288">
        <v>0</v>
      </c>
      <c r="L88" s="288">
        <v>0</v>
      </c>
      <c r="M88" s="288">
        <v>0</v>
      </c>
      <c r="N88" s="288">
        <v>0</v>
      </c>
      <c r="O88" s="288">
        <v>0</v>
      </c>
      <c r="P88" s="288">
        <v>98</v>
      </c>
      <c r="Q88" s="288">
        <v>304</v>
      </c>
      <c r="R88" s="288">
        <v>443</v>
      </c>
      <c r="S88" s="288">
        <v>485</v>
      </c>
      <c r="T88" s="288">
        <v>419</v>
      </c>
      <c r="U88" s="288">
        <v>267</v>
      </c>
      <c r="V88" s="288">
        <v>0</v>
      </c>
      <c r="W88" s="288">
        <v>0</v>
      </c>
      <c r="X88" s="288">
        <v>0</v>
      </c>
      <c r="Y88" s="288">
        <v>0</v>
      </c>
      <c r="Z88" s="288">
        <v>0</v>
      </c>
      <c r="AA88" s="288">
        <v>0</v>
      </c>
      <c r="AB88" s="289">
        <v>0</v>
      </c>
    </row>
    <row r="89" spans="1:28" ht="15" customHeight="1">
      <c r="A89" s="272"/>
      <c r="B89" s="273" t="s">
        <v>171</v>
      </c>
      <c r="C89" s="274"/>
      <c r="D89" s="275"/>
      <c r="E89" s="291">
        <v>0</v>
      </c>
      <c r="F89" s="291">
        <v>0</v>
      </c>
      <c r="G89" s="291">
        <v>0</v>
      </c>
      <c r="H89" s="291">
        <v>0</v>
      </c>
      <c r="I89" s="291">
        <v>0</v>
      </c>
      <c r="J89" s="291">
        <v>0</v>
      </c>
      <c r="K89" s="291">
        <v>0</v>
      </c>
      <c r="L89" s="291">
        <v>0</v>
      </c>
      <c r="M89" s="291">
        <v>0</v>
      </c>
      <c r="N89" s="291">
        <v>0</v>
      </c>
      <c r="O89" s="291">
        <v>0</v>
      </c>
      <c r="P89" s="291">
        <v>0</v>
      </c>
      <c r="Q89" s="291">
        <v>0</v>
      </c>
      <c r="R89" s="291">
        <v>4.3999999999999997E-2</v>
      </c>
      <c r="S89" s="291">
        <v>0.51300000000000001</v>
      </c>
      <c r="T89" s="291">
        <v>0.88</v>
      </c>
      <c r="U89" s="291">
        <v>1</v>
      </c>
      <c r="V89" s="291">
        <v>0</v>
      </c>
      <c r="W89" s="291">
        <v>0</v>
      </c>
      <c r="X89" s="291">
        <v>0</v>
      </c>
      <c r="Y89" s="291">
        <v>0</v>
      </c>
      <c r="Z89" s="291">
        <v>0</v>
      </c>
      <c r="AA89" s="291">
        <v>0</v>
      </c>
      <c r="AB89" s="292">
        <v>0</v>
      </c>
    </row>
    <row r="90" spans="1:28" ht="15" customHeight="1" thickBot="1">
      <c r="A90" s="276"/>
      <c r="B90" s="277" t="s">
        <v>172</v>
      </c>
      <c r="C90" s="278"/>
      <c r="D90" s="279"/>
      <c r="E90" s="294">
        <v>0</v>
      </c>
      <c r="F90" s="294">
        <v>0</v>
      </c>
      <c r="G90" s="294">
        <v>0</v>
      </c>
      <c r="H90" s="294">
        <v>0</v>
      </c>
      <c r="I90" s="294">
        <v>0</v>
      </c>
      <c r="J90" s="294">
        <v>19</v>
      </c>
      <c r="K90" s="294">
        <v>47</v>
      </c>
      <c r="L90" s="294">
        <v>72</v>
      </c>
      <c r="M90" s="294">
        <v>88</v>
      </c>
      <c r="N90" s="294">
        <v>97</v>
      </c>
      <c r="O90" s="294">
        <v>101</v>
      </c>
      <c r="P90" s="294">
        <v>101</v>
      </c>
      <c r="Q90" s="294">
        <v>98</v>
      </c>
      <c r="R90" s="294">
        <v>111</v>
      </c>
      <c r="S90" s="294">
        <v>327</v>
      </c>
      <c r="T90" s="294">
        <v>424</v>
      </c>
      <c r="U90" s="294">
        <v>291</v>
      </c>
      <c r="V90" s="294">
        <v>3</v>
      </c>
      <c r="W90" s="294">
        <v>0</v>
      </c>
      <c r="X90" s="294">
        <v>0</v>
      </c>
      <c r="Y90" s="294">
        <v>0</v>
      </c>
      <c r="Z90" s="294">
        <v>0</v>
      </c>
      <c r="AA90" s="294">
        <v>0</v>
      </c>
      <c r="AB90" s="295">
        <v>0</v>
      </c>
    </row>
    <row r="91" spans="1:28" ht="15" customHeight="1">
      <c r="A91" s="268" t="s">
        <v>74</v>
      </c>
      <c r="B91" s="269" t="s">
        <v>170</v>
      </c>
      <c r="C91" s="270"/>
      <c r="D91" s="271"/>
      <c r="E91" s="288">
        <v>0</v>
      </c>
      <c r="F91" s="288">
        <v>0</v>
      </c>
      <c r="G91" s="288">
        <v>0</v>
      </c>
      <c r="H91" s="288">
        <v>0</v>
      </c>
      <c r="I91" s="288">
        <v>0</v>
      </c>
      <c r="J91" s="288">
        <v>0</v>
      </c>
      <c r="K91" s="288">
        <v>0</v>
      </c>
      <c r="L91" s="288">
        <v>0</v>
      </c>
      <c r="M91" s="288">
        <v>0</v>
      </c>
      <c r="N91" s="288">
        <v>0</v>
      </c>
      <c r="O91" s="288">
        <v>0</v>
      </c>
      <c r="P91" s="288">
        <v>0</v>
      </c>
      <c r="Q91" s="288">
        <v>0</v>
      </c>
      <c r="R91" s="288">
        <v>133</v>
      </c>
      <c r="S91" s="288">
        <v>300</v>
      </c>
      <c r="T91" s="288">
        <v>342</v>
      </c>
      <c r="U91" s="288">
        <v>258</v>
      </c>
      <c r="V91" s="288">
        <v>0</v>
      </c>
      <c r="W91" s="288">
        <v>0</v>
      </c>
      <c r="X91" s="288">
        <v>0</v>
      </c>
      <c r="Y91" s="288">
        <v>0</v>
      </c>
      <c r="Z91" s="288">
        <v>0</v>
      </c>
      <c r="AA91" s="288">
        <v>0</v>
      </c>
      <c r="AB91" s="289">
        <v>0</v>
      </c>
    </row>
    <row r="92" spans="1:28" ht="15" customHeight="1">
      <c r="A92" s="272"/>
      <c r="B92" s="273" t="s">
        <v>171</v>
      </c>
      <c r="C92" s="274"/>
      <c r="D92" s="275"/>
      <c r="E92" s="291">
        <v>0</v>
      </c>
      <c r="F92" s="291">
        <v>0</v>
      </c>
      <c r="G92" s="291">
        <v>0</v>
      </c>
      <c r="H92" s="291">
        <v>0</v>
      </c>
      <c r="I92" s="291">
        <v>0</v>
      </c>
      <c r="J92" s="291">
        <v>0</v>
      </c>
      <c r="K92" s="291">
        <v>0</v>
      </c>
      <c r="L92" s="291">
        <v>0</v>
      </c>
      <c r="M92" s="291">
        <v>0</v>
      </c>
      <c r="N92" s="291">
        <v>0</v>
      </c>
      <c r="O92" s="291">
        <v>0</v>
      </c>
      <c r="P92" s="291">
        <v>0</v>
      </c>
      <c r="Q92" s="291">
        <v>0</v>
      </c>
      <c r="R92" s="291">
        <v>0</v>
      </c>
      <c r="S92" s="291">
        <v>0.126</v>
      </c>
      <c r="T92" s="291">
        <v>0.71199999999999997</v>
      </c>
      <c r="U92" s="291">
        <v>1</v>
      </c>
      <c r="V92" s="291">
        <v>0</v>
      </c>
      <c r="W92" s="291">
        <v>0</v>
      </c>
      <c r="X92" s="291">
        <v>0</v>
      </c>
      <c r="Y92" s="291">
        <v>0</v>
      </c>
      <c r="Z92" s="291">
        <v>0</v>
      </c>
      <c r="AA92" s="291">
        <v>0</v>
      </c>
      <c r="AB92" s="292">
        <v>0</v>
      </c>
    </row>
    <row r="93" spans="1:28" ht="15" customHeight="1" thickBot="1">
      <c r="A93" s="276"/>
      <c r="B93" s="277" t="s">
        <v>172</v>
      </c>
      <c r="C93" s="278"/>
      <c r="D93" s="279"/>
      <c r="E93" s="294">
        <v>0</v>
      </c>
      <c r="F93" s="294">
        <v>0</v>
      </c>
      <c r="G93" s="294">
        <v>0</v>
      </c>
      <c r="H93" s="294">
        <v>0</v>
      </c>
      <c r="I93" s="294">
        <v>0</v>
      </c>
      <c r="J93" s="294">
        <v>19</v>
      </c>
      <c r="K93" s="294">
        <v>47</v>
      </c>
      <c r="L93" s="294">
        <v>72</v>
      </c>
      <c r="M93" s="294">
        <v>88</v>
      </c>
      <c r="N93" s="294">
        <v>97</v>
      </c>
      <c r="O93" s="294">
        <v>101</v>
      </c>
      <c r="P93" s="294">
        <v>101</v>
      </c>
      <c r="Q93" s="294">
        <v>98</v>
      </c>
      <c r="R93" s="294">
        <v>91</v>
      </c>
      <c r="S93" s="294">
        <v>116</v>
      </c>
      <c r="T93" s="294">
        <v>298</v>
      </c>
      <c r="U93" s="294">
        <v>282</v>
      </c>
      <c r="V93" s="294">
        <v>3</v>
      </c>
      <c r="W93" s="294">
        <v>0</v>
      </c>
      <c r="X93" s="294">
        <v>0</v>
      </c>
      <c r="Y93" s="294">
        <v>0</v>
      </c>
      <c r="Z93" s="294">
        <v>0</v>
      </c>
      <c r="AA93" s="294">
        <v>0</v>
      </c>
      <c r="AB93" s="295">
        <v>0</v>
      </c>
    </row>
    <row r="94" spans="1:28" ht="15" customHeight="1">
      <c r="A94" s="280" t="s">
        <v>75</v>
      </c>
      <c r="B94" s="269" t="s">
        <v>170</v>
      </c>
      <c r="C94" s="270"/>
      <c r="D94" s="271"/>
      <c r="E94" s="288">
        <v>0</v>
      </c>
      <c r="F94" s="288">
        <v>0</v>
      </c>
      <c r="G94" s="288">
        <v>0</v>
      </c>
      <c r="H94" s="288">
        <v>0</v>
      </c>
      <c r="I94" s="288">
        <v>0</v>
      </c>
      <c r="J94" s="288">
        <v>0</v>
      </c>
      <c r="K94" s="288">
        <v>0</v>
      </c>
      <c r="L94" s="288">
        <v>0</v>
      </c>
      <c r="M94" s="288">
        <v>0</v>
      </c>
      <c r="N94" s="288">
        <v>0</v>
      </c>
      <c r="O94" s="288">
        <v>0</v>
      </c>
      <c r="P94" s="288">
        <v>0</v>
      </c>
      <c r="Q94" s="288">
        <v>0</v>
      </c>
      <c r="R94" s="288">
        <v>0</v>
      </c>
      <c r="S94" s="288">
        <v>0</v>
      </c>
      <c r="T94" s="288">
        <v>0</v>
      </c>
      <c r="U94" s="288">
        <v>15</v>
      </c>
      <c r="V94" s="288">
        <v>0</v>
      </c>
      <c r="W94" s="288">
        <v>0</v>
      </c>
      <c r="X94" s="288">
        <v>0</v>
      </c>
      <c r="Y94" s="288">
        <v>0</v>
      </c>
      <c r="Z94" s="288">
        <v>0</v>
      </c>
      <c r="AA94" s="288">
        <v>0</v>
      </c>
      <c r="AB94" s="289">
        <v>0</v>
      </c>
    </row>
    <row r="95" spans="1:28" ht="15" customHeight="1">
      <c r="A95" s="281"/>
      <c r="B95" s="273" t="s">
        <v>171</v>
      </c>
      <c r="C95" s="274"/>
      <c r="D95" s="275"/>
      <c r="E95" s="291">
        <v>0</v>
      </c>
      <c r="F95" s="291">
        <v>0</v>
      </c>
      <c r="G95" s="291">
        <v>0</v>
      </c>
      <c r="H95" s="291">
        <v>0</v>
      </c>
      <c r="I95" s="291">
        <v>0</v>
      </c>
      <c r="J95" s="291">
        <v>0</v>
      </c>
      <c r="K95" s="291">
        <v>0</v>
      </c>
      <c r="L95" s="291">
        <v>0</v>
      </c>
      <c r="M95" s="291">
        <v>0</v>
      </c>
      <c r="N95" s="291">
        <v>0</v>
      </c>
      <c r="O95" s="291">
        <v>0</v>
      </c>
      <c r="P95" s="291">
        <v>0</v>
      </c>
      <c r="Q95" s="291">
        <v>0</v>
      </c>
      <c r="R95" s="291">
        <v>0</v>
      </c>
      <c r="S95" s="291">
        <v>0</v>
      </c>
      <c r="T95" s="291">
        <v>0</v>
      </c>
      <c r="U95" s="291">
        <v>0</v>
      </c>
      <c r="V95" s="291">
        <v>0</v>
      </c>
      <c r="W95" s="291">
        <v>0</v>
      </c>
      <c r="X95" s="291">
        <v>0</v>
      </c>
      <c r="Y95" s="291">
        <v>0</v>
      </c>
      <c r="Z95" s="291">
        <v>0</v>
      </c>
      <c r="AA95" s="291">
        <v>0</v>
      </c>
      <c r="AB95" s="292">
        <v>0</v>
      </c>
    </row>
    <row r="96" spans="1:28" ht="15" customHeight="1" thickBot="1">
      <c r="A96" s="282"/>
      <c r="B96" s="277" t="s">
        <v>172</v>
      </c>
      <c r="C96" s="278"/>
      <c r="D96" s="279"/>
      <c r="E96" s="294">
        <v>0</v>
      </c>
      <c r="F96" s="294">
        <v>0</v>
      </c>
      <c r="G96" s="294">
        <v>0</v>
      </c>
      <c r="H96" s="294">
        <v>0</v>
      </c>
      <c r="I96" s="294">
        <v>0</v>
      </c>
      <c r="J96" s="294">
        <v>19</v>
      </c>
      <c r="K96" s="294">
        <v>47</v>
      </c>
      <c r="L96" s="294">
        <v>72</v>
      </c>
      <c r="M96" s="294">
        <v>88</v>
      </c>
      <c r="N96" s="294">
        <v>97</v>
      </c>
      <c r="O96" s="294">
        <v>101</v>
      </c>
      <c r="P96" s="294">
        <v>101</v>
      </c>
      <c r="Q96" s="294">
        <v>98</v>
      </c>
      <c r="R96" s="294">
        <v>91</v>
      </c>
      <c r="S96" s="294">
        <v>78</v>
      </c>
      <c r="T96" s="294">
        <v>55</v>
      </c>
      <c r="U96" s="294">
        <v>24</v>
      </c>
      <c r="V96" s="294">
        <v>3</v>
      </c>
      <c r="W96" s="294">
        <v>0</v>
      </c>
      <c r="X96" s="294">
        <v>0</v>
      </c>
      <c r="Y96" s="294">
        <v>0</v>
      </c>
      <c r="Z96" s="294">
        <v>0</v>
      </c>
      <c r="AA96" s="294">
        <v>0</v>
      </c>
      <c r="AB96" s="295">
        <v>0</v>
      </c>
    </row>
  </sheetData>
  <mergeCells count="108">
    <mergeCell ref="A94:A96"/>
    <mergeCell ref="B94:D94"/>
    <mergeCell ref="B95:D95"/>
    <mergeCell ref="B96:D96"/>
    <mergeCell ref="A88:A90"/>
    <mergeCell ref="B88:D88"/>
    <mergeCell ref="B89:D89"/>
    <mergeCell ref="B90:D90"/>
    <mergeCell ref="A91:A93"/>
    <mergeCell ref="B91:D91"/>
    <mergeCell ref="B92:D92"/>
    <mergeCell ref="B93:D93"/>
    <mergeCell ref="A82:A84"/>
    <mergeCell ref="B82:D82"/>
    <mergeCell ref="B83:D83"/>
    <mergeCell ref="B84:D84"/>
    <mergeCell ref="A85:A87"/>
    <mergeCell ref="B85:D85"/>
    <mergeCell ref="B86:D86"/>
    <mergeCell ref="B87:D87"/>
    <mergeCell ref="A76:A78"/>
    <mergeCell ref="B76:D76"/>
    <mergeCell ref="B77:D77"/>
    <mergeCell ref="B78:D78"/>
    <mergeCell ref="A79:A81"/>
    <mergeCell ref="B79:D79"/>
    <mergeCell ref="B80:D80"/>
    <mergeCell ref="B81:D81"/>
    <mergeCell ref="B71:D71"/>
    <mergeCell ref="B72:D72"/>
    <mergeCell ref="A73:A75"/>
    <mergeCell ref="B73:D73"/>
    <mergeCell ref="B74:D74"/>
    <mergeCell ref="B75:D75"/>
    <mergeCell ref="A65:A67"/>
    <mergeCell ref="B65:D65"/>
    <mergeCell ref="B66:D66"/>
    <mergeCell ref="B67:D67"/>
    <mergeCell ref="B69:D69"/>
    <mergeCell ref="B70:D70"/>
    <mergeCell ref="A59:A61"/>
    <mergeCell ref="B59:D59"/>
    <mergeCell ref="B60:D60"/>
    <mergeCell ref="B61:D61"/>
    <mergeCell ref="A62:A64"/>
    <mergeCell ref="B62:D62"/>
    <mergeCell ref="B63:D63"/>
    <mergeCell ref="B64:D64"/>
    <mergeCell ref="A53:A55"/>
    <mergeCell ref="B53:D53"/>
    <mergeCell ref="B54:D54"/>
    <mergeCell ref="B55:D55"/>
    <mergeCell ref="A56:A58"/>
    <mergeCell ref="B56:D56"/>
    <mergeCell ref="B57:D57"/>
    <mergeCell ref="B58:D58"/>
    <mergeCell ref="A47:A49"/>
    <mergeCell ref="B47:D47"/>
    <mergeCell ref="B48:D48"/>
    <mergeCell ref="B49:D49"/>
    <mergeCell ref="A50:A52"/>
    <mergeCell ref="B50:D50"/>
    <mergeCell ref="B51:D51"/>
    <mergeCell ref="B52:D52"/>
    <mergeCell ref="B42:D42"/>
    <mergeCell ref="B43:D43"/>
    <mergeCell ref="A44:A46"/>
    <mergeCell ref="B44:D44"/>
    <mergeCell ref="B45:D45"/>
    <mergeCell ref="B46:D46"/>
    <mergeCell ref="A36:A38"/>
    <mergeCell ref="B36:D36"/>
    <mergeCell ref="B37:D37"/>
    <mergeCell ref="B38:D38"/>
    <mergeCell ref="B40:D40"/>
    <mergeCell ref="B41:D41"/>
    <mergeCell ref="A30:A32"/>
    <mergeCell ref="B30:D30"/>
    <mergeCell ref="B31:D31"/>
    <mergeCell ref="B32:D32"/>
    <mergeCell ref="A33:A35"/>
    <mergeCell ref="B33:D33"/>
    <mergeCell ref="B34:D34"/>
    <mergeCell ref="B35:D35"/>
    <mergeCell ref="A24:A26"/>
    <mergeCell ref="B24:D24"/>
    <mergeCell ref="B25:D25"/>
    <mergeCell ref="B26:D26"/>
    <mergeCell ref="A27:A29"/>
    <mergeCell ref="B27:D27"/>
    <mergeCell ref="B28:D28"/>
    <mergeCell ref="B29:D29"/>
    <mergeCell ref="A18:A20"/>
    <mergeCell ref="B18:D18"/>
    <mergeCell ref="B19:D19"/>
    <mergeCell ref="B20:D20"/>
    <mergeCell ref="A21:A23"/>
    <mergeCell ref="B21:D21"/>
    <mergeCell ref="B22:D22"/>
    <mergeCell ref="B23:D23"/>
    <mergeCell ref="B11:D11"/>
    <mergeCell ref="B12:D12"/>
    <mergeCell ref="B13:D13"/>
    <mergeCell ref="B14:D14"/>
    <mergeCell ref="A15:A17"/>
    <mergeCell ref="B15:D15"/>
    <mergeCell ref="B16:D16"/>
    <mergeCell ref="B17:D17"/>
  </mergeCells>
  <phoneticPr fontId="4"/>
  <printOptions horizontalCentered="1"/>
  <pageMargins left="0.59055118110236227" right="0.47244094488188981" top="0.98425196850393704" bottom="0.39370078740157483" header="0.78740157480314965" footer="0.15748031496062992"/>
  <pageSetup paperSize="9" scale="69" fitToHeight="0" orientation="landscape" horizontalDpi="400" verticalDpi="400" r:id="rId1"/>
  <headerFooter scaleWithDoc="0" alignWithMargins="0">
    <oddFooter>&amp;C&amp;"ＭＳ Ｐゴシック,標準"&amp;9( &amp;P / &amp;N )</oddFooter>
  </headerFooter>
  <rowBreaks count="2" manualBreakCount="2">
    <brk id="38" max="16383" man="1"/>
    <brk id="67" max="2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3"/>
  <sheetViews>
    <sheetView showGridLines="0" zoomScale="90" zoomScaleNormal="90" workbookViewId="0"/>
  </sheetViews>
  <sheetFormatPr defaultColWidth="9.140625" defaultRowHeight="30" customHeight="1"/>
  <cols>
    <col min="1" max="1" width="69.28515625" style="9" customWidth="1"/>
    <col min="2" max="5" width="8" style="5" customWidth="1"/>
    <col min="6" max="16384" width="9.140625" style="5"/>
  </cols>
  <sheetData>
    <row r="1" spans="1:5" ht="30" customHeight="1">
      <c r="A1" s="1"/>
      <c r="B1" s="2"/>
      <c r="C1" s="3"/>
      <c r="D1" s="4" t="s">
        <v>0</v>
      </c>
      <c r="E1" s="2"/>
    </row>
    <row r="2" spans="1:5" ht="30" customHeight="1">
      <c r="A2" s="6"/>
    </row>
    <row r="3" spans="1:5" ht="30" customHeight="1">
      <c r="A3" s="6"/>
      <c r="D3" s="7"/>
    </row>
    <row r="4" spans="1:5" ht="30" customHeight="1">
      <c r="A4" s="6"/>
    </row>
    <row r="5" spans="1:5" ht="30" customHeight="1">
      <c r="A5" s="8" t="s">
        <v>190</v>
      </c>
    </row>
    <row r="6" spans="1:5" ht="30" customHeight="1">
      <c r="A6" s="6"/>
    </row>
    <row r="7" spans="1:5" ht="30" customHeight="1">
      <c r="A7" s="6" t="s">
        <v>191</v>
      </c>
    </row>
    <row r="8" spans="1:5" ht="30" customHeight="1">
      <c r="A8" s="6"/>
    </row>
    <row r="9" spans="1:5" ht="30" customHeight="1">
      <c r="A9" s="6"/>
    </row>
    <row r="10" spans="1:5" ht="30" customHeight="1">
      <c r="A10" s="6"/>
    </row>
    <row r="11" spans="1:5" ht="30" customHeight="1">
      <c r="A11" s="6"/>
    </row>
    <row r="12" spans="1:5" ht="30" customHeight="1">
      <c r="A12" s="6"/>
    </row>
    <row r="13" spans="1:5" ht="30" customHeight="1">
      <c r="A13" s="6"/>
    </row>
  </sheetData>
  <sheetProtection insertRows="0" deleteRows="0" sort="0" autoFilter="0"/>
  <phoneticPr fontId="4"/>
  <printOptions horizontalCentered="1"/>
  <pageMargins left="0.70866141732283472" right="0.70866141732283472" top="0.98425196850393704" bottom="0.51181102362204722" header="0.78740157480314965" footer="0.35433070866141736"/>
  <pageSetup paperSize="9" orientation="landscape" horizontalDpi="300" verticalDpi="300" r:id="rId1"/>
  <headerFooter scaleWithDoc="0" alignWithMargins="0">
    <oddFooter>&amp;C&amp;"ＭＳ Ｐゴシック,標準"&amp;9( &amp;P / &amp;N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406"/>
  <sheetViews>
    <sheetView showGridLines="0" workbookViewId="0">
      <selection activeCell="A6" sqref="A6"/>
    </sheetView>
  </sheetViews>
  <sheetFormatPr defaultColWidth="8.5703125" defaultRowHeight="13.5" customHeight="1"/>
  <cols>
    <col min="1" max="1" width="20.140625" style="305" customWidth="1"/>
    <col min="2" max="2" width="3" style="364" customWidth="1"/>
    <col min="3" max="3" width="23.5703125" style="305" customWidth="1"/>
    <col min="4" max="4" width="7.140625" style="365" customWidth="1"/>
    <col min="5" max="6" width="10.5703125" style="366" customWidth="1"/>
    <col min="7" max="7" width="20.140625" style="305" customWidth="1"/>
    <col min="8" max="8" width="3" style="364" customWidth="1"/>
    <col min="9" max="9" width="23.5703125" style="305" customWidth="1"/>
    <col min="10" max="10" width="7.140625" style="365" customWidth="1"/>
    <col min="11" max="12" width="10.5703125" style="366" customWidth="1"/>
    <col min="13" max="16384" width="8.5703125" style="305"/>
  </cols>
  <sheetData>
    <row r="1" spans="1:13" s="300" customFormat="1" ht="18" customHeight="1">
      <c r="A1" s="296" t="s">
        <v>192</v>
      </c>
      <c r="B1" s="297"/>
      <c r="C1" s="297"/>
      <c r="D1" s="297"/>
      <c r="E1" s="297"/>
      <c r="F1" s="297"/>
      <c r="G1" s="297"/>
      <c r="H1" s="298"/>
      <c r="I1" s="298"/>
      <c r="J1" s="297"/>
      <c r="K1" s="297"/>
      <c r="L1" s="299"/>
    </row>
    <row r="2" spans="1:13" ht="6.95" customHeight="1">
      <c r="A2" s="301"/>
      <c r="B2" s="302"/>
      <c r="C2" s="301"/>
      <c r="D2" s="303"/>
      <c r="E2" s="304"/>
      <c r="F2" s="304"/>
      <c r="G2" s="301"/>
      <c r="H2" s="302"/>
      <c r="I2" s="301"/>
      <c r="J2" s="303"/>
      <c r="K2" s="304"/>
      <c r="L2" s="304"/>
    </row>
    <row r="3" spans="1:13" ht="13.5" customHeight="1">
      <c r="A3" s="306" t="s">
        <v>193</v>
      </c>
      <c r="B3" s="307" t="s">
        <v>194</v>
      </c>
      <c r="C3" s="308" t="s">
        <v>195</v>
      </c>
      <c r="D3" s="309" t="s">
        <v>196</v>
      </c>
      <c r="E3" s="310" t="s">
        <v>197</v>
      </c>
      <c r="F3" s="311" t="s">
        <v>198</v>
      </c>
      <c r="G3" s="306" t="s">
        <v>193</v>
      </c>
      <c r="H3" s="307" t="s">
        <v>194</v>
      </c>
      <c r="I3" s="308" t="s">
        <v>195</v>
      </c>
      <c r="J3" s="309" t="s">
        <v>199</v>
      </c>
      <c r="K3" s="310" t="s">
        <v>200</v>
      </c>
      <c r="L3" s="312" t="s">
        <v>201</v>
      </c>
    </row>
    <row r="4" spans="1:13" ht="13.5" customHeight="1">
      <c r="A4" s="313"/>
      <c r="B4" s="314"/>
      <c r="C4" s="315"/>
      <c r="D4" s="316"/>
      <c r="E4" s="317"/>
      <c r="F4" s="318"/>
      <c r="G4" s="313"/>
      <c r="H4" s="319"/>
      <c r="I4" s="315"/>
      <c r="J4" s="316"/>
      <c r="K4" s="317"/>
      <c r="L4" s="320"/>
    </row>
    <row r="5" spans="1:13" ht="13.5" customHeight="1">
      <c r="A5" s="313"/>
      <c r="B5" s="314"/>
      <c r="C5" s="315"/>
      <c r="D5" s="316"/>
      <c r="E5" s="317"/>
      <c r="F5" s="318"/>
      <c r="G5" s="313"/>
      <c r="H5" s="319"/>
      <c r="I5" s="315"/>
      <c r="J5" s="316"/>
      <c r="K5" s="317"/>
      <c r="L5" s="320"/>
    </row>
    <row r="6" spans="1:13" ht="13.5" customHeight="1">
      <c r="A6" s="321" t="s">
        <v>203</v>
      </c>
      <c r="B6" s="322"/>
      <c r="C6" s="323" t="s">
        <v>207</v>
      </c>
      <c r="D6" s="368" t="s">
        <v>208</v>
      </c>
      <c r="E6" s="325" t="s">
        <v>209</v>
      </c>
      <c r="F6" s="326">
        <v>4.2999999999999997E-2</v>
      </c>
      <c r="G6" s="321" t="s">
        <v>222</v>
      </c>
      <c r="H6" s="322">
        <v>1</v>
      </c>
      <c r="I6" s="372" t="s">
        <v>224</v>
      </c>
      <c r="J6" s="324"/>
      <c r="K6" s="325"/>
      <c r="L6" s="326"/>
      <c r="M6" s="367" t="s">
        <v>202</v>
      </c>
    </row>
    <row r="7" spans="1:13" ht="13.5" customHeight="1">
      <c r="A7" s="327" t="s">
        <v>204</v>
      </c>
      <c r="B7" s="328">
        <v>1</v>
      </c>
      <c r="C7" s="329" t="s">
        <v>210</v>
      </c>
      <c r="D7" s="330">
        <v>0.10000000149011612</v>
      </c>
      <c r="E7" s="331">
        <v>0.19</v>
      </c>
      <c r="F7" s="332">
        <v>0.52600000000000002</v>
      </c>
      <c r="G7" s="327" t="s">
        <v>223</v>
      </c>
      <c r="H7" s="328"/>
      <c r="I7" s="373"/>
      <c r="J7" s="330"/>
      <c r="K7" s="331"/>
      <c r="L7" s="332"/>
    </row>
    <row r="8" spans="1:13" ht="13.5" customHeight="1">
      <c r="A8" s="327" t="s">
        <v>205</v>
      </c>
      <c r="B8" s="328">
        <v>2</v>
      </c>
      <c r="C8" s="329" t="s">
        <v>211</v>
      </c>
      <c r="D8" s="330">
        <v>2.500000037252903E-2</v>
      </c>
      <c r="E8" s="331">
        <v>0.04</v>
      </c>
      <c r="F8" s="332">
        <v>0.625</v>
      </c>
      <c r="G8" s="327"/>
      <c r="H8" s="328"/>
      <c r="I8" s="329" t="s">
        <v>225</v>
      </c>
      <c r="J8" s="330"/>
      <c r="K8" s="331"/>
      <c r="L8" s="332"/>
    </row>
    <row r="9" spans="1:13" ht="13.5" customHeight="1">
      <c r="A9" s="327" t="s">
        <v>206</v>
      </c>
      <c r="B9" s="328">
        <v>3</v>
      </c>
      <c r="C9" s="329" t="s">
        <v>212</v>
      </c>
      <c r="D9" s="369" t="s">
        <v>208</v>
      </c>
      <c r="E9" s="370" t="s">
        <v>208</v>
      </c>
      <c r="F9" s="332">
        <v>0.09</v>
      </c>
      <c r="G9" s="327"/>
      <c r="H9" s="328"/>
      <c r="I9" s="329" t="s">
        <v>226</v>
      </c>
      <c r="J9" s="330"/>
      <c r="K9" s="331"/>
      <c r="L9" s="332"/>
    </row>
    <row r="10" spans="1:13" ht="13.5" customHeight="1">
      <c r="A10" s="327"/>
      <c r="B10" s="328">
        <v>4</v>
      </c>
      <c r="C10" s="329" t="s">
        <v>213</v>
      </c>
      <c r="D10" s="330">
        <v>1.2500000186264515E-2</v>
      </c>
      <c r="E10" s="331">
        <v>0.22</v>
      </c>
      <c r="F10" s="332">
        <v>5.7000000000000002E-2</v>
      </c>
      <c r="G10" s="327"/>
      <c r="H10" s="328"/>
      <c r="I10" s="329"/>
      <c r="J10" s="330"/>
      <c r="K10" s="331"/>
      <c r="L10" s="332"/>
    </row>
    <row r="11" spans="1:13" ht="13.5" customHeight="1">
      <c r="A11" s="327"/>
      <c r="B11" s="328">
        <v>5</v>
      </c>
      <c r="C11" s="329" t="s">
        <v>214</v>
      </c>
      <c r="D11" s="330">
        <v>6.0000000521540642E-3</v>
      </c>
      <c r="E11" s="331">
        <v>0.18</v>
      </c>
      <c r="F11" s="332">
        <v>3.3000000000000002E-2</v>
      </c>
      <c r="G11" s="327"/>
      <c r="H11" s="328"/>
      <c r="I11" s="329"/>
      <c r="J11" s="330"/>
      <c r="K11" s="331"/>
      <c r="L11" s="332"/>
    </row>
    <row r="12" spans="1:13" ht="13.5" customHeight="1">
      <c r="A12" s="327"/>
      <c r="B12" s="328"/>
      <c r="C12" s="329" t="s">
        <v>215</v>
      </c>
      <c r="D12" s="369" t="s">
        <v>208</v>
      </c>
      <c r="E12" s="331" t="s">
        <v>216</v>
      </c>
      <c r="F12" s="332">
        <v>0.111</v>
      </c>
      <c r="G12" s="327"/>
      <c r="H12" s="328"/>
      <c r="I12" s="329"/>
      <c r="J12" s="330"/>
      <c r="K12" s="331"/>
      <c r="L12" s="332"/>
    </row>
    <row r="13" spans="1:13" ht="13.5" customHeight="1">
      <c r="A13" s="327"/>
      <c r="B13" s="328"/>
      <c r="C13" s="329"/>
      <c r="D13" s="330"/>
      <c r="E13" s="331"/>
      <c r="F13" s="332"/>
      <c r="G13" s="327"/>
      <c r="H13" s="328"/>
      <c r="I13" s="329"/>
      <c r="J13" s="330"/>
      <c r="K13" s="331"/>
      <c r="L13" s="332"/>
    </row>
    <row r="14" spans="1:13" ht="13.5" customHeight="1">
      <c r="A14" s="327"/>
      <c r="B14" s="328"/>
      <c r="C14" s="329"/>
      <c r="D14" s="330"/>
      <c r="E14" s="331"/>
      <c r="F14" s="332"/>
      <c r="G14" s="327"/>
      <c r="H14" s="328"/>
      <c r="I14" s="329"/>
      <c r="J14" s="330"/>
      <c r="K14" s="331"/>
      <c r="L14" s="332"/>
    </row>
    <row r="15" spans="1:13" ht="13.5" customHeight="1">
      <c r="A15" s="327"/>
      <c r="B15" s="328"/>
      <c r="C15" s="329"/>
      <c r="D15" s="330"/>
      <c r="E15" s="331"/>
      <c r="F15" s="332"/>
      <c r="G15" s="327"/>
      <c r="H15" s="328"/>
      <c r="I15" s="329"/>
      <c r="J15" s="330"/>
      <c r="K15" s="331"/>
      <c r="L15" s="332"/>
    </row>
    <row r="16" spans="1:13" ht="13.5" customHeight="1">
      <c r="A16" s="327"/>
      <c r="B16" s="328"/>
      <c r="C16" s="329"/>
      <c r="D16" s="330"/>
      <c r="E16" s="331"/>
      <c r="F16" s="332"/>
      <c r="G16" s="327"/>
      <c r="H16" s="328"/>
      <c r="I16" s="329"/>
      <c r="J16" s="330"/>
      <c r="K16" s="331"/>
      <c r="L16" s="332"/>
    </row>
    <row r="17" spans="1:12" ht="13.5" customHeight="1">
      <c r="A17" s="327"/>
      <c r="B17" s="328"/>
      <c r="C17" s="329"/>
      <c r="D17" s="330"/>
      <c r="E17" s="331"/>
      <c r="F17" s="332"/>
      <c r="G17" s="327"/>
      <c r="H17" s="328"/>
      <c r="I17" s="329"/>
      <c r="J17" s="330"/>
      <c r="K17" s="331"/>
      <c r="L17" s="332"/>
    </row>
    <row r="18" spans="1:12" ht="13.5" customHeight="1">
      <c r="A18" s="327"/>
      <c r="B18" s="328"/>
      <c r="C18" s="329"/>
      <c r="D18" s="330"/>
      <c r="E18" s="331"/>
      <c r="F18" s="332"/>
      <c r="G18" s="327"/>
      <c r="H18" s="328"/>
      <c r="I18" s="329"/>
      <c r="J18" s="330"/>
      <c r="K18" s="331"/>
      <c r="L18" s="332"/>
    </row>
    <row r="19" spans="1:12" ht="13.5" customHeight="1">
      <c r="A19" s="327"/>
      <c r="B19" s="328"/>
      <c r="C19" s="329"/>
      <c r="D19" s="330"/>
      <c r="E19" s="331"/>
      <c r="F19" s="332"/>
      <c r="G19" s="327"/>
      <c r="H19" s="328"/>
      <c r="I19" s="329"/>
      <c r="J19" s="330"/>
      <c r="K19" s="331"/>
      <c r="L19" s="332"/>
    </row>
    <row r="20" spans="1:12" ht="13.5" customHeight="1">
      <c r="A20" s="333"/>
      <c r="B20" s="334"/>
      <c r="C20" s="335"/>
      <c r="D20" s="336"/>
      <c r="E20" s="337"/>
      <c r="F20" s="338"/>
      <c r="G20" s="333"/>
      <c r="H20" s="334"/>
      <c r="I20" s="335"/>
      <c r="J20" s="336"/>
      <c r="K20" s="337"/>
      <c r="L20" s="338"/>
    </row>
    <row r="21" spans="1:12" ht="13.5" customHeight="1">
      <c r="A21" s="339"/>
      <c r="B21" s="340"/>
      <c r="C21" s="339" t="s">
        <v>217</v>
      </c>
      <c r="D21" s="341"/>
      <c r="E21" s="341"/>
      <c r="F21" s="342">
        <v>1.4850000000000001</v>
      </c>
      <c r="G21" s="339"/>
      <c r="H21" s="340"/>
      <c r="I21" s="339"/>
      <c r="J21" s="341"/>
      <c r="K21" s="341"/>
      <c r="L21" s="342"/>
    </row>
    <row r="22" spans="1:12" ht="13.5" customHeight="1">
      <c r="A22" s="343"/>
      <c r="B22" s="344"/>
      <c r="C22" s="345" t="s">
        <v>218</v>
      </c>
      <c r="D22" s="346"/>
      <c r="E22" s="347"/>
      <c r="F22" s="348"/>
      <c r="G22" s="343"/>
      <c r="H22" s="344"/>
      <c r="I22" s="345" t="s">
        <v>228</v>
      </c>
      <c r="J22" s="346"/>
      <c r="K22" s="347" t="s">
        <v>227</v>
      </c>
      <c r="L22" s="348"/>
    </row>
    <row r="23" spans="1:12" ht="13.5" customHeight="1">
      <c r="A23" s="327" t="s">
        <v>203</v>
      </c>
      <c r="B23" s="328"/>
      <c r="C23" s="349" t="s">
        <v>207</v>
      </c>
      <c r="D23" s="369" t="s">
        <v>208</v>
      </c>
      <c r="E23" s="350" t="s">
        <v>209</v>
      </c>
      <c r="F23" s="351">
        <v>4.2999999999999997E-2</v>
      </c>
      <c r="G23" s="327" t="s">
        <v>222</v>
      </c>
      <c r="H23" s="328">
        <v>1</v>
      </c>
      <c r="I23" s="374" t="s">
        <v>224</v>
      </c>
      <c r="J23" s="330"/>
      <c r="K23" s="350"/>
      <c r="L23" s="351"/>
    </row>
    <row r="24" spans="1:12" ht="13.5" customHeight="1">
      <c r="A24" s="327" t="s">
        <v>219</v>
      </c>
      <c r="B24" s="328">
        <v>1</v>
      </c>
      <c r="C24" s="349" t="s">
        <v>210</v>
      </c>
      <c r="D24" s="330">
        <v>0.10000000149011612</v>
      </c>
      <c r="E24" s="350">
        <v>0.19</v>
      </c>
      <c r="F24" s="351">
        <v>0.52600000000000002</v>
      </c>
      <c r="G24" s="327" t="s">
        <v>229</v>
      </c>
      <c r="H24" s="328"/>
      <c r="I24" s="373"/>
      <c r="J24" s="330"/>
      <c r="K24" s="350"/>
      <c r="L24" s="351"/>
    </row>
    <row r="25" spans="1:12" ht="13.5" customHeight="1">
      <c r="A25" s="327" t="s">
        <v>205</v>
      </c>
      <c r="B25" s="328">
        <v>2</v>
      </c>
      <c r="C25" s="349" t="s">
        <v>220</v>
      </c>
      <c r="D25" s="330">
        <v>2.500000037252903E-2</v>
      </c>
      <c r="E25" s="350">
        <v>3.4000000000000002E-2</v>
      </c>
      <c r="F25" s="351">
        <v>0.73499999999999999</v>
      </c>
      <c r="G25" s="327"/>
      <c r="H25" s="328"/>
      <c r="I25" s="349" t="s">
        <v>230</v>
      </c>
      <c r="J25" s="330"/>
      <c r="K25" s="350"/>
      <c r="L25" s="351"/>
    </row>
    <row r="26" spans="1:12" ht="13.5" customHeight="1">
      <c r="A26" s="327" t="s">
        <v>206</v>
      </c>
      <c r="B26" s="328">
        <v>3</v>
      </c>
      <c r="C26" s="349" t="s">
        <v>212</v>
      </c>
      <c r="D26" s="369" t="s">
        <v>208</v>
      </c>
      <c r="E26" s="371" t="s">
        <v>208</v>
      </c>
      <c r="F26" s="351">
        <v>0.09</v>
      </c>
      <c r="G26" s="327"/>
      <c r="H26" s="328"/>
      <c r="I26" s="349" t="s">
        <v>226</v>
      </c>
      <c r="J26" s="330"/>
      <c r="K26" s="350"/>
      <c r="L26" s="351"/>
    </row>
    <row r="27" spans="1:12" ht="13.5" customHeight="1">
      <c r="A27" s="327"/>
      <c r="B27" s="328">
        <v>4</v>
      </c>
      <c r="C27" s="349" t="s">
        <v>213</v>
      </c>
      <c r="D27" s="330">
        <v>1.2500000186264515E-2</v>
      </c>
      <c r="E27" s="350">
        <v>0.22</v>
      </c>
      <c r="F27" s="351">
        <v>5.7000000000000002E-2</v>
      </c>
      <c r="G27" s="327"/>
      <c r="H27" s="328"/>
      <c r="I27" s="349"/>
      <c r="J27" s="330"/>
      <c r="K27" s="350"/>
      <c r="L27" s="351"/>
    </row>
    <row r="28" spans="1:12" ht="13.5" customHeight="1">
      <c r="A28" s="327"/>
      <c r="B28" s="328"/>
      <c r="C28" s="349" t="s">
        <v>215</v>
      </c>
      <c r="D28" s="369" t="s">
        <v>208</v>
      </c>
      <c r="E28" s="350" t="s">
        <v>216</v>
      </c>
      <c r="F28" s="351">
        <v>0.111</v>
      </c>
      <c r="G28" s="327"/>
      <c r="H28" s="328"/>
      <c r="I28" s="349"/>
      <c r="J28" s="330"/>
      <c r="K28" s="350"/>
      <c r="L28" s="351"/>
    </row>
    <row r="29" spans="1:12" ht="13.5" customHeight="1">
      <c r="A29" s="327"/>
      <c r="B29" s="328"/>
      <c r="C29" s="349"/>
      <c r="D29" s="330"/>
      <c r="E29" s="350"/>
      <c r="F29" s="351"/>
      <c r="G29" s="327"/>
      <c r="H29" s="328"/>
      <c r="I29" s="349"/>
      <c r="J29" s="330"/>
      <c r="K29" s="350"/>
      <c r="L29" s="351"/>
    </row>
    <row r="30" spans="1:12" ht="13.5" customHeight="1">
      <c r="A30" s="327"/>
      <c r="B30" s="328"/>
      <c r="C30" s="349"/>
      <c r="D30" s="330"/>
      <c r="E30" s="350"/>
      <c r="F30" s="351"/>
      <c r="G30" s="327"/>
      <c r="H30" s="328"/>
      <c r="I30" s="349"/>
      <c r="J30" s="330"/>
      <c r="K30" s="350"/>
      <c r="L30" s="351"/>
    </row>
    <row r="31" spans="1:12" ht="13.5" customHeight="1">
      <c r="A31" s="327"/>
      <c r="B31" s="328"/>
      <c r="C31" s="349"/>
      <c r="D31" s="330"/>
      <c r="E31" s="350"/>
      <c r="F31" s="351"/>
      <c r="G31" s="327"/>
      <c r="H31" s="328"/>
      <c r="I31" s="349"/>
      <c r="J31" s="330"/>
      <c r="K31" s="350"/>
      <c r="L31" s="351"/>
    </row>
    <row r="32" spans="1:12" ht="13.5" customHeight="1">
      <c r="A32" s="327"/>
      <c r="B32" s="328"/>
      <c r="C32" s="349"/>
      <c r="D32" s="330"/>
      <c r="E32" s="350"/>
      <c r="F32" s="351"/>
      <c r="G32" s="327"/>
      <c r="H32" s="328"/>
      <c r="I32" s="349"/>
      <c r="J32" s="330"/>
      <c r="K32" s="350"/>
      <c r="L32" s="351"/>
    </row>
    <row r="33" spans="1:12" ht="13.5" customHeight="1">
      <c r="A33" s="327"/>
      <c r="B33" s="328"/>
      <c r="C33" s="349"/>
      <c r="D33" s="330"/>
      <c r="E33" s="350"/>
      <c r="F33" s="351"/>
      <c r="G33" s="327"/>
      <c r="H33" s="328"/>
      <c r="I33" s="349"/>
      <c r="J33" s="330"/>
      <c r="K33" s="350"/>
      <c r="L33" s="351"/>
    </row>
    <row r="34" spans="1:12" ht="13.5" customHeight="1">
      <c r="A34" s="327"/>
      <c r="B34" s="328"/>
      <c r="C34" s="349"/>
      <c r="D34" s="330"/>
      <c r="E34" s="350"/>
      <c r="F34" s="351"/>
      <c r="G34" s="327"/>
      <c r="H34" s="328"/>
      <c r="I34" s="349"/>
      <c r="J34" s="330"/>
      <c r="K34" s="350"/>
      <c r="L34" s="351"/>
    </row>
    <row r="35" spans="1:12" ht="13.5" customHeight="1">
      <c r="A35" s="327"/>
      <c r="B35" s="328"/>
      <c r="C35" s="349"/>
      <c r="D35" s="330"/>
      <c r="E35" s="350"/>
      <c r="F35" s="351"/>
      <c r="G35" s="327"/>
      <c r="H35" s="328"/>
      <c r="I35" s="349"/>
      <c r="J35" s="330"/>
      <c r="K35" s="350"/>
      <c r="L35" s="351"/>
    </row>
    <row r="36" spans="1:12" ht="13.5" customHeight="1">
      <c r="A36" s="327"/>
      <c r="B36" s="328"/>
      <c r="C36" s="349"/>
      <c r="D36" s="330"/>
      <c r="E36" s="350"/>
      <c r="F36" s="351"/>
      <c r="G36" s="327"/>
      <c r="H36" s="328"/>
      <c r="I36" s="349"/>
      <c r="J36" s="330"/>
      <c r="K36" s="350"/>
      <c r="L36" s="351"/>
    </row>
    <row r="37" spans="1:12" ht="13.5" customHeight="1">
      <c r="A37" s="333"/>
      <c r="B37" s="334"/>
      <c r="C37" s="352"/>
      <c r="D37" s="336"/>
      <c r="E37" s="353"/>
      <c r="F37" s="354"/>
      <c r="G37" s="333"/>
      <c r="H37" s="334"/>
      <c r="I37" s="352"/>
      <c r="J37" s="336"/>
      <c r="K37" s="353"/>
      <c r="L37" s="354"/>
    </row>
    <row r="38" spans="1:12" ht="13.5" customHeight="1">
      <c r="A38" s="339"/>
      <c r="B38" s="340"/>
      <c r="C38" s="355" t="s">
        <v>217</v>
      </c>
      <c r="D38" s="356"/>
      <c r="E38" s="356"/>
      <c r="F38" s="357">
        <v>1.5620000000000001</v>
      </c>
      <c r="G38" s="339"/>
      <c r="H38" s="340"/>
      <c r="I38" s="355"/>
      <c r="J38" s="356"/>
      <c r="K38" s="356"/>
      <c r="L38" s="357"/>
    </row>
    <row r="39" spans="1:12" ht="13.5" customHeight="1">
      <c r="A39" s="358"/>
      <c r="B39" s="359"/>
      <c r="C39" s="360" t="s">
        <v>221</v>
      </c>
      <c r="D39" s="361"/>
      <c r="E39" s="362"/>
      <c r="F39" s="363"/>
      <c r="G39" s="358"/>
      <c r="H39" s="359"/>
      <c r="I39" s="360" t="s">
        <v>232</v>
      </c>
      <c r="J39" s="361"/>
      <c r="K39" s="362" t="s">
        <v>231</v>
      </c>
      <c r="L39" s="363"/>
    </row>
    <row r="40" spans="1:12" ht="13.5" customHeight="1">
      <c r="A40" s="321" t="s">
        <v>222</v>
      </c>
      <c r="B40" s="322">
        <v>1</v>
      </c>
      <c r="C40" s="372" t="s">
        <v>234</v>
      </c>
      <c r="D40" s="324"/>
      <c r="E40" s="325"/>
      <c r="F40" s="326"/>
      <c r="G40" s="321" t="s">
        <v>237</v>
      </c>
      <c r="H40" s="322"/>
      <c r="I40" s="323" t="s">
        <v>207</v>
      </c>
      <c r="J40" s="368" t="s">
        <v>208</v>
      </c>
      <c r="K40" s="325" t="s">
        <v>209</v>
      </c>
      <c r="L40" s="326">
        <v>4.2999999999999997E-2</v>
      </c>
    </row>
    <row r="41" spans="1:12" ht="13.5" customHeight="1">
      <c r="A41" s="327" t="s">
        <v>233</v>
      </c>
      <c r="B41" s="328"/>
      <c r="C41" s="373"/>
      <c r="D41" s="330"/>
      <c r="E41" s="331"/>
      <c r="F41" s="332"/>
      <c r="G41" s="327" t="s">
        <v>245</v>
      </c>
      <c r="H41" s="328">
        <v>1</v>
      </c>
      <c r="I41" s="329" t="s">
        <v>240</v>
      </c>
      <c r="J41" s="330">
        <v>0.10000000149011612</v>
      </c>
      <c r="K41" s="331">
        <v>0.5</v>
      </c>
      <c r="L41" s="332">
        <v>0.2</v>
      </c>
    </row>
    <row r="42" spans="1:12" ht="13.5" customHeight="1">
      <c r="A42" s="327"/>
      <c r="B42" s="328"/>
      <c r="C42" s="329" t="s">
        <v>225</v>
      </c>
      <c r="D42" s="330"/>
      <c r="E42" s="331"/>
      <c r="F42" s="332"/>
      <c r="G42" s="327" t="s">
        <v>239</v>
      </c>
      <c r="H42" s="328">
        <v>2</v>
      </c>
      <c r="I42" s="329" t="s">
        <v>241</v>
      </c>
      <c r="J42" s="330">
        <v>5.000000074505806E-2</v>
      </c>
      <c r="K42" s="331">
        <v>3.4000000000000002E-2</v>
      </c>
      <c r="L42" s="332">
        <v>1.4710000000000001</v>
      </c>
    </row>
    <row r="43" spans="1:12" ht="13.5" customHeight="1">
      <c r="A43" s="327"/>
      <c r="B43" s="328"/>
      <c r="C43" s="329" t="s">
        <v>226</v>
      </c>
      <c r="D43" s="330"/>
      <c r="E43" s="331"/>
      <c r="F43" s="332"/>
      <c r="G43" s="327" t="s">
        <v>206</v>
      </c>
      <c r="H43" s="328">
        <v>3</v>
      </c>
      <c r="I43" s="329" t="s">
        <v>242</v>
      </c>
      <c r="J43" s="330">
        <v>9.9999997764825821E-3</v>
      </c>
      <c r="K43" s="331">
        <v>0.11</v>
      </c>
      <c r="L43" s="332">
        <v>9.0999999999999998E-2</v>
      </c>
    </row>
    <row r="44" spans="1:12" ht="13.5" customHeight="1">
      <c r="A44" s="327"/>
      <c r="B44" s="328"/>
      <c r="C44" s="329"/>
      <c r="D44" s="330"/>
      <c r="E44" s="331"/>
      <c r="F44" s="332"/>
      <c r="G44" s="327"/>
      <c r="H44" s="328">
        <v>4</v>
      </c>
      <c r="I44" s="329" t="s">
        <v>243</v>
      </c>
      <c r="J44" s="330">
        <v>0.15000000596046448</v>
      </c>
      <c r="K44" s="331">
        <v>1.6</v>
      </c>
      <c r="L44" s="332">
        <v>9.4E-2</v>
      </c>
    </row>
    <row r="45" spans="1:12" ht="13.5" customHeight="1">
      <c r="A45" s="327"/>
      <c r="B45" s="328"/>
      <c r="C45" s="329"/>
      <c r="D45" s="330"/>
      <c r="E45" s="331"/>
      <c r="F45" s="332"/>
      <c r="G45" s="327"/>
      <c r="H45" s="328">
        <v>5</v>
      </c>
      <c r="I45" s="329" t="s">
        <v>212</v>
      </c>
      <c r="J45" s="369" t="s">
        <v>208</v>
      </c>
      <c r="K45" s="370" t="s">
        <v>208</v>
      </c>
      <c r="L45" s="332">
        <v>0.09</v>
      </c>
    </row>
    <row r="46" spans="1:12" ht="13.5" customHeight="1">
      <c r="A46" s="327"/>
      <c r="B46" s="328"/>
      <c r="C46" s="329"/>
      <c r="D46" s="330"/>
      <c r="E46" s="331"/>
      <c r="F46" s="332"/>
      <c r="G46" s="327"/>
      <c r="H46" s="328">
        <v>6</v>
      </c>
      <c r="I46" s="329" t="s">
        <v>213</v>
      </c>
      <c r="J46" s="330">
        <v>9.4999996945261955E-3</v>
      </c>
      <c r="K46" s="331">
        <v>0.22</v>
      </c>
      <c r="L46" s="332">
        <v>4.2999999999999997E-2</v>
      </c>
    </row>
    <row r="47" spans="1:12" ht="13.5" customHeight="1">
      <c r="A47" s="327"/>
      <c r="B47" s="328"/>
      <c r="C47" s="329"/>
      <c r="D47" s="330"/>
      <c r="E47" s="331"/>
      <c r="F47" s="332"/>
      <c r="G47" s="327"/>
      <c r="H47" s="328">
        <v>7</v>
      </c>
      <c r="I47" s="329" t="s">
        <v>214</v>
      </c>
      <c r="J47" s="330">
        <v>6.0000000521540642E-3</v>
      </c>
      <c r="K47" s="331">
        <v>0.18</v>
      </c>
      <c r="L47" s="332">
        <v>3.3000000000000002E-2</v>
      </c>
    </row>
    <row r="48" spans="1:12" ht="13.5" customHeight="1">
      <c r="A48" s="327"/>
      <c r="B48" s="328"/>
      <c r="C48" s="329"/>
      <c r="D48" s="330"/>
      <c r="E48" s="331"/>
      <c r="F48" s="332"/>
      <c r="G48" s="327"/>
      <c r="H48" s="328"/>
      <c r="I48" s="329" t="s">
        <v>215</v>
      </c>
      <c r="J48" s="369" t="s">
        <v>208</v>
      </c>
      <c r="K48" s="331" t="s">
        <v>216</v>
      </c>
      <c r="L48" s="332">
        <v>0.111</v>
      </c>
    </row>
    <row r="49" spans="1:12" ht="13.5" customHeight="1">
      <c r="A49" s="327"/>
      <c r="B49" s="328"/>
      <c r="C49" s="329"/>
      <c r="D49" s="330"/>
      <c r="E49" s="331"/>
      <c r="F49" s="332"/>
      <c r="G49" s="327"/>
      <c r="H49" s="328"/>
      <c r="I49" s="329"/>
      <c r="J49" s="330"/>
      <c r="K49" s="331"/>
      <c r="L49" s="332"/>
    </row>
    <row r="50" spans="1:12" ht="13.5" customHeight="1">
      <c r="A50" s="327"/>
      <c r="B50" s="328"/>
      <c r="C50" s="329"/>
      <c r="D50" s="330"/>
      <c r="E50" s="331"/>
      <c r="F50" s="332"/>
      <c r="G50" s="327"/>
      <c r="H50" s="328"/>
      <c r="I50" s="329"/>
      <c r="J50" s="330"/>
      <c r="K50" s="331"/>
      <c r="L50" s="332"/>
    </row>
    <row r="51" spans="1:12" ht="13.5" customHeight="1">
      <c r="A51" s="327"/>
      <c r="B51" s="328"/>
      <c r="C51" s="329"/>
      <c r="D51" s="330"/>
      <c r="E51" s="331"/>
      <c r="F51" s="332"/>
      <c r="G51" s="327"/>
      <c r="H51" s="328"/>
      <c r="I51" s="329"/>
      <c r="J51" s="330"/>
      <c r="K51" s="331"/>
      <c r="L51" s="332"/>
    </row>
    <row r="52" spans="1:12" ht="13.5" customHeight="1">
      <c r="A52" s="327"/>
      <c r="B52" s="328"/>
      <c r="C52" s="329"/>
      <c r="D52" s="330"/>
      <c r="E52" s="331"/>
      <c r="F52" s="332"/>
      <c r="G52" s="327"/>
      <c r="H52" s="328"/>
      <c r="I52" s="329"/>
      <c r="J52" s="330"/>
      <c r="K52" s="331"/>
      <c r="L52" s="332"/>
    </row>
    <row r="53" spans="1:12" ht="13.5" customHeight="1">
      <c r="A53" s="327"/>
      <c r="B53" s="328"/>
      <c r="C53" s="329"/>
      <c r="D53" s="330"/>
      <c r="E53" s="331"/>
      <c r="F53" s="332"/>
      <c r="G53" s="327"/>
      <c r="H53" s="328"/>
      <c r="I53" s="329"/>
      <c r="J53" s="330"/>
      <c r="K53" s="331"/>
      <c r="L53" s="332"/>
    </row>
    <row r="54" spans="1:12" ht="13.5" customHeight="1">
      <c r="A54" s="333"/>
      <c r="B54" s="334"/>
      <c r="C54" s="335"/>
      <c r="D54" s="336"/>
      <c r="E54" s="337"/>
      <c r="F54" s="338"/>
      <c r="G54" s="333"/>
      <c r="H54" s="334"/>
      <c r="I54" s="335"/>
      <c r="J54" s="336"/>
      <c r="K54" s="337"/>
      <c r="L54" s="338"/>
    </row>
    <row r="55" spans="1:12" ht="13.5" customHeight="1">
      <c r="A55" s="339"/>
      <c r="B55" s="340"/>
      <c r="C55" s="339"/>
      <c r="D55" s="341"/>
      <c r="E55" s="341"/>
      <c r="F55" s="342"/>
      <c r="G55" s="339"/>
      <c r="H55" s="340"/>
      <c r="I55" s="339" t="s">
        <v>217</v>
      </c>
      <c r="J55" s="341"/>
      <c r="K55" s="341"/>
      <c r="L55" s="342">
        <v>2.1760000000000002</v>
      </c>
    </row>
    <row r="56" spans="1:12" ht="13.5" customHeight="1">
      <c r="A56" s="343"/>
      <c r="B56" s="344"/>
      <c r="C56" s="345" t="s">
        <v>236</v>
      </c>
      <c r="D56" s="346"/>
      <c r="E56" s="347" t="s">
        <v>235</v>
      </c>
      <c r="F56" s="348"/>
      <c r="G56" s="343"/>
      <c r="H56" s="344"/>
      <c r="I56" s="345" t="s">
        <v>246</v>
      </c>
      <c r="J56" s="346"/>
      <c r="K56" s="347"/>
      <c r="L56" s="348"/>
    </row>
    <row r="57" spans="1:12" ht="13.5" customHeight="1">
      <c r="A57" s="327" t="s">
        <v>237</v>
      </c>
      <c r="B57" s="328"/>
      <c r="C57" s="349" t="s">
        <v>207</v>
      </c>
      <c r="D57" s="369" t="s">
        <v>208</v>
      </c>
      <c r="E57" s="350" t="s">
        <v>209</v>
      </c>
      <c r="F57" s="351">
        <v>4.2999999999999997E-2</v>
      </c>
      <c r="G57" s="327" t="s">
        <v>247</v>
      </c>
      <c r="H57" s="328"/>
      <c r="I57" s="349" t="s">
        <v>215</v>
      </c>
      <c r="J57" s="369" t="s">
        <v>208</v>
      </c>
      <c r="K57" s="350" t="s">
        <v>216</v>
      </c>
      <c r="L57" s="351">
        <v>0.111</v>
      </c>
    </row>
    <row r="58" spans="1:12" ht="13.5" customHeight="1">
      <c r="A58" s="327" t="s">
        <v>238</v>
      </c>
      <c r="B58" s="328">
        <v>1</v>
      </c>
      <c r="C58" s="349" t="s">
        <v>240</v>
      </c>
      <c r="D58" s="330">
        <v>0.10000000149011612</v>
      </c>
      <c r="E58" s="350">
        <v>0.5</v>
      </c>
      <c r="F58" s="351">
        <v>0.2</v>
      </c>
      <c r="G58" s="327" t="s">
        <v>248</v>
      </c>
      <c r="H58" s="328">
        <v>1</v>
      </c>
      <c r="I58" s="349" t="s">
        <v>214</v>
      </c>
      <c r="J58" s="330">
        <v>6.0000000521540642E-3</v>
      </c>
      <c r="K58" s="350">
        <v>0.18</v>
      </c>
      <c r="L58" s="351">
        <v>3.3000000000000002E-2</v>
      </c>
    </row>
    <row r="59" spans="1:12" ht="13.5" customHeight="1">
      <c r="A59" s="327" t="s">
        <v>239</v>
      </c>
      <c r="B59" s="328">
        <v>2</v>
      </c>
      <c r="C59" s="349" t="s">
        <v>241</v>
      </c>
      <c r="D59" s="330">
        <v>5.000000074505806E-2</v>
      </c>
      <c r="E59" s="350">
        <v>3.4000000000000002E-2</v>
      </c>
      <c r="F59" s="351">
        <v>1.4710000000000001</v>
      </c>
      <c r="G59" s="327"/>
      <c r="H59" s="328">
        <v>2</v>
      </c>
      <c r="I59" s="349" t="s">
        <v>213</v>
      </c>
      <c r="J59" s="330">
        <v>1.2500000186264515E-2</v>
      </c>
      <c r="K59" s="350">
        <v>0.22</v>
      </c>
      <c r="L59" s="351">
        <v>5.7000000000000002E-2</v>
      </c>
    </row>
    <row r="60" spans="1:12" ht="13.5" customHeight="1">
      <c r="A60" s="327" t="s">
        <v>206</v>
      </c>
      <c r="B60" s="328">
        <v>3</v>
      </c>
      <c r="C60" s="349" t="s">
        <v>242</v>
      </c>
      <c r="D60" s="330">
        <v>9.9999997764825821E-3</v>
      </c>
      <c r="E60" s="350">
        <v>0.11</v>
      </c>
      <c r="F60" s="351">
        <v>9.0999999999999998E-2</v>
      </c>
      <c r="G60" s="327"/>
      <c r="H60" s="328">
        <v>3</v>
      </c>
      <c r="I60" s="349" t="s">
        <v>212</v>
      </c>
      <c r="J60" s="369" t="s">
        <v>208</v>
      </c>
      <c r="K60" s="371" t="s">
        <v>208</v>
      </c>
      <c r="L60" s="351">
        <v>0.09</v>
      </c>
    </row>
    <row r="61" spans="1:12" ht="13.5" customHeight="1">
      <c r="A61" s="327"/>
      <c r="B61" s="328">
        <v>4</v>
      </c>
      <c r="C61" s="349" t="s">
        <v>243</v>
      </c>
      <c r="D61" s="330">
        <v>0.15000000596046448</v>
      </c>
      <c r="E61" s="350">
        <v>1.6</v>
      </c>
      <c r="F61" s="351">
        <v>9.4E-2</v>
      </c>
      <c r="G61" s="327"/>
      <c r="H61" s="328">
        <v>4</v>
      </c>
      <c r="I61" s="349" t="s">
        <v>213</v>
      </c>
      <c r="J61" s="330">
        <v>1.2500000186264515E-2</v>
      </c>
      <c r="K61" s="350">
        <v>0.22</v>
      </c>
      <c r="L61" s="351">
        <v>5.7000000000000002E-2</v>
      </c>
    </row>
    <row r="62" spans="1:12" ht="13.5" customHeight="1">
      <c r="A62" s="327"/>
      <c r="B62" s="328">
        <v>5</v>
      </c>
      <c r="C62" s="349" t="s">
        <v>212</v>
      </c>
      <c r="D62" s="369" t="s">
        <v>208</v>
      </c>
      <c r="E62" s="371" t="s">
        <v>208</v>
      </c>
      <c r="F62" s="351">
        <v>0.09</v>
      </c>
      <c r="G62" s="327"/>
      <c r="H62" s="328">
        <v>5</v>
      </c>
      <c r="I62" s="349" t="s">
        <v>214</v>
      </c>
      <c r="J62" s="330">
        <v>6.0000000521540642E-3</v>
      </c>
      <c r="K62" s="350">
        <v>0.18</v>
      </c>
      <c r="L62" s="351">
        <v>3.3000000000000002E-2</v>
      </c>
    </row>
    <row r="63" spans="1:12" ht="13.5" customHeight="1">
      <c r="A63" s="327"/>
      <c r="B63" s="328">
        <v>6</v>
      </c>
      <c r="C63" s="349" t="s">
        <v>213</v>
      </c>
      <c r="D63" s="330">
        <v>9.4999996945261955E-3</v>
      </c>
      <c r="E63" s="350">
        <v>0.22</v>
      </c>
      <c r="F63" s="351">
        <v>4.2999999999999997E-2</v>
      </c>
      <c r="G63" s="327"/>
      <c r="H63" s="328"/>
      <c r="I63" s="349" t="s">
        <v>215</v>
      </c>
      <c r="J63" s="369" t="s">
        <v>208</v>
      </c>
      <c r="K63" s="350" t="s">
        <v>216</v>
      </c>
      <c r="L63" s="351">
        <v>0.111</v>
      </c>
    </row>
    <row r="64" spans="1:12" ht="13.5" customHeight="1">
      <c r="A64" s="327"/>
      <c r="B64" s="328"/>
      <c r="C64" s="349" t="s">
        <v>215</v>
      </c>
      <c r="D64" s="369" t="s">
        <v>208</v>
      </c>
      <c r="E64" s="350" t="s">
        <v>216</v>
      </c>
      <c r="F64" s="351">
        <v>0.111</v>
      </c>
      <c r="G64" s="327"/>
      <c r="H64" s="328"/>
      <c r="I64" s="349"/>
      <c r="J64" s="330"/>
      <c r="K64" s="350"/>
      <c r="L64" s="351"/>
    </row>
    <row r="65" spans="1:12" ht="13.5" customHeight="1">
      <c r="A65" s="327"/>
      <c r="B65" s="328"/>
      <c r="C65" s="349"/>
      <c r="D65" s="330"/>
      <c r="E65" s="350"/>
      <c r="F65" s="351"/>
      <c r="G65" s="327"/>
      <c r="H65" s="328"/>
      <c r="I65" s="349"/>
      <c r="J65" s="330"/>
      <c r="K65" s="350"/>
      <c r="L65" s="351"/>
    </row>
    <row r="66" spans="1:12" ht="13.5" customHeight="1">
      <c r="A66" s="327"/>
      <c r="B66" s="328"/>
      <c r="C66" s="349"/>
      <c r="D66" s="330"/>
      <c r="E66" s="350"/>
      <c r="F66" s="351"/>
      <c r="G66" s="327"/>
      <c r="H66" s="328"/>
      <c r="I66" s="349"/>
      <c r="J66" s="330"/>
      <c r="K66" s="350"/>
      <c r="L66" s="351"/>
    </row>
    <row r="67" spans="1:12" ht="13.5" customHeight="1">
      <c r="A67" s="327"/>
      <c r="B67" s="328"/>
      <c r="C67" s="349"/>
      <c r="D67" s="330"/>
      <c r="E67" s="350"/>
      <c r="F67" s="351"/>
      <c r="G67" s="327"/>
      <c r="H67" s="328"/>
      <c r="I67" s="349"/>
      <c r="J67" s="330"/>
      <c r="K67" s="350"/>
      <c r="L67" s="351"/>
    </row>
    <row r="68" spans="1:12" ht="13.5" customHeight="1">
      <c r="A68" s="327"/>
      <c r="B68" s="328"/>
      <c r="C68" s="349"/>
      <c r="D68" s="330"/>
      <c r="E68" s="350"/>
      <c r="F68" s="351"/>
      <c r="G68" s="327"/>
      <c r="H68" s="328"/>
      <c r="I68" s="349"/>
      <c r="J68" s="330"/>
      <c r="K68" s="350"/>
      <c r="L68" s="351"/>
    </row>
    <row r="69" spans="1:12" ht="13.5" customHeight="1">
      <c r="A69" s="327"/>
      <c r="B69" s="328"/>
      <c r="C69" s="349"/>
      <c r="D69" s="330"/>
      <c r="E69" s="350"/>
      <c r="F69" s="351"/>
      <c r="G69" s="327"/>
      <c r="H69" s="328"/>
      <c r="I69" s="349"/>
      <c r="J69" s="330"/>
      <c r="K69" s="350"/>
      <c r="L69" s="351"/>
    </row>
    <row r="70" spans="1:12" ht="13.5" customHeight="1">
      <c r="A70" s="327"/>
      <c r="B70" s="328"/>
      <c r="C70" s="349"/>
      <c r="D70" s="330"/>
      <c r="E70" s="350"/>
      <c r="F70" s="351"/>
      <c r="G70" s="327"/>
      <c r="H70" s="328"/>
      <c r="I70" s="349"/>
      <c r="J70" s="330"/>
      <c r="K70" s="350"/>
      <c r="L70" s="351"/>
    </row>
    <row r="71" spans="1:12" ht="13.5" customHeight="1">
      <c r="A71" s="333"/>
      <c r="B71" s="334"/>
      <c r="C71" s="352"/>
      <c r="D71" s="336"/>
      <c r="E71" s="353"/>
      <c r="F71" s="354"/>
      <c r="G71" s="333"/>
      <c r="H71" s="334"/>
      <c r="I71" s="352"/>
      <c r="J71" s="336"/>
      <c r="K71" s="353"/>
      <c r="L71" s="354"/>
    </row>
    <row r="72" spans="1:12" ht="13.5" customHeight="1">
      <c r="A72" s="339"/>
      <c r="B72" s="340"/>
      <c r="C72" s="355" t="s">
        <v>217</v>
      </c>
      <c r="D72" s="356"/>
      <c r="E72" s="356"/>
      <c r="F72" s="357">
        <v>2.1429999999999998</v>
      </c>
      <c r="G72" s="339"/>
      <c r="H72" s="340"/>
      <c r="I72" s="355" t="s">
        <v>217</v>
      </c>
      <c r="J72" s="356"/>
      <c r="K72" s="356"/>
      <c r="L72" s="357">
        <v>0.49199999999999999</v>
      </c>
    </row>
    <row r="73" spans="1:12" ht="13.5" customHeight="1">
      <c r="A73" s="358"/>
      <c r="B73" s="359"/>
      <c r="C73" s="360" t="s">
        <v>244</v>
      </c>
      <c r="D73" s="361"/>
      <c r="E73" s="362"/>
      <c r="F73" s="363"/>
      <c r="G73" s="358"/>
      <c r="H73" s="359"/>
      <c r="I73" s="360" t="s">
        <v>249</v>
      </c>
      <c r="J73" s="361"/>
      <c r="K73" s="362"/>
      <c r="L73" s="363"/>
    </row>
    <row r="74" spans="1:12" ht="13.5" customHeight="1">
      <c r="A74" s="321" t="s">
        <v>247</v>
      </c>
      <c r="B74" s="322"/>
      <c r="C74" s="323" t="s">
        <v>215</v>
      </c>
      <c r="D74" s="368" t="s">
        <v>208</v>
      </c>
      <c r="E74" s="325" t="s">
        <v>216</v>
      </c>
      <c r="F74" s="326">
        <v>0.111</v>
      </c>
      <c r="G74" s="321" t="s">
        <v>254</v>
      </c>
      <c r="H74" s="322"/>
      <c r="I74" s="323" t="s">
        <v>215</v>
      </c>
      <c r="J74" s="368" t="s">
        <v>208</v>
      </c>
      <c r="K74" s="325" t="s">
        <v>216</v>
      </c>
      <c r="L74" s="326">
        <v>0.111</v>
      </c>
    </row>
    <row r="75" spans="1:12" ht="13.5" customHeight="1">
      <c r="A75" s="327" t="s">
        <v>250</v>
      </c>
      <c r="B75" s="328">
        <v>1</v>
      </c>
      <c r="C75" s="329" t="s">
        <v>213</v>
      </c>
      <c r="D75" s="330">
        <v>1.2500000186264515E-2</v>
      </c>
      <c r="E75" s="331">
        <v>0.22</v>
      </c>
      <c r="F75" s="332">
        <v>5.7000000000000002E-2</v>
      </c>
      <c r="G75" s="327" t="s">
        <v>255</v>
      </c>
      <c r="H75" s="328">
        <v>1</v>
      </c>
      <c r="I75" s="329" t="s">
        <v>256</v>
      </c>
      <c r="J75" s="330">
        <v>2.0000000949949026E-3</v>
      </c>
      <c r="K75" s="331">
        <v>0.19</v>
      </c>
      <c r="L75" s="332">
        <v>1.0999999999999999E-2</v>
      </c>
    </row>
    <row r="76" spans="1:12" ht="13.5" customHeight="1">
      <c r="A76" s="327"/>
      <c r="B76" s="328">
        <v>2</v>
      </c>
      <c r="C76" s="329" t="s">
        <v>212</v>
      </c>
      <c r="D76" s="369" t="s">
        <v>208</v>
      </c>
      <c r="E76" s="370" t="s">
        <v>208</v>
      </c>
      <c r="F76" s="332">
        <v>0.09</v>
      </c>
      <c r="G76" s="327"/>
      <c r="H76" s="328">
        <v>2</v>
      </c>
      <c r="I76" s="329" t="s">
        <v>257</v>
      </c>
      <c r="J76" s="330">
        <v>2.9999999329447746E-2</v>
      </c>
      <c r="K76" s="331">
        <v>1.5</v>
      </c>
      <c r="L76" s="332">
        <v>0.02</v>
      </c>
    </row>
    <row r="77" spans="1:12" ht="13.5" customHeight="1">
      <c r="A77" s="327"/>
      <c r="B77" s="328">
        <v>3</v>
      </c>
      <c r="C77" s="329" t="s">
        <v>213</v>
      </c>
      <c r="D77" s="330">
        <v>1.2500000186264515E-2</v>
      </c>
      <c r="E77" s="331">
        <v>0.22</v>
      </c>
      <c r="F77" s="332">
        <v>5.7000000000000002E-2</v>
      </c>
      <c r="G77" s="327"/>
      <c r="H77" s="328">
        <v>3</v>
      </c>
      <c r="I77" s="329" t="s">
        <v>243</v>
      </c>
      <c r="J77" s="330">
        <v>0.15000000596046448</v>
      </c>
      <c r="K77" s="331">
        <v>1.6</v>
      </c>
      <c r="L77" s="332">
        <v>9.4E-2</v>
      </c>
    </row>
    <row r="78" spans="1:12" ht="13.5" customHeight="1">
      <c r="A78" s="327"/>
      <c r="B78" s="328"/>
      <c r="C78" s="329" t="s">
        <v>215</v>
      </c>
      <c r="D78" s="369" t="s">
        <v>208</v>
      </c>
      <c r="E78" s="331" t="s">
        <v>216</v>
      </c>
      <c r="F78" s="332">
        <v>0.111</v>
      </c>
      <c r="G78" s="327"/>
      <c r="H78" s="328">
        <v>4</v>
      </c>
      <c r="I78" s="329" t="s">
        <v>212</v>
      </c>
      <c r="J78" s="369" t="s">
        <v>208</v>
      </c>
      <c r="K78" s="370" t="s">
        <v>208</v>
      </c>
      <c r="L78" s="332">
        <v>0.09</v>
      </c>
    </row>
    <row r="79" spans="1:12" ht="13.5" customHeight="1">
      <c r="A79" s="327"/>
      <c r="B79" s="328"/>
      <c r="C79" s="329"/>
      <c r="D79" s="330"/>
      <c r="E79" s="331"/>
      <c r="F79" s="332"/>
      <c r="G79" s="327"/>
      <c r="H79" s="328">
        <v>5</v>
      </c>
      <c r="I79" s="329" t="s">
        <v>213</v>
      </c>
      <c r="J79" s="330">
        <v>9.4999996945261955E-3</v>
      </c>
      <c r="K79" s="331">
        <v>0.22</v>
      </c>
      <c r="L79" s="332">
        <v>4.2999999999999997E-2</v>
      </c>
    </row>
    <row r="80" spans="1:12" ht="13.5" customHeight="1">
      <c r="A80" s="327"/>
      <c r="B80" s="328"/>
      <c r="C80" s="329"/>
      <c r="D80" s="330"/>
      <c r="E80" s="331"/>
      <c r="F80" s="332"/>
      <c r="G80" s="327"/>
      <c r="H80" s="328"/>
      <c r="I80" s="329" t="s">
        <v>215</v>
      </c>
      <c r="J80" s="369" t="s">
        <v>208</v>
      </c>
      <c r="K80" s="331" t="s">
        <v>216</v>
      </c>
      <c r="L80" s="332">
        <v>0.111</v>
      </c>
    </row>
    <row r="81" spans="1:12" ht="13.5" customHeight="1">
      <c r="A81" s="327"/>
      <c r="B81" s="328"/>
      <c r="C81" s="329"/>
      <c r="D81" s="330"/>
      <c r="E81" s="331"/>
      <c r="F81" s="332"/>
      <c r="G81" s="327"/>
      <c r="H81" s="328"/>
      <c r="I81" s="329"/>
      <c r="J81" s="330"/>
      <c r="K81" s="331"/>
      <c r="L81" s="332"/>
    </row>
    <row r="82" spans="1:12" ht="13.5" customHeight="1">
      <c r="A82" s="327"/>
      <c r="B82" s="328"/>
      <c r="C82" s="329"/>
      <c r="D82" s="330"/>
      <c r="E82" s="331"/>
      <c r="F82" s="332"/>
      <c r="G82" s="327"/>
      <c r="H82" s="328"/>
      <c r="I82" s="329"/>
      <c r="J82" s="330"/>
      <c r="K82" s="331"/>
      <c r="L82" s="332"/>
    </row>
    <row r="83" spans="1:12" ht="13.5" customHeight="1">
      <c r="A83" s="327"/>
      <c r="B83" s="328"/>
      <c r="C83" s="329"/>
      <c r="D83" s="330"/>
      <c r="E83" s="331"/>
      <c r="F83" s="332"/>
      <c r="G83" s="327"/>
      <c r="H83" s="328"/>
      <c r="I83" s="329"/>
      <c r="J83" s="330"/>
      <c r="K83" s="331"/>
      <c r="L83" s="332"/>
    </row>
    <row r="84" spans="1:12" ht="13.5" customHeight="1">
      <c r="A84" s="327"/>
      <c r="B84" s="328"/>
      <c r="C84" s="329"/>
      <c r="D84" s="330"/>
      <c r="E84" s="331"/>
      <c r="F84" s="332"/>
      <c r="G84" s="327"/>
      <c r="H84" s="328"/>
      <c r="I84" s="329"/>
      <c r="J84" s="330"/>
      <c r="K84" s="331"/>
      <c r="L84" s="332"/>
    </row>
    <row r="85" spans="1:12" ht="13.5" customHeight="1">
      <c r="A85" s="327"/>
      <c r="B85" s="328"/>
      <c r="C85" s="329"/>
      <c r="D85" s="330"/>
      <c r="E85" s="331"/>
      <c r="F85" s="332"/>
      <c r="G85" s="327"/>
      <c r="H85" s="328"/>
      <c r="I85" s="329"/>
      <c r="J85" s="330"/>
      <c r="K85" s="331"/>
      <c r="L85" s="332"/>
    </row>
    <row r="86" spans="1:12" ht="13.5" customHeight="1">
      <c r="A86" s="327"/>
      <c r="B86" s="328"/>
      <c r="C86" s="329"/>
      <c r="D86" s="330"/>
      <c r="E86" s="331"/>
      <c r="F86" s="332"/>
      <c r="G86" s="327"/>
      <c r="H86" s="328"/>
      <c r="I86" s="329"/>
      <c r="J86" s="330"/>
      <c r="K86" s="331"/>
      <c r="L86" s="332"/>
    </row>
    <row r="87" spans="1:12" ht="13.5" customHeight="1">
      <c r="A87" s="327"/>
      <c r="B87" s="328"/>
      <c r="C87" s="329"/>
      <c r="D87" s="330"/>
      <c r="E87" s="331"/>
      <c r="F87" s="332"/>
      <c r="G87" s="327"/>
      <c r="H87" s="328"/>
      <c r="I87" s="329"/>
      <c r="J87" s="330"/>
      <c r="K87" s="331"/>
      <c r="L87" s="332"/>
    </row>
    <row r="88" spans="1:12" ht="13.5" customHeight="1">
      <c r="A88" s="333"/>
      <c r="B88" s="334"/>
      <c r="C88" s="335"/>
      <c r="D88" s="336"/>
      <c r="E88" s="337"/>
      <c r="F88" s="338"/>
      <c r="G88" s="333"/>
      <c r="H88" s="334"/>
      <c r="I88" s="335"/>
      <c r="J88" s="336"/>
      <c r="K88" s="337"/>
      <c r="L88" s="338"/>
    </row>
    <row r="89" spans="1:12" ht="13.5" customHeight="1">
      <c r="A89" s="339"/>
      <c r="B89" s="340"/>
      <c r="C89" s="339" t="s">
        <v>217</v>
      </c>
      <c r="D89" s="341"/>
      <c r="E89" s="341"/>
      <c r="F89" s="342">
        <v>0.42599999999999999</v>
      </c>
      <c r="G89" s="339"/>
      <c r="H89" s="340"/>
      <c r="I89" s="339" t="s">
        <v>217</v>
      </c>
      <c r="J89" s="341"/>
      <c r="K89" s="341"/>
      <c r="L89" s="342">
        <v>0.48</v>
      </c>
    </row>
    <row r="90" spans="1:12" ht="13.5" customHeight="1">
      <c r="A90" s="343"/>
      <c r="B90" s="344"/>
      <c r="C90" s="345" t="s">
        <v>251</v>
      </c>
      <c r="D90" s="346"/>
      <c r="E90" s="347"/>
      <c r="F90" s="348"/>
      <c r="G90" s="343"/>
      <c r="H90" s="344"/>
      <c r="I90" s="345" t="s">
        <v>258</v>
      </c>
      <c r="J90" s="346"/>
      <c r="K90" s="347"/>
      <c r="L90" s="348"/>
    </row>
    <row r="91" spans="1:12" ht="13.5" customHeight="1">
      <c r="A91" s="327" t="s">
        <v>247</v>
      </c>
      <c r="B91" s="328"/>
      <c r="C91" s="349" t="s">
        <v>215</v>
      </c>
      <c r="D91" s="369" t="s">
        <v>208</v>
      </c>
      <c r="E91" s="350" t="s">
        <v>216</v>
      </c>
      <c r="F91" s="351">
        <v>0.111</v>
      </c>
      <c r="G91" s="327" t="s">
        <v>254</v>
      </c>
      <c r="H91" s="328"/>
      <c r="I91" s="349" t="s">
        <v>215</v>
      </c>
      <c r="J91" s="369" t="s">
        <v>208</v>
      </c>
      <c r="K91" s="350" t="s">
        <v>216</v>
      </c>
      <c r="L91" s="351">
        <v>0.111</v>
      </c>
    </row>
    <row r="92" spans="1:12" ht="13.5" customHeight="1">
      <c r="A92" s="327" t="s">
        <v>252</v>
      </c>
      <c r="B92" s="328">
        <v>1</v>
      </c>
      <c r="C92" s="349" t="s">
        <v>214</v>
      </c>
      <c r="D92" s="330">
        <v>6.0000000521540642E-3</v>
      </c>
      <c r="E92" s="350">
        <v>0.18</v>
      </c>
      <c r="F92" s="351">
        <v>3.3000000000000002E-2</v>
      </c>
      <c r="G92" s="327" t="s">
        <v>259</v>
      </c>
      <c r="H92" s="328">
        <v>1</v>
      </c>
      <c r="I92" s="349" t="s">
        <v>213</v>
      </c>
      <c r="J92" s="330">
        <v>9.4999996945261955E-3</v>
      </c>
      <c r="K92" s="350">
        <v>0.22</v>
      </c>
      <c r="L92" s="351">
        <v>4.2999999999999997E-2</v>
      </c>
    </row>
    <row r="93" spans="1:12" ht="13.5" customHeight="1">
      <c r="A93" s="327"/>
      <c r="B93" s="328">
        <v>2</v>
      </c>
      <c r="C93" s="349" t="s">
        <v>213</v>
      </c>
      <c r="D93" s="330">
        <v>1.2500000186264515E-2</v>
      </c>
      <c r="E93" s="350">
        <v>0.22</v>
      </c>
      <c r="F93" s="351">
        <v>5.7000000000000002E-2</v>
      </c>
      <c r="G93" s="327"/>
      <c r="H93" s="328">
        <v>2</v>
      </c>
      <c r="I93" s="349" t="s">
        <v>214</v>
      </c>
      <c r="J93" s="330">
        <v>6.0000000521540642E-3</v>
      </c>
      <c r="K93" s="350">
        <v>0.18</v>
      </c>
      <c r="L93" s="351">
        <v>3.3000000000000002E-2</v>
      </c>
    </row>
    <row r="94" spans="1:12" ht="13.5" customHeight="1">
      <c r="A94" s="327"/>
      <c r="B94" s="328">
        <v>3</v>
      </c>
      <c r="C94" s="349" t="s">
        <v>212</v>
      </c>
      <c r="D94" s="369" t="s">
        <v>208</v>
      </c>
      <c r="E94" s="371" t="s">
        <v>208</v>
      </c>
      <c r="F94" s="351">
        <v>0.09</v>
      </c>
      <c r="G94" s="327"/>
      <c r="H94" s="328"/>
      <c r="I94" s="349" t="s">
        <v>215</v>
      </c>
      <c r="J94" s="369" t="s">
        <v>208</v>
      </c>
      <c r="K94" s="350" t="s">
        <v>216</v>
      </c>
      <c r="L94" s="351">
        <v>0.111</v>
      </c>
    </row>
    <row r="95" spans="1:12" ht="13.5" customHeight="1">
      <c r="A95" s="327"/>
      <c r="B95" s="328">
        <v>4</v>
      </c>
      <c r="C95" s="349" t="s">
        <v>213</v>
      </c>
      <c r="D95" s="330">
        <v>1.2500000186264515E-2</v>
      </c>
      <c r="E95" s="350">
        <v>0.22</v>
      </c>
      <c r="F95" s="351">
        <v>5.7000000000000002E-2</v>
      </c>
      <c r="G95" s="327"/>
      <c r="H95" s="328"/>
      <c r="I95" s="349"/>
      <c r="J95" s="330"/>
      <c r="K95" s="350"/>
      <c r="L95" s="351"/>
    </row>
    <row r="96" spans="1:12" ht="13.5" customHeight="1">
      <c r="A96" s="327"/>
      <c r="B96" s="328"/>
      <c r="C96" s="349" t="s">
        <v>215</v>
      </c>
      <c r="D96" s="369" t="s">
        <v>208</v>
      </c>
      <c r="E96" s="350" t="s">
        <v>216</v>
      </c>
      <c r="F96" s="351">
        <v>0.111</v>
      </c>
      <c r="G96" s="327"/>
      <c r="H96" s="328"/>
      <c r="I96" s="349"/>
      <c r="J96" s="330"/>
      <c r="K96" s="350"/>
      <c r="L96" s="351"/>
    </row>
    <row r="97" spans="1:12" ht="13.5" customHeight="1">
      <c r="A97" s="327"/>
      <c r="B97" s="328"/>
      <c r="C97" s="349"/>
      <c r="D97" s="330"/>
      <c r="E97" s="350"/>
      <c r="F97" s="351"/>
      <c r="G97" s="327"/>
      <c r="H97" s="328"/>
      <c r="I97" s="349"/>
      <c r="J97" s="330"/>
      <c r="K97" s="350"/>
      <c r="L97" s="351"/>
    </row>
    <row r="98" spans="1:12" ht="13.5" customHeight="1">
      <c r="A98" s="327"/>
      <c r="B98" s="328"/>
      <c r="C98" s="349"/>
      <c r="D98" s="330"/>
      <c r="E98" s="350"/>
      <c r="F98" s="351"/>
      <c r="G98" s="327"/>
      <c r="H98" s="328"/>
      <c r="I98" s="349"/>
      <c r="J98" s="330"/>
      <c r="K98" s="350"/>
      <c r="L98" s="351"/>
    </row>
    <row r="99" spans="1:12" ht="13.5" customHeight="1">
      <c r="A99" s="327"/>
      <c r="B99" s="328"/>
      <c r="C99" s="349"/>
      <c r="D99" s="330"/>
      <c r="E99" s="350"/>
      <c r="F99" s="351"/>
      <c r="G99" s="327"/>
      <c r="H99" s="328"/>
      <c r="I99" s="349"/>
      <c r="J99" s="330"/>
      <c r="K99" s="350"/>
      <c r="L99" s="351"/>
    </row>
    <row r="100" spans="1:12" ht="13.5" customHeight="1">
      <c r="A100" s="327"/>
      <c r="B100" s="328"/>
      <c r="C100" s="349"/>
      <c r="D100" s="330"/>
      <c r="E100" s="350"/>
      <c r="F100" s="351"/>
      <c r="G100" s="327"/>
      <c r="H100" s="328"/>
      <c r="I100" s="349"/>
      <c r="J100" s="330"/>
      <c r="K100" s="350"/>
      <c r="L100" s="351"/>
    </row>
    <row r="101" spans="1:12" ht="13.5" customHeight="1">
      <c r="A101" s="327"/>
      <c r="B101" s="328"/>
      <c r="C101" s="349"/>
      <c r="D101" s="330"/>
      <c r="E101" s="350"/>
      <c r="F101" s="351"/>
      <c r="G101" s="327"/>
      <c r="H101" s="328"/>
      <c r="I101" s="349"/>
      <c r="J101" s="330"/>
      <c r="K101" s="350"/>
      <c r="L101" s="351"/>
    </row>
    <row r="102" spans="1:12" ht="13.5" customHeight="1">
      <c r="A102" s="327"/>
      <c r="B102" s="328"/>
      <c r="C102" s="349"/>
      <c r="D102" s="330"/>
      <c r="E102" s="350"/>
      <c r="F102" s="351"/>
      <c r="G102" s="327"/>
      <c r="H102" s="328"/>
      <c r="I102" s="349"/>
      <c r="J102" s="330"/>
      <c r="K102" s="350"/>
      <c r="L102" s="351"/>
    </row>
    <row r="103" spans="1:12" ht="13.5" customHeight="1">
      <c r="A103" s="327"/>
      <c r="B103" s="328"/>
      <c r="C103" s="349"/>
      <c r="D103" s="330"/>
      <c r="E103" s="350"/>
      <c r="F103" s="351"/>
      <c r="G103" s="327"/>
      <c r="H103" s="328"/>
      <c r="I103" s="349"/>
      <c r="J103" s="330"/>
      <c r="K103" s="350"/>
      <c r="L103" s="351"/>
    </row>
    <row r="104" spans="1:12" ht="13.5" customHeight="1">
      <c r="A104" s="327"/>
      <c r="B104" s="328"/>
      <c r="C104" s="349"/>
      <c r="D104" s="330"/>
      <c r="E104" s="350"/>
      <c r="F104" s="351"/>
      <c r="G104" s="327"/>
      <c r="H104" s="328"/>
      <c r="I104" s="349"/>
      <c r="J104" s="330"/>
      <c r="K104" s="350"/>
      <c r="L104" s="351"/>
    </row>
    <row r="105" spans="1:12" ht="13.5" customHeight="1">
      <c r="A105" s="333"/>
      <c r="B105" s="334"/>
      <c r="C105" s="352"/>
      <c r="D105" s="336"/>
      <c r="E105" s="353"/>
      <c r="F105" s="354"/>
      <c r="G105" s="333"/>
      <c r="H105" s="334"/>
      <c r="I105" s="352"/>
      <c r="J105" s="336"/>
      <c r="K105" s="353"/>
      <c r="L105" s="354"/>
    </row>
    <row r="106" spans="1:12" ht="13.5" customHeight="1">
      <c r="A106" s="339"/>
      <c r="B106" s="340"/>
      <c r="C106" s="355" t="s">
        <v>217</v>
      </c>
      <c r="D106" s="356"/>
      <c r="E106" s="356"/>
      <c r="F106" s="357">
        <v>0.45900000000000002</v>
      </c>
      <c r="G106" s="339"/>
      <c r="H106" s="340"/>
      <c r="I106" s="355" t="s">
        <v>217</v>
      </c>
      <c r="J106" s="356"/>
      <c r="K106" s="356"/>
      <c r="L106" s="357">
        <v>0.29799999999999999</v>
      </c>
    </row>
    <row r="107" spans="1:12" ht="13.5" customHeight="1">
      <c r="A107" s="358"/>
      <c r="B107" s="359"/>
      <c r="C107" s="360" t="s">
        <v>253</v>
      </c>
      <c r="D107" s="361"/>
      <c r="E107" s="362"/>
      <c r="F107" s="363"/>
      <c r="G107" s="358"/>
      <c r="H107" s="359"/>
      <c r="I107" s="360" t="s">
        <v>260</v>
      </c>
      <c r="J107" s="361"/>
      <c r="K107" s="362"/>
      <c r="L107" s="363"/>
    </row>
    <row r="108" spans="1:12" ht="13.5" customHeight="1">
      <c r="A108" s="321" t="s">
        <v>254</v>
      </c>
      <c r="B108" s="322"/>
      <c r="C108" s="323" t="s">
        <v>215</v>
      </c>
      <c r="D108" s="368" t="s">
        <v>208</v>
      </c>
      <c r="E108" s="325" t="s">
        <v>216</v>
      </c>
      <c r="F108" s="326">
        <v>0.111</v>
      </c>
      <c r="G108" s="321" t="s">
        <v>263</v>
      </c>
      <c r="H108" s="322"/>
      <c r="I108" s="323" t="s">
        <v>215</v>
      </c>
      <c r="J108" s="368" t="s">
        <v>208</v>
      </c>
      <c r="K108" s="325" t="s">
        <v>216</v>
      </c>
      <c r="L108" s="326">
        <v>0.111</v>
      </c>
    </row>
    <row r="109" spans="1:12" ht="13.5" customHeight="1">
      <c r="A109" s="327" t="s">
        <v>261</v>
      </c>
      <c r="B109" s="328">
        <v>1</v>
      </c>
      <c r="C109" s="329" t="s">
        <v>256</v>
      </c>
      <c r="D109" s="330">
        <v>3.0000000260770321E-3</v>
      </c>
      <c r="E109" s="331">
        <v>0.19</v>
      </c>
      <c r="F109" s="332">
        <v>1.6E-2</v>
      </c>
      <c r="G109" s="327" t="s">
        <v>268</v>
      </c>
      <c r="H109" s="328">
        <v>1</v>
      </c>
      <c r="I109" s="329" t="s">
        <v>256</v>
      </c>
      <c r="J109" s="330">
        <v>3.0000000260770321E-3</v>
      </c>
      <c r="K109" s="331">
        <v>0.19</v>
      </c>
      <c r="L109" s="332">
        <v>1.6E-2</v>
      </c>
    </row>
    <row r="110" spans="1:12" ht="13.5" customHeight="1">
      <c r="A110" s="327"/>
      <c r="B110" s="328">
        <v>2</v>
      </c>
      <c r="C110" s="329" t="s">
        <v>257</v>
      </c>
      <c r="D110" s="330">
        <v>2.9999999329447746E-2</v>
      </c>
      <c r="E110" s="331">
        <v>1.5</v>
      </c>
      <c r="F110" s="332">
        <v>0.02</v>
      </c>
      <c r="G110" s="327"/>
      <c r="H110" s="328">
        <v>2</v>
      </c>
      <c r="I110" s="329" t="s">
        <v>257</v>
      </c>
      <c r="J110" s="330">
        <v>2.9999999329447746E-2</v>
      </c>
      <c r="K110" s="331">
        <v>1.5</v>
      </c>
      <c r="L110" s="332">
        <v>0.02</v>
      </c>
    </row>
    <row r="111" spans="1:12" ht="13.5" customHeight="1">
      <c r="A111" s="327"/>
      <c r="B111" s="328">
        <v>3</v>
      </c>
      <c r="C111" s="329" t="s">
        <v>243</v>
      </c>
      <c r="D111" s="330">
        <v>0.15000000596046448</v>
      </c>
      <c r="E111" s="331">
        <v>1.6</v>
      </c>
      <c r="F111" s="332">
        <v>9.4E-2</v>
      </c>
      <c r="G111" s="327"/>
      <c r="H111" s="328">
        <v>3</v>
      </c>
      <c r="I111" s="329" t="s">
        <v>243</v>
      </c>
      <c r="J111" s="330">
        <v>0.15000000596046448</v>
      </c>
      <c r="K111" s="331">
        <v>1.6</v>
      </c>
      <c r="L111" s="332">
        <v>9.4E-2</v>
      </c>
    </row>
    <row r="112" spans="1:12" ht="13.5" customHeight="1">
      <c r="A112" s="327"/>
      <c r="B112" s="328"/>
      <c r="C112" s="329" t="s">
        <v>215</v>
      </c>
      <c r="D112" s="369" t="s">
        <v>208</v>
      </c>
      <c r="E112" s="331" t="s">
        <v>216</v>
      </c>
      <c r="F112" s="332">
        <v>0.111</v>
      </c>
      <c r="G112" s="327"/>
      <c r="H112" s="328">
        <v>4</v>
      </c>
      <c r="I112" s="329" t="s">
        <v>212</v>
      </c>
      <c r="J112" s="369" t="s">
        <v>208</v>
      </c>
      <c r="K112" s="370" t="s">
        <v>208</v>
      </c>
      <c r="L112" s="332">
        <v>0.09</v>
      </c>
    </row>
    <row r="113" spans="1:12" ht="13.5" customHeight="1">
      <c r="A113" s="327"/>
      <c r="B113" s="328"/>
      <c r="C113" s="329"/>
      <c r="D113" s="330"/>
      <c r="E113" s="331"/>
      <c r="F113" s="332"/>
      <c r="G113" s="327"/>
      <c r="H113" s="328">
        <v>5</v>
      </c>
      <c r="I113" s="329" t="s">
        <v>243</v>
      </c>
      <c r="J113" s="330">
        <v>0.15000000596046448</v>
      </c>
      <c r="K113" s="331">
        <v>1.6</v>
      </c>
      <c r="L113" s="332">
        <v>9.4E-2</v>
      </c>
    </row>
    <row r="114" spans="1:12" ht="13.5" customHeight="1">
      <c r="A114" s="327"/>
      <c r="B114" s="328"/>
      <c r="C114" s="329"/>
      <c r="D114" s="330"/>
      <c r="E114" s="331"/>
      <c r="F114" s="332"/>
      <c r="G114" s="327"/>
      <c r="H114" s="328">
        <v>6</v>
      </c>
      <c r="I114" s="329" t="s">
        <v>265</v>
      </c>
      <c r="J114" s="330">
        <v>0.15000000596046448</v>
      </c>
      <c r="K114" s="331">
        <v>3.1</v>
      </c>
      <c r="L114" s="332">
        <v>4.8000000000000001E-2</v>
      </c>
    </row>
    <row r="115" spans="1:12" ht="13.5" customHeight="1">
      <c r="A115" s="327"/>
      <c r="B115" s="328"/>
      <c r="C115" s="329"/>
      <c r="D115" s="330"/>
      <c r="E115" s="331"/>
      <c r="F115" s="332"/>
      <c r="G115" s="327"/>
      <c r="H115" s="328">
        <v>7</v>
      </c>
      <c r="I115" s="329" t="s">
        <v>266</v>
      </c>
      <c r="J115" s="330">
        <v>1</v>
      </c>
      <c r="K115" s="331">
        <v>1</v>
      </c>
      <c r="L115" s="332">
        <v>1</v>
      </c>
    </row>
    <row r="116" spans="1:12" ht="13.5" customHeight="1">
      <c r="A116" s="327"/>
      <c r="B116" s="328"/>
      <c r="C116" s="329"/>
      <c r="D116" s="330"/>
      <c r="E116" s="331"/>
      <c r="F116" s="332"/>
      <c r="G116" s="327"/>
      <c r="H116" s="328"/>
      <c r="I116" s="329"/>
      <c r="J116" s="330"/>
      <c r="K116" s="331"/>
      <c r="L116" s="332"/>
    </row>
    <row r="117" spans="1:12" ht="13.5" customHeight="1">
      <c r="A117" s="327"/>
      <c r="B117" s="328"/>
      <c r="C117" s="329"/>
      <c r="D117" s="330"/>
      <c r="E117" s="331"/>
      <c r="F117" s="332"/>
      <c r="G117" s="327"/>
      <c r="H117" s="328"/>
      <c r="I117" s="329"/>
      <c r="J117" s="330"/>
      <c r="K117" s="331"/>
      <c r="L117" s="332"/>
    </row>
    <row r="118" spans="1:12" ht="13.5" customHeight="1">
      <c r="A118" s="327"/>
      <c r="B118" s="328"/>
      <c r="C118" s="329"/>
      <c r="D118" s="330"/>
      <c r="E118" s="331"/>
      <c r="F118" s="332"/>
      <c r="G118" s="327"/>
      <c r="H118" s="328"/>
      <c r="I118" s="329"/>
      <c r="J118" s="330"/>
      <c r="K118" s="331"/>
      <c r="L118" s="332"/>
    </row>
    <row r="119" spans="1:12" ht="13.5" customHeight="1">
      <c r="A119" s="327"/>
      <c r="B119" s="328"/>
      <c r="C119" s="329"/>
      <c r="D119" s="330"/>
      <c r="E119" s="331"/>
      <c r="F119" s="332"/>
      <c r="G119" s="327"/>
      <c r="H119" s="328"/>
      <c r="I119" s="329"/>
      <c r="J119" s="330"/>
      <c r="K119" s="331"/>
      <c r="L119" s="332"/>
    </row>
    <row r="120" spans="1:12" ht="13.5" customHeight="1">
      <c r="A120" s="327"/>
      <c r="B120" s="328"/>
      <c r="C120" s="329"/>
      <c r="D120" s="330"/>
      <c r="E120" s="331"/>
      <c r="F120" s="332"/>
      <c r="G120" s="327"/>
      <c r="H120" s="328"/>
      <c r="I120" s="329"/>
      <c r="J120" s="330"/>
      <c r="K120" s="331"/>
      <c r="L120" s="332"/>
    </row>
    <row r="121" spans="1:12" ht="13.5" customHeight="1">
      <c r="A121" s="327"/>
      <c r="B121" s="328"/>
      <c r="C121" s="329"/>
      <c r="D121" s="330"/>
      <c r="E121" s="331"/>
      <c r="F121" s="332"/>
      <c r="G121" s="327"/>
      <c r="H121" s="328"/>
      <c r="I121" s="329"/>
      <c r="J121" s="330"/>
      <c r="K121" s="331"/>
      <c r="L121" s="332"/>
    </row>
    <row r="122" spans="1:12" ht="13.5" customHeight="1">
      <c r="A122" s="333"/>
      <c r="B122" s="334"/>
      <c r="C122" s="335"/>
      <c r="D122" s="336"/>
      <c r="E122" s="337"/>
      <c r="F122" s="338"/>
      <c r="G122" s="333"/>
      <c r="H122" s="334"/>
      <c r="I122" s="335"/>
      <c r="J122" s="336"/>
      <c r="K122" s="337"/>
      <c r="L122" s="338"/>
    </row>
    <row r="123" spans="1:12" ht="13.5" customHeight="1">
      <c r="A123" s="339"/>
      <c r="B123" s="340"/>
      <c r="C123" s="339" t="s">
        <v>217</v>
      </c>
      <c r="D123" s="341"/>
      <c r="E123" s="341"/>
      <c r="F123" s="342">
        <v>0.35199999999999998</v>
      </c>
      <c r="G123" s="339"/>
      <c r="H123" s="340"/>
      <c r="I123" s="339" t="s">
        <v>217</v>
      </c>
      <c r="J123" s="341"/>
      <c r="K123" s="341"/>
      <c r="L123" s="342">
        <v>1.4730000000000001</v>
      </c>
    </row>
    <row r="124" spans="1:12" ht="13.5" customHeight="1">
      <c r="A124" s="343"/>
      <c r="B124" s="344"/>
      <c r="C124" s="345" t="s">
        <v>262</v>
      </c>
      <c r="D124" s="346"/>
      <c r="E124" s="347"/>
      <c r="F124" s="348"/>
      <c r="G124" s="343"/>
      <c r="H124" s="344"/>
      <c r="I124" s="345" t="s">
        <v>269</v>
      </c>
      <c r="J124" s="346"/>
      <c r="K124" s="347"/>
      <c r="L124" s="348"/>
    </row>
    <row r="125" spans="1:12" ht="13.5" customHeight="1">
      <c r="A125" s="327" t="s">
        <v>263</v>
      </c>
      <c r="B125" s="328"/>
      <c r="C125" s="349" t="s">
        <v>215</v>
      </c>
      <c r="D125" s="369" t="s">
        <v>208</v>
      </c>
      <c r="E125" s="350" t="s">
        <v>216</v>
      </c>
      <c r="F125" s="351">
        <v>0.111</v>
      </c>
      <c r="G125" s="327" t="s">
        <v>270</v>
      </c>
      <c r="H125" s="328"/>
      <c r="I125" s="349" t="s">
        <v>215</v>
      </c>
      <c r="J125" s="369" t="s">
        <v>208</v>
      </c>
      <c r="K125" s="350" t="s">
        <v>216</v>
      </c>
      <c r="L125" s="351">
        <v>0.111</v>
      </c>
    </row>
    <row r="126" spans="1:12" ht="13.5" customHeight="1">
      <c r="A126" s="327" t="s">
        <v>264</v>
      </c>
      <c r="B126" s="328">
        <v>1</v>
      </c>
      <c r="C126" s="349" t="s">
        <v>256</v>
      </c>
      <c r="D126" s="330">
        <v>3.0000000260770321E-3</v>
      </c>
      <c r="E126" s="350">
        <v>0.19</v>
      </c>
      <c r="F126" s="351">
        <v>1.6E-2</v>
      </c>
      <c r="G126" s="327" t="s">
        <v>271</v>
      </c>
      <c r="H126" s="328">
        <v>1</v>
      </c>
      <c r="I126" s="349" t="s">
        <v>213</v>
      </c>
      <c r="J126" s="330">
        <v>1.2500000186264515E-2</v>
      </c>
      <c r="K126" s="350">
        <v>0.22</v>
      </c>
      <c r="L126" s="351">
        <v>5.7000000000000002E-2</v>
      </c>
    </row>
    <row r="127" spans="1:12" ht="13.5" customHeight="1">
      <c r="A127" s="327"/>
      <c r="B127" s="328">
        <v>2</v>
      </c>
      <c r="C127" s="349" t="s">
        <v>257</v>
      </c>
      <c r="D127" s="330">
        <v>2.9999999329447746E-2</v>
      </c>
      <c r="E127" s="350">
        <v>1.5</v>
      </c>
      <c r="F127" s="351">
        <v>0.02</v>
      </c>
      <c r="G127" s="327"/>
      <c r="H127" s="328">
        <v>2</v>
      </c>
      <c r="I127" s="349" t="s">
        <v>212</v>
      </c>
      <c r="J127" s="369" t="s">
        <v>208</v>
      </c>
      <c r="K127" s="371" t="s">
        <v>208</v>
      </c>
      <c r="L127" s="351">
        <v>0.09</v>
      </c>
    </row>
    <row r="128" spans="1:12" ht="13.5" customHeight="1">
      <c r="A128" s="327"/>
      <c r="B128" s="328">
        <v>3</v>
      </c>
      <c r="C128" s="349" t="s">
        <v>243</v>
      </c>
      <c r="D128" s="330">
        <v>0.15000000596046448</v>
      </c>
      <c r="E128" s="350">
        <v>1.6</v>
      </c>
      <c r="F128" s="351">
        <v>9.4E-2</v>
      </c>
      <c r="G128" s="327"/>
      <c r="H128" s="328">
        <v>3</v>
      </c>
      <c r="I128" s="349" t="s">
        <v>272</v>
      </c>
      <c r="J128" s="330">
        <v>0.10000000149011612</v>
      </c>
      <c r="K128" s="350">
        <v>0.53</v>
      </c>
      <c r="L128" s="351">
        <v>0.189</v>
      </c>
    </row>
    <row r="129" spans="1:12" ht="13.5" customHeight="1">
      <c r="A129" s="327"/>
      <c r="B129" s="328">
        <v>4</v>
      </c>
      <c r="C129" s="349" t="s">
        <v>265</v>
      </c>
      <c r="D129" s="330">
        <v>0.15000000596046448</v>
      </c>
      <c r="E129" s="350">
        <v>3.1</v>
      </c>
      <c r="F129" s="351">
        <v>4.8000000000000001E-2</v>
      </c>
      <c r="G129" s="327"/>
      <c r="H129" s="328">
        <v>4</v>
      </c>
      <c r="I129" s="349" t="s">
        <v>212</v>
      </c>
      <c r="J129" s="369" t="s">
        <v>208</v>
      </c>
      <c r="K129" s="371" t="s">
        <v>208</v>
      </c>
      <c r="L129" s="351">
        <v>0.09</v>
      </c>
    </row>
    <row r="130" spans="1:12" ht="13.5" customHeight="1">
      <c r="A130" s="327"/>
      <c r="B130" s="328">
        <v>5</v>
      </c>
      <c r="C130" s="349" t="s">
        <v>266</v>
      </c>
      <c r="D130" s="330">
        <v>1</v>
      </c>
      <c r="E130" s="350">
        <v>1</v>
      </c>
      <c r="F130" s="351">
        <v>1</v>
      </c>
      <c r="G130" s="327"/>
      <c r="H130" s="328">
        <v>5</v>
      </c>
      <c r="I130" s="349" t="s">
        <v>243</v>
      </c>
      <c r="J130" s="330">
        <v>0.15000000596046448</v>
      </c>
      <c r="K130" s="350">
        <v>1.6</v>
      </c>
      <c r="L130" s="351">
        <v>9.4E-2</v>
      </c>
    </row>
    <row r="131" spans="1:12" ht="13.5" customHeight="1">
      <c r="A131" s="327"/>
      <c r="B131" s="328"/>
      <c r="C131" s="349"/>
      <c r="D131" s="330"/>
      <c r="E131" s="350"/>
      <c r="F131" s="351"/>
      <c r="G131" s="327"/>
      <c r="H131" s="328">
        <v>6</v>
      </c>
      <c r="I131" s="349" t="s">
        <v>266</v>
      </c>
      <c r="J131" s="330">
        <v>1</v>
      </c>
      <c r="K131" s="350">
        <v>1</v>
      </c>
      <c r="L131" s="351">
        <v>1</v>
      </c>
    </row>
    <row r="132" spans="1:12" ht="13.5" customHeight="1">
      <c r="A132" s="327"/>
      <c r="B132" s="328"/>
      <c r="C132" s="349"/>
      <c r="D132" s="330"/>
      <c r="E132" s="350"/>
      <c r="F132" s="351"/>
      <c r="G132" s="327"/>
      <c r="H132" s="328"/>
      <c r="I132" s="349"/>
      <c r="J132" s="330"/>
      <c r="K132" s="350"/>
      <c r="L132" s="351"/>
    </row>
    <row r="133" spans="1:12" ht="13.5" customHeight="1">
      <c r="A133" s="327"/>
      <c r="B133" s="328"/>
      <c r="C133" s="349"/>
      <c r="D133" s="330"/>
      <c r="E133" s="350"/>
      <c r="F133" s="351"/>
      <c r="G133" s="327"/>
      <c r="H133" s="328"/>
      <c r="I133" s="349"/>
      <c r="J133" s="330"/>
      <c r="K133" s="350"/>
      <c r="L133" s="351"/>
    </row>
    <row r="134" spans="1:12" ht="13.5" customHeight="1">
      <c r="A134" s="327"/>
      <c r="B134" s="328"/>
      <c r="C134" s="349"/>
      <c r="D134" s="330"/>
      <c r="E134" s="350"/>
      <c r="F134" s="351"/>
      <c r="G134" s="327"/>
      <c r="H134" s="328"/>
      <c r="I134" s="349"/>
      <c r="J134" s="330"/>
      <c r="K134" s="350"/>
      <c r="L134" s="351"/>
    </row>
    <row r="135" spans="1:12" ht="13.5" customHeight="1">
      <c r="A135" s="327"/>
      <c r="B135" s="328"/>
      <c r="C135" s="349"/>
      <c r="D135" s="330"/>
      <c r="E135" s="350"/>
      <c r="F135" s="351"/>
      <c r="G135" s="327"/>
      <c r="H135" s="328"/>
      <c r="I135" s="349"/>
      <c r="J135" s="330"/>
      <c r="K135" s="350"/>
      <c r="L135" s="351"/>
    </row>
    <row r="136" spans="1:12" ht="13.5" customHeight="1">
      <c r="A136" s="327"/>
      <c r="B136" s="328"/>
      <c r="C136" s="349"/>
      <c r="D136" s="330"/>
      <c r="E136" s="350"/>
      <c r="F136" s="351"/>
      <c r="G136" s="327"/>
      <c r="H136" s="328"/>
      <c r="I136" s="349"/>
      <c r="J136" s="330"/>
      <c r="K136" s="350"/>
      <c r="L136" s="351"/>
    </row>
    <row r="137" spans="1:12" ht="13.5" customHeight="1">
      <c r="A137" s="327"/>
      <c r="B137" s="328"/>
      <c r="C137" s="349"/>
      <c r="D137" s="330"/>
      <c r="E137" s="350"/>
      <c r="F137" s="351"/>
      <c r="G137" s="327"/>
      <c r="H137" s="328"/>
      <c r="I137" s="349"/>
      <c r="J137" s="330"/>
      <c r="K137" s="350"/>
      <c r="L137" s="351"/>
    </row>
    <row r="138" spans="1:12" ht="13.5" customHeight="1">
      <c r="A138" s="327"/>
      <c r="B138" s="328"/>
      <c r="C138" s="349"/>
      <c r="D138" s="330"/>
      <c r="E138" s="350"/>
      <c r="F138" s="351"/>
      <c r="G138" s="327"/>
      <c r="H138" s="328"/>
      <c r="I138" s="349"/>
      <c r="J138" s="330"/>
      <c r="K138" s="350"/>
      <c r="L138" s="351"/>
    </row>
    <row r="139" spans="1:12" ht="13.5" customHeight="1">
      <c r="A139" s="333"/>
      <c r="B139" s="334"/>
      <c r="C139" s="352"/>
      <c r="D139" s="336"/>
      <c r="E139" s="353"/>
      <c r="F139" s="354"/>
      <c r="G139" s="333"/>
      <c r="H139" s="334"/>
      <c r="I139" s="352"/>
      <c r="J139" s="336"/>
      <c r="K139" s="353"/>
      <c r="L139" s="354"/>
    </row>
    <row r="140" spans="1:12" ht="13.5" customHeight="1">
      <c r="A140" s="339"/>
      <c r="B140" s="340"/>
      <c r="C140" s="355" t="s">
        <v>217</v>
      </c>
      <c r="D140" s="356"/>
      <c r="E140" s="356"/>
      <c r="F140" s="357">
        <v>1.2889999999999999</v>
      </c>
      <c r="G140" s="339"/>
      <c r="H140" s="340"/>
      <c r="I140" s="355" t="s">
        <v>217</v>
      </c>
      <c r="J140" s="356"/>
      <c r="K140" s="356"/>
      <c r="L140" s="357">
        <v>1.631</v>
      </c>
    </row>
    <row r="141" spans="1:12" ht="13.5" customHeight="1">
      <c r="A141" s="358"/>
      <c r="B141" s="359"/>
      <c r="C141" s="360" t="s">
        <v>267</v>
      </c>
      <c r="D141" s="361"/>
      <c r="E141" s="362"/>
      <c r="F141" s="363"/>
      <c r="G141" s="358"/>
      <c r="H141" s="359"/>
      <c r="I141" s="360" t="s">
        <v>273</v>
      </c>
      <c r="J141" s="361"/>
      <c r="K141" s="362"/>
      <c r="L141" s="363"/>
    </row>
    <row r="142" spans="1:12" ht="13.5" customHeight="1">
      <c r="G142" s="366"/>
      <c r="I142" s="366"/>
    </row>
    <row r="143" spans="1:12" ht="13.5" customHeight="1">
      <c r="G143" s="366"/>
      <c r="I143" s="366"/>
    </row>
    <row r="144" spans="1:12" ht="13.5" customHeight="1">
      <c r="G144" s="366"/>
      <c r="I144" s="366"/>
    </row>
    <row r="145" spans="1:12" ht="13.5" customHeight="1">
      <c r="G145" s="366"/>
      <c r="I145" s="366"/>
    </row>
    <row r="146" spans="1:12" ht="13.5" customHeight="1">
      <c r="G146" s="366"/>
      <c r="I146" s="366"/>
    </row>
    <row r="147" spans="1:12" ht="13.5" customHeight="1">
      <c r="G147" s="366"/>
      <c r="I147" s="366"/>
    </row>
    <row r="148" spans="1:12" ht="13.5" customHeight="1">
      <c r="G148" s="366"/>
      <c r="I148" s="366"/>
    </row>
    <row r="149" spans="1:12" ht="13.5" customHeight="1">
      <c r="G149" s="366"/>
      <c r="I149" s="366"/>
    </row>
    <row r="150" spans="1:12" ht="13.5" customHeight="1">
      <c r="G150" s="366"/>
      <c r="I150" s="366"/>
    </row>
    <row r="151" spans="1:12" s="365" customFormat="1" ht="13.5" customHeight="1">
      <c r="A151" s="305"/>
      <c r="B151" s="364"/>
      <c r="C151" s="305"/>
      <c r="E151" s="366"/>
      <c r="F151" s="366"/>
      <c r="G151" s="366"/>
      <c r="H151" s="364"/>
      <c r="I151" s="366"/>
      <c r="K151" s="366"/>
      <c r="L151" s="366"/>
    </row>
    <row r="152" spans="1:12" s="365" customFormat="1" ht="13.5" customHeight="1">
      <c r="A152" s="305"/>
      <c r="B152" s="364"/>
      <c r="C152" s="305"/>
      <c r="E152" s="366"/>
      <c r="F152" s="366"/>
      <c r="G152" s="366"/>
      <c r="H152" s="364"/>
      <c r="I152" s="366"/>
      <c r="K152" s="366"/>
      <c r="L152" s="366"/>
    </row>
    <row r="153" spans="1:12" s="365" customFormat="1" ht="13.5" customHeight="1">
      <c r="A153" s="305"/>
      <c r="B153" s="364"/>
      <c r="C153" s="305"/>
      <c r="E153" s="366"/>
      <c r="F153" s="366"/>
      <c r="G153" s="366"/>
      <c r="H153" s="364"/>
      <c r="I153" s="366"/>
      <c r="K153" s="366"/>
      <c r="L153" s="366"/>
    </row>
    <row r="154" spans="1:12" s="365" customFormat="1" ht="13.5" customHeight="1">
      <c r="A154" s="305"/>
      <c r="B154" s="364"/>
      <c r="C154" s="305"/>
      <c r="E154" s="366"/>
      <c r="F154" s="366"/>
      <c r="G154" s="366"/>
      <c r="H154" s="364"/>
      <c r="I154" s="366"/>
      <c r="K154" s="366"/>
      <c r="L154" s="366"/>
    </row>
    <row r="155" spans="1:12" s="365" customFormat="1" ht="13.5" customHeight="1">
      <c r="A155" s="305"/>
      <c r="B155" s="364"/>
      <c r="C155" s="305"/>
      <c r="E155" s="366"/>
      <c r="F155" s="366"/>
      <c r="G155" s="366"/>
      <c r="H155" s="364"/>
      <c r="I155" s="366"/>
      <c r="K155" s="366"/>
      <c r="L155" s="366"/>
    </row>
    <row r="156" spans="1:12" s="365" customFormat="1" ht="13.5" customHeight="1">
      <c r="A156" s="305"/>
      <c r="B156" s="364"/>
      <c r="C156" s="305"/>
      <c r="E156" s="366"/>
      <c r="F156" s="366"/>
      <c r="G156" s="366"/>
      <c r="H156" s="364"/>
      <c r="I156" s="366"/>
      <c r="K156" s="366"/>
      <c r="L156" s="366"/>
    </row>
    <row r="157" spans="1:12" s="365" customFormat="1" ht="13.5" customHeight="1">
      <c r="A157" s="305"/>
      <c r="B157" s="364"/>
      <c r="C157" s="305"/>
      <c r="E157" s="366"/>
      <c r="F157" s="366"/>
      <c r="G157" s="366"/>
      <c r="H157" s="364"/>
      <c r="I157" s="366"/>
      <c r="K157" s="366"/>
      <c r="L157" s="366"/>
    </row>
    <row r="158" spans="1:12" s="365" customFormat="1" ht="13.5" customHeight="1">
      <c r="A158" s="305"/>
      <c r="B158" s="364"/>
      <c r="C158" s="305"/>
      <c r="E158" s="366"/>
      <c r="F158" s="366"/>
      <c r="G158" s="366"/>
      <c r="H158" s="364"/>
      <c r="I158" s="366"/>
      <c r="K158" s="366"/>
      <c r="L158" s="366"/>
    </row>
    <row r="159" spans="1:12" s="365" customFormat="1" ht="13.5" customHeight="1">
      <c r="A159" s="305"/>
      <c r="B159" s="364"/>
      <c r="C159" s="305"/>
      <c r="E159" s="366"/>
      <c r="F159" s="366"/>
      <c r="G159" s="366"/>
      <c r="H159" s="364"/>
      <c r="I159" s="366"/>
      <c r="K159" s="366"/>
      <c r="L159" s="366"/>
    </row>
    <row r="160" spans="1:12" s="365" customFormat="1" ht="13.5" customHeight="1">
      <c r="A160" s="305"/>
      <c r="B160" s="364"/>
      <c r="C160" s="305"/>
      <c r="E160" s="366"/>
      <c r="F160" s="366"/>
      <c r="G160" s="366"/>
      <c r="H160" s="364"/>
      <c r="I160" s="366"/>
      <c r="K160" s="366"/>
      <c r="L160" s="366"/>
    </row>
    <row r="161" spans="1:12" s="365" customFormat="1" ht="13.5" customHeight="1">
      <c r="A161" s="305"/>
      <c r="B161" s="364"/>
      <c r="C161" s="305"/>
      <c r="E161" s="366"/>
      <c r="F161" s="366"/>
      <c r="G161" s="366"/>
      <c r="H161" s="364"/>
      <c r="I161" s="366"/>
      <c r="K161" s="366"/>
      <c r="L161" s="366"/>
    </row>
    <row r="162" spans="1:12" s="365" customFormat="1" ht="13.5" customHeight="1">
      <c r="A162" s="305"/>
      <c r="B162" s="364"/>
      <c r="C162" s="305"/>
      <c r="E162" s="366"/>
      <c r="F162" s="366"/>
      <c r="G162" s="366"/>
      <c r="H162" s="364"/>
      <c r="I162" s="366"/>
      <c r="K162" s="366"/>
      <c r="L162" s="366"/>
    </row>
    <row r="163" spans="1:12" s="365" customFormat="1" ht="13.5" customHeight="1">
      <c r="A163" s="305"/>
      <c r="B163" s="364"/>
      <c r="C163" s="305"/>
      <c r="E163" s="366"/>
      <c r="F163" s="366"/>
      <c r="G163" s="366"/>
      <c r="H163" s="364"/>
      <c r="I163" s="366"/>
      <c r="K163" s="366"/>
      <c r="L163" s="366"/>
    </row>
    <row r="164" spans="1:12" s="365" customFormat="1" ht="13.5" customHeight="1">
      <c r="A164" s="305"/>
      <c r="B164" s="364"/>
      <c r="C164" s="305"/>
      <c r="E164" s="366"/>
      <c r="F164" s="366"/>
      <c r="G164" s="366"/>
      <c r="H164" s="364"/>
      <c r="I164" s="366"/>
      <c r="K164" s="366"/>
      <c r="L164" s="366"/>
    </row>
    <row r="165" spans="1:12" s="365" customFormat="1" ht="13.5" customHeight="1">
      <c r="A165" s="305"/>
      <c r="B165" s="364"/>
      <c r="C165" s="305"/>
      <c r="E165" s="366"/>
      <c r="F165" s="366"/>
      <c r="G165" s="366"/>
      <c r="H165" s="364"/>
      <c r="I165" s="366"/>
      <c r="K165" s="366"/>
      <c r="L165" s="366"/>
    </row>
    <row r="166" spans="1:12" s="365" customFormat="1" ht="13.5" customHeight="1">
      <c r="A166" s="305"/>
      <c r="B166" s="364"/>
      <c r="C166" s="305"/>
      <c r="E166" s="366"/>
      <c r="F166" s="366"/>
      <c r="G166" s="366"/>
      <c r="H166" s="364"/>
      <c r="I166" s="366"/>
      <c r="K166" s="366"/>
      <c r="L166" s="366"/>
    </row>
    <row r="167" spans="1:12" s="365" customFormat="1" ht="13.5" customHeight="1">
      <c r="A167" s="305"/>
      <c r="B167" s="364"/>
      <c r="C167" s="305"/>
      <c r="E167" s="366"/>
      <c r="F167" s="366"/>
      <c r="G167" s="366"/>
      <c r="H167" s="364"/>
      <c r="I167" s="366"/>
      <c r="K167" s="366"/>
      <c r="L167" s="366"/>
    </row>
    <row r="168" spans="1:12" s="365" customFormat="1" ht="13.5" customHeight="1">
      <c r="A168" s="305"/>
      <c r="B168" s="364"/>
      <c r="C168" s="305"/>
      <c r="E168" s="366"/>
      <c r="F168" s="366"/>
      <c r="G168" s="366"/>
      <c r="H168" s="364"/>
      <c r="I168" s="366"/>
      <c r="K168" s="366"/>
      <c r="L168" s="366"/>
    </row>
    <row r="169" spans="1:12" s="365" customFormat="1" ht="13.5" customHeight="1">
      <c r="A169" s="305"/>
      <c r="B169" s="364"/>
      <c r="C169" s="305"/>
      <c r="E169" s="366"/>
      <c r="F169" s="366"/>
      <c r="G169" s="366"/>
      <c r="H169" s="364"/>
      <c r="I169" s="366"/>
      <c r="K169" s="366"/>
      <c r="L169" s="366"/>
    </row>
    <row r="170" spans="1:12" s="365" customFormat="1" ht="13.5" customHeight="1">
      <c r="A170" s="305"/>
      <c r="B170" s="364"/>
      <c r="C170" s="305"/>
      <c r="E170" s="366"/>
      <c r="F170" s="366"/>
      <c r="G170" s="366"/>
      <c r="H170" s="364"/>
      <c r="I170" s="366"/>
      <c r="K170" s="366"/>
      <c r="L170" s="366"/>
    </row>
    <row r="171" spans="1:12" s="365" customFormat="1" ht="13.5" customHeight="1">
      <c r="A171" s="305"/>
      <c r="B171" s="364"/>
      <c r="C171" s="305"/>
      <c r="E171" s="366"/>
      <c r="F171" s="366"/>
      <c r="G171" s="366"/>
      <c r="H171" s="364"/>
      <c r="I171" s="366"/>
      <c r="K171" s="366"/>
      <c r="L171" s="366"/>
    </row>
    <row r="172" spans="1:12" s="365" customFormat="1" ht="13.5" customHeight="1">
      <c r="A172" s="305"/>
      <c r="B172" s="364"/>
      <c r="C172" s="305"/>
      <c r="E172" s="366"/>
      <c r="F172" s="366"/>
      <c r="G172" s="366"/>
      <c r="H172" s="364"/>
      <c r="I172" s="366"/>
      <c r="K172" s="366"/>
      <c r="L172" s="366"/>
    </row>
    <row r="173" spans="1:12" s="365" customFormat="1" ht="13.5" customHeight="1">
      <c r="A173" s="305"/>
      <c r="B173" s="364"/>
      <c r="C173" s="305"/>
      <c r="E173" s="366"/>
      <c r="F173" s="366"/>
      <c r="G173" s="366"/>
      <c r="H173" s="364"/>
      <c r="I173" s="366"/>
      <c r="K173" s="366"/>
      <c r="L173" s="366"/>
    </row>
    <row r="174" spans="1:12" s="365" customFormat="1" ht="13.5" customHeight="1">
      <c r="A174" s="305"/>
      <c r="B174" s="364"/>
      <c r="C174" s="305"/>
      <c r="E174" s="366"/>
      <c r="F174" s="366"/>
      <c r="G174" s="366"/>
      <c r="H174" s="364"/>
      <c r="I174" s="366"/>
      <c r="K174" s="366"/>
      <c r="L174" s="366"/>
    </row>
    <row r="175" spans="1:12" s="365" customFormat="1" ht="13.5" customHeight="1">
      <c r="A175" s="305"/>
      <c r="B175" s="364"/>
      <c r="C175" s="305"/>
      <c r="E175" s="366"/>
      <c r="F175" s="366"/>
      <c r="G175" s="366"/>
      <c r="H175" s="364"/>
      <c r="I175" s="366"/>
      <c r="K175" s="366"/>
      <c r="L175" s="366"/>
    </row>
    <row r="176" spans="1:12" s="365" customFormat="1" ht="13.5" customHeight="1">
      <c r="A176" s="305"/>
      <c r="B176" s="364"/>
      <c r="C176" s="305"/>
      <c r="E176" s="366"/>
      <c r="F176" s="366"/>
      <c r="G176" s="366"/>
      <c r="H176" s="364"/>
      <c r="I176" s="366"/>
      <c r="K176" s="366"/>
      <c r="L176" s="366"/>
    </row>
    <row r="177" spans="1:12" s="365" customFormat="1" ht="13.5" customHeight="1">
      <c r="A177" s="305"/>
      <c r="B177" s="364"/>
      <c r="C177" s="305"/>
      <c r="E177" s="366"/>
      <c r="F177" s="366"/>
      <c r="G177" s="366"/>
      <c r="H177" s="364"/>
      <c r="I177" s="366"/>
      <c r="K177" s="366"/>
      <c r="L177" s="366"/>
    </row>
    <row r="178" spans="1:12" s="365" customFormat="1" ht="13.5" customHeight="1">
      <c r="A178" s="305"/>
      <c r="B178" s="364"/>
      <c r="C178" s="305"/>
      <c r="E178" s="366"/>
      <c r="F178" s="366"/>
      <c r="G178" s="366"/>
      <c r="H178" s="364"/>
      <c r="I178" s="366"/>
      <c r="K178" s="366"/>
      <c r="L178" s="366"/>
    </row>
    <row r="179" spans="1:12" s="365" customFormat="1" ht="13.5" customHeight="1">
      <c r="A179" s="305"/>
      <c r="B179" s="364"/>
      <c r="C179" s="305"/>
      <c r="E179" s="366"/>
      <c r="F179" s="366"/>
      <c r="G179" s="366"/>
      <c r="H179" s="364"/>
      <c r="I179" s="366"/>
      <c r="K179" s="366"/>
      <c r="L179" s="366"/>
    </row>
    <row r="180" spans="1:12" s="365" customFormat="1" ht="13.5" customHeight="1">
      <c r="A180" s="305"/>
      <c r="B180" s="364"/>
      <c r="C180" s="305"/>
      <c r="E180" s="366"/>
      <c r="F180" s="366"/>
      <c r="G180" s="366"/>
      <c r="H180" s="364"/>
      <c r="I180" s="366"/>
      <c r="K180" s="366"/>
      <c r="L180" s="366"/>
    </row>
    <row r="181" spans="1:12" s="365" customFormat="1" ht="13.5" customHeight="1">
      <c r="A181" s="305"/>
      <c r="B181" s="364"/>
      <c r="C181" s="305"/>
      <c r="E181" s="366"/>
      <c r="F181" s="366"/>
      <c r="G181" s="366"/>
      <c r="H181" s="364"/>
      <c r="I181" s="366"/>
      <c r="K181" s="366"/>
      <c r="L181" s="366"/>
    </row>
    <row r="182" spans="1:12" s="365" customFormat="1" ht="13.5" customHeight="1">
      <c r="A182" s="305"/>
      <c r="B182" s="364"/>
      <c r="C182" s="305"/>
      <c r="E182" s="366"/>
      <c r="F182" s="366"/>
      <c r="G182" s="366"/>
      <c r="H182" s="364"/>
      <c r="I182" s="366"/>
      <c r="K182" s="366"/>
      <c r="L182" s="366"/>
    </row>
    <row r="183" spans="1:12" s="365" customFormat="1" ht="13.5" customHeight="1">
      <c r="A183" s="305"/>
      <c r="B183" s="364"/>
      <c r="C183" s="305"/>
      <c r="E183" s="366"/>
      <c r="F183" s="366"/>
      <c r="G183" s="366"/>
      <c r="H183" s="364"/>
      <c r="I183" s="366"/>
      <c r="K183" s="366"/>
      <c r="L183" s="366"/>
    </row>
    <row r="184" spans="1:12" s="365" customFormat="1" ht="13.5" customHeight="1">
      <c r="A184" s="305"/>
      <c r="B184" s="364"/>
      <c r="C184" s="305"/>
      <c r="E184" s="366"/>
      <c r="F184" s="366"/>
      <c r="G184" s="366"/>
      <c r="H184" s="364"/>
      <c r="I184" s="366"/>
      <c r="K184" s="366"/>
      <c r="L184" s="366"/>
    </row>
    <row r="185" spans="1:12" s="365" customFormat="1" ht="13.5" customHeight="1">
      <c r="A185" s="305"/>
      <c r="B185" s="364"/>
      <c r="C185" s="305"/>
      <c r="E185" s="366"/>
      <c r="F185" s="366"/>
      <c r="G185" s="366"/>
      <c r="H185" s="364"/>
      <c r="I185" s="366"/>
      <c r="K185" s="366"/>
      <c r="L185" s="366"/>
    </row>
    <row r="186" spans="1:12" s="365" customFormat="1" ht="13.5" customHeight="1">
      <c r="A186" s="305"/>
      <c r="B186" s="364"/>
      <c r="C186" s="305"/>
      <c r="E186" s="366"/>
      <c r="F186" s="366"/>
      <c r="G186" s="366"/>
      <c r="H186" s="364"/>
      <c r="I186" s="366"/>
      <c r="K186" s="366"/>
      <c r="L186" s="366"/>
    </row>
    <row r="187" spans="1:12" s="365" customFormat="1" ht="13.5" customHeight="1">
      <c r="A187" s="305"/>
      <c r="B187" s="364"/>
      <c r="C187" s="305"/>
      <c r="E187" s="366"/>
      <c r="F187" s="366"/>
      <c r="G187" s="366"/>
      <c r="H187" s="364"/>
      <c r="I187" s="366"/>
      <c r="K187" s="366"/>
      <c r="L187" s="366"/>
    </row>
    <row r="188" spans="1:12" s="365" customFormat="1" ht="13.5" customHeight="1">
      <c r="A188" s="305"/>
      <c r="B188" s="364"/>
      <c r="C188" s="305"/>
      <c r="E188" s="366"/>
      <c r="F188" s="366"/>
      <c r="G188" s="366"/>
      <c r="H188" s="364"/>
      <c r="I188" s="366"/>
      <c r="K188" s="366"/>
      <c r="L188" s="366"/>
    </row>
    <row r="189" spans="1:12" s="365" customFormat="1" ht="13.5" customHeight="1">
      <c r="A189" s="305"/>
      <c r="B189" s="364"/>
      <c r="C189" s="305"/>
      <c r="E189" s="366"/>
      <c r="F189" s="366"/>
      <c r="G189" s="366"/>
      <c r="H189" s="364"/>
      <c r="I189" s="366"/>
      <c r="K189" s="366"/>
      <c r="L189" s="366"/>
    </row>
    <row r="190" spans="1:12" s="365" customFormat="1" ht="13.5" customHeight="1">
      <c r="A190" s="305"/>
      <c r="B190" s="364"/>
      <c r="C190" s="305"/>
      <c r="E190" s="366"/>
      <c r="F190" s="366"/>
      <c r="G190" s="366"/>
      <c r="H190" s="364"/>
      <c r="I190" s="366"/>
      <c r="K190" s="366"/>
      <c r="L190" s="366"/>
    </row>
    <row r="191" spans="1:12" s="365" customFormat="1" ht="13.5" customHeight="1">
      <c r="A191" s="305"/>
      <c r="B191" s="364"/>
      <c r="C191" s="305"/>
      <c r="E191" s="366"/>
      <c r="F191" s="366"/>
      <c r="G191" s="366"/>
      <c r="H191" s="364"/>
      <c r="I191" s="366"/>
      <c r="K191" s="366"/>
      <c r="L191" s="366"/>
    </row>
    <row r="192" spans="1:12" s="365" customFormat="1" ht="13.5" customHeight="1">
      <c r="A192" s="305"/>
      <c r="B192" s="364"/>
      <c r="C192" s="305"/>
      <c r="E192" s="366"/>
      <c r="F192" s="366"/>
      <c r="G192" s="366"/>
      <c r="H192" s="364"/>
      <c r="I192" s="366"/>
      <c r="K192" s="366"/>
      <c r="L192" s="366"/>
    </row>
    <row r="193" spans="1:12" s="365" customFormat="1" ht="13.5" customHeight="1">
      <c r="A193" s="305"/>
      <c r="B193" s="364"/>
      <c r="C193" s="305"/>
      <c r="E193" s="366"/>
      <c r="F193" s="366"/>
      <c r="G193" s="366"/>
      <c r="H193" s="364"/>
      <c r="I193" s="366"/>
      <c r="K193" s="366"/>
      <c r="L193" s="366"/>
    </row>
    <row r="194" spans="1:12" s="365" customFormat="1" ht="13.5" customHeight="1">
      <c r="A194" s="305"/>
      <c r="B194" s="364"/>
      <c r="C194" s="305"/>
      <c r="E194" s="366"/>
      <c r="F194" s="366"/>
      <c r="G194" s="366"/>
      <c r="H194" s="364"/>
      <c r="I194" s="366"/>
      <c r="K194" s="366"/>
      <c r="L194" s="366"/>
    </row>
    <row r="195" spans="1:12" s="365" customFormat="1" ht="13.5" customHeight="1">
      <c r="A195" s="305"/>
      <c r="B195" s="364"/>
      <c r="C195" s="305"/>
      <c r="E195" s="366"/>
      <c r="F195" s="366"/>
      <c r="G195" s="366"/>
      <c r="H195" s="364"/>
      <c r="I195" s="366"/>
      <c r="K195" s="366"/>
      <c r="L195" s="366"/>
    </row>
    <row r="196" spans="1:12" s="365" customFormat="1" ht="13.5" customHeight="1">
      <c r="A196" s="305"/>
      <c r="B196" s="364"/>
      <c r="C196" s="305"/>
      <c r="E196" s="366"/>
      <c r="F196" s="366"/>
      <c r="G196" s="366"/>
      <c r="H196" s="364"/>
      <c r="I196" s="366"/>
      <c r="K196" s="366"/>
      <c r="L196" s="366"/>
    </row>
    <row r="197" spans="1:12" s="365" customFormat="1" ht="13.5" customHeight="1">
      <c r="A197" s="305"/>
      <c r="B197" s="364"/>
      <c r="C197" s="305"/>
      <c r="E197" s="366"/>
      <c r="F197" s="366"/>
      <c r="G197" s="366"/>
      <c r="H197" s="364"/>
      <c r="I197" s="366"/>
      <c r="K197" s="366"/>
      <c r="L197" s="366"/>
    </row>
    <row r="198" spans="1:12" s="365" customFormat="1" ht="13.5" customHeight="1">
      <c r="A198" s="305"/>
      <c r="B198" s="364"/>
      <c r="C198" s="305"/>
      <c r="E198" s="366"/>
      <c r="F198" s="366"/>
      <c r="G198" s="366"/>
      <c r="H198" s="364"/>
      <c r="I198" s="366"/>
      <c r="K198" s="366"/>
      <c r="L198" s="366"/>
    </row>
    <row r="199" spans="1:12" s="365" customFormat="1" ht="13.5" customHeight="1">
      <c r="A199" s="305"/>
      <c r="B199" s="364"/>
      <c r="C199" s="305"/>
      <c r="E199" s="366"/>
      <c r="F199" s="366"/>
      <c r="G199" s="366"/>
      <c r="H199" s="364"/>
      <c r="I199" s="366"/>
      <c r="K199" s="366"/>
      <c r="L199" s="366"/>
    </row>
    <row r="200" spans="1:12" s="365" customFormat="1" ht="13.5" customHeight="1">
      <c r="A200" s="305"/>
      <c r="B200" s="364"/>
      <c r="C200" s="305"/>
      <c r="E200" s="366"/>
      <c r="F200" s="366"/>
      <c r="G200" s="366"/>
      <c r="H200" s="364"/>
      <c r="I200" s="366"/>
      <c r="K200" s="366"/>
      <c r="L200" s="366"/>
    </row>
    <row r="201" spans="1:12" s="365" customFormat="1" ht="13.5" customHeight="1">
      <c r="A201" s="305"/>
      <c r="B201" s="364"/>
      <c r="C201" s="305"/>
      <c r="E201" s="366"/>
      <c r="F201" s="366"/>
      <c r="G201" s="366"/>
      <c r="H201" s="364"/>
      <c r="I201" s="366"/>
      <c r="K201" s="366"/>
      <c r="L201" s="366"/>
    </row>
    <row r="202" spans="1:12" s="365" customFormat="1" ht="13.5" customHeight="1">
      <c r="A202" s="305"/>
      <c r="B202" s="364"/>
      <c r="C202" s="305"/>
      <c r="E202" s="366"/>
      <c r="F202" s="366"/>
      <c r="G202" s="366"/>
      <c r="H202" s="364"/>
      <c r="I202" s="366"/>
      <c r="K202" s="366"/>
      <c r="L202" s="366"/>
    </row>
    <row r="203" spans="1:12" s="365" customFormat="1" ht="13.5" customHeight="1">
      <c r="A203" s="305"/>
      <c r="B203" s="364"/>
      <c r="C203" s="305"/>
      <c r="E203" s="366"/>
      <c r="F203" s="366"/>
      <c r="G203" s="366"/>
      <c r="H203" s="364"/>
      <c r="I203" s="366"/>
      <c r="K203" s="366"/>
      <c r="L203" s="366"/>
    </row>
    <row r="204" spans="1:12" s="365" customFormat="1" ht="13.5" customHeight="1">
      <c r="A204" s="305"/>
      <c r="B204" s="364"/>
      <c r="C204" s="305"/>
      <c r="E204" s="366"/>
      <c r="F204" s="366"/>
      <c r="G204" s="366"/>
      <c r="H204" s="364"/>
      <c r="I204" s="366"/>
      <c r="K204" s="366"/>
      <c r="L204" s="366"/>
    </row>
    <row r="205" spans="1:12" s="365" customFormat="1" ht="13.5" customHeight="1">
      <c r="A205" s="305"/>
      <c r="B205" s="364"/>
      <c r="C205" s="305"/>
      <c r="E205" s="366"/>
      <c r="F205" s="366"/>
      <c r="G205" s="366"/>
      <c r="H205" s="364"/>
      <c r="I205" s="366"/>
      <c r="K205" s="366"/>
      <c r="L205" s="366"/>
    </row>
    <row r="206" spans="1:12" s="365" customFormat="1" ht="13.5" customHeight="1">
      <c r="A206" s="305"/>
      <c r="B206" s="364"/>
      <c r="C206" s="305"/>
      <c r="E206" s="366"/>
      <c r="F206" s="366"/>
      <c r="G206" s="366"/>
      <c r="H206" s="364"/>
      <c r="I206" s="366"/>
      <c r="K206" s="366"/>
      <c r="L206" s="366"/>
    </row>
    <row r="207" spans="1:12" s="365" customFormat="1" ht="13.5" customHeight="1">
      <c r="A207" s="305"/>
      <c r="B207" s="364"/>
      <c r="C207" s="305"/>
      <c r="E207" s="366"/>
      <c r="F207" s="366"/>
      <c r="G207" s="366"/>
      <c r="H207" s="364"/>
      <c r="I207" s="366"/>
      <c r="K207" s="366"/>
      <c r="L207" s="366"/>
    </row>
    <row r="208" spans="1:12" s="365" customFormat="1" ht="13.5" customHeight="1">
      <c r="A208" s="305"/>
      <c r="B208" s="364"/>
      <c r="C208" s="305"/>
      <c r="E208" s="366"/>
      <c r="F208" s="366"/>
      <c r="G208" s="366"/>
      <c r="H208" s="364"/>
      <c r="I208" s="366"/>
      <c r="K208" s="366"/>
      <c r="L208" s="366"/>
    </row>
    <row r="209" spans="1:12" s="365" customFormat="1" ht="13.5" customHeight="1">
      <c r="A209" s="305"/>
      <c r="B209" s="364"/>
      <c r="C209" s="305"/>
      <c r="E209" s="366"/>
      <c r="F209" s="366"/>
      <c r="G209" s="366"/>
      <c r="H209" s="364"/>
      <c r="I209" s="366"/>
      <c r="K209" s="366"/>
      <c r="L209" s="366"/>
    </row>
    <row r="210" spans="1:12" s="365" customFormat="1" ht="13.5" customHeight="1">
      <c r="A210" s="305"/>
      <c r="B210" s="364"/>
      <c r="C210" s="305"/>
      <c r="E210" s="366"/>
      <c r="F210" s="366"/>
      <c r="G210" s="366"/>
      <c r="H210" s="364"/>
      <c r="I210" s="366"/>
      <c r="K210" s="366"/>
      <c r="L210" s="366"/>
    </row>
    <row r="211" spans="1:12" s="365" customFormat="1" ht="13.5" customHeight="1">
      <c r="A211" s="305"/>
      <c r="B211" s="364"/>
      <c r="C211" s="305"/>
      <c r="E211" s="366"/>
      <c r="F211" s="366"/>
      <c r="G211" s="366"/>
      <c r="H211" s="364"/>
      <c r="I211" s="366"/>
      <c r="K211" s="366"/>
      <c r="L211" s="366"/>
    </row>
    <row r="212" spans="1:12" s="365" customFormat="1" ht="13.5" customHeight="1">
      <c r="A212" s="305"/>
      <c r="B212" s="364"/>
      <c r="C212" s="305"/>
      <c r="E212" s="366"/>
      <c r="F212" s="366"/>
      <c r="G212" s="366"/>
      <c r="H212" s="364"/>
      <c r="I212" s="366"/>
      <c r="K212" s="366"/>
      <c r="L212" s="366"/>
    </row>
    <row r="213" spans="1:12" s="365" customFormat="1" ht="13.5" customHeight="1">
      <c r="A213" s="305"/>
      <c r="B213" s="364"/>
      <c r="C213" s="305"/>
      <c r="E213" s="366"/>
      <c r="F213" s="366"/>
      <c r="G213" s="366"/>
      <c r="H213" s="364"/>
      <c r="I213" s="366"/>
      <c r="K213" s="366"/>
      <c r="L213" s="366"/>
    </row>
    <row r="214" spans="1:12" s="365" customFormat="1" ht="13.5" customHeight="1">
      <c r="A214" s="305"/>
      <c r="B214" s="364"/>
      <c r="C214" s="305"/>
      <c r="E214" s="366"/>
      <c r="F214" s="366"/>
      <c r="G214" s="366"/>
      <c r="H214" s="364"/>
      <c r="I214" s="366"/>
      <c r="K214" s="366"/>
      <c r="L214" s="366"/>
    </row>
    <row r="215" spans="1:12" s="365" customFormat="1" ht="13.5" customHeight="1">
      <c r="A215" s="305"/>
      <c r="B215" s="364"/>
      <c r="C215" s="305"/>
      <c r="E215" s="366"/>
      <c r="F215" s="366"/>
      <c r="G215" s="366"/>
      <c r="H215" s="364"/>
      <c r="I215" s="366"/>
      <c r="K215" s="366"/>
      <c r="L215" s="366"/>
    </row>
    <row r="216" spans="1:12" s="365" customFormat="1" ht="13.5" customHeight="1">
      <c r="A216" s="305"/>
      <c r="B216" s="364"/>
      <c r="C216" s="305"/>
      <c r="E216" s="366"/>
      <c r="F216" s="366"/>
      <c r="G216" s="366"/>
      <c r="H216" s="364"/>
      <c r="I216" s="366"/>
      <c r="K216" s="366"/>
      <c r="L216" s="366"/>
    </row>
    <row r="217" spans="1:12" s="365" customFormat="1" ht="13.5" customHeight="1">
      <c r="A217" s="305"/>
      <c r="B217" s="364"/>
      <c r="C217" s="305"/>
      <c r="E217" s="366"/>
      <c r="F217" s="366"/>
      <c r="G217" s="366"/>
      <c r="H217" s="364"/>
      <c r="I217" s="366"/>
      <c r="K217" s="366"/>
      <c r="L217" s="366"/>
    </row>
    <row r="218" spans="1:12" s="365" customFormat="1" ht="13.5" customHeight="1">
      <c r="A218" s="305"/>
      <c r="B218" s="364"/>
      <c r="C218" s="305"/>
      <c r="E218" s="366"/>
      <c r="F218" s="366"/>
      <c r="G218" s="366"/>
      <c r="H218" s="364"/>
      <c r="I218" s="366"/>
      <c r="K218" s="366"/>
      <c r="L218" s="366"/>
    </row>
    <row r="219" spans="1:12" s="365" customFormat="1" ht="13.5" customHeight="1">
      <c r="A219" s="305"/>
      <c r="B219" s="364"/>
      <c r="C219" s="305"/>
      <c r="E219" s="366"/>
      <c r="F219" s="366"/>
      <c r="G219" s="366"/>
      <c r="H219" s="364"/>
      <c r="I219" s="366"/>
      <c r="K219" s="366"/>
      <c r="L219" s="366"/>
    </row>
    <row r="220" spans="1:12" s="365" customFormat="1" ht="13.5" customHeight="1">
      <c r="A220" s="305"/>
      <c r="B220" s="364"/>
      <c r="C220" s="305"/>
      <c r="E220" s="366"/>
      <c r="F220" s="366"/>
      <c r="G220" s="366"/>
      <c r="H220" s="364"/>
      <c r="I220" s="366"/>
      <c r="K220" s="366"/>
      <c r="L220" s="366"/>
    </row>
    <row r="221" spans="1:12" s="365" customFormat="1" ht="13.5" customHeight="1">
      <c r="A221" s="305"/>
      <c r="B221" s="364"/>
      <c r="C221" s="305"/>
      <c r="E221" s="366"/>
      <c r="F221" s="366"/>
      <c r="G221" s="366"/>
      <c r="H221" s="364"/>
      <c r="I221" s="366"/>
      <c r="K221" s="366"/>
      <c r="L221" s="366"/>
    </row>
    <row r="222" spans="1:12" s="365" customFormat="1" ht="13.5" customHeight="1">
      <c r="A222" s="305"/>
      <c r="B222" s="364"/>
      <c r="C222" s="305"/>
      <c r="E222" s="366"/>
      <c r="F222" s="366"/>
      <c r="G222" s="366"/>
      <c r="H222" s="364"/>
      <c r="I222" s="366"/>
      <c r="K222" s="366"/>
      <c r="L222" s="366"/>
    </row>
    <row r="223" spans="1:12" s="365" customFormat="1" ht="13.5" customHeight="1">
      <c r="A223" s="305"/>
      <c r="B223" s="364"/>
      <c r="C223" s="305"/>
      <c r="E223" s="366"/>
      <c r="F223" s="366"/>
      <c r="G223" s="366"/>
      <c r="H223" s="364"/>
      <c r="I223" s="366"/>
      <c r="K223" s="366"/>
      <c r="L223" s="366"/>
    </row>
    <row r="224" spans="1:12" s="365" customFormat="1" ht="13.5" customHeight="1">
      <c r="A224" s="305"/>
      <c r="B224" s="364"/>
      <c r="C224" s="305"/>
      <c r="E224" s="366"/>
      <c r="F224" s="366"/>
      <c r="G224" s="366"/>
      <c r="H224" s="364"/>
      <c r="I224" s="366"/>
      <c r="K224" s="366"/>
      <c r="L224" s="366"/>
    </row>
    <row r="225" spans="1:12" s="365" customFormat="1" ht="13.5" customHeight="1">
      <c r="A225" s="305"/>
      <c r="B225" s="364"/>
      <c r="C225" s="305"/>
      <c r="E225" s="366"/>
      <c r="F225" s="366"/>
      <c r="G225" s="366"/>
      <c r="H225" s="364"/>
      <c r="I225" s="366"/>
      <c r="K225" s="366"/>
      <c r="L225" s="366"/>
    </row>
    <row r="226" spans="1:12" s="365" customFormat="1" ht="13.5" customHeight="1">
      <c r="A226" s="305"/>
      <c r="B226" s="364"/>
      <c r="C226" s="305"/>
      <c r="E226" s="366"/>
      <c r="F226" s="366"/>
      <c r="G226" s="366"/>
      <c r="H226" s="364"/>
      <c r="I226" s="366"/>
      <c r="K226" s="366"/>
      <c r="L226" s="366"/>
    </row>
    <row r="227" spans="1:12" s="365" customFormat="1" ht="13.5" customHeight="1">
      <c r="A227" s="305"/>
      <c r="B227" s="364"/>
      <c r="C227" s="305"/>
      <c r="E227" s="366"/>
      <c r="F227" s="366"/>
      <c r="G227" s="366"/>
      <c r="H227" s="364"/>
      <c r="I227" s="366"/>
      <c r="K227" s="366"/>
      <c r="L227" s="366"/>
    </row>
    <row r="228" spans="1:12" s="365" customFormat="1" ht="13.5" customHeight="1">
      <c r="A228" s="305"/>
      <c r="B228" s="364"/>
      <c r="C228" s="305"/>
      <c r="E228" s="366"/>
      <c r="F228" s="366"/>
      <c r="G228" s="366"/>
      <c r="H228" s="364"/>
      <c r="I228" s="366"/>
      <c r="K228" s="366"/>
      <c r="L228" s="366"/>
    </row>
    <row r="229" spans="1:12" s="365" customFormat="1" ht="13.5" customHeight="1">
      <c r="A229" s="305"/>
      <c r="B229" s="364"/>
      <c r="C229" s="305"/>
      <c r="E229" s="366"/>
      <c r="F229" s="366"/>
      <c r="G229" s="366"/>
      <c r="H229" s="364"/>
      <c r="I229" s="366"/>
      <c r="K229" s="366"/>
      <c r="L229" s="366"/>
    </row>
    <row r="230" spans="1:12" s="365" customFormat="1" ht="13.5" customHeight="1">
      <c r="A230" s="305"/>
      <c r="B230" s="364"/>
      <c r="C230" s="305"/>
      <c r="E230" s="366"/>
      <c r="F230" s="366"/>
      <c r="G230" s="366"/>
      <c r="H230" s="364"/>
      <c r="I230" s="366"/>
      <c r="K230" s="366"/>
      <c r="L230" s="366"/>
    </row>
    <row r="231" spans="1:12" s="365" customFormat="1" ht="13.5" customHeight="1">
      <c r="A231" s="305"/>
      <c r="B231" s="364"/>
      <c r="C231" s="305"/>
      <c r="E231" s="366"/>
      <c r="F231" s="366"/>
      <c r="G231" s="366"/>
      <c r="H231" s="364"/>
      <c r="I231" s="366"/>
      <c r="K231" s="366"/>
      <c r="L231" s="366"/>
    </row>
    <row r="232" spans="1:12" s="365" customFormat="1" ht="13.5" customHeight="1">
      <c r="A232" s="305"/>
      <c r="B232" s="364"/>
      <c r="C232" s="305"/>
      <c r="E232" s="366"/>
      <c r="F232" s="366"/>
      <c r="G232" s="366"/>
      <c r="H232" s="364"/>
      <c r="I232" s="366"/>
      <c r="K232" s="366"/>
      <c r="L232" s="366"/>
    </row>
    <row r="233" spans="1:12" s="365" customFormat="1" ht="13.5" customHeight="1">
      <c r="A233" s="305"/>
      <c r="B233" s="364"/>
      <c r="C233" s="305"/>
      <c r="E233" s="366"/>
      <c r="F233" s="366"/>
      <c r="G233" s="366"/>
      <c r="H233" s="364"/>
      <c r="I233" s="366"/>
      <c r="K233" s="366"/>
      <c r="L233" s="366"/>
    </row>
    <row r="234" spans="1:12" s="365" customFormat="1" ht="13.5" customHeight="1">
      <c r="A234" s="305"/>
      <c r="B234" s="364"/>
      <c r="C234" s="305"/>
      <c r="E234" s="366"/>
      <c r="F234" s="366"/>
      <c r="G234" s="366"/>
      <c r="H234" s="364"/>
      <c r="I234" s="366"/>
      <c r="K234" s="366"/>
      <c r="L234" s="366"/>
    </row>
    <row r="235" spans="1:12" s="365" customFormat="1" ht="13.5" customHeight="1">
      <c r="A235" s="305"/>
      <c r="B235" s="364"/>
      <c r="C235" s="305"/>
      <c r="E235" s="366"/>
      <c r="F235" s="366"/>
      <c r="G235" s="366"/>
      <c r="H235" s="364"/>
      <c r="I235" s="366"/>
      <c r="K235" s="366"/>
      <c r="L235" s="366"/>
    </row>
    <row r="236" spans="1:12" s="365" customFormat="1" ht="13.5" customHeight="1">
      <c r="A236" s="305"/>
      <c r="B236" s="364"/>
      <c r="C236" s="305"/>
      <c r="E236" s="366"/>
      <c r="F236" s="366"/>
      <c r="G236" s="366"/>
      <c r="H236" s="364"/>
      <c r="I236" s="366"/>
      <c r="K236" s="366"/>
      <c r="L236" s="366"/>
    </row>
    <row r="237" spans="1:12" s="365" customFormat="1" ht="13.5" customHeight="1">
      <c r="A237" s="305"/>
      <c r="B237" s="364"/>
      <c r="C237" s="305"/>
      <c r="E237" s="366"/>
      <c r="F237" s="366"/>
      <c r="G237" s="366"/>
      <c r="H237" s="364"/>
      <c r="I237" s="366"/>
      <c r="K237" s="366"/>
      <c r="L237" s="366"/>
    </row>
    <row r="238" spans="1:12" s="365" customFormat="1" ht="13.5" customHeight="1">
      <c r="A238" s="305"/>
      <c r="B238" s="364"/>
      <c r="C238" s="305"/>
      <c r="E238" s="366"/>
      <c r="F238" s="366"/>
      <c r="G238" s="366"/>
      <c r="H238" s="364"/>
      <c r="I238" s="366"/>
      <c r="K238" s="366"/>
      <c r="L238" s="366"/>
    </row>
    <row r="239" spans="1:12" s="365" customFormat="1" ht="13.5" customHeight="1">
      <c r="A239" s="305"/>
      <c r="B239" s="364"/>
      <c r="C239" s="305"/>
      <c r="E239" s="366"/>
      <c r="F239" s="366"/>
      <c r="G239" s="366"/>
      <c r="H239" s="364"/>
      <c r="I239" s="366"/>
      <c r="K239" s="366"/>
      <c r="L239" s="366"/>
    </row>
    <row r="240" spans="1:12" s="365" customFormat="1" ht="13.5" customHeight="1">
      <c r="A240" s="305"/>
      <c r="B240" s="364"/>
      <c r="C240" s="305"/>
      <c r="E240" s="366"/>
      <c r="F240" s="366"/>
      <c r="G240" s="366"/>
      <c r="H240" s="364"/>
      <c r="I240" s="366"/>
      <c r="K240" s="366"/>
      <c r="L240" s="366"/>
    </row>
    <row r="241" spans="1:12" s="365" customFormat="1" ht="13.5" customHeight="1">
      <c r="A241" s="305"/>
      <c r="B241" s="364"/>
      <c r="C241" s="305"/>
      <c r="E241" s="366"/>
      <c r="F241" s="366"/>
      <c r="G241" s="366"/>
      <c r="H241" s="364"/>
      <c r="I241" s="366"/>
      <c r="K241" s="366"/>
      <c r="L241" s="366"/>
    </row>
    <row r="242" spans="1:12" s="365" customFormat="1" ht="13.5" customHeight="1">
      <c r="A242" s="305"/>
      <c r="B242" s="364"/>
      <c r="C242" s="305"/>
      <c r="E242" s="366"/>
      <c r="F242" s="366"/>
      <c r="G242" s="366"/>
      <c r="H242" s="364"/>
      <c r="I242" s="366"/>
      <c r="K242" s="366"/>
      <c r="L242" s="366"/>
    </row>
    <row r="243" spans="1:12" s="365" customFormat="1" ht="13.5" customHeight="1">
      <c r="A243" s="305"/>
      <c r="B243" s="364"/>
      <c r="C243" s="305"/>
      <c r="E243" s="366"/>
      <c r="F243" s="366"/>
      <c r="G243" s="366"/>
      <c r="H243" s="364"/>
      <c r="I243" s="366"/>
      <c r="K243" s="366"/>
      <c r="L243" s="366"/>
    </row>
    <row r="244" spans="1:12" s="365" customFormat="1" ht="13.5" customHeight="1">
      <c r="A244" s="305"/>
      <c r="B244" s="364"/>
      <c r="C244" s="305"/>
      <c r="E244" s="366"/>
      <c r="F244" s="366"/>
      <c r="G244" s="366"/>
      <c r="H244" s="364"/>
      <c r="I244" s="366"/>
      <c r="K244" s="366"/>
      <c r="L244" s="366"/>
    </row>
    <row r="245" spans="1:12" s="365" customFormat="1" ht="13.5" customHeight="1">
      <c r="A245" s="305"/>
      <c r="B245" s="364"/>
      <c r="C245" s="305"/>
      <c r="E245" s="366"/>
      <c r="F245" s="366"/>
      <c r="G245" s="366"/>
      <c r="H245" s="364"/>
      <c r="I245" s="366"/>
      <c r="K245" s="366"/>
      <c r="L245" s="366"/>
    </row>
    <row r="246" spans="1:12" s="365" customFormat="1" ht="13.5" customHeight="1">
      <c r="A246" s="305"/>
      <c r="B246" s="364"/>
      <c r="C246" s="305"/>
      <c r="E246" s="366"/>
      <c r="F246" s="366"/>
      <c r="G246" s="366"/>
      <c r="H246" s="364"/>
      <c r="I246" s="366"/>
      <c r="K246" s="366"/>
      <c r="L246" s="366"/>
    </row>
    <row r="247" spans="1:12" s="365" customFormat="1" ht="13.5" customHeight="1">
      <c r="A247" s="305"/>
      <c r="B247" s="364"/>
      <c r="C247" s="305"/>
      <c r="E247" s="366"/>
      <c r="F247" s="366"/>
      <c r="G247" s="366"/>
      <c r="H247" s="364"/>
      <c r="I247" s="366"/>
      <c r="K247" s="366"/>
      <c r="L247" s="366"/>
    </row>
    <row r="248" spans="1:12" s="365" customFormat="1" ht="13.5" customHeight="1">
      <c r="A248" s="305"/>
      <c r="B248" s="364"/>
      <c r="C248" s="305"/>
      <c r="E248" s="366"/>
      <c r="F248" s="366"/>
      <c r="G248" s="366"/>
      <c r="H248" s="364"/>
      <c r="I248" s="366"/>
      <c r="K248" s="366"/>
      <c r="L248" s="366"/>
    </row>
    <row r="249" spans="1:12" s="365" customFormat="1" ht="13.5" customHeight="1">
      <c r="A249" s="305"/>
      <c r="B249" s="364"/>
      <c r="C249" s="305"/>
      <c r="E249" s="366"/>
      <c r="F249" s="366"/>
      <c r="G249" s="366"/>
      <c r="H249" s="364"/>
      <c r="I249" s="366"/>
      <c r="K249" s="366"/>
      <c r="L249" s="366"/>
    </row>
    <row r="250" spans="1:12" s="365" customFormat="1" ht="13.5" customHeight="1">
      <c r="A250" s="305"/>
      <c r="B250" s="364"/>
      <c r="C250" s="305"/>
      <c r="E250" s="366"/>
      <c r="F250" s="366"/>
      <c r="G250" s="366"/>
      <c r="H250" s="364"/>
      <c r="I250" s="366"/>
      <c r="K250" s="366"/>
      <c r="L250" s="366"/>
    </row>
    <row r="251" spans="1:12" s="365" customFormat="1" ht="13.5" customHeight="1">
      <c r="A251" s="305"/>
      <c r="B251" s="364"/>
      <c r="C251" s="305"/>
      <c r="E251" s="366"/>
      <c r="F251" s="366"/>
      <c r="G251" s="366"/>
      <c r="H251" s="364"/>
      <c r="I251" s="366"/>
      <c r="K251" s="366"/>
      <c r="L251" s="366"/>
    </row>
    <row r="252" spans="1:12" s="365" customFormat="1" ht="13.5" customHeight="1">
      <c r="A252" s="305"/>
      <c r="B252" s="364"/>
      <c r="C252" s="305"/>
      <c r="E252" s="366"/>
      <c r="F252" s="366"/>
      <c r="G252" s="366"/>
      <c r="H252" s="364"/>
      <c r="I252" s="366"/>
      <c r="K252" s="366"/>
      <c r="L252" s="366"/>
    </row>
    <row r="253" spans="1:12" s="365" customFormat="1" ht="13.5" customHeight="1">
      <c r="A253" s="305"/>
      <c r="B253" s="364"/>
      <c r="C253" s="305"/>
      <c r="E253" s="366"/>
      <c r="F253" s="366"/>
      <c r="G253" s="366"/>
      <c r="H253" s="364"/>
      <c r="I253" s="366"/>
      <c r="K253" s="366"/>
      <c r="L253" s="366"/>
    </row>
    <row r="254" spans="1:12" s="365" customFormat="1" ht="13.5" customHeight="1">
      <c r="A254" s="305"/>
      <c r="B254" s="364"/>
      <c r="C254" s="305"/>
      <c r="E254" s="366"/>
      <c r="F254" s="366"/>
      <c r="G254" s="366"/>
      <c r="H254" s="364"/>
      <c r="I254" s="366"/>
      <c r="K254" s="366"/>
      <c r="L254" s="366"/>
    </row>
    <row r="255" spans="1:12" s="365" customFormat="1" ht="13.5" customHeight="1">
      <c r="A255" s="305"/>
      <c r="B255" s="364"/>
      <c r="C255" s="305"/>
      <c r="E255" s="366"/>
      <c r="F255" s="366"/>
      <c r="G255" s="366"/>
      <c r="H255" s="364"/>
      <c r="I255" s="366"/>
      <c r="K255" s="366"/>
      <c r="L255" s="366"/>
    </row>
    <row r="256" spans="1:12" s="365" customFormat="1" ht="13.5" customHeight="1">
      <c r="A256" s="305"/>
      <c r="B256" s="364"/>
      <c r="C256" s="305"/>
      <c r="E256" s="366"/>
      <c r="F256" s="366"/>
      <c r="G256" s="366"/>
      <c r="H256" s="364"/>
      <c r="I256" s="366"/>
      <c r="K256" s="366"/>
      <c r="L256" s="366"/>
    </row>
    <row r="257" spans="1:12" s="365" customFormat="1" ht="13.5" customHeight="1">
      <c r="A257" s="305"/>
      <c r="B257" s="364"/>
      <c r="C257" s="305"/>
      <c r="E257" s="366"/>
      <c r="F257" s="366"/>
      <c r="G257" s="366"/>
      <c r="H257" s="364"/>
      <c r="I257" s="366"/>
      <c r="K257" s="366"/>
      <c r="L257" s="366"/>
    </row>
    <row r="258" spans="1:12" s="365" customFormat="1" ht="13.5" customHeight="1">
      <c r="A258" s="305"/>
      <c r="B258" s="364"/>
      <c r="C258" s="305"/>
      <c r="E258" s="366"/>
      <c r="F258" s="366"/>
      <c r="G258" s="366"/>
      <c r="H258" s="364"/>
      <c r="I258" s="366"/>
      <c r="K258" s="366"/>
      <c r="L258" s="366"/>
    </row>
    <row r="259" spans="1:12" s="365" customFormat="1" ht="13.5" customHeight="1">
      <c r="A259" s="305"/>
      <c r="B259" s="364"/>
      <c r="C259" s="305"/>
      <c r="E259" s="366"/>
      <c r="F259" s="366"/>
      <c r="G259" s="366"/>
      <c r="H259" s="364"/>
      <c r="I259" s="366"/>
      <c r="K259" s="366"/>
      <c r="L259" s="366"/>
    </row>
    <row r="260" spans="1:12" s="365" customFormat="1" ht="13.5" customHeight="1">
      <c r="A260" s="305"/>
      <c r="B260" s="364"/>
      <c r="C260" s="305"/>
      <c r="E260" s="366"/>
      <c r="F260" s="366"/>
      <c r="G260" s="366"/>
      <c r="H260" s="364"/>
      <c r="I260" s="366"/>
      <c r="K260" s="366"/>
      <c r="L260" s="366"/>
    </row>
    <row r="261" spans="1:12" s="365" customFormat="1" ht="13.5" customHeight="1">
      <c r="A261" s="305"/>
      <c r="B261" s="364"/>
      <c r="C261" s="305"/>
      <c r="E261" s="366"/>
      <c r="F261" s="366"/>
      <c r="G261" s="366"/>
      <c r="H261" s="364"/>
      <c r="I261" s="366"/>
      <c r="K261" s="366"/>
      <c r="L261" s="366"/>
    </row>
    <row r="262" spans="1:12" s="365" customFormat="1" ht="13.5" customHeight="1">
      <c r="A262" s="305"/>
      <c r="B262" s="364"/>
      <c r="C262" s="305"/>
      <c r="E262" s="366"/>
      <c r="F262" s="366"/>
      <c r="G262" s="366"/>
      <c r="H262" s="364"/>
      <c r="I262" s="366"/>
      <c r="K262" s="366"/>
      <c r="L262" s="366"/>
    </row>
    <row r="263" spans="1:12" s="365" customFormat="1" ht="13.5" customHeight="1">
      <c r="A263" s="305"/>
      <c r="B263" s="364"/>
      <c r="C263" s="305"/>
      <c r="E263" s="366"/>
      <c r="F263" s="366"/>
      <c r="G263" s="366"/>
      <c r="H263" s="364"/>
      <c r="I263" s="366"/>
      <c r="K263" s="366"/>
      <c r="L263" s="366"/>
    </row>
    <row r="264" spans="1:12" s="365" customFormat="1" ht="13.5" customHeight="1">
      <c r="A264" s="305"/>
      <c r="B264" s="364"/>
      <c r="C264" s="305"/>
      <c r="E264" s="366"/>
      <c r="F264" s="366"/>
      <c r="G264" s="366"/>
      <c r="H264" s="364"/>
      <c r="I264" s="366"/>
      <c r="K264" s="366"/>
      <c r="L264" s="366"/>
    </row>
    <row r="265" spans="1:12" s="365" customFormat="1" ht="13.5" customHeight="1">
      <c r="A265" s="305"/>
      <c r="B265" s="364"/>
      <c r="C265" s="305"/>
      <c r="E265" s="366"/>
      <c r="F265" s="366"/>
      <c r="G265" s="366"/>
      <c r="H265" s="364"/>
      <c r="I265" s="366"/>
      <c r="K265" s="366"/>
      <c r="L265" s="366"/>
    </row>
    <row r="266" spans="1:12" s="365" customFormat="1" ht="13.5" customHeight="1">
      <c r="A266" s="305"/>
      <c r="B266" s="364"/>
      <c r="C266" s="305"/>
      <c r="E266" s="366"/>
      <c r="F266" s="366"/>
      <c r="G266" s="366"/>
      <c r="H266" s="364"/>
      <c r="I266" s="366"/>
      <c r="K266" s="366"/>
      <c r="L266" s="366"/>
    </row>
    <row r="267" spans="1:12" s="365" customFormat="1" ht="13.5" customHeight="1">
      <c r="A267" s="305"/>
      <c r="B267" s="364"/>
      <c r="C267" s="305"/>
      <c r="E267" s="366"/>
      <c r="F267" s="366"/>
      <c r="G267" s="366"/>
      <c r="H267" s="364"/>
      <c r="I267" s="366"/>
      <c r="K267" s="366"/>
      <c r="L267" s="366"/>
    </row>
    <row r="268" spans="1:12" s="365" customFormat="1" ht="13.5" customHeight="1">
      <c r="A268" s="305"/>
      <c r="B268" s="364"/>
      <c r="C268" s="305"/>
      <c r="E268" s="366"/>
      <c r="F268" s="366"/>
      <c r="G268" s="366"/>
      <c r="H268" s="364"/>
      <c r="I268" s="366"/>
      <c r="K268" s="366"/>
      <c r="L268" s="366"/>
    </row>
    <row r="269" spans="1:12" s="365" customFormat="1" ht="13.5" customHeight="1">
      <c r="A269" s="305"/>
      <c r="B269" s="364"/>
      <c r="C269" s="305"/>
      <c r="E269" s="366"/>
      <c r="F269" s="366"/>
      <c r="G269" s="366"/>
      <c r="H269" s="364"/>
      <c r="I269" s="366"/>
      <c r="K269" s="366"/>
      <c r="L269" s="366"/>
    </row>
    <row r="270" spans="1:12" s="365" customFormat="1" ht="13.5" customHeight="1">
      <c r="A270" s="305"/>
      <c r="B270" s="364"/>
      <c r="C270" s="305"/>
      <c r="E270" s="366"/>
      <c r="F270" s="366"/>
      <c r="G270" s="366"/>
      <c r="H270" s="364"/>
      <c r="I270" s="366"/>
      <c r="K270" s="366"/>
      <c r="L270" s="366"/>
    </row>
    <row r="271" spans="1:12" s="365" customFormat="1" ht="13.5" customHeight="1">
      <c r="A271" s="305"/>
      <c r="B271" s="364"/>
      <c r="C271" s="305"/>
      <c r="E271" s="366"/>
      <c r="F271" s="366"/>
      <c r="G271" s="366"/>
      <c r="H271" s="364"/>
      <c r="I271" s="366"/>
      <c r="K271" s="366"/>
      <c r="L271" s="366"/>
    </row>
    <row r="272" spans="1:12" s="365" customFormat="1" ht="13.5" customHeight="1">
      <c r="A272" s="305"/>
      <c r="B272" s="364"/>
      <c r="C272" s="305"/>
      <c r="E272" s="366"/>
      <c r="F272" s="366"/>
      <c r="G272" s="366"/>
      <c r="H272" s="364"/>
      <c r="I272" s="366"/>
      <c r="K272" s="366"/>
      <c r="L272" s="366"/>
    </row>
    <row r="273" spans="1:12" s="365" customFormat="1" ht="13.5" customHeight="1">
      <c r="A273" s="305"/>
      <c r="B273" s="364"/>
      <c r="C273" s="305"/>
      <c r="E273" s="366"/>
      <c r="F273" s="366"/>
      <c r="G273" s="366"/>
      <c r="H273" s="364"/>
      <c r="I273" s="366"/>
      <c r="K273" s="366"/>
      <c r="L273" s="366"/>
    </row>
    <row r="274" spans="1:12" s="365" customFormat="1" ht="13.5" customHeight="1">
      <c r="A274" s="305"/>
      <c r="B274" s="364"/>
      <c r="C274" s="305"/>
      <c r="E274" s="366"/>
      <c r="F274" s="366"/>
      <c r="G274" s="366"/>
      <c r="H274" s="364"/>
      <c r="I274" s="366"/>
      <c r="K274" s="366"/>
      <c r="L274" s="366"/>
    </row>
    <row r="275" spans="1:12" s="365" customFormat="1" ht="13.5" customHeight="1">
      <c r="A275" s="305"/>
      <c r="B275" s="364"/>
      <c r="C275" s="305"/>
      <c r="E275" s="366"/>
      <c r="F275" s="366"/>
      <c r="G275" s="366"/>
      <c r="H275" s="364"/>
      <c r="I275" s="366"/>
      <c r="K275" s="366"/>
      <c r="L275" s="366"/>
    </row>
    <row r="276" spans="1:12" s="365" customFormat="1" ht="13.5" customHeight="1">
      <c r="A276" s="305"/>
      <c r="B276" s="364"/>
      <c r="C276" s="305"/>
      <c r="E276" s="366"/>
      <c r="F276" s="366"/>
      <c r="G276" s="366"/>
      <c r="H276" s="364"/>
      <c r="I276" s="366"/>
      <c r="K276" s="366"/>
      <c r="L276" s="366"/>
    </row>
    <row r="277" spans="1:12" s="365" customFormat="1" ht="13.5" customHeight="1">
      <c r="A277" s="305"/>
      <c r="B277" s="364"/>
      <c r="C277" s="305"/>
      <c r="E277" s="366"/>
      <c r="F277" s="366"/>
      <c r="G277" s="366"/>
      <c r="H277" s="364"/>
      <c r="I277" s="366"/>
      <c r="K277" s="366"/>
      <c r="L277" s="366"/>
    </row>
    <row r="278" spans="1:12" s="365" customFormat="1" ht="13.5" customHeight="1">
      <c r="A278" s="305"/>
      <c r="B278" s="364"/>
      <c r="C278" s="305"/>
      <c r="E278" s="366"/>
      <c r="F278" s="366"/>
      <c r="G278" s="366"/>
      <c r="H278" s="364"/>
      <c r="I278" s="366"/>
      <c r="K278" s="366"/>
      <c r="L278" s="366"/>
    </row>
    <row r="279" spans="1:12" s="365" customFormat="1" ht="13.5" customHeight="1">
      <c r="A279" s="305"/>
      <c r="B279" s="364"/>
      <c r="C279" s="305"/>
      <c r="E279" s="366"/>
      <c r="F279" s="366"/>
      <c r="G279" s="366"/>
      <c r="H279" s="364"/>
      <c r="I279" s="366"/>
      <c r="K279" s="366"/>
      <c r="L279" s="366"/>
    </row>
    <row r="280" spans="1:12" s="365" customFormat="1" ht="13.5" customHeight="1">
      <c r="A280" s="305"/>
      <c r="B280" s="364"/>
      <c r="C280" s="305"/>
      <c r="E280" s="366"/>
      <c r="F280" s="366"/>
      <c r="G280" s="366"/>
      <c r="H280" s="364"/>
      <c r="I280" s="366"/>
      <c r="K280" s="366"/>
      <c r="L280" s="366"/>
    </row>
    <row r="281" spans="1:12" s="365" customFormat="1" ht="13.5" customHeight="1">
      <c r="A281" s="305"/>
      <c r="B281" s="364"/>
      <c r="C281" s="305"/>
      <c r="E281" s="366"/>
      <c r="F281" s="366"/>
      <c r="G281" s="366"/>
      <c r="H281" s="364"/>
      <c r="I281" s="366"/>
      <c r="K281" s="366"/>
      <c r="L281" s="366"/>
    </row>
    <row r="282" spans="1:12" s="365" customFormat="1" ht="13.5" customHeight="1">
      <c r="A282" s="305"/>
      <c r="B282" s="364"/>
      <c r="C282" s="305"/>
      <c r="E282" s="366"/>
      <c r="F282" s="366"/>
      <c r="G282" s="366"/>
      <c r="H282" s="364"/>
      <c r="I282" s="366"/>
      <c r="K282" s="366"/>
      <c r="L282" s="366"/>
    </row>
    <row r="283" spans="1:12" s="365" customFormat="1" ht="13.5" customHeight="1">
      <c r="A283" s="305"/>
      <c r="B283" s="364"/>
      <c r="C283" s="305"/>
      <c r="E283" s="366"/>
      <c r="F283" s="366"/>
      <c r="G283" s="366"/>
      <c r="H283" s="364"/>
      <c r="I283" s="366"/>
      <c r="K283" s="366"/>
      <c r="L283" s="366"/>
    </row>
    <row r="284" spans="1:12" s="365" customFormat="1" ht="13.5" customHeight="1">
      <c r="A284" s="305"/>
      <c r="B284" s="364"/>
      <c r="C284" s="305"/>
      <c r="E284" s="366"/>
      <c r="F284" s="366"/>
      <c r="G284" s="366"/>
      <c r="H284" s="364"/>
      <c r="I284" s="366"/>
      <c r="K284" s="366"/>
      <c r="L284" s="366"/>
    </row>
    <row r="285" spans="1:12" s="365" customFormat="1" ht="13.5" customHeight="1">
      <c r="A285" s="305"/>
      <c r="B285" s="364"/>
      <c r="C285" s="305"/>
      <c r="E285" s="366"/>
      <c r="F285" s="366"/>
      <c r="G285" s="366"/>
      <c r="H285" s="364"/>
      <c r="I285" s="366"/>
      <c r="K285" s="366"/>
      <c r="L285" s="366"/>
    </row>
    <row r="286" spans="1:12" s="365" customFormat="1" ht="13.5" customHeight="1">
      <c r="A286" s="305"/>
      <c r="B286" s="364"/>
      <c r="C286" s="305"/>
      <c r="E286" s="366"/>
      <c r="F286" s="366"/>
      <c r="G286" s="366"/>
      <c r="H286" s="364"/>
      <c r="I286" s="366"/>
      <c r="K286" s="366"/>
      <c r="L286" s="366"/>
    </row>
    <row r="287" spans="1:12" s="365" customFormat="1" ht="13.5" customHeight="1">
      <c r="A287" s="305"/>
      <c r="B287" s="364"/>
      <c r="C287" s="305"/>
      <c r="E287" s="366"/>
      <c r="F287" s="366"/>
      <c r="G287" s="366"/>
      <c r="H287" s="364"/>
      <c r="I287" s="366"/>
      <c r="K287" s="366"/>
      <c r="L287" s="366"/>
    </row>
    <row r="288" spans="1:12" s="365" customFormat="1" ht="13.5" customHeight="1">
      <c r="A288" s="305"/>
      <c r="B288" s="364"/>
      <c r="C288" s="305"/>
      <c r="E288" s="366"/>
      <c r="F288" s="366"/>
      <c r="G288" s="366"/>
      <c r="H288" s="364"/>
      <c r="I288" s="366"/>
      <c r="K288" s="366"/>
      <c r="L288" s="366"/>
    </row>
    <row r="289" spans="1:12" s="365" customFormat="1" ht="13.5" customHeight="1">
      <c r="A289" s="305"/>
      <c r="B289" s="364"/>
      <c r="C289" s="305"/>
      <c r="E289" s="366"/>
      <c r="F289" s="366"/>
      <c r="G289" s="366"/>
      <c r="H289" s="364"/>
      <c r="I289" s="366"/>
      <c r="K289" s="366"/>
      <c r="L289" s="366"/>
    </row>
    <row r="290" spans="1:12" s="365" customFormat="1" ht="13.5" customHeight="1">
      <c r="A290" s="305"/>
      <c r="B290" s="364"/>
      <c r="C290" s="305"/>
      <c r="E290" s="366"/>
      <c r="F290" s="366"/>
      <c r="G290" s="366"/>
      <c r="H290" s="364"/>
      <c r="I290" s="366"/>
      <c r="K290" s="366"/>
      <c r="L290" s="366"/>
    </row>
    <row r="291" spans="1:12" s="365" customFormat="1" ht="13.5" customHeight="1">
      <c r="A291" s="305"/>
      <c r="B291" s="364"/>
      <c r="C291" s="305"/>
      <c r="E291" s="366"/>
      <c r="F291" s="366"/>
      <c r="G291" s="366"/>
      <c r="H291" s="364"/>
      <c r="I291" s="366"/>
      <c r="K291" s="366"/>
      <c r="L291" s="366"/>
    </row>
    <row r="292" spans="1:12" s="365" customFormat="1" ht="13.5" customHeight="1">
      <c r="A292" s="305"/>
      <c r="B292" s="364"/>
      <c r="C292" s="305"/>
      <c r="E292" s="366"/>
      <c r="F292" s="366"/>
      <c r="G292" s="366"/>
      <c r="H292" s="364"/>
      <c r="I292" s="366"/>
      <c r="K292" s="366"/>
      <c r="L292" s="366"/>
    </row>
    <row r="293" spans="1:12" s="365" customFormat="1" ht="13.5" customHeight="1">
      <c r="A293" s="305"/>
      <c r="B293" s="364"/>
      <c r="C293" s="305"/>
      <c r="E293" s="366"/>
      <c r="F293" s="366"/>
      <c r="G293" s="366"/>
      <c r="H293" s="364"/>
      <c r="I293" s="366"/>
      <c r="K293" s="366"/>
      <c r="L293" s="366"/>
    </row>
    <row r="294" spans="1:12" s="365" customFormat="1" ht="13.5" customHeight="1">
      <c r="A294" s="305"/>
      <c r="B294" s="364"/>
      <c r="C294" s="305"/>
      <c r="E294" s="366"/>
      <c r="F294" s="366"/>
      <c r="G294" s="366"/>
      <c r="H294" s="364"/>
      <c r="I294" s="366"/>
      <c r="K294" s="366"/>
      <c r="L294" s="366"/>
    </row>
    <row r="295" spans="1:12" s="365" customFormat="1" ht="13.5" customHeight="1">
      <c r="A295" s="305"/>
      <c r="B295" s="364"/>
      <c r="C295" s="305"/>
      <c r="E295" s="366"/>
      <c r="F295" s="366"/>
      <c r="G295" s="366"/>
      <c r="H295" s="364"/>
      <c r="I295" s="366"/>
      <c r="K295" s="366"/>
      <c r="L295" s="366"/>
    </row>
    <row r="296" spans="1:12" s="365" customFormat="1" ht="13.5" customHeight="1">
      <c r="A296" s="305"/>
      <c r="B296" s="364"/>
      <c r="C296" s="305"/>
      <c r="E296" s="366"/>
      <c r="F296" s="366"/>
      <c r="G296" s="366"/>
      <c r="H296" s="364"/>
      <c r="I296" s="366"/>
      <c r="K296" s="366"/>
      <c r="L296" s="366"/>
    </row>
    <row r="297" spans="1:12" s="365" customFormat="1" ht="13.5" customHeight="1">
      <c r="A297" s="305"/>
      <c r="B297" s="364"/>
      <c r="C297" s="305"/>
      <c r="E297" s="366"/>
      <c r="F297" s="366"/>
      <c r="G297" s="366"/>
      <c r="H297" s="364"/>
      <c r="I297" s="366"/>
      <c r="K297" s="366"/>
      <c r="L297" s="366"/>
    </row>
    <row r="298" spans="1:12" s="365" customFormat="1" ht="13.5" customHeight="1">
      <c r="A298" s="305"/>
      <c r="B298" s="364"/>
      <c r="C298" s="305"/>
      <c r="E298" s="366"/>
      <c r="F298" s="366"/>
      <c r="G298" s="366"/>
      <c r="H298" s="364"/>
      <c r="I298" s="366"/>
      <c r="K298" s="366"/>
      <c r="L298" s="366"/>
    </row>
    <row r="299" spans="1:12" s="365" customFormat="1" ht="13.5" customHeight="1">
      <c r="A299" s="305"/>
      <c r="B299" s="364"/>
      <c r="C299" s="305"/>
      <c r="E299" s="366"/>
      <c r="F299" s="366"/>
      <c r="G299" s="366"/>
      <c r="H299" s="364"/>
      <c r="I299" s="366"/>
      <c r="K299" s="366"/>
      <c r="L299" s="366"/>
    </row>
    <row r="300" spans="1:12" s="365" customFormat="1" ht="13.5" customHeight="1">
      <c r="A300" s="305"/>
      <c r="B300" s="364"/>
      <c r="C300" s="305"/>
      <c r="E300" s="366"/>
      <c r="F300" s="366"/>
      <c r="G300" s="366"/>
      <c r="H300" s="364"/>
      <c r="I300" s="366"/>
      <c r="K300" s="366"/>
      <c r="L300" s="366"/>
    </row>
    <row r="301" spans="1:12" s="365" customFormat="1" ht="13.5" customHeight="1">
      <c r="A301" s="305"/>
      <c r="B301" s="364"/>
      <c r="C301" s="305"/>
      <c r="E301" s="366"/>
      <c r="F301" s="366"/>
      <c r="G301" s="366"/>
      <c r="H301" s="364"/>
      <c r="I301" s="366"/>
      <c r="K301" s="366"/>
      <c r="L301" s="366"/>
    </row>
    <row r="302" spans="1:12" s="365" customFormat="1" ht="13.5" customHeight="1">
      <c r="A302" s="305"/>
      <c r="B302" s="364"/>
      <c r="C302" s="305"/>
      <c r="E302" s="366"/>
      <c r="F302" s="366"/>
      <c r="G302" s="366"/>
      <c r="H302" s="364"/>
      <c r="I302" s="366"/>
      <c r="K302" s="366"/>
      <c r="L302" s="366"/>
    </row>
    <row r="303" spans="1:12" s="365" customFormat="1" ht="13.5" customHeight="1">
      <c r="A303" s="305"/>
      <c r="B303" s="364"/>
      <c r="C303" s="305"/>
      <c r="E303" s="366"/>
      <c r="F303" s="366"/>
      <c r="G303" s="366"/>
      <c r="H303" s="364"/>
      <c r="I303" s="366"/>
      <c r="K303" s="366"/>
      <c r="L303" s="366"/>
    </row>
    <row r="304" spans="1:12" s="365" customFormat="1" ht="13.5" customHeight="1">
      <c r="A304" s="305"/>
      <c r="B304" s="364"/>
      <c r="C304" s="305"/>
      <c r="E304" s="366"/>
      <c r="F304" s="366"/>
      <c r="G304" s="366"/>
      <c r="H304" s="364"/>
      <c r="I304" s="366"/>
      <c r="K304" s="366"/>
      <c r="L304" s="366"/>
    </row>
    <row r="305" spans="1:12" s="365" customFormat="1" ht="13.5" customHeight="1">
      <c r="A305" s="305"/>
      <c r="B305" s="364"/>
      <c r="C305" s="305"/>
      <c r="E305" s="366"/>
      <c r="F305" s="366"/>
      <c r="G305" s="366"/>
      <c r="H305" s="364"/>
      <c r="I305" s="366"/>
      <c r="K305" s="366"/>
      <c r="L305" s="366"/>
    </row>
    <row r="306" spans="1:12" s="365" customFormat="1" ht="13.5" customHeight="1">
      <c r="A306" s="305"/>
      <c r="B306" s="364"/>
      <c r="C306" s="305"/>
      <c r="E306" s="366"/>
      <c r="F306" s="366"/>
      <c r="G306" s="366"/>
      <c r="H306" s="364"/>
      <c r="I306" s="366"/>
      <c r="K306" s="366"/>
      <c r="L306" s="366"/>
    </row>
    <row r="307" spans="1:12" s="365" customFormat="1" ht="13.5" customHeight="1">
      <c r="A307" s="305"/>
      <c r="B307" s="364"/>
      <c r="C307" s="305"/>
      <c r="E307" s="366"/>
      <c r="F307" s="366"/>
      <c r="G307" s="366"/>
      <c r="H307" s="364"/>
      <c r="I307" s="366"/>
      <c r="K307" s="366"/>
      <c r="L307" s="366"/>
    </row>
    <row r="308" spans="1:12" s="365" customFormat="1" ht="13.5" customHeight="1">
      <c r="A308" s="305"/>
      <c r="B308" s="364"/>
      <c r="C308" s="305"/>
      <c r="E308" s="366"/>
      <c r="F308" s="366"/>
      <c r="G308" s="366"/>
      <c r="H308" s="364"/>
      <c r="I308" s="366"/>
      <c r="K308" s="366"/>
      <c r="L308" s="366"/>
    </row>
    <row r="309" spans="1:12" s="365" customFormat="1" ht="13.5" customHeight="1">
      <c r="A309" s="305"/>
      <c r="B309" s="364"/>
      <c r="C309" s="305"/>
      <c r="E309" s="366"/>
      <c r="F309" s="366"/>
      <c r="G309" s="366"/>
      <c r="H309" s="364"/>
      <c r="I309" s="366"/>
      <c r="K309" s="366"/>
      <c r="L309" s="366"/>
    </row>
    <row r="310" spans="1:12" s="365" customFormat="1" ht="13.5" customHeight="1">
      <c r="A310" s="305"/>
      <c r="B310" s="364"/>
      <c r="C310" s="305"/>
      <c r="E310" s="366"/>
      <c r="F310" s="366"/>
      <c r="G310" s="366"/>
      <c r="H310" s="364"/>
      <c r="I310" s="366"/>
      <c r="K310" s="366"/>
      <c r="L310" s="366"/>
    </row>
    <row r="311" spans="1:12" s="365" customFormat="1" ht="13.5" customHeight="1">
      <c r="A311" s="305"/>
      <c r="B311" s="364"/>
      <c r="C311" s="305"/>
      <c r="E311" s="366"/>
      <c r="F311" s="366"/>
      <c r="G311" s="366"/>
      <c r="H311" s="364"/>
      <c r="I311" s="366"/>
      <c r="K311" s="366"/>
      <c r="L311" s="366"/>
    </row>
    <row r="312" spans="1:12" s="365" customFormat="1" ht="13.5" customHeight="1">
      <c r="A312" s="305"/>
      <c r="B312" s="364"/>
      <c r="C312" s="305"/>
      <c r="E312" s="366"/>
      <c r="F312" s="366"/>
      <c r="G312" s="366"/>
      <c r="H312" s="364"/>
      <c r="I312" s="366"/>
      <c r="K312" s="366"/>
      <c r="L312" s="366"/>
    </row>
    <row r="313" spans="1:12" s="365" customFormat="1" ht="13.5" customHeight="1">
      <c r="A313" s="305"/>
      <c r="B313" s="364"/>
      <c r="C313" s="305"/>
      <c r="E313" s="366"/>
      <c r="F313" s="366"/>
      <c r="G313" s="366"/>
      <c r="H313" s="364"/>
      <c r="I313" s="366"/>
      <c r="K313" s="366"/>
      <c r="L313" s="366"/>
    </row>
    <row r="314" spans="1:12" s="365" customFormat="1" ht="13.5" customHeight="1">
      <c r="A314" s="305"/>
      <c r="B314" s="364"/>
      <c r="C314" s="305"/>
      <c r="E314" s="366"/>
      <c r="F314" s="366"/>
      <c r="G314" s="366"/>
      <c r="H314" s="364"/>
      <c r="I314" s="366"/>
      <c r="K314" s="366"/>
      <c r="L314" s="366"/>
    </row>
    <row r="315" spans="1:12" s="365" customFormat="1" ht="13.5" customHeight="1">
      <c r="A315" s="305"/>
      <c r="B315" s="364"/>
      <c r="C315" s="305"/>
      <c r="E315" s="366"/>
      <c r="F315" s="366"/>
      <c r="G315" s="366"/>
      <c r="H315" s="364"/>
      <c r="I315" s="366"/>
      <c r="K315" s="366"/>
      <c r="L315" s="366"/>
    </row>
    <row r="316" spans="1:12" s="365" customFormat="1" ht="13.5" customHeight="1">
      <c r="A316" s="305"/>
      <c r="B316" s="364"/>
      <c r="C316" s="305"/>
      <c r="E316" s="366"/>
      <c r="F316" s="366"/>
      <c r="G316" s="366"/>
      <c r="H316" s="364"/>
      <c r="I316" s="366"/>
      <c r="K316" s="366"/>
      <c r="L316" s="366"/>
    </row>
    <row r="317" spans="1:12" s="365" customFormat="1" ht="13.5" customHeight="1">
      <c r="A317" s="305"/>
      <c r="B317" s="364"/>
      <c r="C317" s="305"/>
      <c r="E317" s="366"/>
      <c r="F317" s="366"/>
      <c r="G317" s="366"/>
      <c r="H317" s="364"/>
      <c r="I317" s="366"/>
      <c r="K317" s="366"/>
      <c r="L317" s="366"/>
    </row>
    <row r="318" spans="1:12" s="365" customFormat="1" ht="13.5" customHeight="1">
      <c r="A318" s="305"/>
      <c r="B318" s="364"/>
      <c r="C318" s="305"/>
      <c r="E318" s="366"/>
      <c r="F318" s="366"/>
      <c r="G318" s="366"/>
      <c r="H318" s="364"/>
      <c r="I318" s="366"/>
      <c r="K318" s="366"/>
      <c r="L318" s="366"/>
    </row>
    <row r="319" spans="1:12" s="365" customFormat="1" ht="13.5" customHeight="1">
      <c r="A319" s="305"/>
      <c r="B319" s="364"/>
      <c r="C319" s="305"/>
      <c r="E319" s="366"/>
      <c r="F319" s="366"/>
      <c r="G319" s="366"/>
      <c r="H319" s="364"/>
      <c r="I319" s="366"/>
      <c r="K319" s="366"/>
      <c r="L319" s="366"/>
    </row>
    <row r="320" spans="1:12" s="365" customFormat="1" ht="13.5" customHeight="1">
      <c r="A320" s="305"/>
      <c r="B320" s="364"/>
      <c r="C320" s="305"/>
      <c r="E320" s="366"/>
      <c r="F320" s="366"/>
      <c r="G320" s="366"/>
      <c r="H320" s="364"/>
      <c r="I320" s="366"/>
      <c r="K320" s="366"/>
      <c r="L320" s="366"/>
    </row>
    <row r="321" spans="1:12" s="365" customFormat="1" ht="13.5" customHeight="1">
      <c r="A321" s="305"/>
      <c r="B321" s="364"/>
      <c r="C321" s="305"/>
      <c r="E321" s="366"/>
      <c r="F321" s="366"/>
      <c r="G321" s="366"/>
      <c r="H321" s="364"/>
      <c r="I321" s="366"/>
      <c r="K321" s="366"/>
      <c r="L321" s="366"/>
    </row>
    <row r="322" spans="1:12" s="365" customFormat="1" ht="13.5" customHeight="1">
      <c r="A322" s="305"/>
      <c r="B322" s="364"/>
      <c r="C322" s="305"/>
      <c r="E322" s="366"/>
      <c r="F322" s="366"/>
      <c r="G322" s="366"/>
      <c r="H322" s="364"/>
      <c r="I322" s="366"/>
      <c r="K322" s="366"/>
      <c r="L322" s="366"/>
    </row>
    <row r="323" spans="1:12" s="365" customFormat="1" ht="13.5" customHeight="1">
      <c r="A323" s="305"/>
      <c r="B323" s="364"/>
      <c r="C323" s="305"/>
      <c r="E323" s="366"/>
      <c r="F323" s="366"/>
      <c r="G323" s="366"/>
      <c r="H323" s="364"/>
      <c r="I323" s="366"/>
      <c r="K323" s="366"/>
      <c r="L323" s="366"/>
    </row>
    <row r="324" spans="1:12" s="365" customFormat="1" ht="13.5" customHeight="1">
      <c r="A324" s="305"/>
      <c r="B324" s="364"/>
      <c r="C324" s="305"/>
      <c r="E324" s="366"/>
      <c r="F324" s="366"/>
      <c r="G324" s="366"/>
      <c r="H324" s="364"/>
      <c r="I324" s="366"/>
      <c r="K324" s="366"/>
      <c r="L324" s="366"/>
    </row>
    <row r="325" spans="1:12" s="365" customFormat="1" ht="13.5" customHeight="1">
      <c r="A325" s="305"/>
      <c r="B325" s="364"/>
      <c r="C325" s="305"/>
      <c r="E325" s="366"/>
      <c r="F325" s="366"/>
      <c r="G325" s="366"/>
      <c r="H325" s="364"/>
      <c r="I325" s="366"/>
      <c r="K325" s="366"/>
      <c r="L325" s="366"/>
    </row>
    <row r="326" spans="1:12" s="365" customFormat="1" ht="13.5" customHeight="1">
      <c r="A326" s="305"/>
      <c r="B326" s="364"/>
      <c r="C326" s="305"/>
      <c r="E326" s="366"/>
      <c r="F326" s="366"/>
      <c r="G326" s="366"/>
      <c r="H326" s="364"/>
      <c r="I326" s="366"/>
      <c r="K326" s="366"/>
      <c r="L326" s="366"/>
    </row>
    <row r="327" spans="1:12" s="365" customFormat="1" ht="13.5" customHeight="1">
      <c r="A327" s="305"/>
      <c r="B327" s="364"/>
      <c r="C327" s="305"/>
      <c r="E327" s="366"/>
      <c r="F327" s="366"/>
      <c r="G327" s="366"/>
      <c r="H327" s="364"/>
      <c r="I327" s="366"/>
      <c r="K327" s="366"/>
      <c r="L327" s="366"/>
    </row>
    <row r="328" spans="1:12" s="365" customFormat="1" ht="13.5" customHeight="1">
      <c r="A328" s="305"/>
      <c r="B328" s="364"/>
      <c r="C328" s="305"/>
      <c r="E328" s="366"/>
      <c r="F328" s="366"/>
      <c r="G328" s="366"/>
      <c r="H328" s="364"/>
      <c r="I328" s="366"/>
      <c r="K328" s="366"/>
      <c r="L328" s="366"/>
    </row>
    <row r="329" spans="1:12" s="365" customFormat="1" ht="13.5" customHeight="1">
      <c r="A329" s="305"/>
      <c r="B329" s="364"/>
      <c r="C329" s="305"/>
      <c r="E329" s="366"/>
      <c r="F329" s="366"/>
      <c r="G329" s="366"/>
      <c r="H329" s="364"/>
      <c r="I329" s="366"/>
      <c r="K329" s="366"/>
      <c r="L329" s="366"/>
    </row>
    <row r="330" spans="1:12" s="365" customFormat="1" ht="13.5" customHeight="1">
      <c r="A330" s="305"/>
      <c r="B330" s="364"/>
      <c r="C330" s="305"/>
      <c r="E330" s="366"/>
      <c r="F330" s="366"/>
      <c r="G330" s="366"/>
      <c r="H330" s="364"/>
      <c r="I330" s="366"/>
      <c r="K330" s="366"/>
      <c r="L330" s="366"/>
    </row>
    <row r="331" spans="1:12" s="365" customFormat="1" ht="13.5" customHeight="1">
      <c r="A331" s="305"/>
      <c r="B331" s="364"/>
      <c r="C331" s="305"/>
      <c r="E331" s="366"/>
      <c r="F331" s="366"/>
      <c r="G331" s="366"/>
      <c r="H331" s="364"/>
      <c r="I331" s="366"/>
      <c r="K331" s="366"/>
      <c r="L331" s="366"/>
    </row>
    <row r="332" spans="1:12" s="365" customFormat="1" ht="13.5" customHeight="1">
      <c r="A332" s="305"/>
      <c r="B332" s="364"/>
      <c r="C332" s="305"/>
      <c r="E332" s="366"/>
      <c r="F332" s="366"/>
      <c r="G332" s="366"/>
      <c r="H332" s="364"/>
      <c r="I332" s="366"/>
      <c r="K332" s="366"/>
      <c r="L332" s="366"/>
    </row>
    <row r="333" spans="1:12" s="365" customFormat="1" ht="13.5" customHeight="1">
      <c r="A333" s="305"/>
      <c r="B333" s="364"/>
      <c r="C333" s="305"/>
      <c r="E333" s="366"/>
      <c r="F333" s="366"/>
      <c r="G333" s="366"/>
      <c r="H333" s="364"/>
      <c r="I333" s="366"/>
      <c r="K333" s="366"/>
      <c r="L333" s="366"/>
    </row>
    <row r="334" spans="1:12" s="365" customFormat="1" ht="13.5" customHeight="1">
      <c r="A334" s="305"/>
      <c r="B334" s="364"/>
      <c r="C334" s="305"/>
      <c r="E334" s="366"/>
      <c r="F334" s="366"/>
      <c r="G334" s="366"/>
      <c r="H334" s="364"/>
      <c r="I334" s="366"/>
      <c r="K334" s="366"/>
      <c r="L334" s="366"/>
    </row>
    <row r="335" spans="1:12" s="365" customFormat="1" ht="13.5" customHeight="1">
      <c r="A335" s="305"/>
      <c r="B335" s="364"/>
      <c r="C335" s="305"/>
      <c r="E335" s="366"/>
      <c r="F335" s="366"/>
      <c r="G335" s="366"/>
      <c r="H335" s="364"/>
      <c r="I335" s="366"/>
      <c r="K335" s="366"/>
      <c r="L335" s="366"/>
    </row>
    <row r="336" spans="1:12" s="365" customFormat="1" ht="13.5" customHeight="1">
      <c r="A336" s="305"/>
      <c r="B336" s="364"/>
      <c r="C336" s="305"/>
      <c r="E336" s="366"/>
      <c r="F336" s="366"/>
      <c r="G336" s="366"/>
      <c r="H336" s="364"/>
      <c r="I336" s="366"/>
      <c r="K336" s="366"/>
      <c r="L336" s="366"/>
    </row>
    <row r="337" spans="1:12" s="365" customFormat="1" ht="13.5" customHeight="1">
      <c r="A337" s="305"/>
      <c r="B337" s="364"/>
      <c r="C337" s="305"/>
      <c r="E337" s="366"/>
      <c r="F337" s="366"/>
      <c r="G337" s="366"/>
      <c r="H337" s="364"/>
      <c r="I337" s="366"/>
      <c r="K337" s="366"/>
      <c r="L337" s="366"/>
    </row>
    <row r="338" spans="1:12" s="365" customFormat="1" ht="13.5" customHeight="1">
      <c r="A338" s="305"/>
      <c r="B338" s="364"/>
      <c r="C338" s="305"/>
      <c r="E338" s="366"/>
      <c r="F338" s="366"/>
      <c r="G338" s="366"/>
      <c r="H338" s="364"/>
      <c r="I338" s="366"/>
      <c r="K338" s="366"/>
      <c r="L338" s="366"/>
    </row>
    <row r="339" spans="1:12" s="365" customFormat="1" ht="13.5" customHeight="1">
      <c r="A339" s="305"/>
      <c r="B339" s="364"/>
      <c r="C339" s="305"/>
      <c r="E339" s="366"/>
      <c r="F339" s="366"/>
      <c r="G339" s="366"/>
      <c r="H339" s="364"/>
      <c r="I339" s="366"/>
      <c r="K339" s="366"/>
      <c r="L339" s="366"/>
    </row>
    <row r="340" spans="1:12" s="365" customFormat="1" ht="13.5" customHeight="1">
      <c r="A340" s="305"/>
      <c r="B340" s="364"/>
      <c r="C340" s="305"/>
      <c r="E340" s="366"/>
      <c r="F340" s="366"/>
      <c r="G340" s="366"/>
      <c r="H340" s="364"/>
      <c r="I340" s="366"/>
      <c r="K340" s="366"/>
      <c r="L340" s="366"/>
    </row>
    <row r="341" spans="1:12" s="365" customFormat="1" ht="13.5" customHeight="1">
      <c r="A341" s="305"/>
      <c r="B341" s="364"/>
      <c r="C341" s="305"/>
      <c r="E341" s="366"/>
      <c r="F341" s="366"/>
      <c r="G341" s="366"/>
      <c r="H341" s="364"/>
      <c r="I341" s="366"/>
      <c r="K341" s="366"/>
      <c r="L341" s="366"/>
    </row>
    <row r="342" spans="1:12" s="365" customFormat="1" ht="13.5" customHeight="1">
      <c r="A342" s="305"/>
      <c r="B342" s="364"/>
      <c r="C342" s="305"/>
      <c r="E342" s="366"/>
      <c r="F342" s="366"/>
      <c r="G342" s="366"/>
      <c r="H342" s="364"/>
      <c r="I342" s="366"/>
      <c r="K342" s="366"/>
      <c r="L342" s="366"/>
    </row>
    <row r="343" spans="1:12" s="365" customFormat="1" ht="13.5" customHeight="1">
      <c r="A343" s="305"/>
      <c r="B343" s="364"/>
      <c r="C343" s="305"/>
      <c r="E343" s="366"/>
      <c r="F343" s="366"/>
      <c r="G343" s="366"/>
      <c r="H343" s="364"/>
      <c r="I343" s="366"/>
      <c r="K343" s="366"/>
      <c r="L343" s="366"/>
    </row>
    <row r="344" spans="1:12" s="365" customFormat="1" ht="13.5" customHeight="1">
      <c r="A344" s="305"/>
      <c r="B344" s="364"/>
      <c r="C344" s="305"/>
      <c r="E344" s="366"/>
      <c r="F344" s="366"/>
      <c r="G344" s="366"/>
      <c r="H344" s="364"/>
      <c r="I344" s="366"/>
      <c r="K344" s="366"/>
      <c r="L344" s="366"/>
    </row>
    <row r="345" spans="1:12" s="365" customFormat="1" ht="13.5" customHeight="1">
      <c r="A345" s="305"/>
      <c r="B345" s="364"/>
      <c r="C345" s="305"/>
      <c r="E345" s="366"/>
      <c r="F345" s="366"/>
      <c r="G345" s="366"/>
      <c r="H345" s="364"/>
      <c r="I345" s="366"/>
      <c r="K345" s="366"/>
      <c r="L345" s="366"/>
    </row>
    <row r="346" spans="1:12" s="365" customFormat="1" ht="13.5" customHeight="1">
      <c r="A346" s="305"/>
      <c r="B346" s="364"/>
      <c r="C346" s="305"/>
      <c r="E346" s="366"/>
      <c r="F346" s="366"/>
      <c r="G346" s="366"/>
      <c r="H346" s="364"/>
      <c r="I346" s="366"/>
      <c r="K346" s="366"/>
      <c r="L346" s="366"/>
    </row>
    <row r="347" spans="1:12" s="365" customFormat="1" ht="13.5" customHeight="1">
      <c r="A347" s="305"/>
      <c r="B347" s="364"/>
      <c r="C347" s="305"/>
      <c r="E347" s="366"/>
      <c r="F347" s="366"/>
      <c r="G347" s="366"/>
      <c r="H347" s="364"/>
      <c r="I347" s="366"/>
      <c r="K347" s="366"/>
      <c r="L347" s="366"/>
    </row>
    <row r="348" spans="1:12" s="365" customFormat="1" ht="13.5" customHeight="1">
      <c r="A348" s="305"/>
      <c r="B348" s="364"/>
      <c r="C348" s="305"/>
      <c r="E348" s="366"/>
      <c r="F348" s="366"/>
      <c r="G348" s="366"/>
      <c r="H348" s="364"/>
      <c r="I348" s="366"/>
      <c r="K348" s="366"/>
      <c r="L348" s="366"/>
    </row>
    <row r="349" spans="1:12" s="365" customFormat="1" ht="13.5" customHeight="1">
      <c r="A349" s="305"/>
      <c r="B349" s="364"/>
      <c r="C349" s="305"/>
      <c r="E349" s="366"/>
      <c r="F349" s="366"/>
      <c r="G349" s="366"/>
      <c r="H349" s="364"/>
      <c r="I349" s="366"/>
      <c r="K349" s="366"/>
      <c r="L349" s="366"/>
    </row>
    <row r="350" spans="1:12" s="365" customFormat="1" ht="13.5" customHeight="1">
      <c r="A350" s="305"/>
      <c r="B350" s="364"/>
      <c r="C350" s="305"/>
      <c r="E350" s="366"/>
      <c r="F350" s="366"/>
      <c r="G350" s="366"/>
      <c r="H350" s="364"/>
      <c r="I350" s="366"/>
      <c r="K350" s="366"/>
      <c r="L350" s="366"/>
    </row>
    <row r="351" spans="1:12" s="365" customFormat="1" ht="13.5" customHeight="1">
      <c r="A351" s="305"/>
      <c r="B351" s="364"/>
      <c r="C351" s="305"/>
      <c r="E351" s="366"/>
      <c r="F351" s="366"/>
      <c r="G351" s="366"/>
      <c r="H351" s="364"/>
      <c r="I351" s="366"/>
      <c r="K351" s="366"/>
      <c r="L351" s="366"/>
    </row>
    <row r="352" spans="1:12" s="365" customFormat="1" ht="13.5" customHeight="1">
      <c r="A352" s="305"/>
      <c r="B352" s="364"/>
      <c r="C352" s="305"/>
      <c r="E352" s="366"/>
      <c r="F352" s="366"/>
      <c r="G352" s="366"/>
      <c r="H352" s="364"/>
      <c r="I352" s="366"/>
      <c r="K352" s="366"/>
      <c r="L352" s="366"/>
    </row>
    <row r="353" spans="1:12" s="365" customFormat="1" ht="13.5" customHeight="1">
      <c r="A353" s="305"/>
      <c r="B353" s="364"/>
      <c r="C353" s="305"/>
      <c r="E353" s="366"/>
      <c r="F353" s="366"/>
      <c r="G353" s="366"/>
      <c r="H353" s="364"/>
      <c r="I353" s="366"/>
      <c r="K353" s="366"/>
      <c r="L353" s="366"/>
    </row>
    <row r="354" spans="1:12" s="365" customFormat="1" ht="13.5" customHeight="1">
      <c r="A354" s="305"/>
      <c r="B354" s="364"/>
      <c r="C354" s="305"/>
      <c r="E354" s="366"/>
      <c r="F354" s="366"/>
      <c r="G354" s="366"/>
      <c r="H354" s="364"/>
      <c r="I354" s="366"/>
      <c r="K354" s="366"/>
      <c r="L354" s="366"/>
    </row>
    <row r="355" spans="1:12" s="365" customFormat="1" ht="13.5" customHeight="1">
      <c r="A355" s="305"/>
      <c r="B355" s="364"/>
      <c r="C355" s="305"/>
      <c r="E355" s="366"/>
      <c r="F355" s="366"/>
      <c r="G355" s="366"/>
      <c r="H355" s="364"/>
      <c r="I355" s="366"/>
      <c r="K355" s="366"/>
      <c r="L355" s="366"/>
    </row>
    <row r="356" spans="1:12" s="365" customFormat="1" ht="13.5" customHeight="1">
      <c r="A356" s="305"/>
      <c r="B356" s="364"/>
      <c r="C356" s="305"/>
      <c r="E356" s="366"/>
      <c r="F356" s="366"/>
      <c r="G356" s="366"/>
      <c r="H356" s="364"/>
      <c r="I356" s="366"/>
      <c r="K356" s="366"/>
      <c r="L356" s="366"/>
    </row>
    <row r="357" spans="1:12" s="365" customFormat="1" ht="13.5" customHeight="1">
      <c r="A357" s="305"/>
      <c r="B357" s="364"/>
      <c r="C357" s="305"/>
      <c r="E357" s="366"/>
      <c r="F357" s="366"/>
      <c r="G357" s="366"/>
      <c r="H357" s="364"/>
      <c r="I357" s="366"/>
      <c r="K357" s="366"/>
      <c r="L357" s="366"/>
    </row>
    <row r="358" spans="1:12" s="365" customFormat="1" ht="13.5" customHeight="1">
      <c r="A358" s="305"/>
      <c r="B358" s="364"/>
      <c r="C358" s="305"/>
      <c r="E358" s="366"/>
      <c r="F358" s="366"/>
      <c r="G358" s="366"/>
      <c r="H358" s="364"/>
      <c r="I358" s="366"/>
      <c r="K358" s="366"/>
      <c r="L358" s="366"/>
    </row>
    <row r="359" spans="1:12" s="365" customFormat="1" ht="13.5" customHeight="1">
      <c r="A359" s="305"/>
      <c r="B359" s="364"/>
      <c r="C359" s="305"/>
      <c r="E359" s="366"/>
      <c r="F359" s="366"/>
      <c r="G359" s="366"/>
      <c r="H359" s="364"/>
      <c r="I359" s="366"/>
      <c r="K359" s="366"/>
      <c r="L359" s="366"/>
    </row>
    <row r="360" spans="1:12" s="365" customFormat="1" ht="13.5" customHeight="1">
      <c r="A360" s="305"/>
      <c r="B360" s="364"/>
      <c r="C360" s="305"/>
      <c r="E360" s="366"/>
      <c r="F360" s="366"/>
      <c r="G360" s="366"/>
      <c r="H360" s="364"/>
      <c r="I360" s="366"/>
      <c r="K360" s="366"/>
      <c r="L360" s="366"/>
    </row>
    <row r="361" spans="1:12" s="365" customFormat="1" ht="13.5" customHeight="1">
      <c r="A361" s="305"/>
      <c r="B361" s="364"/>
      <c r="C361" s="305"/>
      <c r="E361" s="366"/>
      <c r="F361" s="366"/>
      <c r="G361" s="366"/>
      <c r="H361" s="364"/>
      <c r="I361" s="366"/>
      <c r="K361" s="366"/>
      <c r="L361" s="366"/>
    </row>
    <row r="362" spans="1:12" s="365" customFormat="1" ht="13.5" customHeight="1">
      <c r="A362" s="305"/>
      <c r="B362" s="364"/>
      <c r="C362" s="305"/>
      <c r="E362" s="366"/>
      <c r="F362" s="366"/>
      <c r="G362" s="366"/>
      <c r="H362" s="364"/>
      <c r="I362" s="366"/>
      <c r="K362" s="366"/>
      <c r="L362" s="366"/>
    </row>
    <row r="363" spans="1:12" s="365" customFormat="1" ht="13.5" customHeight="1">
      <c r="A363" s="305"/>
      <c r="B363" s="364"/>
      <c r="C363" s="305"/>
      <c r="E363" s="366"/>
      <c r="F363" s="366"/>
      <c r="G363" s="366"/>
      <c r="H363" s="364"/>
      <c r="I363" s="366"/>
      <c r="K363" s="366"/>
      <c r="L363" s="366"/>
    </row>
    <row r="364" spans="1:12" s="365" customFormat="1" ht="13.5" customHeight="1">
      <c r="A364" s="305"/>
      <c r="B364" s="364"/>
      <c r="C364" s="305"/>
      <c r="E364" s="366"/>
      <c r="F364" s="366"/>
      <c r="G364" s="366"/>
      <c r="H364" s="364"/>
      <c r="I364" s="366"/>
      <c r="K364" s="366"/>
      <c r="L364" s="366"/>
    </row>
    <row r="365" spans="1:12" s="365" customFormat="1" ht="13.5" customHeight="1">
      <c r="A365" s="305"/>
      <c r="B365" s="364"/>
      <c r="C365" s="305"/>
      <c r="E365" s="366"/>
      <c r="F365" s="366"/>
      <c r="G365" s="366"/>
      <c r="H365" s="364"/>
      <c r="I365" s="366"/>
      <c r="K365" s="366"/>
      <c r="L365" s="366"/>
    </row>
    <row r="366" spans="1:12" s="365" customFormat="1" ht="13.5" customHeight="1">
      <c r="A366" s="305"/>
      <c r="B366" s="364"/>
      <c r="C366" s="305"/>
      <c r="E366" s="366"/>
      <c r="F366" s="366"/>
      <c r="G366" s="366"/>
      <c r="H366" s="364"/>
      <c r="I366" s="366"/>
      <c r="K366" s="366"/>
      <c r="L366" s="366"/>
    </row>
    <row r="367" spans="1:12" s="365" customFormat="1" ht="13.5" customHeight="1">
      <c r="A367" s="305"/>
      <c r="B367" s="364"/>
      <c r="C367" s="305"/>
      <c r="E367" s="366"/>
      <c r="F367" s="366"/>
      <c r="G367" s="366"/>
      <c r="H367" s="364"/>
      <c r="I367" s="366"/>
      <c r="K367" s="366"/>
      <c r="L367" s="366"/>
    </row>
    <row r="368" spans="1:12" s="365" customFormat="1" ht="13.5" customHeight="1">
      <c r="A368" s="305"/>
      <c r="B368" s="364"/>
      <c r="C368" s="305"/>
      <c r="E368" s="366"/>
      <c r="F368" s="366"/>
      <c r="G368" s="366"/>
      <c r="H368" s="364"/>
      <c r="I368" s="366"/>
      <c r="K368" s="366"/>
      <c r="L368" s="366"/>
    </row>
    <row r="369" spans="1:12" s="365" customFormat="1" ht="13.5" customHeight="1">
      <c r="A369" s="305"/>
      <c r="B369" s="364"/>
      <c r="C369" s="305"/>
      <c r="E369" s="366"/>
      <c r="F369" s="366"/>
      <c r="G369" s="366"/>
      <c r="H369" s="364"/>
      <c r="I369" s="366"/>
      <c r="K369" s="366"/>
      <c r="L369" s="366"/>
    </row>
    <row r="370" spans="1:12" s="365" customFormat="1" ht="13.5" customHeight="1">
      <c r="A370" s="305"/>
      <c r="B370" s="364"/>
      <c r="C370" s="305"/>
      <c r="E370" s="366"/>
      <c r="F370" s="366"/>
      <c r="G370" s="366"/>
      <c r="H370" s="364"/>
      <c r="I370" s="366"/>
      <c r="K370" s="366"/>
      <c r="L370" s="366"/>
    </row>
    <row r="371" spans="1:12" s="365" customFormat="1" ht="13.5" customHeight="1">
      <c r="A371" s="305"/>
      <c r="B371" s="364"/>
      <c r="C371" s="305"/>
      <c r="E371" s="366"/>
      <c r="F371" s="366"/>
      <c r="G371" s="366"/>
      <c r="H371" s="364"/>
      <c r="I371" s="366"/>
      <c r="K371" s="366"/>
      <c r="L371" s="366"/>
    </row>
    <row r="372" spans="1:12" s="365" customFormat="1" ht="13.5" customHeight="1">
      <c r="A372" s="305"/>
      <c r="B372" s="364"/>
      <c r="C372" s="305"/>
      <c r="E372" s="366"/>
      <c r="F372" s="366"/>
      <c r="G372" s="366"/>
      <c r="H372" s="364"/>
      <c r="I372" s="366"/>
      <c r="K372" s="366"/>
      <c r="L372" s="366"/>
    </row>
    <row r="373" spans="1:12" s="365" customFormat="1" ht="13.5" customHeight="1">
      <c r="A373" s="305"/>
      <c r="B373" s="364"/>
      <c r="C373" s="305"/>
      <c r="E373" s="366"/>
      <c r="F373" s="366"/>
      <c r="G373" s="366"/>
      <c r="H373" s="364"/>
      <c r="I373" s="366"/>
      <c r="K373" s="366"/>
      <c r="L373" s="366"/>
    </row>
    <row r="374" spans="1:12" s="365" customFormat="1" ht="13.5" customHeight="1">
      <c r="A374" s="305"/>
      <c r="B374" s="364"/>
      <c r="C374" s="305"/>
      <c r="E374" s="366"/>
      <c r="F374" s="366"/>
      <c r="G374" s="366"/>
      <c r="H374" s="364"/>
      <c r="I374" s="366"/>
      <c r="K374" s="366"/>
      <c r="L374" s="366"/>
    </row>
    <row r="375" spans="1:12" s="365" customFormat="1" ht="13.5" customHeight="1">
      <c r="A375" s="305"/>
      <c r="B375" s="364"/>
      <c r="C375" s="305"/>
      <c r="E375" s="366"/>
      <c r="F375" s="366"/>
      <c r="G375" s="366"/>
      <c r="H375" s="364"/>
      <c r="I375" s="366"/>
      <c r="K375" s="366"/>
      <c r="L375" s="366"/>
    </row>
    <row r="376" spans="1:12" s="365" customFormat="1" ht="13.5" customHeight="1">
      <c r="A376" s="305"/>
      <c r="B376" s="364"/>
      <c r="C376" s="305"/>
      <c r="E376" s="366"/>
      <c r="F376" s="366"/>
      <c r="G376" s="366"/>
      <c r="H376" s="364"/>
      <c r="I376" s="366"/>
      <c r="K376" s="366"/>
      <c r="L376" s="366"/>
    </row>
    <row r="377" spans="1:12" s="365" customFormat="1" ht="13.5" customHeight="1">
      <c r="A377" s="305"/>
      <c r="B377" s="364"/>
      <c r="C377" s="305"/>
      <c r="E377" s="366"/>
      <c r="F377" s="366"/>
      <c r="G377" s="366"/>
      <c r="H377" s="364"/>
      <c r="I377" s="366"/>
      <c r="K377" s="366"/>
      <c r="L377" s="366"/>
    </row>
    <row r="378" spans="1:12" s="365" customFormat="1" ht="13.5" customHeight="1">
      <c r="A378" s="305"/>
      <c r="B378" s="364"/>
      <c r="C378" s="305"/>
      <c r="E378" s="366"/>
      <c r="F378" s="366"/>
      <c r="G378" s="366"/>
      <c r="H378" s="364"/>
      <c r="I378" s="366"/>
      <c r="K378" s="366"/>
      <c r="L378" s="366"/>
    </row>
    <row r="379" spans="1:12" s="365" customFormat="1" ht="13.5" customHeight="1">
      <c r="A379" s="305"/>
      <c r="B379" s="364"/>
      <c r="C379" s="305"/>
      <c r="E379" s="366"/>
      <c r="F379" s="366"/>
      <c r="G379" s="366"/>
      <c r="H379" s="364"/>
      <c r="I379" s="366"/>
      <c r="K379" s="366"/>
      <c r="L379" s="366"/>
    </row>
    <row r="380" spans="1:12" s="365" customFormat="1" ht="13.5" customHeight="1">
      <c r="A380" s="305"/>
      <c r="B380" s="364"/>
      <c r="C380" s="305"/>
      <c r="E380" s="366"/>
      <c r="F380" s="366"/>
      <c r="G380" s="366"/>
      <c r="H380" s="364"/>
      <c r="I380" s="366"/>
      <c r="K380" s="366"/>
      <c r="L380" s="366"/>
    </row>
    <row r="381" spans="1:12" s="365" customFormat="1" ht="13.5" customHeight="1">
      <c r="A381" s="305"/>
      <c r="B381" s="364"/>
      <c r="C381" s="305"/>
      <c r="E381" s="366"/>
      <c r="F381" s="366"/>
      <c r="G381" s="366"/>
      <c r="H381" s="364"/>
      <c r="I381" s="366"/>
      <c r="K381" s="366"/>
      <c r="L381" s="366"/>
    </row>
    <row r="382" spans="1:12" s="365" customFormat="1" ht="13.5" customHeight="1">
      <c r="A382" s="305"/>
      <c r="B382" s="364"/>
      <c r="C382" s="305"/>
      <c r="E382" s="366"/>
      <c r="F382" s="366"/>
      <c r="G382" s="366"/>
      <c r="H382" s="364"/>
      <c r="I382" s="366"/>
      <c r="K382" s="366"/>
      <c r="L382" s="366"/>
    </row>
    <row r="383" spans="1:12" s="365" customFormat="1" ht="13.5" customHeight="1">
      <c r="A383" s="305"/>
      <c r="B383" s="364"/>
      <c r="C383" s="305"/>
      <c r="E383" s="366"/>
      <c r="F383" s="366"/>
      <c r="G383" s="366"/>
      <c r="H383" s="364"/>
      <c r="I383" s="366"/>
      <c r="K383" s="366"/>
      <c r="L383" s="366"/>
    </row>
    <row r="384" spans="1:12" s="365" customFormat="1" ht="13.5" customHeight="1">
      <c r="A384" s="305"/>
      <c r="B384" s="364"/>
      <c r="C384" s="305"/>
      <c r="E384" s="366"/>
      <c r="F384" s="366"/>
      <c r="G384" s="366"/>
      <c r="H384" s="364"/>
      <c r="I384" s="366"/>
      <c r="K384" s="366"/>
      <c r="L384" s="366"/>
    </row>
    <row r="385" spans="1:12" s="365" customFormat="1" ht="13.5" customHeight="1">
      <c r="A385" s="305"/>
      <c r="B385" s="364"/>
      <c r="C385" s="305"/>
      <c r="E385" s="366"/>
      <c r="F385" s="366"/>
      <c r="G385" s="366"/>
      <c r="H385" s="364"/>
      <c r="I385" s="366"/>
      <c r="K385" s="366"/>
      <c r="L385" s="366"/>
    </row>
    <row r="386" spans="1:12" s="365" customFormat="1" ht="13.5" customHeight="1">
      <c r="A386" s="305"/>
      <c r="B386" s="364"/>
      <c r="C386" s="305"/>
      <c r="E386" s="366"/>
      <c r="F386" s="366"/>
      <c r="G386" s="366"/>
      <c r="H386" s="364"/>
      <c r="I386" s="366"/>
      <c r="K386" s="366"/>
      <c r="L386" s="366"/>
    </row>
    <row r="387" spans="1:12" s="365" customFormat="1" ht="13.5" customHeight="1">
      <c r="A387" s="305"/>
      <c r="B387" s="364"/>
      <c r="C387" s="305"/>
      <c r="E387" s="366"/>
      <c r="F387" s="366"/>
      <c r="G387" s="366"/>
      <c r="H387" s="364"/>
      <c r="I387" s="366"/>
      <c r="K387" s="366"/>
      <c r="L387" s="366"/>
    </row>
    <row r="388" spans="1:12" s="365" customFormat="1" ht="13.5" customHeight="1">
      <c r="A388" s="305"/>
      <c r="B388" s="364"/>
      <c r="C388" s="305"/>
      <c r="E388" s="366"/>
      <c r="F388" s="366"/>
      <c r="G388" s="366"/>
      <c r="H388" s="364"/>
      <c r="I388" s="366"/>
      <c r="K388" s="366"/>
      <c r="L388" s="366"/>
    </row>
    <row r="389" spans="1:12" s="365" customFormat="1" ht="13.5" customHeight="1">
      <c r="A389" s="305"/>
      <c r="B389" s="364"/>
      <c r="C389" s="305"/>
      <c r="E389" s="366"/>
      <c r="F389" s="366"/>
      <c r="G389" s="366"/>
      <c r="H389" s="364"/>
      <c r="I389" s="366"/>
      <c r="K389" s="366"/>
      <c r="L389" s="366"/>
    </row>
    <row r="390" spans="1:12" s="365" customFormat="1" ht="13.5" customHeight="1">
      <c r="A390" s="305"/>
      <c r="B390" s="364"/>
      <c r="C390" s="305"/>
      <c r="E390" s="366"/>
      <c r="F390" s="366"/>
      <c r="G390" s="366"/>
      <c r="H390" s="364"/>
      <c r="I390" s="366"/>
      <c r="K390" s="366"/>
      <c r="L390" s="366"/>
    </row>
    <row r="391" spans="1:12" s="365" customFormat="1" ht="13.5" customHeight="1">
      <c r="A391" s="305"/>
      <c r="B391" s="364"/>
      <c r="C391" s="305"/>
      <c r="E391" s="366"/>
      <c r="F391" s="366"/>
      <c r="G391" s="366"/>
      <c r="H391" s="364"/>
      <c r="I391" s="366"/>
      <c r="K391" s="366"/>
      <c r="L391" s="366"/>
    </row>
    <row r="392" spans="1:12" s="365" customFormat="1" ht="13.5" customHeight="1">
      <c r="A392" s="305"/>
      <c r="B392" s="364"/>
      <c r="C392" s="305"/>
      <c r="E392" s="366"/>
      <c r="F392" s="366"/>
      <c r="G392" s="366"/>
      <c r="H392" s="364"/>
      <c r="I392" s="366"/>
      <c r="K392" s="366"/>
      <c r="L392" s="366"/>
    </row>
    <row r="393" spans="1:12" s="365" customFormat="1" ht="13.5" customHeight="1">
      <c r="A393" s="305"/>
      <c r="B393" s="364"/>
      <c r="C393" s="305"/>
      <c r="E393" s="366"/>
      <c r="F393" s="366"/>
      <c r="G393" s="366"/>
      <c r="H393" s="364"/>
      <c r="I393" s="366"/>
      <c r="K393" s="366"/>
      <c r="L393" s="366"/>
    </row>
    <row r="394" spans="1:12" s="365" customFormat="1" ht="13.5" customHeight="1">
      <c r="A394" s="305"/>
      <c r="B394" s="364"/>
      <c r="C394" s="305"/>
      <c r="E394" s="366"/>
      <c r="F394" s="366"/>
      <c r="G394" s="366"/>
      <c r="H394" s="364"/>
      <c r="I394" s="366"/>
      <c r="K394" s="366"/>
      <c r="L394" s="366"/>
    </row>
    <row r="395" spans="1:12" s="365" customFormat="1" ht="13.5" customHeight="1">
      <c r="A395" s="305"/>
      <c r="B395" s="364"/>
      <c r="C395" s="305"/>
      <c r="E395" s="366"/>
      <c r="F395" s="366"/>
      <c r="G395" s="366"/>
      <c r="H395" s="364"/>
      <c r="I395" s="366"/>
      <c r="K395" s="366"/>
      <c r="L395" s="366"/>
    </row>
    <row r="396" spans="1:12" s="365" customFormat="1" ht="13.5" customHeight="1">
      <c r="A396" s="305"/>
      <c r="B396" s="364"/>
      <c r="C396" s="305"/>
      <c r="E396" s="366"/>
      <c r="F396" s="366"/>
      <c r="G396" s="366"/>
      <c r="H396" s="364"/>
      <c r="I396" s="366"/>
      <c r="K396" s="366"/>
      <c r="L396" s="366"/>
    </row>
    <row r="397" spans="1:12" s="365" customFormat="1" ht="13.5" customHeight="1">
      <c r="A397" s="305"/>
      <c r="B397" s="364"/>
      <c r="C397" s="305"/>
      <c r="E397" s="366"/>
      <c r="F397" s="366"/>
      <c r="G397" s="366"/>
      <c r="H397" s="364"/>
      <c r="I397" s="366"/>
      <c r="K397" s="366"/>
      <c r="L397" s="366"/>
    </row>
    <row r="398" spans="1:12" s="365" customFormat="1" ht="13.5" customHeight="1">
      <c r="A398" s="305"/>
      <c r="B398" s="364"/>
      <c r="C398" s="305"/>
      <c r="E398" s="366"/>
      <c r="F398" s="366"/>
      <c r="G398" s="366"/>
      <c r="H398" s="364"/>
      <c r="I398" s="366"/>
      <c r="K398" s="366"/>
      <c r="L398" s="366"/>
    </row>
    <row r="399" spans="1:12" s="365" customFormat="1" ht="13.5" customHeight="1">
      <c r="A399" s="305"/>
      <c r="B399" s="364"/>
      <c r="C399" s="305"/>
      <c r="E399" s="366"/>
      <c r="F399" s="366"/>
      <c r="G399" s="366"/>
      <c r="H399" s="364"/>
      <c r="I399" s="366"/>
      <c r="K399" s="366"/>
      <c r="L399" s="366"/>
    </row>
    <row r="400" spans="1:12" s="365" customFormat="1" ht="13.5" customHeight="1">
      <c r="A400" s="305"/>
      <c r="B400" s="364"/>
      <c r="C400" s="305"/>
      <c r="E400" s="366"/>
      <c r="F400" s="366"/>
      <c r="G400" s="366"/>
      <c r="H400" s="364"/>
      <c r="I400" s="366"/>
      <c r="K400" s="366"/>
      <c r="L400" s="366"/>
    </row>
    <row r="401" spans="1:12" s="365" customFormat="1" ht="13.5" customHeight="1">
      <c r="A401" s="305"/>
      <c r="B401" s="364"/>
      <c r="C401" s="305"/>
      <c r="E401" s="366"/>
      <c r="F401" s="366"/>
      <c r="G401" s="366"/>
      <c r="H401" s="364"/>
      <c r="I401" s="366"/>
      <c r="K401" s="366"/>
      <c r="L401" s="366"/>
    </row>
    <row r="402" spans="1:12" s="365" customFormat="1" ht="13.5" customHeight="1">
      <c r="A402" s="305"/>
      <c r="B402" s="364"/>
      <c r="C402" s="305"/>
      <c r="E402" s="366"/>
      <c r="F402" s="366"/>
      <c r="G402" s="366"/>
      <c r="H402" s="364"/>
      <c r="I402" s="366"/>
      <c r="K402" s="366"/>
      <c r="L402" s="366"/>
    </row>
    <row r="403" spans="1:12" s="365" customFormat="1" ht="13.5" customHeight="1">
      <c r="A403" s="305"/>
      <c r="B403" s="364"/>
      <c r="C403" s="305"/>
      <c r="E403" s="366"/>
      <c r="F403" s="366"/>
      <c r="G403" s="366"/>
      <c r="H403" s="364"/>
      <c r="I403" s="366"/>
      <c r="K403" s="366"/>
      <c r="L403" s="366"/>
    </row>
    <row r="404" spans="1:12" s="365" customFormat="1" ht="13.5" customHeight="1">
      <c r="A404" s="305"/>
      <c r="B404" s="364"/>
      <c r="C404" s="305"/>
      <c r="E404" s="366"/>
      <c r="F404" s="366"/>
      <c r="G404" s="366"/>
      <c r="H404" s="364"/>
      <c r="I404" s="366"/>
      <c r="K404" s="366"/>
      <c r="L404" s="366"/>
    </row>
    <row r="405" spans="1:12" s="365" customFormat="1" ht="13.5" customHeight="1">
      <c r="A405" s="305"/>
      <c r="B405" s="364"/>
      <c r="C405" s="305"/>
      <c r="E405" s="366"/>
      <c r="F405" s="366"/>
      <c r="G405" s="366"/>
      <c r="H405" s="364"/>
      <c r="I405" s="366"/>
      <c r="K405" s="366"/>
      <c r="L405" s="366"/>
    </row>
    <row r="406" spans="1:12" s="365" customFormat="1" ht="13.5" customHeight="1">
      <c r="A406" s="305"/>
      <c r="B406" s="364"/>
      <c r="C406" s="305"/>
      <c r="E406" s="366"/>
      <c r="F406" s="366"/>
      <c r="G406" s="366"/>
      <c r="H406" s="364"/>
      <c r="I406" s="366"/>
      <c r="K406" s="366"/>
      <c r="L406" s="366"/>
    </row>
  </sheetData>
  <mergeCells count="16">
    <mergeCell ref="J3:J5"/>
    <mergeCell ref="K3:K5"/>
    <mergeCell ref="L3:L5"/>
    <mergeCell ref="I6:I7"/>
    <mergeCell ref="I23:I24"/>
    <mergeCell ref="C40:C41"/>
    <mergeCell ref="H1:I1"/>
    <mergeCell ref="A3:A5"/>
    <mergeCell ref="B3:B5"/>
    <mergeCell ref="C3:C5"/>
    <mergeCell ref="D3:D5"/>
    <mergeCell ref="E3:E5"/>
    <mergeCell ref="F3:F5"/>
    <mergeCell ref="G3:G5"/>
    <mergeCell ref="H3:H5"/>
    <mergeCell ref="I3:I5"/>
  </mergeCells>
  <phoneticPr fontId="4"/>
  <printOptions horizontalCentered="1" gridLinesSet="0"/>
  <pageMargins left="0.39370078740157483" right="0.39370078740157483" top="0.78740157480314965" bottom="0.51181102362204722" header="0.59055118110236227" footer="0.31496062992125984"/>
  <pageSetup paperSize="9" scale="93" fitToHeight="0" orientation="landscape" horizontalDpi="4294967292" verticalDpi="400" r:id="rId1"/>
  <headerFooter scaleWithDoc="0" alignWithMargins="0">
    <oddFooter>&amp;C&amp;"ＭＳ Ｐゴシック,標準"&amp;9( &amp;P / &amp;N )</oddFooter>
  </headerFooter>
  <rowBreaks count="4" manualBreakCount="4">
    <brk id="39" max="16383" man="1"/>
    <brk id="73" max="16383" man="1"/>
    <brk id="107"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3"/>
  <sheetViews>
    <sheetView showGridLines="0" zoomScale="90" zoomScaleNormal="90" workbookViewId="0"/>
  </sheetViews>
  <sheetFormatPr defaultColWidth="9.140625" defaultRowHeight="30" customHeight="1"/>
  <cols>
    <col min="1" max="1" width="69.28515625" style="9" customWidth="1"/>
    <col min="2" max="5" width="8" style="5" customWidth="1"/>
    <col min="6" max="16384" width="9.140625" style="5"/>
  </cols>
  <sheetData>
    <row r="1" spans="1:5" ht="30" customHeight="1">
      <c r="A1" s="1"/>
      <c r="B1" s="2"/>
      <c r="C1" s="3"/>
      <c r="D1" s="4" t="s">
        <v>0</v>
      </c>
      <c r="E1" s="2"/>
    </row>
    <row r="2" spans="1:5" ht="30" customHeight="1">
      <c r="A2" s="6"/>
    </row>
    <row r="3" spans="1:5" ht="30" customHeight="1">
      <c r="A3" s="6"/>
      <c r="D3" s="7"/>
    </row>
    <row r="4" spans="1:5" ht="30" customHeight="1">
      <c r="A4" s="6"/>
    </row>
    <row r="5" spans="1:5" ht="30" customHeight="1">
      <c r="A5" s="8" t="s">
        <v>274</v>
      </c>
    </row>
    <row r="6" spans="1:5" ht="30" customHeight="1">
      <c r="A6" s="6"/>
    </row>
    <row r="7" spans="1:5" ht="30" customHeight="1">
      <c r="A7" s="6" t="s">
        <v>275</v>
      </c>
    </row>
    <row r="8" spans="1:5" ht="30" customHeight="1">
      <c r="A8" s="6"/>
    </row>
    <row r="9" spans="1:5" ht="30" customHeight="1">
      <c r="A9" s="6"/>
    </row>
    <row r="10" spans="1:5" ht="30" customHeight="1">
      <c r="A10" s="6"/>
    </row>
    <row r="11" spans="1:5" ht="30" customHeight="1">
      <c r="A11" s="6"/>
    </row>
    <row r="12" spans="1:5" ht="30" customHeight="1">
      <c r="A12" s="6"/>
    </row>
    <row r="13" spans="1:5" ht="30" customHeight="1">
      <c r="A13" s="6"/>
    </row>
  </sheetData>
  <sheetProtection insertRows="0" deleteRows="0" sort="0" autoFilter="0"/>
  <phoneticPr fontId="4"/>
  <printOptions horizontalCentered="1"/>
  <pageMargins left="0.70866141732283472" right="0.70866141732283472" top="0.98425196850393704" bottom="0.51181102362204722" header="0.78740157480314965" footer="0.35433070866141736"/>
  <pageSetup paperSize="9" orientation="landscape" horizontalDpi="300" verticalDpi="300" r:id="rId1"/>
  <headerFooter scaleWithDoc="0" alignWithMargins="0">
    <oddFooter>&amp;C&amp;"ＭＳ Ｐゴシック,標準"&amp;9( &amp;P / &amp;N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HK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217"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365</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24時間</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24時間</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513</v>
      </c>
      <c r="GZ1" s="376" t="s">
        <v>364</v>
      </c>
      <c r="HA1" s="376"/>
      <c r="HB1" s="379"/>
      <c r="HC1" s="1276" t="s">
        <v>514</v>
      </c>
      <c r="HD1" s="381"/>
      <c r="HE1" s="382"/>
      <c r="HF1" s="381"/>
      <c r="HG1" s="1274"/>
      <c r="HH1" s="383" t="s">
        <v>277</v>
      </c>
      <c r="HI1" s="384"/>
    </row>
    <row r="2" spans="1:217"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217" ht="20.100000000000001" customHeight="1">
      <c r="A3" s="393" t="s">
        <v>371</v>
      </c>
      <c r="B3" s="394" t="s">
        <v>372</v>
      </c>
      <c r="C3" s="395" t="s">
        <v>374</v>
      </c>
      <c r="D3" s="396" t="s">
        <v>375</v>
      </c>
      <c r="E3" s="396"/>
      <c r="F3" s="396"/>
      <c r="G3" s="396"/>
      <c r="H3" s="396"/>
      <c r="I3" s="396"/>
      <c r="J3" s="397"/>
      <c r="K3" s="398" t="s">
        <v>376</v>
      </c>
      <c r="L3" s="399"/>
      <c r="M3" s="398" t="s">
        <v>377</v>
      </c>
      <c r="N3" s="399"/>
      <c r="O3" s="400" t="s">
        <v>378</v>
      </c>
      <c r="P3" s="401"/>
      <c r="Q3" s="401"/>
      <c r="R3" s="401"/>
      <c r="S3" s="401"/>
      <c r="T3" s="401"/>
      <c r="U3" s="401"/>
      <c r="V3" s="402"/>
      <c r="W3" s="403" t="s">
        <v>379</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380</v>
      </c>
      <c r="BE3" s="394" t="s">
        <v>361</v>
      </c>
      <c r="BF3" s="395" t="s">
        <v>373</v>
      </c>
      <c r="BG3" s="407" t="s">
        <v>363</v>
      </c>
      <c r="BH3" s="407"/>
      <c r="BI3" s="407"/>
      <c r="BJ3" s="407"/>
      <c r="BK3" s="407"/>
      <c r="BL3" s="407"/>
      <c r="BM3" s="408"/>
      <c r="BN3" s="398" t="s">
        <v>381</v>
      </c>
      <c r="BO3" s="399"/>
      <c r="BP3" s="398" t="s">
        <v>377</v>
      </c>
      <c r="BQ3" s="399"/>
      <c r="BR3" s="400" t="s">
        <v>382</v>
      </c>
      <c r="BS3" s="401"/>
      <c r="BT3" s="401"/>
      <c r="BU3" s="401"/>
      <c r="BV3" s="401"/>
      <c r="BW3" s="401"/>
      <c r="BX3" s="401"/>
      <c r="BY3" s="402"/>
      <c r="BZ3" s="403" t="s">
        <v>383</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384</v>
      </c>
      <c r="DH3" s="394" t="s">
        <v>361</v>
      </c>
      <c r="DI3" s="395" t="s">
        <v>373</v>
      </c>
      <c r="DJ3" s="407" t="s">
        <v>363</v>
      </c>
      <c r="DK3" s="407"/>
      <c r="DL3" s="407"/>
      <c r="DM3" s="407"/>
      <c r="DN3" s="407"/>
      <c r="DO3" s="407"/>
      <c r="DP3" s="408"/>
      <c r="DQ3" s="398" t="s">
        <v>381</v>
      </c>
      <c r="DR3" s="399"/>
      <c r="DS3" s="398" t="s">
        <v>377</v>
      </c>
      <c r="DT3" s="399"/>
      <c r="DU3" s="400" t="s">
        <v>382</v>
      </c>
      <c r="DV3" s="401"/>
      <c r="DW3" s="401"/>
      <c r="DX3" s="401"/>
      <c r="DY3" s="401"/>
      <c r="DZ3" s="401"/>
      <c r="EA3" s="401"/>
      <c r="EB3" s="402"/>
      <c r="EC3" s="403" t="s">
        <v>383</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380</v>
      </c>
      <c r="FK3" s="394" t="s">
        <v>361</v>
      </c>
      <c r="FL3" s="395" t="s">
        <v>373</v>
      </c>
      <c r="FM3" s="407" t="s">
        <v>363</v>
      </c>
      <c r="FN3" s="407"/>
      <c r="FO3" s="407"/>
      <c r="FP3" s="407"/>
      <c r="FQ3" s="407"/>
      <c r="FR3" s="407"/>
      <c r="FS3" s="408"/>
      <c r="FT3" s="398" t="s">
        <v>381</v>
      </c>
      <c r="FU3" s="399"/>
      <c r="FV3" s="398" t="s">
        <v>385</v>
      </c>
      <c r="FW3" s="399"/>
      <c r="FX3" s="400" t="s">
        <v>386</v>
      </c>
      <c r="FY3" s="401"/>
      <c r="FZ3" s="401"/>
      <c r="GA3" s="401"/>
      <c r="GB3" s="401"/>
      <c r="GC3" s="401"/>
      <c r="GD3" s="401"/>
      <c r="GE3" s="402"/>
      <c r="GF3" s="403" t="s">
        <v>383</v>
      </c>
      <c r="GG3" s="404"/>
      <c r="GH3" s="405"/>
      <c r="GI3" s="409"/>
      <c r="GJ3" s="410" t="s">
        <v>515</v>
      </c>
      <c r="GK3" s="411"/>
      <c r="GL3" s="411"/>
      <c r="GM3" s="411"/>
      <c r="GN3" s="411"/>
      <c r="GO3" s="411"/>
      <c r="GP3" s="411"/>
      <c r="GQ3" s="411"/>
      <c r="GR3" s="412"/>
      <c r="GS3" s="413"/>
      <c r="GT3" s="410" t="s">
        <v>516</v>
      </c>
      <c r="GU3" s="411"/>
      <c r="GV3" s="411"/>
      <c r="GW3" s="411"/>
      <c r="GX3" s="411"/>
      <c r="GY3" s="411"/>
      <c r="GZ3" s="411"/>
      <c r="HA3" s="411"/>
      <c r="HB3" s="412"/>
      <c r="HC3" s="414"/>
      <c r="HD3" s="437"/>
      <c r="HE3" s="416"/>
      <c r="HF3" s="416"/>
      <c r="HG3" s="386"/>
    </row>
    <row r="4" spans="1:217" ht="20.100000000000001" customHeight="1">
      <c r="A4" s="417"/>
      <c r="B4" s="418"/>
      <c r="C4" s="419"/>
      <c r="D4" s="420"/>
      <c r="E4" s="420"/>
      <c r="F4" s="420"/>
      <c r="G4" s="420"/>
      <c r="H4" s="420"/>
      <c r="I4" s="420"/>
      <c r="J4" s="421"/>
      <c r="K4" s="422"/>
      <c r="L4" s="423"/>
      <c r="M4" s="422"/>
      <c r="N4" s="423"/>
      <c r="O4" s="424" t="s">
        <v>387</v>
      </c>
      <c r="P4" s="425"/>
      <c r="Q4" s="426" t="s">
        <v>388</v>
      </c>
      <c r="R4" s="425"/>
      <c r="S4" s="427" t="s">
        <v>389</v>
      </c>
      <c r="T4" s="428"/>
      <c r="U4" s="429" t="s">
        <v>390</v>
      </c>
      <c r="V4" s="430"/>
      <c r="W4" s="431"/>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387</v>
      </c>
      <c r="BS4" s="425"/>
      <c r="BT4" s="426" t="s">
        <v>391</v>
      </c>
      <c r="BU4" s="425"/>
      <c r="BV4" s="427" t="s">
        <v>392</v>
      </c>
      <c r="BW4" s="428"/>
      <c r="BX4" s="429" t="s">
        <v>393</v>
      </c>
      <c r="BY4" s="430"/>
      <c r="BZ4" s="431"/>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387</v>
      </c>
      <c r="DV4" s="425"/>
      <c r="DW4" s="426" t="s">
        <v>388</v>
      </c>
      <c r="DX4" s="425"/>
      <c r="DY4" s="427" t="s">
        <v>392</v>
      </c>
      <c r="DZ4" s="428"/>
      <c r="EA4" s="429" t="s">
        <v>393</v>
      </c>
      <c r="EB4" s="430"/>
      <c r="EC4" s="431"/>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387</v>
      </c>
      <c r="FY4" s="425"/>
      <c r="FZ4" s="426" t="s">
        <v>391</v>
      </c>
      <c r="GA4" s="425"/>
      <c r="GB4" s="427" t="s">
        <v>389</v>
      </c>
      <c r="GC4" s="428"/>
      <c r="GD4" s="429" t="s">
        <v>390</v>
      </c>
      <c r="GE4" s="430"/>
      <c r="GF4" s="431">
        <v>0</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row>
    <row r="5" spans="1:217" ht="24.95" customHeight="1" thickBot="1">
      <c r="A5" s="438" t="s">
        <v>395</v>
      </c>
      <c r="B5" s="439" t="s">
        <v>396</v>
      </c>
      <c r="C5" s="440" t="s">
        <v>397</v>
      </c>
      <c r="D5" s="441">
        <v>13</v>
      </c>
      <c r="E5" s="442" t="s">
        <v>398</v>
      </c>
      <c r="F5" s="443">
        <v>2.8</v>
      </c>
      <c r="G5" s="444" t="s">
        <v>399</v>
      </c>
      <c r="H5" s="445"/>
      <c r="I5" s="446">
        <v>36.4</v>
      </c>
      <c r="J5" s="447"/>
      <c r="K5" s="448">
        <v>60</v>
      </c>
      <c r="L5" s="449"/>
      <c r="M5" s="448">
        <v>20</v>
      </c>
      <c r="N5" s="449"/>
      <c r="O5" s="450" t="s">
        <v>400</v>
      </c>
      <c r="P5" s="451"/>
      <c r="Q5" s="452" t="s">
        <v>401</v>
      </c>
      <c r="R5" s="453"/>
      <c r="S5" s="454" t="s">
        <v>402</v>
      </c>
      <c r="T5" s="455"/>
      <c r="U5" s="456" t="s">
        <v>403</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395</v>
      </c>
      <c r="BE5" s="439" t="s">
        <v>362</v>
      </c>
      <c r="BF5" s="440" t="s">
        <v>278</v>
      </c>
      <c r="BG5" s="441">
        <v>13</v>
      </c>
      <c r="BH5" s="442" t="s">
        <v>398</v>
      </c>
      <c r="BI5" s="443">
        <v>2.8</v>
      </c>
      <c r="BJ5" s="444" t="s">
        <v>404</v>
      </c>
      <c r="BK5" s="445"/>
      <c r="BL5" s="446">
        <v>36.4</v>
      </c>
      <c r="BM5" s="447"/>
      <c r="BN5" s="448">
        <v>60</v>
      </c>
      <c r="BO5" s="449"/>
      <c r="BP5" s="448">
        <v>20</v>
      </c>
      <c r="BQ5" s="449"/>
      <c r="BR5" s="450" t="s">
        <v>405</v>
      </c>
      <c r="BS5" s="451"/>
      <c r="BT5" s="452" t="s">
        <v>401</v>
      </c>
      <c r="BU5" s="453"/>
      <c r="BV5" s="454" t="s">
        <v>406</v>
      </c>
      <c r="BW5" s="455"/>
      <c r="BX5" s="456" t="s">
        <v>407</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408</v>
      </c>
      <c r="DH5" s="439" t="s">
        <v>362</v>
      </c>
      <c r="DI5" s="440" t="s">
        <v>278</v>
      </c>
      <c r="DJ5" s="441">
        <v>13</v>
      </c>
      <c r="DK5" s="442" t="s">
        <v>398</v>
      </c>
      <c r="DL5" s="443">
        <v>2.8</v>
      </c>
      <c r="DM5" s="444" t="s">
        <v>404</v>
      </c>
      <c r="DN5" s="445"/>
      <c r="DO5" s="446">
        <v>36.4</v>
      </c>
      <c r="DP5" s="447"/>
      <c r="DQ5" s="448">
        <v>60</v>
      </c>
      <c r="DR5" s="449"/>
      <c r="DS5" s="448">
        <v>20</v>
      </c>
      <c r="DT5" s="449"/>
      <c r="DU5" s="450" t="s">
        <v>400</v>
      </c>
      <c r="DV5" s="451"/>
      <c r="DW5" s="452" t="s">
        <v>409</v>
      </c>
      <c r="DX5" s="453"/>
      <c r="DY5" s="454" t="s">
        <v>402</v>
      </c>
      <c r="DZ5" s="455"/>
      <c r="EA5" s="456" t="s">
        <v>407</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408</v>
      </c>
      <c r="FK5" s="439" t="s">
        <v>362</v>
      </c>
      <c r="FL5" s="440" t="s">
        <v>278</v>
      </c>
      <c r="FM5" s="441">
        <v>13</v>
      </c>
      <c r="FN5" s="442" t="s">
        <v>410</v>
      </c>
      <c r="FO5" s="443">
        <v>2.8</v>
      </c>
      <c r="FP5" s="444" t="s">
        <v>399</v>
      </c>
      <c r="FQ5" s="445"/>
      <c r="FR5" s="446">
        <v>36.4</v>
      </c>
      <c r="FS5" s="447"/>
      <c r="FT5" s="448">
        <v>60</v>
      </c>
      <c r="FU5" s="449"/>
      <c r="FV5" s="448">
        <v>20</v>
      </c>
      <c r="FW5" s="449"/>
      <c r="FX5" s="450" t="s">
        <v>411</v>
      </c>
      <c r="FY5" s="451"/>
      <c r="FZ5" s="452" t="s">
        <v>412</v>
      </c>
      <c r="GA5" s="453"/>
      <c r="GB5" s="454" t="s">
        <v>413</v>
      </c>
      <c r="GC5" s="455"/>
      <c r="GD5" s="456" t="s">
        <v>414</v>
      </c>
      <c r="GE5" s="457"/>
      <c r="GF5" s="458"/>
      <c r="GG5" s="459"/>
      <c r="GH5" s="460"/>
      <c r="GI5" s="462"/>
      <c r="GJ5" s="409"/>
      <c r="GK5" s="463" t="s">
        <v>517</v>
      </c>
      <c r="GL5" s="463"/>
      <c r="GM5" s="463"/>
      <c r="GN5" s="409" t="s">
        <v>518</v>
      </c>
      <c r="GO5" s="464"/>
      <c r="GP5" s="464"/>
      <c r="GQ5" s="464"/>
      <c r="GR5" s="409"/>
      <c r="GS5" s="409"/>
      <c r="GT5" s="413"/>
      <c r="GU5" s="463" t="s">
        <v>519</v>
      </c>
      <c r="GV5" s="463"/>
      <c r="GW5" s="463"/>
      <c r="GX5" s="409" t="s">
        <v>520</v>
      </c>
      <c r="GY5" s="464"/>
      <c r="GZ5" s="464"/>
      <c r="HA5" s="464"/>
      <c r="HB5" s="409"/>
      <c r="HC5" s="465"/>
      <c r="HD5" s="437"/>
      <c r="HE5" s="437"/>
      <c r="HF5" s="504"/>
      <c r="HG5" s="386"/>
    </row>
    <row r="6" spans="1:217" ht="20.100000000000001" customHeight="1" thickBot="1">
      <c r="A6" s="466" t="s">
        <v>415</v>
      </c>
      <c r="B6" s="467"/>
      <c r="C6" s="468" t="s">
        <v>416</v>
      </c>
      <c r="D6" s="468"/>
      <c r="E6" s="468"/>
      <c r="F6" s="469">
        <v>0</v>
      </c>
      <c r="G6" s="469"/>
      <c r="H6" s="468" t="s">
        <v>417</v>
      </c>
      <c r="I6" s="468"/>
      <c r="J6" s="468"/>
      <c r="K6" s="468"/>
      <c r="L6" s="468"/>
      <c r="M6" s="470">
        <v>0</v>
      </c>
      <c r="N6" s="470"/>
      <c r="O6" s="471"/>
      <c r="P6" s="472"/>
      <c r="Q6" s="472" t="s">
        <v>418</v>
      </c>
      <c r="R6" s="473">
        <v>0</v>
      </c>
      <c r="S6" s="473"/>
      <c r="T6" s="474"/>
      <c r="U6" s="475" t="s">
        <v>419</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29</v>
      </c>
      <c r="BC6" s="479"/>
      <c r="BD6" s="466" t="s">
        <v>415</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34</v>
      </c>
      <c r="DF6" s="481"/>
      <c r="DG6" s="466" t="s">
        <v>415</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423</v>
      </c>
      <c r="FI6" s="481"/>
      <c r="FJ6" s="466" t="s">
        <v>424</v>
      </c>
      <c r="FK6" s="467"/>
      <c r="FL6" s="468" t="s">
        <v>416</v>
      </c>
      <c r="FM6" s="468"/>
      <c r="FN6" s="468"/>
      <c r="FO6" s="469">
        <v>0</v>
      </c>
      <c r="FP6" s="469"/>
      <c r="FQ6" s="468" t="s">
        <v>417</v>
      </c>
      <c r="FR6" s="468"/>
      <c r="FS6" s="468"/>
      <c r="FT6" s="468"/>
      <c r="FU6" s="468"/>
      <c r="FV6" s="470">
        <v>0</v>
      </c>
      <c r="FW6" s="470"/>
      <c r="FX6" s="471"/>
      <c r="FY6" s="472"/>
      <c r="FZ6" s="472" t="s">
        <v>425</v>
      </c>
      <c r="GA6" s="473">
        <v>0</v>
      </c>
      <c r="GB6" s="473"/>
      <c r="GC6" s="474"/>
      <c r="GD6" s="475" t="s">
        <v>426</v>
      </c>
      <c r="GE6" s="476">
        <v>0</v>
      </c>
      <c r="GF6" s="476"/>
      <c r="GG6" s="477"/>
      <c r="GH6" s="472"/>
      <c r="GI6" s="472"/>
      <c r="GJ6" s="483"/>
      <c r="GK6" s="484" t="s">
        <v>521</v>
      </c>
      <c r="GL6" s="484"/>
      <c r="GM6" s="484"/>
      <c r="GN6" s="485">
        <v>2</v>
      </c>
      <c r="GO6" s="486"/>
      <c r="GP6" s="486"/>
      <c r="GQ6" s="486"/>
      <c r="GR6" s="483"/>
      <c r="GS6" s="483"/>
      <c r="GT6" s="413"/>
      <c r="GU6" s="484" t="s">
        <v>522</v>
      </c>
      <c r="GV6" s="484"/>
      <c r="GW6" s="484"/>
      <c r="GX6" s="485">
        <v>2</v>
      </c>
      <c r="GY6" s="413"/>
      <c r="GZ6" s="413"/>
      <c r="HA6" s="486"/>
      <c r="HB6" s="486"/>
      <c r="HC6" s="487"/>
      <c r="HD6" s="437"/>
      <c r="HE6" s="437"/>
      <c r="HF6" s="504"/>
      <c r="HG6" s="386"/>
    </row>
    <row r="7" spans="1:217"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217"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470</v>
      </c>
      <c r="GK8" s="528"/>
      <c r="GL8" s="529"/>
      <c r="GM8" s="530"/>
      <c r="GN8" s="529"/>
      <c r="GO8" s="530"/>
      <c r="GP8" s="529"/>
      <c r="GQ8" s="529"/>
      <c r="GR8" s="529"/>
      <c r="GS8" s="529"/>
      <c r="GT8" s="528" t="s">
        <v>470</v>
      </c>
      <c r="GU8" s="528"/>
      <c r="GV8" s="413"/>
      <c r="GW8" s="483"/>
      <c r="GX8" s="486"/>
      <c r="GY8" s="483"/>
      <c r="GZ8" s="486"/>
      <c r="HA8" s="530"/>
      <c r="HB8" s="530"/>
      <c r="HC8" s="530"/>
      <c r="HD8" s="437"/>
      <c r="HE8" s="437"/>
      <c r="HF8" s="1275"/>
      <c r="HG8" s="1275"/>
    </row>
    <row r="9" spans="1:217" ht="22.5" customHeight="1">
      <c r="A9" s="532" t="s">
        <v>289</v>
      </c>
      <c r="B9" s="533" t="s">
        <v>290</v>
      </c>
      <c r="C9" s="534" t="s">
        <v>291</v>
      </c>
      <c r="D9" s="534" t="s">
        <v>292</v>
      </c>
      <c r="E9" s="535" t="s">
        <v>293</v>
      </c>
      <c r="F9" s="536" t="s">
        <v>294</v>
      </c>
      <c r="G9" s="537" t="s">
        <v>295</v>
      </c>
      <c r="H9" s="538" t="s">
        <v>296</v>
      </c>
      <c r="I9" s="539" t="s">
        <v>297</v>
      </c>
      <c r="J9" s="538" t="s">
        <v>296</v>
      </c>
      <c r="K9" s="539" t="s">
        <v>297</v>
      </c>
      <c r="L9" s="538" t="s">
        <v>296</v>
      </c>
      <c r="M9" s="539" t="s">
        <v>297</v>
      </c>
      <c r="N9" s="538" t="s">
        <v>296</v>
      </c>
      <c r="O9" s="539" t="s">
        <v>297</v>
      </c>
      <c r="P9" s="538" t="s">
        <v>296</v>
      </c>
      <c r="Q9" s="539" t="s">
        <v>297</v>
      </c>
      <c r="R9" s="538" t="s">
        <v>296</v>
      </c>
      <c r="S9" s="539" t="s">
        <v>297</v>
      </c>
      <c r="T9" s="538" t="s">
        <v>296</v>
      </c>
      <c r="U9" s="539" t="s">
        <v>297</v>
      </c>
      <c r="V9" s="538" t="s">
        <v>296</v>
      </c>
      <c r="W9" s="539" t="s">
        <v>297</v>
      </c>
      <c r="X9" s="538" t="s">
        <v>296</v>
      </c>
      <c r="Y9" s="539" t="s">
        <v>297</v>
      </c>
      <c r="Z9" s="538" t="s">
        <v>296</v>
      </c>
      <c r="AA9" s="539" t="s">
        <v>297</v>
      </c>
      <c r="AB9" s="538" t="s">
        <v>296</v>
      </c>
      <c r="AC9" s="539" t="s">
        <v>297</v>
      </c>
      <c r="AD9" s="538" t="s">
        <v>296</v>
      </c>
      <c r="AE9" s="539" t="s">
        <v>297</v>
      </c>
      <c r="AF9" s="538" t="s">
        <v>296</v>
      </c>
      <c r="AG9" s="539" t="s">
        <v>297</v>
      </c>
      <c r="AH9" s="538" t="s">
        <v>296</v>
      </c>
      <c r="AI9" s="539" t="s">
        <v>297</v>
      </c>
      <c r="AJ9" s="538" t="s">
        <v>296</v>
      </c>
      <c r="AK9" s="539" t="s">
        <v>297</v>
      </c>
      <c r="AL9" s="538" t="s">
        <v>296</v>
      </c>
      <c r="AM9" s="539" t="s">
        <v>297</v>
      </c>
      <c r="AN9" s="538" t="s">
        <v>296</v>
      </c>
      <c r="AO9" s="539" t="s">
        <v>297</v>
      </c>
      <c r="AP9" s="538" t="s">
        <v>296</v>
      </c>
      <c r="AQ9" s="539" t="s">
        <v>297</v>
      </c>
      <c r="AR9" s="538" t="s">
        <v>296</v>
      </c>
      <c r="AS9" s="539" t="s">
        <v>297</v>
      </c>
      <c r="AT9" s="538" t="s">
        <v>296</v>
      </c>
      <c r="AU9" s="539" t="s">
        <v>297</v>
      </c>
      <c r="AV9" s="538" t="s">
        <v>296</v>
      </c>
      <c r="AW9" s="539" t="s">
        <v>297</v>
      </c>
      <c r="AX9" s="538" t="s">
        <v>296</v>
      </c>
      <c r="AY9" s="539" t="s">
        <v>297</v>
      </c>
      <c r="AZ9" s="538" t="s">
        <v>296</v>
      </c>
      <c r="BA9" s="539" t="s">
        <v>297</v>
      </c>
      <c r="BB9" s="540" t="s">
        <v>298</v>
      </c>
      <c r="BC9" s="503"/>
      <c r="BD9" s="532" t="s">
        <v>289</v>
      </c>
      <c r="BE9" s="533" t="s">
        <v>290</v>
      </c>
      <c r="BF9" s="534" t="s">
        <v>291</v>
      </c>
      <c r="BG9" s="534" t="s">
        <v>292</v>
      </c>
      <c r="BH9" s="535" t="s">
        <v>293</v>
      </c>
      <c r="BI9" s="536" t="s">
        <v>294</v>
      </c>
      <c r="BJ9" s="537" t="s">
        <v>295</v>
      </c>
      <c r="BK9" s="538" t="s">
        <v>296</v>
      </c>
      <c r="BL9" s="539" t="s">
        <v>297</v>
      </c>
      <c r="BM9" s="538" t="s">
        <v>296</v>
      </c>
      <c r="BN9" s="539" t="s">
        <v>297</v>
      </c>
      <c r="BO9" s="538" t="s">
        <v>296</v>
      </c>
      <c r="BP9" s="539" t="s">
        <v>297</v>
      </c>
      <c r="BQ9" s="538" t="s">
        <v>296</v>
      </c>
      <c r="BR9" s="539" t="s">
        <v>297</v>
      </c>
      <c r="BS9" s="538" t="s">
        <v>296</v>
      </c>
      <c r="BT9" s="539" t="s">
        <v>297</v>
      </c>
      <c r="BU9" s="538" t="s">
        <v>296</v>
      </c>
      <c r="BV9" s="539" t="s">
        <v>297</v>
      </c>
      <c r="BW9" s="538" t="s">
        <v>296</v>
      </c>
      <c r="BX9" s="539" t="s">
        <v>297</v>
      </c>
      <c r="BY9" s="538" t="s">
        <v>296</v>
      </c>
      <c r="BZ9" s="539" t="s">
        <v>297</v>
      </c>
      <c r="CA9" s="538" t="s">
        <v>296</v>
      </c>
      <c r="CB9" s="539" t="s">
        <v>297</v>
      </c>
      <c r="CC9" s="538" t="s">
        <v>296</v>
      </c>
      <c r="CD9" s="539" t="s">
        <v>297</v>
      </c>
      <c r="CE9" s="538" t="s">
        <v>296</v>
      </c>
      <c r="CF9" s="539" t="s">
        <v>297</v>
      </c>
      <c r="CG9" s="538" t="s">
        <v>296</v>
      </c>
      <c r="CH9" s="539" t="s">
        <v>297</v>
      </c>
      <c r="CI9" s="538" t="s">
        <v>296</v>
      </c>
      <c r="CJ9" s="539" t="s">
        <v>297</v>
      </c>
      <c r="CK9" s="538" t="s">
        <v>296</v>
      </c>
      <c r="CL9" s="539" t="s">
        <v>297</v>
      </c>
      <c r="CM9" s="538" t="s">
        <v>296</v>
      </c>
      <c r="CN9" s="539" t="s">
        <v>297</v>
      </c>
      <c r="CO9" s="538" t="s">
        <v>296</v>
      </c>
      <c r="CP9" s="539" t="s">
        <v>297</v>
      </c>
      <c r="CQ9" s="538" t="s">
        <v>296</v>
      </c>
      <c r="CR9" s="539" t="s">
        <v>297</v>
      </c>
      <c r="CS9" s="538" t="s">
        <v>296</v>
      </c>
      <c r="CT9" s="539" t="s">
        <v>297</v>
      </c>
      <c r="CU9" s="538" t="s">
        <v>296</v>
      </c>
      <c r="CV9" s="539" t="s">
        <v>297</v>
      </c>
      <c r="CW9" s="538" t="s">
        <v>296</v>
      </c>
      <c r="CX9" s="539" t="s">
        <v>297</v>
      </c>
      <c r="CY9" s="538" t="s">
        <v>296</v>
      </c>
      <c r="CZ9" s="539" t="s">
        <v>297</v>
      </c>
      <c r="DA9" s="538" t="s">
        <v>296</v>
      </c>
      <c r="DB9" s="539" t="s">
        <v>297</v>
      </c>
      <c r="DC9" s="538" t="s">
        <v>296</v>
      </c>
      <c r="DD9" s="539" t="s">
        <v>297</v>
      </c>
      <c r="DE9" s="540" t="s">
        <v>298</v>
      </c>
      <c r="DF9" s="503"/>
      <c r="DG9" s="532" t="s">
        <v>289</v>
      </c>
      <c r="DH9" s="533" t="s">
        <v>290</v>
      </c>
      <c r="DI9" s="534" t="s">
        <v>291</v>
      </c>
      <c r="DJ9" s="534" t="s">
        <v>292</v>
      </c>
      <c r="DK9" s="535" t="s">
        <v>293</v>
      </c>
      <c r="DL9" s="536" t="s">
        <v>294</v>
      </c>
      <c r="DM9" s="537" t="s">
        <v>295</v>
      </c>
      <c r="DN9" s="538" t="s">
        <v>296</v>
      </c>
      <c r="DO9" s="539" t="s">
        <v>297</v>
      </c>
      <c r="DP9" s="538" t="s">
        <v>296</v>
      </c>
      <c r="DQ9" s="539" t="s">
        <v>297</v>
      </c>
      <c r="DR9" s="538" t="s">
        <v>296</v>
      </c>
      <c r="DS9" s="539" t="s">
        <v>297</v>
      </c>
      <c r="DT9" s="538" t="s">
        <v>296</v>
      </c>
      <c r="DU9" s="539" t="s">
        <v>297</v>
      </c>
      <c r="DV9" s="538" t="s">
        <v>296</v>
      </c>
      <c r="DW9" s="539" t="s">
        <v>297</v>
      </c>
      <c r="DX9" s="538" t="s">
        <v>296</v>
      </c>
      <c r="DY9" s="539" t="s">
        <v>297</v>
      </c>
      <c r="DZ9" s="538" t="s">
        <v>296</v>
      </c>
      <c r="EA9" s="539" t="s">
        <v>297</v>
      </c>
      <c r="EB9" s="538" t="s">
        <v>296</v>
      </c>
      <c r="EC9" s="539" t="s">
        <v>297</v>
      </c>
      <c r="ED9" s="538" t="s">
        <v>296</v>
      </c>
      <c r="EE9" s="539" t="s">
        <v>297</v>
      </c>
      <c r="EF9" s="538" t="s">
        <v>296</v>
      </c>
      <c r="EG9" s="539" t="s">
        <v>297</v>
      </c>
      <c r="EH9" s="538" t="s">
        <v>296</v>
      </c>
      <c r="EI9" s="539" t="s">
        <v>297</v>
      </c>
      <c r="EJ9" s="538" t="s">
        <v>296</v>
      </c>
      <c r="EK9" s="539" t="s">
        <v>297</v>
      </c>
      <c r="EL9" s="538" t="s">
        <v>296</v>
      </c>
      <c r="EM9" s="539" t="s">
        <v>297</v>
      </c>
      <c r="EN9" s="538" t="s">
        <v>296</v>
      </c>
      <c r="EO9" s="539" t="s">
        <v>297</v>
      </c>
      <c r="EP9" s="538" t="s">
        <v>296</v>
      </c>
      <c r="EQ9" s="539" t="s">
        <v>297</v>
      </c>
      <c r="ER9" s="538" t="s">
        <v>296</v>
      </c>
      <c r="ES9" s="539" t="s">
        <v>297</v>
      </c>
      <c r="ET9" s="538" t="s">
        <v>296</v>
      </c>
      <c r="EU9" s="539" t="s">
        <v>297</v>
      </c>
      <c r="EV9" s="538" t="s">
        <v>296</v>
      </c>
      <c r="EW9" s="539" t="s">
        <v>297</v>
      </c>
      <c r="EX9" s="538" t="s">
        <v>296</v>
      </c>
      <c r="EY9" s="539" t="s">
        <v>297</v>
      </c>
      <c r="EZ9" s="538" t="s">
        <v>296</v>
      </c>
      <c r="FA9" s="539" t="s">
        <v>297</v>
      </c>
      <c r="FB9" s="538" t="s">
        <v>296</v>
      </c>
      <c r="FC9" s="539" t="s">
        <v>297</v>
      </c>
      <c r="FD9" s="538" t="s">
        <v>296</v>
      </c>
      <c r="FE9" s="539" t="s">
        <v>297</v>
      </c>
      <c r="FF9" s="538" t="s">
        <v>296</v>
      </c>
      <c r="FG9" s="539" t="s">
        <v>297</v>
      </c>
      <c r="FH9" s="540" t="s">
        <v>298</v>
      </c>
      <c r="FI9" s="541"/>
      <c r="FJ9" s="542" t="s">
        <v>289</v>
      </c>
      <c r="FK9" s="533" t="s">
        <v>290</v>
      </c>
      <c r="FL9" s="534" t="s">
        <v>291</v>
      </c>
      <c r="FM9" s="534" t="s">
        <v>292</v>
      </c>
      <c r="FN9" s="535" t="s">
        <v>293</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523</v>
      </c>
      <c r="GL9" s="529"/>
      <c r="GM9" s="530"/>
      <c r="GN9" s="529"/>
      <c r="GO9" s="549">
        <v>0.92</v>
      </c>
      <c r="GP9" s="529"/>
      <c r="GQ9" s="529"/>
      <c r="GR9" s="529"/>
      <c r="GS9" s="529"/>
      <c r="GT9" s="550"/>
      <c r="GU9" s="483" t="s">
        <v>524</v>
      </c>
      <c r="GV9" s="413"/>
      <c r="GW9" s="483"/>
      <c r="GX9" s="551">
        <v>1</v>
      </c>
      <c r="GY9" s="483"/>
      <c r="GZ9" s="486"/>
      <c r="HA9" s="530"/>
      <c r="HB9" s="530"/>
      <c r="HC9" s="530"/>
      <c r="HD9" s="437"/>
      <c r="HE9" s="437"/>
      <c r="HF9" s="1279"/>
      <c r="HG9" s="1279"/>
    </row>
    <row r="10" spans="1:217" ht="20.100000000000001" customHeight="1">
      <c r="A10" s="552"/>
      <c r="B10" s="553"/>
      <c r="C10" s="554"/>
      <c r="D10" s="555"/>
      <c r="E10" s="553"/>
      <c r="F10" s="554"/>
      <c r="G10" s="556"/>
      <c r="H10" s="557"/>
      <c r="I10" s="558"/>
      <c r="J10" s="559"/>
      <c r="K10" s="560"/>
      <c r="L10" s="559"/>
      <c r="M10" s="560"/>
      <c r="N10" s="559"/>
      <c r="O10" s="560"/>
      <c r="P10" s="559"/>
      <c r="Q10" s="560"/>
      <c r="R10" s="559"/>
      <c r="S10" s="560"/>
      <c r="T10" s="559"/>
      <c r="U10" s="560"/>
      <c r="V10" s="559"/>
      <c r="W10" s="560"/>
      <c r="X10" s="559"/>
      <c r="Y10" s="560"/>
      <c r="Z10" s="559"/>
      <c r="AA10" s="560"/>
      <c r="AB10" s="559"/>
      <c r="AC10" s="560"/>
      <c r="AD10" s="559"/>
      <c r="AE10" s="560"/>
      <c r="AF10" s="559"/>
      <c r="AG10" s="560"/>
      <c r="AH10" s="559"/>
      <c r="AI10" s="560"/>
      <c r="AJ10" s="559"/>
      <c r="AK10" s="560"/>
      <c r="AL10" s="559"/>
      <c r="AM10" s="560"/>
      <c r="AN10" s="559"/>
      <c r="AO10" s="560"/>
      <c r="AP10" s="559"/>
      <c r="AQ10" s="560"/>
      <c r="AR10" s="559"/>
      <c r="AS10" s="560"/>
      <c r="AT10" s="559"/>
      <c r="AU10" s="560"/>
      <c r="AV10" s="559"/>
      <c r="AW10" s="560"/>
      <c r="AX10" s="559"/>
      <c r="AY10" s="560"/>
      <c r="AZ10" s="559"/>
      <c r="BA10" s="560"/>
      <c r="BB10" s="561"/>
      <c r="BC10" s="562"/>
      <c r="BD10" s="552"/>
      <c r="BE10" s="553"/>
      <c r="BF10" s="554"/>
      <c r="BG10" s="555"/>
      <c r="BH10" s="553"/>
      <c r="BI10" s="554"/>
      <c r="BJ10" s="556"/>
      <c r="BK10" s="557"/>
      <c r="BL10" s="558"/>
      <c r="BM10" s="559"/>
      <c r="BN10" s="560"/>
      <c r="BO10" s="559"/>
      <c r="BP10" s="560"/>
      <c r="BQ10" s="559"/>
      <c r="BR10" s="560"/>
      <c r="BS10" s="559"/>
      <c r="BT10" s="560"/>
      <c r="BU10" s="559"/>
      <c r="BV10" s="560"/>
      <c r="BW10" s="559"/>
      <c r="BX10" s="560"/>
      <c r="BY10" s="559"/>
      <c r="BZ10" s="560"/>
      <c r="CA10" s="559"/>
      <c r="CB10" s="560"/>
      <c r="CC10" s="559"/>
      <c r="CD10" s="560"/>
      <c r="CE10" s="559"/>
      <c r="CF10" s="560"/>
      <c r="CG10" s="559"/>
      <c r="CH10" s="560"/>
      <c r="CI10" s="559"/>
      <c r="CJ10" s="560"/>
      <c r="CK10" s="559"/>
      <c r="CL10" s="560"/>
      <c r="CM10" s="559"/>
      <c r="CN10" s="560"/>
      <c r="CO10" s="559"/>
      <c r="CP10" s="560"/>
      <c r="CQ10" s="559"/>
      <c r="CR10" s="560"/>
      <c r="CS10" s="559"/>
      <c r="CT10" s="560"/>
      <c r="CU10" s="559"/>
      <c r="CV10" s="560"/>
      <c r="CW10" s="559"/>
      <c r="CX10" s="560"/>
      <c r="CY10" s="559"/>
      <c r="CZ10" s="560"/>
      <c r="DA10" s="559"/>
      <c r="DB10" s="560"/>
      <c r="DC10" s="559"/>
      <c r="DD10" s="560"/>
      <c r="DE10" s="561"/>
      <c r="DF10" s="562"/>
      <c r="DG10" s="552"/>
      <c r="DH10" s="553"/>
      <c r="DI10" s="554"/>
      <c r="DJ10" s="555"/>
      <c r="DK10" s="553"/>
      <c r="DL10" s="554"/>
      <c r="DM10" s="556"/>
      <c r="DN10" s="557"/>
      <c r="DO10" s="558"/>
      <c r="DP10" s="559"/>
      <c r="DQ10" s="560"/>
      <c r="DR10" s="559"/>
      <c r="DS10" s="560"/>
      <c r="DT10" s="559"/>
      <c r="DU10" s="560"/>
      <c r="DV10" s="559"/>
      <c r="DW10" s="560"/>
      <c r="DX10" s="559"/>
      <c r="DY10" s="560"/>
      <c r="DZ10" s="559"/>
      <c r="EA10" s="560"/>
      <c r="EB10" s="559"/>
      <c r="EC10" s="560"/>
      <c r="ED10" s="559"/>
      <c r="EE10" s="560"/>
      <c r="EF10" s="559"/>
      <c r="EG10" s="560"/>
      <c r="EH10" s="559"/>
      <c r="EI10" s="560"/>
      <c r="EJ10" s="559"/>
      <c r="EK10" s="560"/>
      <c r="EL10" s="559"/>
      <c r="EM10" s="560"/>
      <c r="EN10" s="559"/>
      <c r="EO10" s="560"/>
      <c r="EP10" s="559"/>
      <c r="EQ10" s="560"/>
      <c r="ER10" s="559"/>
      <c r="ES10" s="560"/>
      <c r="ET10" s="559"/>
      <c r="EU10" s="560"/>
      <c r="EV10" s="559"/>
      <c r="EW10" s="560"/>
      <c r="EX10" s="559"/>
      <c r="EY10" s="560"/>
      <c r="EZ10" s="559"/>
      <c r="FA10" s="560"/>
      <c r="FB10" s="559"/>
      <c r="FC10" s="560"/>
      <c r="FD10" s="559"/>
      <c r="FE10" s="560"/>
      <c r="FF10" s="559"/>
      <c r="FG10" s="560"/>
      <c r="FH10" s="561"/>
      <c r="FI10" s="563"/>
      <c r="FJ10" s="564"/>
      <c r="FK10" s="553"/>
      <c r="FL10" s="554"/>
      <c r="FM10" s="555"/>
      <c r="FN10" s="553"/>
      <c r="FO10" s="554"/>
      <c r="FP10" s="565"/>
      <c r="FQ10" s="558"/>
      <c r="FR10" s="557" t="s">
        <v>300</v>
      </c>
      <c r="FS10" s="566"/>
      <c r="FT10" s="558"/>
      <c r="FU10" s="567" t="s">
        <v>300</v>
      </c>
      <c r="FV10" s="568" t="s">
        <v>301</v>
      </c>
      <c r="FW10" s="569"/>
      <c r="FX10" s="570" t="s">
        <v>302</v>
      </c>
      <c r="FY10" s="571"/>
      <c r="FZ10" s="572" t="s">
        <v>303</v>
      </c>
      <c r="GA10" s="573"/>
      <c r="GB10" s="574" t="s">
        <v>367</v>
      </c>
      <c r="GC10" s="575"/>
      <c r="GD10" s="576" t="s">
        <v>369</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217"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304</v>
      </c>
      <c r="FS11" s="591"/>
      <c r="FT11" s="586"/>
      <c r="FU11" s="592" t="s">
        <v>304</v>
      </c>
      <c r="FV11" s="593"/>
      <c r="FW11" s="594"/>
      <c r="FX11" s="595"/>
      <c r="FY11" s="596"/>
      <c r="FZ11" s="597"/>
      <c r="GA11" s="598"/>
      <c r="GB11" s="599"/>
      <c r="GC11" s="600"/>
      <c r="GD11" s="599"/>
      <c r="GE11" s="601"/>
      <c r="GF11" s="499"/>
      <c r="GG11" s="602"/>
      <c r="GH11" s="602"/>
      <c r="GI11" s="602"/>
      <c r="GJ11" s="529"/>
      <c r="GK11" s="580" t="s">
        <v>525</v>
      </c>
      <c r="GL11" s="413"/>
      <c r="GM11" s="483"/>
      <c r="GN11" s="486"/>
      <c r="GO11" s="483"/>
      <c r="GP11" s="413"/>
      <c r="GQ11" s="529"/>
      <c r="GR11" s="529"/>
      <c r="GS11" s="529"/>
      <c r="GT11" s="548"/>
      <c r="GU11" s="580" t="s">
        <v>526</v>
      </c>
      <c r="GV11" s="413"/>
      <c r="GW11" s="483"/>
      <c r="GX11" s="486"/>
      <c r="GY11" s="483"/>
      <c r="GZ11" s="413"/>
      <c r="HA11" s="530"/>
      <c r="HB11" s="530"/>
      <c r="HC11" s="409"/>
      <c r="HD11" s="799"/>
      <c r="HE11" s="437"/>
      <c r="HF11" s="1279"/>
      <c r="HG11" s="1279"/>
    </row>
    <row r="12" spans="1:217"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304</v>
      </c>
      <c r="FS12" s="591"/>
      <c r="FT12" s="586"/>
      <c r="FU12" s="592" t="s">
        <v>304</v>
      </c>
      <c r="FV12" s="593"/>
      <c r="FW12" s="594"/>
      <c r="FX12" s="595"/>
      <c r="FY12" s="596"/>
      <c r="FZ12" s="597"/>
      <c r="GA12" s="598"/>
      <c r="GB12" s="599"/>
      <c r="GC12" s="600"/>
      <c r="GD12" s="599"/>
      <c r="GE12" s="601"/>
      <c r="GF12" s="499"/>
      <c r="GG12" s="602"/>
      <c r="GH12" s="602"/>
      <c r="GI12" s="602"/>
      <c r="GJ12" s="413"/>
      <c r="GK12" s="603" t="s">
        <v>380</v>
      </c>
      <c r="GL12" s="604"/>
      <c r="GM12" s="605" t="s">
        <v>527</v>
      </c>
      <c r="GN12" s="606" t="s">
        <v>528</v>
      </c>
      <c r="GO12" s="607" t="s">
        <v>529</v>
      </c>
      <c r="GP12" s="608" t="s">
        <v>530</v>
      </c>
      <c r="GQ12" s="607" t="s">
        <v>531</v>
      </c>
      <c r="GR12" s="607" t="s">
        <v>532</v>
      </c>
      <c r="GS12" s="609"/>
      <c r="GT12" s="548"/>
      <c r="GU12" s="603" t="s">
        <v>533</v>
      </c>
      <c r="GV12" s="604"/>
      <c r="GW12" s="605" t="s">
        <v>527</v>
      </c>
      <c r="GX12" s="610" t="s">
        <v>534</v>
      </c>
      <c r="GY12" s="611"/>
      <c r="GZ12" s="612" t="s">
        <v>529</v>
      </c>
      <c r="HA12" s="613" t="s">
        <v>535</v>
      </c>
      <c r="HB12" s="614"/>
      <c r="HC12" s="615"/>
      <c r="HD12" s="799"/>
      <c r="HE12" s="437"/>
      <c r="HF12" s="1279"/>
      <c r="HG12" s="1279"/>
    </row>
    <row r="13" spans="1:217"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304</v>
      </c>
      <c r="FS13" s="626"/>
      <c r="FT13" s="621"/>
      <c r="FU13" s="627" t="s">
        <v>304</v>
      </c>
      <c r="FV13" s="593"/>
      <c r="FW13" s="594"/>
      <c r="FX13" s="595"/>
      <c r="FY13" s="596"/>
      <c r="FZ13" s="597"/>
      <c r="GA13" s="598"/>
      <c r="GB13" s="599"/>
      <c r="GC13" s="600"/>
      <c r="GD13" s="599"/>
      <c r="GE13" s="601"/>
      <c r="GF13" s="499"/>
      <c r="GG13" s="602"/>
      <c r="GH13" s="602"/>
      <c r="GI13" s="602"/>
      <c r="GJ13" s="413"/>
      <c r="GK13" s="628"/>
      <c r="GL13" s="629"/>
      <c r="GM13" s="630"/>
      <c r="GN13" s="631"/>
      <c r="GO13" s="632"/>
      <c r="GP13" s="632"/>
      <c r="GQ13" s="633">
        <v>0</v>
      </c>
      <c r="GR13" s="634">
        <v>0</v>
      </c>
      <c r="GS13" s="578"/>
      <c r="GT13" s="413"/>
      <c r="GU13" s="628"/>
      <c r="GV13" s="629"/>
      <c r="GW13" s="635"/>
      <c r="GX13" s="636"/>
      <c r="GY13" s="637"/>
      <c r="GZ13" s="638"/>
      <c r="HA13" s="639">
        <v>0</v>
      </c>
      <c r="HB13" s="640"/>
      <c r="HC13" s="530"/>
      <c r="HD13" s="799"/>
      <c r="HE13" s="437"/>
      <c r="HF13" s="386"/>
      <c r="HG13" s="386"/>
    </row>
    <row r="14" spans="1:217" ht="20.100000000000001" customHeight="1">
      <c r="A14" s="641"/>
      <c r="B14" s="642"/>
      <c r="C14" s="642"/>
      <c r="D14" s="643" t="s">
        <v>305</v>
      </c>
      <c r="E14" s="642"/>
      <c r="F14" s="642"/>
      <c r="G14" s="644"/>
      <c r="H14" s="645">
        <f>SUM(H10:H13)</f>
        <v>0</v>
      </c>
      <c r="I14" s="646"/>
      <c r="J14" s="645">
        <f>SUM(J10:J13)</f>
        <v>0</v>
      </c>
      <c r="K14" s="646"/>
      <c r="L14" s="645">
        <f>SUM(L10:L13)</f>
        <v>0</v>
      </c>
      <c r="M14" s="646"/>
      <c r="N14" s="645">
        <f>SUM(N10:N13)</f>
        <v>0</v>
      </c>
      <c r="O14" s="646"/>
      <c r="P14" s="645">
        <f>SUM(P10:P13)</f>
        <v>0</v>
      </c>
      <c r="Q14" s="646"/>
      <c r="R14" s="645">
        <f>SUM(R10:R13)</f>
        <v>0</v>
      </c>
      <c r="S14" s="646"/>
      <c r="T14" s="645">
        <f>SUM(T10:T13)</f>
        <v>0</v>
      </c>
      <c r="U14" s="646"/>
      <c r="V14" s="645">
        <f>SUM(V10:V13)</f>
        <v>0</v>
      </c>
      <c r="W14" s="646"/>
      <c r="X14" s="645">
        <f>SUM(X10:X13)</f>
        <v>0</v>
      </c>
      <c r="Y14" s="646"/>
      <c r="Z14" s="645">
        <f>SUM(Z10:Z13)</f>
        <v>0</v>
      </c>
      <c r="AA14" s="646"/>
      <c r="AB14" s="645">
        <f>SUM(AB10:AB13)</f>
        <v>0</v>
      </c>
      <c r="AC14" s="646"/>
      <c r="AD14" s="645">
        <f>SUM(AD10:AD13)</f>
        <v>0</v>
      </c>
      <c r="AE14" s="646"/>
      <c r="AF14" s="645">
        <f>SUM(AF10:AF13)</f>
        <v>0</v>
      </c>
      <c r="AG14" s="646"/>
      <c r="AH14" s="645">
        <f>SUM(AH10:AH13)</f>
        <v>0</v>
      </c>
      <c r="AI14" s="646"/>
      <c r="AJ14" s="645">
        <f>SUM(AJ10:AJ13)</f>
        <v>0</v>
      </c>
      <c r="AK14" s="646"/>
      <c r="AL14" s="645">
        <f>SUM(AL10:AL13)</f>
        <v>0</v>
      </c>
      <c r="AM14" s="646"/>
      <c r="AN14" s="645">
        <f>SUM(AN10:AN13)</f>
        <v>0</v>
      </c>
      <c r="AO14" s="646"/>
      <c r="AP14" s="645">
        <f>SUM(AP10:AP13)</f>
        <v>0</v>
      </c>
      <c r="AQ14" s="646"/>
      <c r="AR14" s="645">
        <f>SUM(AR10:AR13)</f>
        <v>0</v>
      </c>
      <c r="AS14" s="646"/>
      <c r="AT14" s="645">
        <f>SUM(AT10:AT13)</f>
        <v>0</v>
      </c>
      <c r="AU14" s="646"/>
      <c r="AV14" s="645">
        <f>SUM(AV10:AV13)</f>
        <v>0</v>
      </c>
      <c r="AW14" s="646"/>
      <c r="AX14" s="645">
        <f>SUM(AX10:AX13)</f>
        <v>0</v>
      </c>
      <c r="AY14" s="646"/>
      <c r="AZ14" s="645">
        <f>SUM(AZ10:AZ13)</f>
        <v>0</v>
      </c>
      <c r="BA14" s="646"/>
      <c r="BB14" s="647">
        <f>SUM(BB10:BB13)</f>
        <v>0</v>
      </c>
      <c r="BC14" s="648"/>
      <c r="BD14" s="641"/>
      <c r="BE14" s="642"/>
      <c r="BF14" s="642"/>
      <c r="BG14" s="643" t="s">
        <v>306</v>
      </c>
      <c r="BH14" s="642"/>
      <c r="BI14" s="642"/>
      <c r="BJ14" s="644"/>
      <c r="BK14" s="645">
        <f>SUM(BK10:BK13)</f>
        <v>0</v>
      </c>
      <c r="BL14" s="646"/>
      <c r="BM14" s="645">
        <f>SUM(BM10:BM13)</f>
        <v>0</v>
      </c>
      <c r="BN14" s="646"/>
      <c r="BO14" s="645">
        <f>SUM(BO10:BO13)</f>
        <v>0</v>
      </c>
      <c r="BP14" s="646"/>
      <c r="BQ14" s="645">
        <f>SUM(BQ10:BQ13)</f>
        <v>0</v>
      </c>
      <c r="BR14" s="646"/>
      <c r="BS14" s="645">
        <f>SUM(BS10:BS13)</f>
        <v>0</v>
      </c>
      <c r="BT14" s="646"/>
      <c r="BU14" s="645">
        <f>SUM(BU10:BU13)</f>
        <v>0</v>
      </c>
      <c r="BV14" s="646"/>
      <c r="BW14" s="645">
        <f>SUM(BW10:BW13)</f>
        <v>0</v>
      </c>
      <c r="BX14" s="646"/>
      <c r="BY14" s="645">
        <f>SUM(BY10:BY13)</f>
        <v>0</v>
      </c>
      <c r="BZ14" s="646"/>
      <c r="CA14" s="645">
        <f>SUM(CA10:CA13)</f>
        <v>0</v>
      </c>
      <c r="CB14" s="646"/>
      <c r="CC14" s="645">
        <f>SUM(CC10:CC13)</f>
        <v>0</v>
      </c>
      <c r="CD14" s="646"/>
      <c r="CE14" s="645">
        <f>SUM(CE10:CE13)</f>
        <v>0</v>
      </c>
      <c r="CF14" s="646"/>
      <c r="CG14" s="645">
        <f>SUM(CG10:CG13)</f>
        <v>0</v>
      </c>
      <c r="CH14" s="646"/>
      <c r="CI14" s="645">
        <f>SUM(CI10:CI13)</f>
        <v>0</v>
      </c>
      <c r="CJ14" s="646"/>
      <c r="CK14" s="645">
        <f>SUM(CK10:CK13)</f>
        <v>0</v>
      </c>
      <c r="CL14" s="646"/>
      <c r="CM14" s="645">
        <f>SUM(CM10:CM13)</f>
        <v>0</v>
      </c>
      <c r="CN14" s="646"/>
      <c r="CO14" s="645">
        <f>SUM(CO10:CO13)</f>
        <v>0</v>
      </c>
      <c r="CP14" s="646"/>
      <c r="CQ14" s="645">
        <f>SUM(CQ10:CQ13)</f>
        <v>0</v>
      </c>
      <c r="CR14" s="646"/>
      <c r="CS14" s="645">
        <f>SUM(CS10:CS13)</f>
        <v>0</v>
      </c>
      <c r="CT14" s="646"/>
      <c r="CU14" s="645">
        <f>SUM(CU10:CU13)</f>
        <v>0</v>
      </c>
      <c r="CV14" s="646"/>
      <c r="CW14" s="645">
        <f>SUM(CW10:CW13)</f>
        <v>0</v>
      </c>
      <c r="CX14" s="646"/>
      <c r="CY14" s="645">
        <f>SUM(CY10:CY13)</f>
        <v>0</v>
      </c>
      <c r="CZ14" s="646"/>
      <c r="DA14" s="645">
        <f>SUM(DA10:DA13)</f>
        <v>0</v>
      </c>
      <c r="DB14" s="646"/>
      <c r="DC14" s="645">
        <f>SUM(DC10:DC13)</f>
        <v>0</v>
      </c>
      <c r="DD14" s="646"/>
      <c r="DE14" s="647">
        <f>SUM(DE10:DE13)</f>
        <v>0</v>
      </c>
      <c r="DF14" s="648"/>
      <c r="DG14" s="641"/>
      <c r="DH14" s="642"/>
      <c r="DI14" s="642"/>
      <c r="DJ14" s="643" t="s">
        <v>306</v>
      </c>
      <c r="DK14" s="642"/>
      <c r="DL14" s="642"/>
      <c r="DM14" s="644"/>
      <c r="DN14" s="645">
        <f>SUM(DN10:DN13)</f>
        <v>0</v>
      </c>
      <c r="DO14" s="646"/>
      <c r="DP14" s="645">
        <f>SUM(DP10:DP13)</f>
        <v>0</v>
      </c>
      <c r="DQ14" s="646"/>
      <c r="DR14" s="645">
        <f>SUM(DR10:DR13)</f>
        <v>0</v>
      </c>
      <c r="DS14" s="646"/>
      <c r="DT14" s="645">
        <f>SUM(DT10:DT13)</f>
        <v>0</v>
      </c>
      <c r="DU14" s="646"/>
      <c r="DV14" s="645">
        <f>SUM(DV10:DV13)</f>
        <v>0</v>
      </c>
      <c r="DW14" s="646"/>
      <c r="DX14" s="645">
        <f>SUM(DX10:DX13)</f>
        <v>0</v>
      </c>
      <c r="DY14" s="646"/>
      <c r="DZ14" s="645">
        <f>SUM(DZ10:DZ13)</f>
        <v>0</v>
      </c>
      <c r="EA14" s="646"/>
      <c r="EB14" s="645">
        <f>SUM(EB10:EB13)</f>
        <v>0</v>
      </c>
      <c r="EC14" s="646"/>
      <c r="ED14" s="645">
        <f>SUM(ED10:ED13)</f>
        <v>0</v>
      </c>
      <c r="EE14" s="646"/>
      <c r="EF14" s="645">
        <f>SUM(EF10:EF13)</f>
        <v>0</v>
      </c>
      <c r="EG14" s="646"/>
      <c r="EH14" s="645">
        <f>SUM(EH10:EH13)</f>
        <v>0</v>
      </c>
      <c r="EI14" s="646"/>
      <c r="EJ14" s="645">
        <f>SUM(EJ10:EJ13)</f>
        <v>0</v>
      </c>
      <c r="EK14" s="646"/>
      <c r="EL14" s="645">
        <f>SUM(EL10:EL13)</f>
        <v>0</v>
      </c>
      <c r="EM14" s="646"/>
      <c r="EN14" s="645">
        <f>SUM(EN10:EN13)</f>
        <v>0</v>
      </c>
      <c r="EO14" s="646"/>
      <c r="EP14" s="645">
        <f>SUM(EP10:EP13)</f>
        <v>0</v>
      </c>
      <c r="EQ14" s="646"/>
      <c r="ER14" s="645">
        <f>SUM(ER10:ER13)</f>
        <v>0</v>
      </c>
      <c r="ES14" s="646"/>
      <c r="ET14" s="645">
        <f>SUM(ET10:ET13)</f>
        <v>0</v>
      </c>
      <c r="EU14" s="646"/>
      <c r="EV14" s="645">
        <f>SUM(EV10:EV13)</f>
        <v>0</v>
      </c>
      <c r="EW14" s="646"/>
      <c r="EX14" s="645">
        <f>SUM(EX10:EX13)</f>
        <v>0</v>
      </c>
      <c r="EY14" s="646"/>
      <c r="EZ14" s="645">
        <f>SUM(EZ10:EZ13)</f>
        <v>0</v>
      </c>
      <c r="FA14" s="646"/>
      <c r="FB14" s="645">
        <f>SUM(FB10:FB13)</f>
        <v>0</v>
      </c>
      <c r="FC14" s="646"/>
      <c r="FD14" s="645">
        <f>SUM(FD10:FD13)</f>
        <v>0</v>
      </c>
      <c r="FE14" s="646"/>
      <c r="FF14" s="645">
        <f>SUM(FF10:FF13)</f>
        <v>0</v>
      </c>
      <c r="FG14" s="646"/>
      <c r="FH14" s="647">
        <f>SUM(FH10:FH13)</f>
        <v>0</v>
      </c>
      <c r="FI14" s="649"/>
      <c r="FJ14" s="564"/>
      <c r="FK14" s="642"/>
      <c r="FL14" s="642"/>
      <c r="FM14" s="643" t="s">
        <v>306</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c r="GV14" s="629"/>
      <c r="GW14" s="635"/>
      <c r="GX14" s="636"/>
      <c r="GY14" s="637"/>
      <c r="GZ14" s="638"/>
      <c r="HA14" s="639">
        <v>0</v>
      </c>
      <c r="HB14" s="640"/>
      <c r="HC14" s="530"/>
      <c r="HD14" s="1278"/>
      <c r="HE14" s="415"/>
      <c r="HF14" s="415"/>
      <c r="HG14" s="415"/>
    </row>
    <row r="15" spans="1:217" ht="24" customHeight="1">
      <c r="A15" s="532" t="s">
        <v>307</v>
      </c>
      <c r="B15" s="658" t="s">
        <v>290</v>
      </c>
      <c r="C15" s="659" t="s">
        <v>291</v>
      </c>
      <c r="D15" s="660" t="s">
        <v>308</v>
      </c>
      <c r="E15" s="660" t="s">
        <v>309</v>
      </c>
      <c r="F15" s="661" t="s">
        <v>310</v>
      </c>
      <c r="G15" s="662" t="s">
        <v>311</v>
      </c>
      <c r="H15" s="663" t="s">
        <v>312</v>
      </c>
      <c r="I15" s="664" t="s">
        <v>313</v>
      </c>
      <c r="J15" s="663" t="s">
        <v>314</v>
      </c>
      <c r="K15" s="664" t="s">
        <v>313</v>
      </c>
      <c r="L15" s="663" t="s">
        <v>315</v>
      </c>
      <c r="M15" s="664" t="s">
        <v>313</v>
      </c>
      <c r="N15" s="663" t="s">
        <v>315</v>
      </c>
      <c r="O15" s="664" t="s">
        <v>313</v>
      </c>
      <c r="P15" s="663" t="s">
        <v>315</v>
      </c>
      <c r="Q15" s="664" t="s">
        <v>313</v>
      </c>
      <c r="R15" s="663" t="s">
        <v>314</v>
      </c>
      <c r="S15" s="664" t="s">
        <v>313</v>
      </c>
      <c r="T15" s="663" t="s">
        <v>315</v>
      </c>
      <c r="U15" s="664" t="s">
        <v>313</v>
      </c>
      <c r="V15" s="663" t="s">
        <v>312</v>
      </c>
      <c r="W15" s="664" t="s">
        <v>313</v>
      </c>
      <c r="X15" s="663" t="s">
        <v>314</v>
      </c>
      <c r="Y15" s="664" t="s">
        <v>313</v>
      </c>
      <c r="Z15" s="663" t="s">
        <v>315</v>
      </c>
      <c r="AA15" s="664" t="s">
        <v>313</v>
      </c>
      <c r="AB15" s="663" t="s">
        <v>314</v>
      </c>
      <c r="AC15" s="664" t="s">
        <v>313</v>
      </c>
      <c r="AD15" s="663" t="s">
        <v>315</v>
      </c>
      <c r="AE15" s="664" t="s">
        <v>313</v>
      </c>
      <c r="AF15" s="663" t="s">
        <v>312</v>
      </c>
      <c r="AG15" s="664" t="s">
        <v>313</v>
      </c>
      <c r="AH15" s="663" t="s">
        <v>314</v>
      </c>
      <c r="AI15" s="664" t="s">
        <v>313</v>
      </c>
      <c r="AJ15" s="663" t="s">
        <v>314</v>
      </c>
      <c r="AK15" s="664" t="s">
        <v>313</v>
      </c>
      <c r="AL15" s="663" t="s">
        <v>315</v>
      </c>
      <c r="AM15" s="664" t="s">
        <v>313</v>
      </c>
      <c r="AN15" s="663" t="s">
        <v>312</v>
      </c>
      <c r="AO15" s="664" t="s">
        <v>313</v>
      </c>
      <c r="AP15" s="663" t="s">
        <v>312</v>
      </c>
      <c r="AQ15" s="664" t="s">
        <v>313</v>
      </c>
      <c r="AR15" s="663" t="s">
        <v>312</v>
      </c>
      <c r="AS15" s="664" t="s">
        <v>313</v>
      </c>
      <c r="AT15" s="663" t="s">
        <v>314</v>
      </c>
      <c r="AU15" s="664" t="s">
        <v>313</v>
      </c>
      <c r="AV15" s="663" t="s">
        <v>314</v>
      </c>
      <c r="AW15" s="664" t="s">
        <v>313</v>
      </c>
      <c r="AX15" s="663" t="s">
        <v>314</v>
      </c>
      <c r="AY15" s="664" t="s">
        <v>313</v>
      </c>
      <c r="AZ15" s="663" t="s">
        <v>314</v>
      </c>
      <c r="BA15" s="664" t="s">
        <v>313</v>
      </c>
      <c r="BB15" s="665" t="s">
        <v>316</v>
      </c>
      <c r="BC15" s="666"/>
      <c r="BD15" s="532" t="s">
        <v>307</v>
      </c>
      <c r="BE15" s="658" t="s">
        <v>290</v>
      </c>
      <c r="BF15" s="659" t="s">
        <v>291</v>
      </c>
      <c r="BG15" s="660" t="s">
        <v>308</v>
      </c>
      <c r="BH15" s="660" t="s">
        <v>309</v>
      </c>
      <c r="BI15" s="661" t="s">
        <v>310</v>
      </c>
      <c r="BJ15" s="662" t="s">
        <v>317</v>
      </c>
      <c r="BK15" s="663" t="s">
        <v>312</v>
      </c>
      <c r="BL15" s="664" t="s">
        <v>313</v>
      </c>
      <c r="BM15" s="663" t="s">
        <v>312</v>
      </c>
      <c r="BN15" s="664" t="s">
        <v>313</v>
      </c>
      <c r="BO15" s="663" t="s">
        <v>315</v>
      </c>
      <c r="BP15" s="664" t="s">
        <v>313</v>
      </c>
      <c r="BQ15" s="663" t="s">
        <v>314</v>
      </c>
      <c r="BR15" s="664" t="s">
        <v>313</v>
      </c>
      <c r="BS15" s="663" t="s">
        <v>312</v>
      </c>
      <c r="BT15" s="664" t="s">
        <v>313</v>
      </c>
      <c r="BU15" s="663" t="s">
        <v>312</v>
      </c>
      <c r="BV15" s="664" t="s">
        <v>313</v>
      </c>
      <c r="BW15" s="663" t="s">
        <v>314</v>
      </c>
      <c r="BX15" s="664" t="s">
        <v>313</v>
      </c>
      <c r="BY15" s="663" t="s">
        <v>312</v>
      </c>
      <c r="BZ15" s="664" t="s">
        <v>313</v>
      </c>
      <c r="CA15" s="663" t="s">
        <v>314</v>
      </c>
      <c r="CB15" s="664" t="s">
        <v>313</v>
      </c>
      <c r="CC15" s="663" t="s">
        <v>312</v>
      </c>
      <c r="CD15" s="664" t="s">
        <v>313</v>
      </c>
      <c r="CE15" s="663" t="s">
        <v>314</v>
      </c>
      <c r="CF15" s="664" t="s">
        <v>313</v>
      </c>
      <c r="CG15" s="663" t="s">
        <v>315</v>
      </c>
      <c r="CH15" s="664" t="s">
        <v>313</v>
      </c>
      <c r="CI15" s="663" t="s">
        <v>312</v>
      </c>
      <c r="CJ15" s="664" t="s">
        <v>313</v>
      </c>
      <c r="CK15" s="663" t="s">
        <v>314</v>
      </c>
      <c r="CL15" s="664" t="s">
        <v>313</v>
      </c>
      <c r="CM15" s="663" t="s">
        <v>314</v>
      </c>
      <c r="CN15" s="664" t="s">
        <v>313</v>
      </c>
      <c r="CO15" s="663" t="s">
        <v>314</v>
      </c>
      <c r="CP15" s="664" t="s">
        <v>313</v>
      </c>
      <c r="CQ15" s="663" t="s">
        <v>312</v>
      </c>
      <c r="CR15" s="664" t="s">
        <v>313</v>
      </c>
      <c r="CS15" s="663" t="s">
        <v>312</v>
      </c>
      <c r="CT15" s="664" t="s">
        <v>313</v>
      </c>
      <c r="CU15" s="663" t="s">
        <v>314</v>
      </c>
      <c r="CV15" s="664" t="s">
        <v>313</v>
      </c>
      <c r="CW15" s="663" t="s">
        <v>312</v>
      </c>
      <c r="CX15" s="664" t="s">
        <v>313</v>
      </c>
      <c r="CY15" s="663" t="s">
        <v>312</v>
      </c>
      <c r="CZ15" s="664" t="s">
        <v>313</v>
      </c>
      <c r="DA15" s="663" t="s">
        <v>314</v>
      </c>
      <c r="DB15" s="664" t="s">
        <v>313</v>
      </c>
      <c r="DC15" s="663" t="s">
        <v>314</v>
      </c>
      <c r="DD15" s="664" t="s">
        <v>313</v>
      </c>
      <c r="DE15" s="665" t="s">
        <v>316</v>
      </c>
      <c r="DF15" s="666"/>
      <c r="DG15" s="532" t="s">
        <v>307</v>
      </c>
      <c r="DH15" s="667" t="s">
        <v>290</v>
      </c>
      <c r="DI15" s="668" t="s">
        <v>291</v>
      </c>
      <c r="DJ15" s="669" t="s">
        <v>308</v>
      </c>
      <c r="DK15" s="669" t="s">
        <v>309</v>
      </c>
      <c r="DL15" s="670" t="s">
        <v>310</v>
      </c>
      <c r="DM15" s="662" t="s">
        <v>317</v>
      </c>
      <c r="DN15" s="663" t="s">
        <v>314</v>
      </c>
      <c r="DO15" s="664" t="s">
        <v>313</v>
      </c>
      <c r="DP15" s="663" t="s">
        <v>315</v>
      </c>
      <c r="DQ15" s="664" t="s">
        <v>313</v>
      </c>
      <c r="DR15" s="663" t="s">
        <v>312</v>
      </c>
      <c r="DS15" s="664" t="s">
        <v>313</v>
      </c>
      <c r="DT15" s="663" t="s">
        <v>312</v>
      </c>
      <c r="DU15" s="664" t="s">
        <v>313</v>
      </c>
      <c r="DV15" s="663" t="s">
        <v>314</v>
      </c>
      <c r="DW15" s="664" t="s">
        <v>313</v>
      </c>
      <c r="DX15" s="663" t="s">
        <v>312</v>
      </c>
      <c r="DY15" s="664" t="s">
        <v>313</v>
      </c>
      <c r="DZ15" s="663" t="s">
        <v>312</v>
      </c>
      <c r="EA15" s="664" t="s">
        <v>313</v>
      </c>
      <c r="EB15" s="663" t="s">
        <v>312</v>
      </c>
      <c r="EC15" s="664" t="s">
        <v>313</v>
      </c>
      <c r="ED15" s="663" t="s">
        <v>312</v>
      </c>
      <c r="EE15" s="664" t="s">
        <v>313</v>
      </c>
      <c r="EF15" s="663" t="s">
        <v>312</v>
      </c>
      <c r="EG15" s="664" t="s">
        <v>313</v>
      </c>
      <c r="EH15" s="663" t="s">
        <v>314</v>
      </c>
      <c r="EI15" s="664" t="s">
        <v>313</v>
      </c>
      <c r="EJ15" s="663" t="s">
        <v>314</v>
      </c>
      <c r="EK15" s="664" t="s">
        <v>313</v>
      </c>
      <c r="EL15" s="663" t="s">
        <v>312</v>
      </c>
      <c r="EM15" s="664" t="s">
        <v>313</v>
      </c>
      <c r="EN15" s="663" t="s">
        <v>315</v>
      </c>
      <c r="EO15" s="664" t="s">
        <v>313</v>
      </c>
      <c r="EP15" s="663" t="s">
        <v>312</v>
      </c>
      <c r="EQ15" s="664" t="s">
        <v>313</v>
      </c>
      <c r="ER15" s="663" t="s">
        <v>315</v>
      </c>
      <c r="ES15" s="664" t="s">
        <v>313</v>
      </c>
      <c r="ET15" s="663" t="s">
        <v>312</v>
      </c>
      <c r="EU15" s="664" t="s">
        <v>313</v>
      </c>
      <c r="EV15" s="663" t="s">
        <v>314</v>
      </c>
      <c r="EW15" s="664" t="s">
        <v>313</v>
      </c>
      <c r="EX15" s="663" t="s">
        <v>314</v>
      </c>
      <c r="EY15" s="664" t="s">
        <v>313</v>
      </c>
      <c r="EZ15" s="663" t="s">
        <v>312</v>
      </c>
      <c r="FA15" s="664" t="s">
        <v>313</v>
      </c>
      <c r="FB15" s="663" t="s">
        <v>315</v>
      </c>
      <c r="FC15" s="664" t="s">
        <v>313</v>
      </c>
      <c r="FD15" s="663" t="s">
        <v>314</v>
      </c>
      <c r="FE15" s="664" t="s">
        <v>313</v>
      </c>
      <c r="FF15" s="663" t="s">
        <v>314</v>
      </c>
      <c r="FG15" s="664" t="s">
        <v>313</v>
      </c>
      <c r="FH15" s="665" t="s">
        <v>316</v>
      </c>
      <c r="FI15" s="671"/>
      <c r="FJ15" s="542" t="s">
        <v>307</v>
      </c>
      <c r="FK15" s="658" t="s">
        <v>290</v>
      </c>
      <c r="FL15" s="659" t="s">
        <v>291</v>
      </c>
      <c r="FM15" s="660" t="s">
        <v>292</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217" ht="20.100000000000001" customHeight="1">
      <c r="A16" s="552"/>
      <c r="B16" s="554" t="s">
        <v>250</v>
      </c>
      <c r="C16" s="679"/>
      <c r="D16" s="555">
        <v>6.16</v>
      </c>
      <c r="E16" s="680">
        <v>2.35</v>
      </c>
      <c r="F16" s="681"/>
      <c r="G16" s="682">
        <v>5.5</v>
      </c>
      <c r="H16" s="559">
        <f>ROUND(6.16*2.35*5.5,0)</f>
        <v>80</v>
      </c>
      <c r="I16" s="683">
        <v>5.0999999999999996</v>
      </c>
      <c r="J16" s="559">
        <f>ROUND(6.16*2.35*5.1,0)</f>
        <v>74</v>
      </c>
      <c r="K16" s="683">
        <v>4.9000000000000004</v>
      </c>
      <c r="L16" s="559">
        <f>ROUND(6.16*2.35*4.9,0)</f>
        <v>71</v>
      </c>
      <c r="M16" s="683">
        <v>4.7</v>
      </c>
      <c r="N16" s="559">
        <f>ROUND(6.16*2.35*4.7,0)</f>
        <v>68</v>
      </c>
      <c r="O16" s="683">
        <v>4.5999999999999996</v>
      </c>
      <c r="P16" s="559">
        <f>ROUND(6.16*2.35*4.6,0)</f>
        <v>67</v>
      </c>
      <c r="Q16" s="683">
        <v>4.9000000000000004</v>
      </c>
      <c r="R16" s="559">
        <f>ROUND(6.16*2.35*4.9,0)</f>
        <v>71</v>
      </c>
      <c r="S16" s="683">
        <v>5.9</v>
      </c>
      <c r="T16" s="559">
        <f>ROUND(6.16*2.35*5.9,0)</f>
        <v>85</v>
      </c>
      <c r="U16" s="683">
        <v>7</v>
      </c>
      <c r="V16" s="559">
        <f>ROUND(6.16*2.35*7,0)</f>
        <v>101</v>
      </c>
      <c r="W16" s="683">
        <v>8.3000000000000007</v>
      </c>
      <c r="X16" s="559">
        <f>ROUND(6.16*2.35*8.3,0)</f>
        <v>120</v>
      </c>
      <c r="Y16" s="683">
        <v>9.5</v>
      </c>
      <c r="Z16" s="559">
        <f>ROUND(6.16*2.35*9.5,0)</f>
        <v>138</v>
      </c>
      <c r="AA16" s="683">
        <v>10.199999999999999</v>
      </c>
      <c r="AB16" s="559">
        <f>ROUND(6.16*2.35*10.2,0)</f>
        <v>148</v>
      </c>
      <c r="AC16" s="683">
        <v>10.7</v>
      </c>
      <c r="AD16" s="559">
        <f>ROUND(6.16*2.35*10.7,0)</f>
        <v>155</v>
      </c>
      <c r="AE16" s="683">
        <v>10.9</v>
      </c>
      <c r="AF16" s="559">
        <f>ROUND(6.16*2.35*10.9,0)</f>
        <v>158</v>
      </c>
      <c r="AG16" s="683">
        <v>10.9</v>
      </c>
      <c r="AH16" s="559">
        <f>ROUND(6.16*2.35*10.9,0)</f>
        <v>158</v>
      </c>
      <c r="AI16" s="683">
        <v>10.4</v>
      </c>
      <c r="AJ16" s="559">
        <f>ROUND(6.16*2.35*10.4,0)</f>
        <v>151</v>
      </c>
      <c r="AK16" s="683">
        <v>9.9</v>
      </c>
      <c r="AL16" s="559">
        <f>ROUND(6.16*2.35*9.9,0)</f>
        <v>143</v>
      </c>
      <c r="AM16" s="683">
        <v>9</v>
      </c>
      <c r="AN16" s="559">
        <f>ROUND(6.16*2.35*9,0)</f>
        <v>130</v>
      </c>
      <c r="AO16" s="683">
        <v>8.3000000000000007</v>
      </c>
      <c r="AP16" s="559">
        <f>ROUND(6.16*2.35*8.3,0)</f>
        <v>120</v>
      </c>
      <c r="AQ16" s="683">
        <v>7.4</v>
      </c>
      <c r="AR16" s="559">
        <f>ROUND(6.16*2.35*7.4,0)</f>
        <v>107</v>
      </c>
      <c r="AS16" s="683">
        <v>6.8</v>
      </c>
      <c r="AT16" s="559">
        <f>ROUND(6.16*2.35*6.8,0)</f>
        <v>98</v>
      </c>
      <c r="AU16" s="683">
        <v>6.5</v>
      </c>
      <c r="AV16" s="559">
        <f>ROUND(6.16*2.35*6.5,0)</f>
        <v>94</v>
      </c>
      <c r="AW16" s="683">
        <v>6.2</v>
      </c>
      <c r="AX16" s="559">
        <f>ROUND(6.16*2.35*6.2,0)</f>
        <v>90</v>
      </c>
      <c r="AY16" s="683">
        <v>5.9</v>
      </c>
      <c r="AZ16" s="559">
        <f>ROUND(6.16*2.35*5.9,0)</f>
        <v>85</v>
      </c>
      <c r="BA16" s="683">
        <v>5.8</v>
      </c>
      <c r="BB16" s="684">
        <f>ROUND(6.16*2.35*5.8,0)</f>
        <v>84</v>
      </c>
      <c r="BC16" s="562"/>
      <c r="BD16" s="552"/>
      <c r="BE16" s="554" t="s">
        <v>250</v>
      </c>
      <c r="BF16" s="679"/>
      <c r="BG16" s="555">
        <v>6.16</v>
      </c>
      <c r="BH16" s="680">
        <v>2.35</v>
      </c>
      <c r="BI16" s="681"/>
      <c r="BJ16" s="682">
        <v>4.8</v>
      </c>
      <c r="BK16" s="559">
        <f>ROUND(6.16*2.35*4.8,0)</f>
        <v>69</v>
      </c>
      <c r="BL16" s="683">
        <v>4.5</v>
      </c>
      <c r="BM16" s="559">
        <f>ROUND(6.16*2.35*4.5,0)</f>
        <v>65</v>
      </c>
      <c r="BN16" s="683">
        <v>4.3</v>
      </c>
      <c r="BO16" s="559">
        <f>ROUND(6.16*2.35*4.3,0)</f>
        <v>62</v>
      </c>
      <c r="BP16" s="683">
        <v>4.0999999999999996</v>
      </c>
      <c r="BQ16" s="559">
        <f>ROUND(6.16*2.35*4.1,0)</f>
        <v>59</v>
      </c>
      <c r="BR16" s="683">
        <v>4</v>
      </c>
      <c r="BS16" s="559">
        <f>ROUND(6.16*2.35*4,0)</f>
        <v>58</v>
      </c>
      <c r="BT16" s="683">
        <v>4.3</v>
      </c>
      <c r="BU16" s="559">
        <f>ROUND(6.16*2.35*4.3,0)</f>
        <v>62</v>
      </c>
      <c r="BV16" s="683">
        <v>5.4</v>
      </c>
      <c r="BW16" s="559">
        <f>ROUND(6.16*2.35*5.4,0)</f>
        <v>78</v>
      </c>
      <c r="BX16" s="683">
        <v>6.8</v>
      </c>
      <c r="BY16" s="559">
        <f>ROUND(6.16*2.35*6.8,0)</f>
        <v>98</v>
      </c>
      <c r="BZ16" s="683">
        <v>8.1</v>
      </c>
      <c r="CA16" s="559">
        <f>ROUND(6.16*2.35*8.1,0)</f>
        <v>117</v>
      </c>
      <c r="CB16" s="683">
        <v>9.1</v>
      </c>
      <c r="CC16" s="559">
        <f>ROUND(6.16*2.35*9.1,0)</f>
        <v>132</v>
      </c>
      <c r="CD16" s="683">
        <v>10</v>
      </c>
      <c r="CE16" s="559">
        <f>ROUND(6.16*2.35*10,0)</f>
        <v>145</v>
      </c>
      <c r="CF16" s="683">
        <v>10.4</v>
      </c>
      <c r="CG16" s="559">
        <f>ROUND(6.16*2.35*10.4,0)</f>
        <v>151</v>
      </c>
      <c r="CH16" s="683">
        <v>10.6</v>
      </c>
      <c r="CI16" s="559">
        <f>ROUND(6.16*2.35*10.6,0)</f>
        <v>153</v>
      </c>
      <c r="CJ16" s="683">
        <v>10.4</v>
      </c>
      <c r="CK16" s="559">
        <f>ROUND(6.16*2.35*10.4,0)</f>
        <v>151</v>
      </c>
      <c r="CL16" s="683">
        <v>9.9</v>
      </c>
      <c r="CM16" s="559">
        <f>ROUND(6.16*2.35*9.9,0)</f>
        <v>143</v>
      </c>
      <c r="CN16" s="683">
        <v>9.5</v>
      </c>
      <c r="CO16" s="559">
        <f>ROUND(6.16*2.35*9.5,0)</f>
        <v>138</v>
      </c>
      <c r="CP16" s="683">
        <v>9</v>
      </c>
      <c r="CQ16" s="559">
        <f>ROUND(6.16*2.35*9,0)</f>
        <v>130</v>
      </c>
      <c r="CR16" s="683">
        <v>8.1</v>
      </c>
      <c r="CS16" s="559">
        <f>ROUND(6.16*2.35*8.1,0)</f>
        <v>117</v>
      </c>
      <c r="CT16" s="683">
        <v>6.9</v>
      </c>
      <c r="CU16" s="559">
        <f>ROUND(6.16*2.35*6.9,0)</f>
        <v>100</v>
      </c>
      <c r="CV16" s="683">
        <v>6.1</v>
      </c>
      <c r="CW16" s="559">
        <f>ROUND(6.16*2.35*6.1,0)</f>
        <v>88</v>
      </c>
      <c r="CX16" s="683">
        <v>5.7</v>
      </c>
      <c r="CY16" s="559">
        <f>ROUND(6.16*2.35*5.7,0)</f>
        <v>83</v>
      </c>
      <c r="CZ16" s="683">
        <v>5.4</v>
      </c>
      <c r="DA16" s="559">
        <f>ROUND(6.16*2.35*5.4,0)</f>
        <v>78</v>
      </c>
      <c r="DB16" s="683">
        <v>5.3</v>
      </c>
      <c r="DC16" s="559">
        <f>ROUND(6.16*2.35*5.3,0)</f>
        <v>77</v>
      </c>
      <c r="DD16" s="683">
        <v>5</v>
      </c>
      <c r="DE16" s="684">
        <f>ROUND(6.16*2.35*5,0)</f>
        <v>72</v>
      </c>
      <c r="DF16" s="562"/>
      <c r="DG16" s="552"/>
      <c r="DH16" s="554" t="s">
        <v>250</v>
      </c>
      <c r="DI16" s="679"/>
      <c r="DJ16" s="555">
        <v>6.16</v>
      </c>
      <c r="DK16" s="680">
        <v>2.35</v>
      </c>
      <c r="DL16" s="681"/>
      <c r="DM16" s="682">
        <v>2.8</v>
      </c>
      <c r="DN16" s="559">
        <f>ROUND(6.16*2.35*2.8,0)</f>
        <v>41</v>
      </c>
      <c r="DO16" s="683">
        <v>2.5</v>
      </c>
      <c r="DP16" s="559">
        <f>ROUND(6.16*2.35*2.5,0)</f>
        <v>36</v>
      </c>
      <c r="DQ16" s="683">
        <v>2.2999999999999998</v>
      </c>
      <c r="DR16" s="559">
        <f>ROUND(6.16*2.35*2.3,0)</f>
        <v>33</v>
      </c>
      <c r="DS16" s="683">
        <v>2.1</v>
      </c>
      <c r="DT16" s="559">
        <f>ROUND(6.16*2.35*2.1,0)</f>
        <v>30</v>
      </c>
      <c r="DU16" s="683">
        <v>1.9</v>
      </c>
      <c r="DV16" s="559">
        <f>ROUND(6.16*2.35*1.9,0)</f>
        <v>28</v>
      </c>
      <c r="DW16" s="683">
        <v>2.1</v>
      </c>
      <c r="DX16" s="559">
        <f>ROUND(6.16*2.35*2.1,0)</f>
        <v>30</v>
      </c>
      <c r="DY16" s="683">
        <v>3</v>
      </c>
      <c r="DZ16" s="559">
        <f>ROUND(6.16*2.35*3,0)</f>
        <v>43</v>
      </c>
      <c r="EA16" s="683">
        <v>4.5</v>
      </c>
      <c r="EB16" s="559">
        <f>ROUND(6.16*2.35*4.5,0)</f>
        <v>65</v>
      </c>
      <c r="EC16" s="683">
        <v>5.8</v>
      </c>
      <c r="ED16" s="559">
        <f>ROUND(6.16*2.35*5.8,0)</f>
        <v>84</v>
      </c>
      <c r="EE16" s="683">
        <v>7.1</v>
      </c>
      <c r="EF16" s="559">
        <f>ROUND(6.16*2.35*7.1,0)</f>
        <v>103</v>
      </c>
      <c r="EG16" s="683">
        <v>7.9</v>
      </c>
      <c r="EH16" s="559">
        <f>ROUND(6.16*2.35*7.9,0)</f>
        <v>114</v>
      </c>
      <c r="EI16" s="683">
        <v>8.6</v>
      </c>
      <c r="EJ16" s="559">
        <f>ROUND(6.16*2.35*8.6,0)</f>
        <v>124</v>
      </c>
      <c r="EK16" s="683">
        <v>8.8000000000000007</v>
      </c>
      <c r="EL16" s="559">
        <f>ROUND(6.16*2.35*8.8,0)</f>
        <v>127</v>
      </c>
      <c r="EM16" s="683">
        <v>8.5</v>
      </c>
      <c r="EN16" s="559">
        <f>ROUND(6.16*2.35*8.5,0)</f>
        <v>123</v>
      </c>
      <c r="EO16" s="683">
        <v>8.1</v>
      </c>
      <c r="EP16" s="559">
        <f>ROUND(6.16*2.35*8.1,0)</f>
        <v>117</v>
      </c>
      <c r="EQ16" s="683">
        <v>7.7</v>
      </c>
      <c r="ER16" s="559">
        <f>ROUND(6.16*2.35*7.7,0)</f>
        <v>111</v>
      </c>
      <c r="ES16" s="683">
        <v>6.7</v>
      </c>
      <c r="ET16" s="559">
        <f>ROUND(6.16*2.35*6.7,0)</f>
        <v>97</v>
      </c>
      <c r="EU16" s="683">
        <v>5.7</v>
      </c>
      <c r="EV16" s="559">
        <f>ROUND(6.16*2.35*5.7,0)</f>
        <v>83</v>
      </c>
      <c r="EW16" s="683">
        <v>4.9000000000000004</v>
      </c>
      <c r="EX16" s="559">
        <f>ROUND(6.16*2.35*4.9,0)</f>
        <v>71</v>
      </c>
      <c r="EY16" s="683">
        <v>4.3</v>
      </c>
      <c r="EZ16" s="559">
        <f>ROUND(6.16*2.35*4.3,0)</f>
        <v>62</v>
      </c>
      <c r="FA16" s="683">
        <v>4</v>
      </c>
      <c r="FB16" s="559">
        <f>ROUND(6.16*2.35*4,0)</f>
        <v>58</v>
      </c>
      <c r="FC16" s="683">
        <v>3.8</v>
      </c>
      <c r="FD16" s="559">
        <f>ROUND(6.16*2.35*3.8,0)</f>
        <v>55</v>
      </c>
      <c r="FE16" s="683">
        <v>3.6</v>
      </c>
      <c r="FF16" s="559">
        <f>ROUND(6.16*2.35*3.6,0)</f>
        <v>52</v>
      </c>
      <c r="FG16" s="683">
        <v>3.2</v>
      </c>
      <c r="FH16" s="684">
        <f>ROUND(6.16*2.35*3.2,0)</f>
        <v>46</v>
      </c>
      <c r="FI16" s="563"/>
      <c r="FJ16" s="564"/>
      <c r="FK16" s="554" t="s">
        <v>250</v>
      </c>
      <c r="FL16" s="679"/>
      <c r="FM16" s="555">
        <v>6.16</v>
      </c>
      <c r="FN16" s="680">
        <v>2.35</v>
      </c>
      <c r="FO16" s="681"/>
      <c r="FP16" s="685">
        <v>5</v>
      </c>
      <c r="FQ16" s="686">
        <v>14.3</v>
      </c>
      <c r="FR16" s="559">
        <f>ROUND(6.16*2.35*14.3,0)</f>
        <v>207</v>
      </c>
      <c r="FS16" s="687">
        <v>8</v>
      </c>
      <c r="FT16" s="686">
        <v>12.6</v>
      </c>
      <c r="FU16" s="567">
        <f>ROUND(6.16*2.35*12.6,0)</f>
        <v>182</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250</v>
      </c>
      <c r="C17" s="691"/>
      <c r="D17" s="583">
        <v>16.55</v>
      </c>
      <c r="E17" s="692">
        <v>2.35</v>
      </c>
      <c r="F17" s="693"/>
      <c r="G17" s="694">
        <v>0.2</v>
      </c>
      <c r="H17" s="587">
        <f>ROUND(16.55*2.35*0.2,0)</f>
        <v>8</v>
      </c>
      <c r="I17" s="695">
        <v>0</v>
      </c>
      <c r="J17" s="587">
        <f>ROUND(16.55*2.35*0,0)</f>
        <v>0</v>
      </c>
      <c r="K17" s="695">
        <v>0</v>
      </c>
      <c r="L17" s="587">
        <f>ROUND(16.55*2.35*0,0)</f>
        <v>0</v>
      </c>
      <c r="M17" s="695">
        <v>0</v>
      </c>
      <c r="N17" s="587">
        <f>ROUND(16.55*2.35*0,0)</f>
        <v>0</v>
      </c>
      <c r="O17" s="695">
        <v>0</v>
      </c>
      <c r="P17" s="587">
        <f>ROUND(16.55*2.35*0,0)</f>
        <v>0</v>
      </c>
      <c r="Q17" s="695">
        <v>0</v>
      </c>
      <c r="R17" s="587">
        <f>ROUND(16.55*2.35*0,0)</f>
        <v>0</v>
      </c>
      <c r="S17" s="695">
        <v>0.3</v>
      </c>
      <c r="T17" s="587">
        <f>ROUND(16.55*2.35*0.3,0)</f>
        <v>12</v>
      </c>
      <c r="U17" s="695">
        <v>0.6</v>
      </c>
      <c r="V17" s="587">
        <f>ROUND(16.55*2.35*0.6,0)</f>
        <v>23</v>
      </c>
      <c r="W17" s="695">
        <v>1</v>
      </c>
      <c r="X17" s="587">
        <f>ROUND(16.55*2.35*1,0)</f>
        <v>39</v>
      </c>
      <c r="Y17" s="695">
        <v>1.3</v>
      </c>
      <c r="Z17" s="587">
        <f>ROUND(16.55*2.35*1.3,0)</f>
        <v>51</v>
      </c>
      <c r="AA17" s="695">
        <v>1.6</v>
      </c>
      <c r="AB17" s="587">
        <f>ROUND(16.55*2.35*1.6,0)</f>
        <v>62</v>
      </c>
      <c r="AC17" s="695">
        <v>1.7</v>
      </c>
      <c r="AD17" s="587">
        <f>ROUND(16.55*2.35*1.7,0)</f>
        <v>66</v>
      </c>
      <c r="AE17" s="695">
        <v>1.8</v>
      </c>
      <c r="AF17" s="587">
        <f>ROUND(16.55*2.35*1.8,0)</f>
        <v>70</v>
      </c>
      <c r="AG17" s="695">
        <v>1.8</v>
      </c>
      <c r="AH17" s="587">
        <f>ROUND(16.55*2.35*1.8,0)</f>
        <v>70</v>
      </c>
      <c r="AI17" s="695">
        <v>1.6</v>
      </c>
      <c r="AJ17" s="587">
        <f>ROUND(16.55*2.35*1.6,0)</f>
        <v>62</v>
      </c>
      <c r="AK17" s="695">
        <v>1.5</v>
      </c>
      <c r="AL17" s="587">
        <f>ROUND(16.55*2.35*1.5,0)</f>
        <v>58</v>
      </c>
      <c r="AM17" s="695">
        <v>1.2</v>
      </c>
      <c r="AN17" s="587">
        <f>ROUND(16.55*2.35*1.2,0)</f>
        <v>47</v>
      </c>
      <c r="AO17" s="695">
        <v>1</v>
      </c>
      <c r="AP17" s="587">
        <f>ROUND(16.55*2.35*1,0)</f>
        <v>39</v>
      </c>
      <c r="AQ17" s="695">
        <v>0.7</v>
      </c>
      <c r="AR17" s="587">
        <f>ROUND(16.55*2.35*0.7,0)</f>
        <v>27</v>
      </c>
      <c r="AS17" s="695">
        <v>0.5</v>
      </c>
      <c r="AT17" s="587">
        <f>ROUND(16.55*2.35*0.5,0)</f>
        <v>19</v>
      </c>
      <c r="AU17" s="695">
        <v>0.4</v>
      </c>
      <c r="AV17" s="587">
        <f>ROUND(16.55*2.35*0.4,0)</f>
        <v>16</v>
      </c>
      <c r="AW17" s="695">
        <v>0.4</v>
      </c>
      <c r="AX17" s="587">
        <f>ROUND(16.55*2.35*0.4,0)</f>
        <v>16</v>
      </c>
      <c r="AY17" s="695">
        <v>0.3</v>
      </c>
      <c r="AZ17" s="587">
        <f>ROUND(16.55*2.35*0.3,0)</f>
        <v>12</v>
      </c>
      <c r="BA17" s="695">
        <v>0.2</v>
      </c>
      <c r="BB17" s="589">
        <f>ROUND(16.55*2.35*0.2,0)</f>
        <v>8</v>
      </c>
      <c r="BC17" s="562"/>
      <c r="BD17" s="552"/>
      <c r="BE17" s="582" t="s">
        <v>250</v>
      </c>
      <c r="BF17" s="691"/>
      <c r="BG17" s="583">
        <v>16.55</v>
      </c>
      <c r="BH17" s="692">
        <v>2.35</v>
      </c>
      <c r="BI17" s="693"/>
      <c r="BJ17" s="694">
        <v>0</v>
      </c>
      <c r="BK17" s="587">
        <f>ROUND(16.55*2.35*0,0)</f>
        <v>0</v>
      </c>
      <c r="BL17" s="695">
        <v>0</v>
      </c>
      <c r="BM17" s="587">
        <f>ROUND(16.55*2.35*0,0)</f>
        <v>0</v>
      </c>
      <c r="BN17" s="695">
        <v>0</v>
      </c>
      <c r="BO17" s="587">
        <f>ROUND(16.55*2.35*0,0)</f>
        <v>0</v>
      </c>
      <c r="BP17" s="695">
        <v>0</v>
      </c>
      <c r="BQ17" s="587">
        <f>ROUND(16.55*2.35*0,0)</f>
        <v>0</v>
      </c>
      <c r="BR17" s="695">
        <v>0</v>
      </c>
      <c r="BS17" s="587">
        <f>ROUND(16.55*2.35*0,0)</f>
        <v>0</v>
      </c>
      <c r="BT17" s="695">
        <v>0</v>
      </c>
      <c r="BU17" s="587">
        <f>ROUND(16.55*2.35*0,0)</f>
        <v>0</v>
      </c>
      <c r="BV17" s="695">
        <v>0.1</v>
      </c>
      <c r="BW17" s="587">
        <f>ROUND(16.55*2.35*0.1,0)</f>
        <v>4</v>
      </c>
      <c r="BX17" s="695">
        <v>0.5</v>
      </c>
      <c r="BY17" s="587">
        <f>ROUND(16.55*2.35*0.5,0)</f>
        <v>19</v>
      </c>
      <c r="BZ17" s="695">
        <v>0.9</v>
      </c>
      <c r="CA17" s="587">
        <f>ROUND(16.55*2.35*0.9,0)</f>
        <v>35</v>
      </c>
      <c r="CB17" s="695">
        <v>1.2</v>
      </c>
      <c r="CC17" s="587">
        <f>ROUND(16.55*2.35*1.2,0)</f>
        <v>47</v>
      </c>
      <c r="CD17" s="695">
        <v>1.5</v>
      </c>
      <c r="CE17" s="587">
        <f>ROUND(16.55*2.35*1.5,0)</f>
        <v>58</v>
      </c>
      <c r="CF17" s="695">
        <v>1.6</v>
      </c>
      <c r="CG17" s="587">
        <f>ROUND(16.55*2.35*1.6,0)</f>
        <v>62</v>
      </c>
      <c r="CH17" s="695">
        <v>1.7</v>
      </c>
      <c r="CI17" s="587">
        <f>ROUND(16.55*2.35*1.7,0)</f>
        <v>66</v>
      </c>
      <c r="CJ17" s="695">
        <v>1.6</v>
      </c>
      <c r="CK17" s="587">
        <f>ROUND(16.55*2.35*1.6,0)</f>
        <v>62</v>
      </c>
      <c r="CL17" s="695">
        <v>1.5</v>
      </c>
      <c r="CM17" s="587">
        <f>ROUND(16.55*2.35*1.5,0)</f>
        <v>58</v>
      </c>
      <c r="CN17" s="695">
        <v>1.3</v>
      </c>
      <c r="CO17" s="587">
        <f>ROUND(16.55*2.35*1.3,0)</f>
        <v>51</v>
      </c>
      <c r="CP17" s="695">
        <v>1.2</v>
      </c>
      <c r="CQ17" s="587">
        <f>ROUND(16.55*2.35*1.2,0)</f>
        <v>47</v>
      </c>
      <c r="CR17" s="695">
        <v>0.9</v>
      </c>
      <c r="CS17" s="587">
        <f>ROUND(16.55*2.35*0.9,0)</f>
        <v>35</v>
      </c>
      <c r="CT17" s="695">
        <v>0.6</v>
      </c>
      <c r="CU17" s="587">
        <f>ROUND(16.55*2.35*0.6,0)</f>
        <v>23</v>
      </c>
      <c r="CV17" s="695">
        <v>0.3</v>
      </c>
      <c r="CW17" s="587">
        <f>ROUND(16.55*2.35*0.3,0)</f>
        <v>12</v>
      </c>
      <c r="CX17" s="695">
        <v>0.2</v>
      </c>
      <c r="CY17" s="587">
        <f>ROUND(16.55*2.35*0.2,0)</f>
        <v>8</v>
      </c>
      <c r="CZ17" s="695">
        <v>0.1</v>
      </c>
      <c r="DA17" s="587">
        <f>ROUND(16.55*2.35*0.1,0)</f>
        <v>4</v>
      </c>
      <c r="DB17" s="695">
        <v>0.1</v>
      </c>
      <c r="DC17" s="587">
        <f>ROUND(16.55*2.35*0.1,0)</f>
        <v>4</v>
      </c>
      <c r="DD17" s="695">
        <v>0</v>
      </c>
      <c r="DE17" s="589">
        <f>ROUND(16.55*2.35*0,0)</f>
        <v>0</v>
      </c>
      <c r="DF17" s="562"/>
      <c r="DG17" s="552"/>
      <c r="DH17" s="582" t="s">
        <v>250</v>
      </c>
      <c r="DI17" s="691"/>
      <c r="DJ17" s="583">
        <v>16.55</v>
      </c>
      <c r="DK17" s="692">
        <v>2.35</v>
      </c>
      <c r="DL17" s="693"/>
      <c r="DM17" s="694">
        <v>0</v>
      </c>
      <c r="DN17" s="587">
        <f>ROUND(16.55*2.35*0,0)</f>
        <v>0</v>
      </c>
      <c r="DO17" s="695">
        <v>0</v>
      </c>
      <c r="DP17" s="587">
        <f>ROUND(16.55*2.35*0,0)</f>
        <v>0</v>
      </c>
      <c r="DQ17" s="695">
        <v>0</v>
      </c>
      <c r="DR17" s="587">
        <f>ROUND(16.55*2.35*0,0)</f>
        <v>0</v>
      </c>
      <c r="DS17" s="695">
        <v>0</v>
      </c>
      <c r="DT17" s="587">
        <f>ROUND(16.55*2.35*0,0)</f>
        <v>0</v>
      </c>
      <c r="DU17" s="695">
        <v>0</v>
      </c>
      <c r="DV17" s="587">
        <f>ROUND(16.55*2.35*0,0)</f>
        <v>0</v>
      </c>
      <c r="DW17" s="695">
        <v>0</v>
      </c>
      <c r="DX17" s="587">
        <f>ROUND(16.55*2.35*0,0)</f>
        <v>0</v>
      </c>
      <c r="DY17" s="695">
        <v>0</v>
      </c>
      <c r="DZ17" s="587">
        <f>ROUND(16.55*2.35*0,0)</f>
        <v>0</v>
      </c>
      <c r="EA17" s="695">
        <v>0</v>
      </c>
      <c r="EB17" s="587">
        <f>ROUND(16.55*2.35*0,0)</f>
        <v>0</v>
      </c>
      <c r="EC17" s="695">
        <v>0.2</v>
      </c>
      <c r="ED17" s="587">
        <f>ROUND(16.55*2.35*0.2,0)</f>
        <v>8</v>
      </c>
      <c r="EE17" s="695">
        <v>0.6</v>
      </c>
      <c r="EF17" s="587">
        <f>ROUND(16.55*2.35*0.6,0)</f>
        <v>23</v>
      </c>
      <c r="EG17" s="695">
        <v>0.9</v>
      </c>
      <c r="EH17" s="587">
        <f>ROUND(16.55*2.35*0.9,0)</f>
        <v>35</v>
      </c>
      <c r="EI17" s="695">
        <v>1.1000000000000001</v>
      </c>
      <c r="EJ17" s="587">
        <f>ROUND(16.55*2.35*1.1,0)</f>
        <v>43</v>
      </c>
      <c r="EK17" s="695">
        <v>1.1000000000000001</v>
      </c>
      <c r="EL17" s="587">
        <f>ROUND(16.55*2.35*1.1,0)</f>
        <v>43</v>
      </c>
      <c r="EM17" s="695">
        <v>1</v>
      </c>
      <c r="EN17" s="587">
        <f>ROUND(16.55*2.35*1,0)</f>
        <v>39</v>
      </c>
      <c r="EO17" s="695">
        <v>0.9</v>
      </c>
      <c r="EP17" s="587">
        <f>ROUND(16.55*2.35*0.9,0)</f>
        <v>35</v>
      </c>
      <c r="EQ17" s="695">
        <v>0.8</v>
      </c>
      <c r="ER17" s="587">
        <f>ROUND(16.55*2.35*0.8,0)</f>
        <v>31</v>
      </c>
      <c r="ES17" s="695">
        <v>0.5</v>
      </c>
      <c r="ET17" s="587">
        <f>ROUND(16.55*2.35*0.5,0)</f>
        <v>19</v>
      </c>
      <c r="EU17" s="695">
        <v>0.2</v>
      </c>
      <c r="EV17" s="587">
        <f>ROUND(16.55*2.35*0.2,0)</f>
        <v>8</v>
      </c>
      <c r="EW17" s="695">
        <v>0</v>
      </c>
      <c r="EX17" s="587">
        <f>ROUND(16.55*2.35*0,0)</f>
        <v>0</v>
      </c>
      <c r="EY17" s="695">
        <v>0</v>
      </c>
      <c r="EZ17" s="587">
        <f>ROUND(16.55*2.35*0,0)</f>
        <v>0</v>
      </c>
      <c r="FA17" s="695">
        <v>0</v>
      </c>
      <c r="FB17" s="587">
        <f>ROUND(16.55*2.35*0,0)</f>
        <v>0</v>
      </c>
      <c r="FC17" s="695">
        <v>0</v>
      </c>
      <c r="FD17" s="587">
        <f>ROUND(16.55*2.35*0,0)</f>
        <v>0</v>
      </c>
      <c r="FE17" s="695">
        <v>0</v>
      </c>
      <c r="FF17" s="587">
        <f>ROUND(16.55*2.35*0,0)</f>
        <v>0</v>
      </c>
      <c r="FG17" s="695">
        <v>0</v>
      </c>
      <c r="FH17" s="589">
        <f>ROUND(16.55*2.35*0,0)</f>
        <v>0</v>
      </c>
      <c r="FI17" s="563"/>
      <c r="FJ17" s="564"/>
      <c r="FK17" s="582" t="s">
        <v>250</v>
      </c>
      <c r="FL17" s="691"/>
      <c r="FM17" s="583">
        <v>16.55</v>
      </c>
      <c r="FN17" s="692">
        <v>2.35</v>
      </c>
      <c r="FO17" s="693"/>
      <c r="FP17" s="696">
        <v>5</v>
      </c>
      <c r="FQ17" s="697">
        <v>5.8</v>
      </c>
      <c r="FR17" s="587">
        <f>ROUND(16.55*2.35*5.8,0)</f>
        <v>226</v>
      </c>
      <c r="FS17" s="698">
        <v>8</v>
      </c>
      <c r="FT17" s="697">
        <v>5.3</v>
      </c>
      <c r="FU17" s="592">
        <f>ROUND(16.55*2.35*5.3,0)</f>
        <v>206</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255</v>
      </c>
      <c r="C18" s="691"/>
      <c r="D18" s="583">
        <v>2.2200000000000002</v>
      </c>
      <c r="E18" s="692">
        <v>2.08</v>
      </c>
      <c r="F18" s="693"/>
      <c r="G18" s="694">
        <v>0.2</v>
      </c>
      <c r="H18" s="587">
        <f>ROUND(2.22*2.08*0.2,0)</f>
        <v>1</v>
      </c>
      <c r="I18" s="695">
        <v>0.1</v>
      </c>
      <c r="J18" s="587">
        <f>ROUND(2.22*2.08*0.1,0)</f>
        <v>0</v>
      </c>
      <c r="K18" s="695">
        <v>0</v>
      </c>
      <c r="L18" s="587">
        <f>ROUND(2.22*2.08*0,0)</f>
        <v>0</v>
      </c>
      <c r="M18" s="695">
        <v>0</v>
      </c>
      <c r="N18" s="587">
        <f>ROUND(2.22*2.08*0,0)</f>
        <v>0</v>
      </c>
      <c r="O18" s="695">
        <v>0</v>
      </c>
      <c r="P18" s="587">
        <f>ROUND(2.22*2.08*0,0)</f>
        <v>0</v>
      </c>
      <c r="Q18" s="695">
        <v>0</v>
      </c>
      <c r="R18" s="587">
        <f>ROUND(2.22*2.08*0,0)</f>
        <v>0</v>
      </c>
      <c r="S18" s="695">
        <v>0.4</v>
      </c>
      <c r="T18" s="587">
        <f>ROUND(2.22*2.08*0.4,0)</f>
        <v>2</v>
      </c>
      <c r="U18" s="695">
        <v>1</v>
      </c>
      <c r="V18" s="587">
        <f>ROUND(2.22*2.08*1,0)</f>
        <v>5</v>
      </c>
      <c r="W18" s="695">
        <v>1.7</v>
      </c>
      <c r="X18" s="587">
        <f>ROUND(2.22*2.08*1.7,0)</f>
        <v>8</v>
      </c>
      <c r="Y18" s="695">
        <v>2.2000000000000002</v>
      </c>
      <c r="Z18" s="587">
        <f>ROUND(2.22*2.08*2.2,0)</f>
        <v>10</v>
      </c>
      <c r="AA18" s="695">
        <v>2.6</v>
      </c>
      <c r="AB18" s="587">
        <f>ROUND(2.22*2.08*2.6,0)</f>
        <v>12</v>
      </c>
      <c r="AC18" s="695">
        <v>2.9</v>
      </c>
      <c r="AD18" s="587">
        <f>ROUND(2.22*2.08*2.9,0)</f>
        <v>13</v>
      </c>
      <c r="AE18" s="695">
        <v>2.9</v>
      </c>
      <c r="AF18" s="587">
        <f>ROUND(2.22*2.08*2.9,0)</f>
        <v>13</v>
      </c>
      <c r="AG18" s="695">
        <v>2.9</v>
      </c>
      <c r="AH18" s="587">
        <f>ROUND(2.22*2.08*2.9,0)</f>
        <v>13</v>
      </c>
      <c r="AI18" s="695">
        <v>2.7</v>
      </c>
      <c r="AJ18" s="587">
        <f>ROUND(2.22*2.08*2.7,0)</f>
        <v>12</v>
      </c>
      <c r="AK18" s="695">
        <v>2.4</v>
      </c>
      <c r="AL18" s="587">
        <f>ROUND(2.22*2.08*2.4,0)</f>
        <v>11</v>
      </c>
      <c r="AM18" s="695">
        <v>2</v>
      </c>
      <c r="AN18" s="587">
        <f>ROUND(2.22*2.08*2,0)</f>
        <v>9</v>
      </c>
      <c r="AO18" s="695">
        <v>1.7</v>
      </c>
      <c r="AP18" s="587">
        <f>ROUND(2.22*2.08*1.7,0)</f>
        <v>8</v>
      </c>
      <c r="AQ18" s="695">
        <v>1.2</v>
      </c>
      <c r="AR18" s="587">
        <f>ROUND(2.22*2.08*1.2,0)</f>
        <v>6</v>
      </c>
      <c r="AS18" s="695">
        <v>0.9</v>
      </c>
      <c r="AT18" s="587">
        <f>ROUND(2.22*2.08*0.9,0)</f>
        <v>4</v>
      </c>
      <c r="AU18" s="695">
        <v>0.8</v>
      </c>
      <c r="AV18" s="587">
        <f>ROUND(2.22*2.08*0.8,0)</f>
        <v>4</v>
      </c>
      <c r="AW18" s="695">
        <v>0.6</v>
      </c>
      <c r="AX18" s="587">
        <f>ROUND(2.22*2.08*0.6,0)</f>
        <v>3</v>
      </c>
      <c r="AY18" s="695">
        <v>0.4</v>
      </c>
      <c r="AZ18" s="587">
        <f>ROUND(2.22*2.08*0.4,0)</f>
        <v>2</v>
      </c>
      <c r="BA18" s="695">
        <v>0.4</v>
      </c>
      <c r="BB18" s="589">
        <f>ROUND(2.22*2.08*0.4,0)</f>
        <v>2</v>
      </c>
      <c r="BC18" s="562"/>
      <c r="BD18" s="552"/>
      <c r="BE18" s="700" t="s">
        <v>255</v>
      </c>
      <c r="BF18" s="691"/>
      <c r="BG18" s="583">
        <v>2.2200000000000002</v>
      </c>
      <c r="BH18" s="692">
        <v>2.08</v>
      </c>
      <c r="BI18" s="693"/>
      <c r="BJ18" s="694">
        <v>0</v>
      </c>
      <c r="BK18" s="587">
        <f>ROUND(2.22*2.08*0,0)</f>
        <v>0</v>
      </c>
      <c r="BL18" s="695">
        <v>0</v>
      </c>
      <c r="BM18" s="587">
        <f>ROUND(2.22*2.08*0,0)</f>
        <v>0</v>
      </c>
      <c r="BN18" s="695">
        <v>0</v>
      </c>
      <c r="BO18" s="587">
        <f>ROUND(2.22*2.08*0,0)</f>
        <v>0</v>
      </c>
      <c r="BP18" s="695">
        <v>0</v>
      </c>
      <c r="BQ18" s="587">
        <f>ROUND(2.22*2.08*0,0)</f>
        <v>0</v>
      </c>
      <c r="BR18" s="695">
        <v>0</v>
      </c>
      <c r="BS18" s="587">
        <f>ROUND(2.22*2.08*0,0)</f>
        <v>0</v>
      </c>
      <c r="BT18" s="695">
        <v>0</v>
      </c>
      <c r="BU18" s="587">
        <f>ROUND(2.22*2.08*0,0)</f>
        <v>0</v>
      </c>
      <c r="BV18" s="695">
        <v>0.2</v>
      </c>
      <c r="BW18" s="587">
        <f>ROUND(2.22*2.08*0.2,0)</f>
        <v>1</v>
      </c>
      <c r="BX18" s="695">
        <v>0.9</v>
      </c>
      <c r="BY18" s="587">
        <f>ROUND(2.22*2.08*0.9,0)</f>
        <v>4</v>
      </c>
      <c r="BZ18" s="695">
        <v>1.6</v>
      </c>
      <c r="CA18" s="587">
        <f>ROUND(2.22*2.08*1.6,0)</f>
        <v>7</v>
      </c>
      <c r="CB18" s="695">
        <v>2.1</v>
      </c>
      <c r="CC18" s="587">
        <f>ROUND(2.22*2.08*2.1,0)</f>
        <v>10</v>
      </c>
      <c r="CD18" s="695">
        <v>2.5</v>
      </c>
      <c r="CE18" s="587">
        <f>ROUND(2.22*2.08*2.5,0)</f>
        <v>12</v>
      </c>
      <c r="CF18" s="695">
        <v>2.7</v>
      </c>
      <c r="CG18" s="587">
        <f>ROUND(2.22*2.08*2.7,0)</f>
        <v>12</v>
      </c>
      <c r="CH18" s="695">
        <v>2.8</v>
      </c>
      <c r="CI18" s="587">
        <f>ROUND(2.22*2.08*2.8,0)</f>
        <v>13</v>
      </c>
      <c r="CJ18" s="695">
        <v>2.7</v>
      </c>
      <c r="CK18" s="587">
        <f>ROUND(2.22*2.08*2.7,0)</f>
        <v>12</v>
      </c>
      <c r="CL18" s="695">
        <v>2.4</v>
      </c>
      <c r="CM18" s="587">
        <f>ROUND(2.22*2.08*2.4,0)</f>
        <v>11</v>
      </c>
      <c r="CN18" s="695">
        <v>2.2000000000000002</v>
      </c>
      <c r="CO18" s="587">
        <f>ROUND(2.22*2.08*2.2,0)</f>
        <v>10</v>
      </c>
      <c r="CP18" s="695">
        <v>2</v>
      </c>
      <c r="CQ18" s="587">
        <f>ROUND(2.22*2.08*2,0)</f>
        <v>9</v>
      </c>
      <c r="CR18" s="695">
        <v>1.6</v>
      </c>
      <c r="CS18" s="587">
        <f>ROUND(2.22*2.08*1.6,0)</f>
        <v>7</v>
      </c>
      <c r="CT18" s="695">
        <v>0.9</v>
      </c>
      <c r="CU18" s="587">
        <f>ROUND(2.22*2.08*0.9,0)</f>
        <v>4</v>
      </c>
      <c r="CV18" s="695">
        <v>0.6</v>
      </c>
      <c r="CW18" s="587">
        <f>ROUND(2.22*2.08*0.6,0)</f>
        <v>3</v>
      </c>
      <c r="CX18" s="695">
        <v>0.3</v>
      </c>
      <c r="CY18" s="587">
        <f>ROUND(2.22*2.08*0.3,0)</f>
        <v>1</v>
      </c>
      <c r="CZ18" s="695">
        <v>0.2</v>
      </c>
      <c r="DA18" s="587">
        <f>ROUND(2.22*2.08*0.2,0)</f>
        <v>1</v>
      </c>
      <c r="DB18" s="695">
        <v>0.2</v>
      </c>
      <c r="DC18" s="587">
        <f>ROUND(2.22*2.08*0.2,0)</f>
        <v>1</v>
      </c>
      <c r="DD18" s="695">
        <v>0</v>
      </c>
      <c r="DE18" s="589">
        <f>ROUND(2.22*2.08*0,0)</f>
        <v>0</v>
      </c>
      <c r="DF18" s="562"/>
      <c r="DG18" s="552"/>
      <c r="DH18" s="700" t="s">
        <v>255</v>
      </c>
      <c r="DI18" s="691"/>
      <c r="DJ18" s="583">
        <v>2.2200000000000002</v>
      </c>
      <c r="DK18" s="692">
        <v>2.08</v>
      </c>
      <c r="DL18" s="693"/>
      <c r="DM18" s="694">
        <v>0</v>
      </c>
      <c r="DN18" s="587">
        <f>ROUND(2.22*2.08*0,0)</f>
        <v>0</v>
      </c>
      <c r="DO18" s="695">
        <v>0</v>
      </c>
      <c r="DP18" s="587">
        <f>ROUND(2.22*2.08*0,0)</f>
        <v>0</v>
      </c>
      <c r="DQ18" s="695">
        <v>0</v>
      </c>
      <c r="DR18" s="587">
        <f>ROUND(2.22*2.08*0,0)</f>
        <v>0</v>
      </c>
      <c r="DS18" s="695">
        <v>0</v>
      </c>
      <c r="DT18" s="587">
        <f>ROUND(2.22*2.08*0,0)</f>
        <v>0</v>
      </c>
      <c r="DU18" s="695">
        <v>0</v>
      </c>
      <c r="DV18" s="587">
        <f>ROUND(2.22*2.08*0,0)</f>
        <v>0</v>
      </c>
      <c r="DW18" s="695">
        <v>0</v>
      </c>
      <c r="DX18" s="587">
        <f>ROUND(2.22*2.08*0,0)</f>
        <v>0</v>
      </c>
      <c r="DY18" s="695">
        <v>0</v>
      </c>
      <c r="DZ18" s="587">
        <f>ROUND(2.22*2.08*0,0)</f>
        <v>0</v>
      </c>
      <c r="EA18" s="695">
        <v>0</v>
      </c>
      <c r="EB18" s="587">
        <f>ROUND(2.22*2.08*0,0)</f>
        <v>0</v>
      </c>
      <c r="EC18" s="695">
        <v>0.4</v>
      </c>
      <c r="ED18" s="587">
        <f>ROUND(2.22*2.08*0.4,0)</f>
        <v>2</v>
      </c>
      <c r="EE18" s="695">
        <v>1.1000000000000001</v>
      </c>
      <c r="EF18" s="587">
        <f>ROUND(2.22*2.08*1.1,0)</f>
        <v>5</v>
      </c>
      <c r="EG18" s="695">
        <v>1.4</v>
      </c>
      <c r="EH18" s="587">
        <f>ROUND(2.22*2.08*1.4,0)</f>
        <v>6</v>
      </c>
      <c r="EI18" s="695">
        <v>1.8</v>
      </c>
      <c r="EJ18" s="587">
        <f>ROUND(2.22*2.08*1.8,0)</f>
        <v>8</v>
      </c>
      <c r="EK18" s="695">
        <v>1.9</v>
      </c>
      <c r="EL18" s="587">
        <f>ROUND(2.22*2.08*1.9,0)</f>
        <v>9</v>
      </c>
      <c r="EM18" s="695">
        <v>1.8</v>
      </c>
      <c r="EN18" s="587">
        <f>ROUND(2.22*2.08*1.8,0)</f>
        <v>8</v>
      </c>
      <c r="EO18" s="695">
        <v>1.6</v>
      </c>
      <c r="EP18" s="587">
        <f>ROUND(2.22*2.08*1.6,0)</f>
        <v>7</v>
      </c>
      <c r="EQ18" s="695">
        <v>1.3</v>
      </c>
      <c r="ER18" s="587">
        <f>ROUND(2.22*2.08*1.3,0)</f>
        <v>6</v>
      </c>
      <c r="ES18" s="695">
        <v>0.8</v>
      </c>
      <c r="ET18" s="587">
        <f>ROUND(2.22*2.08*0.8,0)</f>
        <v>4</v>
      </c>
      <c r="EU18" s="695">
        <v>0.3</v>
      </c>
      <c r="EV18" s="587">
        <f>ROUND(2.22*2.08*0.3,0)</f>
        <v>1</v>
      </c>
      <c r="EW18" s="695">
        <v>0</v>
      </c>
      <c r="EX18" s="587">
        <f>ROUND(2.22*2.08*0,0)</f>
        <v>0</v>
      </c>
      <c r="EY18" s="695">
        <v>0</v>
      </c>
      <c r="EZ18" s="587">
        <f>ROUND(2.22*2.08*0,0)</f>
        <v>0</v>
      </c>
      <c r="FA18" s="695">
        <v>0</v>
      </c>
      <c r="FB18" s="587">
        <f>ROUND(2.22*2.08*0,0)</f>
        <v>0</v>
      </c>
      <c r="FC18" s="695">
        <v>0</v>
      </c>
      <c r="FD18" s="587">
        <f>ROUND(2.22*2.08*0,0)</f>
        <v>0</v>
      </c>
      <c r="FE18" s="695">
        <v>0</v>
      </c>
      <c r="FF18" s="587">
        <f>ROUND(2.22*2.08*0,0)</f>
        <v>0</v>
      </c>
      <c r="FG18" s="695">
        <v>0</v>
      </c>
      <c r="FH18" s="589">
        <f>ROUND(2.22*2.08*0,0)</f>
        <v>0</v>
      </c>
      <c r="FI18" s="563"/>
      <c r="FJ18" s="564"/>
      <c r="FK18" s="700" t="s">
        <v>255</v>
      </c>
      <c r="FL18" s="691"/>
      <c r="FM18" s="583">
        <v>2.2200000000000002</v>
      </c>
      <c r="FN18" s="692">
        <v>2.08</v>
      </c>
      <c r="FO18" s="693"/>
      <c r="FP18" s="696">
        <v>5</v>
      </c>
      <c r="FQ18" s="697">
        <v>9.6</v>
      </c>
      <c r="FR18" s="587">
        <f>ROUND(2.22*2.08*9.6,0)</f>
        <v>44</v>
      </c>
      <c r="FS18" s="698">
        <v>8</v>
      </c>
      <c r="FT18" s="697">
        <v>8.8000000000000007</v>
      </c>
      <c r="FU18" s="592">
        <f>ROUND(2.22*2.08*8.8,0)</f>
        <v>41</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t="s">
        <v>255</v>
      </c>
      <c r="C19" s="691"/>
      <c r="D19" s="583">
        <v>10.78</v>
      </c>
      <c r="E19" s="692">
        <v>2.08</v>
      </c>
      <c r="F19" s="693"/>
      <c r="G19" s="694">
        <v>0.2</v>
      </c>
      <c r="H19" s="587">
        <f>ROUND(10.78*2.08*0.2,0)</f>
        <v>4</v>
      </c>
      <c r="I19" s="695">
        <v>0</v>
      </c>
      <c r="J19" s="587">
        <f>ROUND(10.78*2.08*0,0)</f>
        <v>0</v>
      </c>
      <c r="K19" s="695">
        <v>0</v>
      </c>
      <c r="L19" s="587">
        <f>ROUND(10.78*2.08*0,0)</f>
        <v>0</v>
      </c>
      <c r="M19" s="695">
        <v>0</v>
      </c>
      <c r="N19" s="587">
        <f>ROUND(10.78*2.08*0,0)</f>
        <v>0</v>
      </c>
      <c r="O19" s="695">
        <v>0</v>
      </c>
      <c r="P19" s="587">
        <f>ROUND(10.78*2.08*0,0)</f>
        <v>0</v>
      </c>
      <c r="Q19" s="695">
        <v>0</v>
      </c>
      <c r="R19" s="587">
        <f>ROUND(10.78*2.08*0,0)</f>
        <v>0</v>
      </c>
      <c r="S19" s="695">
        <v>0.4</v>
      </c>
      <c r="T19" s="587">
        <f>ROUND(10.78*2.08*0.4,0)</f>
        <v>9</v>
      </c>
      <c r="U19" s="695">
        <v>0.8</v>
      </c>
      <c r="V19" s="587">
        <f>ROUND(10.78*2.08*0.8,0)</f>
        <v>18</v>
      </c>
      <c r="W19" s="695">
        <v>0</v>
      </c>
      <c r="X19" s="587">
        <f>ROUND(10.78*2.08*0,0)</f>
        <v>0</v>
      </c>
      <c r="Y19" s="695">
        <v>0</v>
      </c>
      <c r="Z19" s="587">
        <f>ROUND(10.78*2.08*0,0)</f>
        <v>0</v>
      </c>
      <c r="AA19" s="695">
        <v>0</v>
      </c>
      <c r="AB19" s="587">
        <f>ROUND(10.78*2.08*0,0)</f>
        <v>0</v>
      </c>
      <c r="AC19" s="695">
        <v>0</v>
      </c>
      <c r="AD19" s="587">
        <f>ROUND(10.78*2.08*0,0)</f>
        <v>0</v>
      </c>
      <c r="AE19" s="695">
        <v>0</v>
      </c>
      <c r="AF19" s="587">
        <f>ROUND(10.78*2.08*0,0)</f>
        <v>0</v>
      </c>
      <c r="AG19" s="695">
        <v>0</v>
      </c>
      <c r="AH19" s="587">
        <f>ROUND(10.78*2.08*0,0)</f>
        <v>0</v>
      </c>
      <c r="AI19" s="695">
        <v>0</v>
      </c>
      <c r="AJ19" s="587">
        <f>ROUND(10.78*2.08*0,0)</f>
        <v>0</v>
      </c>
      <c r="AK19" s="695">
        <v>0</v>
      </c>
      <c r="AL19" s="587">
        <f>ROUND(10.78*2.08*0,0)</f>
        <v>0</v>
      </c>
      <c r="AM19" s="695">
        <v>0</v>
      </c>
      <c r="AN19" s="587">
        <f>ROUND(10.78*2.08*0,0)</f>
        <v>0</v>
      </c>
      <c r="AO19" s="695">
        <v>0</v>
      </c>
      <c r="AP19" s="587">
        <f>ROUND(10.78*2.08*0,0)</f>
        <v>0</v>
      </c>
      <c r="AQ19" s="695">
        <v>1</v>
      </c>
      <c r="AR19" s="587">
        <f>ROUND(10.78*2.08*1,0)</f>
        <v>22</v>
      </c>
      <c r="AS19" s="695">
        <v>0.7</v>
      </c>
      <c r="AT19" s="587">
        <f>ROUND(10.78*2.08*0.7,0)</f>
        <v>16</v>
      </c>
      <c r="AU19" s="695">
        <v>0.6</v>
      </c>
      <c r="AV19" s="587">
        <f>ROUND(10.78*2.08*0.6,0)</f>
        <v>13</v>
      </c>
      <c r="AW19" s="695">
        <v>0.5</v>
      </c>
      <c r="AX19" s="587">
        <f>ROUND(10.78*2.08*0.5,0)</f>
        <v>11</v>
      </c>
      <c r="AY19" s="695">
        <v>0.4</v>
      </c>
      <c r="AZ19" s="587">
        <f>ROUND(10.78*2.08*0.4,0)</f>
        <v>9</v>
      </c>
      <c r="BA19" s="695">
        <v>0.3</v>
      </c>
      <c r="BB19" s="589">
        <f>ROUND(10.78*2.08*0.3,0)</f>
        <v>7</v>
      </c>
      <c r="BC19" s="562"/>
      <c r="BD19" s="552"/>
      <c r="BE19" s="700" t="s">
        <v>255</v>
      </c>
      <c r="BF19" s="691"/>
      <c r="BG19" s="583">
        <v>10.78</v>
      </c>
      <c r="BH19" s="692">
        <v>2.08</v>
      </c>
      <c r="BI19" s="693"/>
      <c r="BJ19" s="694">
        <v>0</v>
      </c>
      <c r="BK19" s="587">
        <f>ROUND(10.78*2.08*0,0)</f>
        <v>0</v>
      </c>
      <c r="BL19" s="695">
        <v>0</v>
      </c>
      <c r="BM19" s="587">
        <f>ROUND(10.78*2.08*0,0)</f>
        <v>0</v>
      </c>
      <c r="BN19" s="695">
        <v>0</v>
      </c>
      <c r="BO19" s="587">
        <f>ROUND(10.78*2.08*0,0)</f>
        <v>0</v>
      </c>
      <c r="BP19" s="695">
        <v>0</v>
      </c>
      <c r="BQ19" s="587">
        <f>ROUND(10.78*2.08*0,0)</f>
        <v>0</v>
      </c>
      <c r="BR19" s="695">
        <v>0</v>
      </c>
      <c r="BS19" s="587">
        <f>ROUND(10.78*2.08*0,0)</f>
        <v>0</v>
      </c>
      <c r="BT19" s="695">
        <v>0</v>
      </c>
      <c r="BU19" s="587">
        <f>ROUND(10.78*2.08*0,0)</f>
        <v>0</v>
      </c>
      <c r="BV19" s="695">
        <v>0.2</v>
      </c>
      <c r="BW19" s="587">
        <f>ROUND(10.78*2.08*0.2,0)</f>
        <v>4</v>
      </c>
      <c r="BX19" s="695">
        <v>0.7</v>
      </c>
      <c r="BY19" s="587">
        <f>ROUND(10.78*2.08*0.7,0)</f>
        <v>16</v>
      </c>
      <c r="BZ19" s="695">
        <v>0</v>
      </c>
      <c r="CA19" s="587">
        <f>ROUND(10.78*2.08*0,0)</f>
        <v>0</v>
      </c>
      <c r="CB19" s="695">
        <v>0</v>
      </c>
      <c r="CC19" s="587">
        <f>ROUND(10.78*2.08*0,0)</f>
        <v>0</v>
      </c>
      <c r="CD19" s="695">
        <v>0</v>
      </c>
      <c r="CE19" s="587">
        <f>ROUND(10.78*2.08*0,0)</f>
        <v>0</v>
      </c>
      <c r="CF19" s="695">
        <v>0</v>
      </c>
      <c r="CG19" s="587">
        <f>ROUND(10.78*2.08*0,0)</f>
        <v>0</v>
      </c>
      <c r="CH19" s="695">
        <v>0</v>
      </c>
      <c r="CI19" s="587">
        <f>ROUND(10.78*2.08*0,0)</f>
        <v>0</v>
      </c>
      <c r="CJ19" s="695">
        <v>0</v>
      </c>
      <c r="CK19" s="587">
        <f>ROUND(10.78*2.08*0,0)</f>
        <v>0</v>
      </c>
      <c r="CL19" s="695">
        <v>0</v>
      </c>
      <c r="CM19" s="587">
        <f>ROUND(10.78*2.08*0,0)</f>
        <v>0</v>
      </c>
      <c r="CN19" s="695">
        <v>0</v>
      </c>
      <c r="CO19" s="587">
        <f>ROUND(10.78*2.08*0,0)</f>
        <v>0</v>
      </c>
      <c r="CP19" s="695">
        <v>0</v>
      </c>
      <c r="CQ19" s="587">
        <f>ROUND(10.78*2.08*0,0)</f>
        <v>0</v>
      </c>
      <c r="CR19" s="695">
        <v>0</v>
      </c>
      <c r="CS19" s="587">
        <f>ROUND(10.78*2.08*0,0)</f>
        <v>0</v>
      </c>
      <c r="CT19" s="695">
        <v>0.8</v>
      </c>
      <c r="CU19" s="587">
        <f>ROUND(10.78*2.08*0.8,0)</f>
        <v>18</v>
      </c>
      <c r="CV19" s="695">
        <v>0.4</v>
      </c>
      <c r="CW19" s="587">
        <f>ROUND(10.78*2.08*0.4,0)</f>
        <v>9</v>
      </c>
      <c r="CX19" s="695">
        <v>0.3</v>
      </c>
      <c r="CY19" s="587">
        <f>ROUND(10.78*2.08*0.3,0)</f>
        <v>7</v>
      </c>
      <c r="CZ19" s="695">
        <v>0.2</v>
      </c>
      <c r="DA19" s="587">
        <f>ROUND(10.78*2.08*0.2,0)</f>
        <v>4</v>
      </c>
      <c r="DB19" s="695">
        <v>0.1</v>
      </c>
      <c r="DC19" s="587">
        <f>ROUND(10.78*2.08*0.1,0)</f>
        <v>2</v>
      </c>
      <c r="DD19" s="695">
        <v>0</v>
      </c>
      <c r="DE19" s="589">
        <f>ROUND(10.78*2.08*0,0)</f>
        <v>0</v>
      </c>
      <c r="DF19" s="562"/>
      <c r="DG19" s="552"/>
      <c r="DH19" s="700" t="s">
        <v>255</v>
      </c>
      <c r="DI19" s="691"/>
      <c r="DJ19" s="583">
        <v>10.78</v>
      </c>
      <c r="DK19" s="692">
        <v>2.08</v>
      </c>
      <c r="DL19" s="693"/>
      <c r="DM19" s="694">
        <v>0</v>
      </c>
      <c r="DN19" s="587">
        <f>ROUND(10.78*2.08*0,0)</f>
        <v>0</v>
      </c>
      <c r="DO19" s="695">
        <v>0</v>
      </c>
      <c r="DP19" s="587">
        <f>ROUND(10.78*2.08*0,0)</f>
        <v>0</v>
      </c>
      <c r="DQ19" s="695">
        <v>0</v>
      </c>
      <c r="DR19" s="587">
        <f>ROUND(10.78*2.08*0,0)</f>
        <v>0</v>
      </c>
      <c r="DS19" s="695">
        <v>0</v>
      </c>
      <c r="DT19" s="587">
        <f>ROUND(10.78*2.08*0,0)</f>
        <v>0</v>
      </c>
      <c r="DU19" s="695">
        <v>0</v>
      </c>
      <c r="DV19" s="587">
        <f>ROUND(10.78*2.08*0,0)</f>
        <v>0</v>
      </c>
      <c r="DW19" s="695">
        <v>0</v>
      </c>
      <c r="DX19" s="587">
        <f>ROUND(10.78*2.08*0,0)</f>
        <v>0</v>
      </c>
      <c r="DY19" s="695">
        <v>0</v>
      </c>
      <c r="DZ19" s="587">
        <f>ROUND(10.78*2.08*0,0)</f>
        <v>0</v>
      </c>
      <c r="EA19" s="695">
        <v>0</v>
      </c>
      <c r="EB19" s="587">
        <f>ROUND(10.78*2.08*0,0)</f>
        <v>0</v>
      </c>
      <c r="EC19" s="695">
        <v>0</v>
      </c>
      <c r="ED19" s="587">
        <f>ROUND(10.78*2.08*0,0)</f>
        <v>0</v>
      </c>
      <c r="EE19" s="695">
        <v>0</v>
      </c>
      <c r="EF19" s="587">
        <f>ROUND(10.78*2.08*0,0)</f>
        <v>0</v>
      </c>
      <c r="EG19" s="695">
        <v>0</v>
      </c>
      <c r="EH19" s="587">
        <f>ROUND(10.78*2.08*0,0)</f>
        <v>0</v>
      </c>
      <c r="EI19" s="695">
        <v>0</v>
      </c>
      <c r="EJ19" s="587">
        <f>ROUND(10.78*2.08*0,0)</f>
        <v>0</v>
      </c>
      <c r="EK19" s="695">
        <v>0</v>
      </c>
      <c r="EL19" s="587">
        <f>ROUND(10.78*2.08*0,0)</f>
        <v>0</v>
      </c>
      <c r="EM19" s="695">
        <v>0</v>
      </c>
      <c r="EN19" s="587">
        <f>ROUND(10.78*2.08*0,0)</f>
        <v>0</v>
      </c>
      <c r="EO19" s="695">
        <v>0</v>
      </c>
      <c r="EP19" s="587">
        <f>ROUND(10.78*2.08*0,0)</f>
        <v>0</v>
      </c>
      <c r="EQ19" s="695">
        <v>0</v>
      </c>
      <c r="ER19" s="587">
        <f>ROUND(10.78*2.08*0,0)</f>
        <v>0</v>
      </c>
      <c r="ES19" s="695">
        <v>0</v>
      </c>
      <c r="ET19" s="587">
        <f>ROUND(10.78*2.08*0,0)</f>
        <v>0</v>
      </c>
      <c r="EU19" s="695">
        <v>0</v>
      </c>
      <c r="EV19" s="587">
        <f>ROUND(10.78*2.08*0,0)</f>
        <v>0</v>
      </c>
      <c r="EW19" s="695">
        <v>0</v>
      </c>
      <c r="EX19" s="587">
        <f>ROUND(10.78*2.08*0,0)</f>
        <v>0</v>
      </c>
      <c r="EY19" s="695">
        <v>0</v>
      </c>
      <c r="EZ19" s="587">
        <f>ROUND(10.78*2.08*0,0)</f>
        <v>0</v>
      </c>
      <c r="FA19" s="695">
        <v>0</v>
      </c>
      <c r="FB19" s="587">
        <f>ROUND(10.78*2.08*0,0)</f>
        <v>0</v>
      </c>
      <c r="FC19" s="695">
        <v>0</v>
      </c>
      <c r="FD19" s="587">
        <f>ROUND(10.78*2.08*0,0)</f>
        <v>0</v>
      </c>
      <c r="FE19" s="695">
        <v>0</v>
      </c>
      <c r="FF19" s="587">
        <f>ROUND(10.78*2.08*0,0)</f>
        <v>0</v>
      </c>
      <c r="FG19" s="695">
        <v>0</v>
      </c>
      <c r="FH19" s="589">
        <f>ROUND(10.78*2.08*0,0)</f>
        <v>0</v>
      </c>
      <c r="FI19" s="563"/>
      <c r="FJ19" s="564"/>
      <c r="FK19" s="700" t="s">
        <v>255</v>
      </c>
      <c r="FL19" s="691"/>
      <c r="FM19" s="583">
        <v>10.78</v>
      </c>
      <c r="FN19" s="692">
        <v>2.08</v>
      </c>
      <c r="FO19" s="693"/>
      <c r="FP19" s="696">
        <v>5</v>
      </c>
      <c r="FQ19" s="697">
        <v>7.7</v>
      </c>
      <c r="FR19" s="587">
        <f>ROUND(10.78*2.08*7.7,0)</f>
        <v>173</v>
      </c>
      <c r="FS19" s="698">
        <v>8</v>
      </c>
      <c r="FT19" s="697">
        <v>7</v>
      </c>
      <c r="FU19" s="592">
        <f>ROUND(10.78*2.08*7,0)</f>
        <v>157</v>
      </c>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c r="C20" s="691"/>
      <c r="D20" s="583"/>
      <c r="E20" s="692"/>
      <c r="F20" s="693"/>
      <c r="G20" s="694"/>
      <c r="H20" s="587"/>
      <c r="I20" s="695"/>
      <c r="J20" s="587"/>
      <c r="K20" s="695"/>
      <c r="L20" s="587"/>
      <c r="M20" s="695"/>
      <c r="N20" s="587"/>
      <c r="O20" s="695"/>
      <c r="P20" s="587"/>
      <c r="Q20" s="695"/>
      <c r="R20" s="587"/>
      <c r="S20" s="695"/>
      <c r="T20" s="587"/>
      <c r="U20" s="695"/>
      <c r="V20" s="587"/>
      <c r="W20" s="695"/>
      <c r="X20" s="587"/>
      <c r="Y20" s="695"/>
      <c r="Z20" s="587"/>
      <c r="AA20" s="695"/>
      <c r="AB20" s="587"/>
      <c r="AC20" s="695"/>
      <c r="AD20" s="587"/>
      <c r="AE20" s="695"/>
      <c r="AF20" s="587"/>
      <c r="AG20" s="695"/>
      <c r="AH20" s="587"/>
      <c r="AI20" s="695"/>
      <c r="AJ20" s="587"/>
      <c r="AK20" s="695"/>
      <c r="AL20" s="587"/>
      <c r="AM20" s="695"/>
      <c r="AN20" s="587"/>
      <c r="AO20" s="695"/>
      <c r="AP20" s="587"/>
      <c r="AQ20" s="695"/>
      <c r="AR20" s="587"/>
      <c r="AS20" s="695"/>
      <c r="AT20" s="587"/>
      <c r="AU20" s="695"/>
      <c r="AV20" s="587"/>
      <c r="AW20" s="695"/>
      <c r="AX20" s="587"/>
      <c r="AY20" s="695"/>
      <c r="AZ20" s="587"/>
      <c r="BA20" s="695"/>
      <c r="BB20" s="589"/>
      <c r="BC20" s="562"/>
      <c r="BD20" s="552"/>
      <c r="BE20" s="700"/>
      <c r="BF20" s="691"/>
      <c r="BG20" s="583"/>
      <c r="BH20" s="692"/>
      <c r="BI20" s="693"/>
      <c r="BJ20" s="694"/>
      <c r="BK20" s="587"/>
      <c r="BL20" s="695"/>
      <c r="BM20" s="587"/>
      <c r="BN20" s="695"/>
      <c r="BO20" s="587"/>
      <c r="BP20" s="695"/>
      <c r="BQ20" s="587"/>
      <c r="BR20" s="695"/>
      <c r="BS20" s="587"/>
      <c r="BT20" s="695"/>
      <c r="BU20" s="587"/>
      <c r="BV20" s="695"/>
      <c r="BW20" s="587"/>
      <c r="BX20" s="695"/>
      <c r="BY20" s="587"/>
      <c r="BZ20" s="695"/>
      <c r="CA20" s="587"/>
      <c r="CB20" s="695"/>
      <c r="CC20" s="587"/>
      <c r="CD20" s="695"/>
      <c r="CE20" s="587"/>
      <c r="CF20" s="695"/>
      <c r="CG20" s="587"/>
      <c r="CH20" s="695"/>
      <c r="CI20" s="587"/>
      <c r="CJ20" s="695"/>
      <c r="CK20" s="587"/>
      <c r="CL20" s="695"/>
      <c r="CM20" s="587"/>
      <c r="CN20" s="695"/>
      <c r="CO20" s="587"/>
      <c r="CP20" s="695"/>
      <c r="CQ20" s="587"/>
      <c r="CR20" s="695"/>
      <c r="CS20" s="587"/>
      <c r="CT20" s="695"/>
      <c r="CU20" s="587"/>
      <c r="CV20" s="695"/>
      <c r="CW20" s="587"/>
      <c r="CX20" s="695"/>
      <c r="CY20" s="587"/>
      <c r="CZ20" s="695"/>
      <c r="DA20" s="587"/>
      <c r="DB20" s="695"/>
      <c r="DC20" s="587"/>
      <c r="DD20" s="695"/>
      <c r="DE20" s="589"/>
      <c r="DF20" s="562"/>
      <c r="DG20" s="552"/>
      <c r="DH20" s="700"/>
      <c r="DI20" s="691"/>
      <c r="DJ20" s="583"/>
      <c r="DK20" s="692"/>
      <c r="DL20" s="693"/>
      <c r="DM20" s="694"/>
      <c r="DN20" s="587"/>
      <c r="DO20" s="695"/>
      <c r="DP20" s="587"/>
      <c r="DQ20" s="695"/>
      <c r="DR20" s="587"/>
      <c r="DS20" s="695"/>
      <c r="DT20" s="587"/>
      <c r="DU20" s="695"/>
      <c r="DV20" s="587"/>
      <c r="DW20" s="695"/>
      <c r="DX20" s="587"/>
      <c r="DY20" s="695"/>
      <c r="DZ20" s="587"/>
      <c r="EA20" s="695"/>
      <c r="EB20" s="587"/>
      <c r="EC20" s="695"/>
      <c r="ED20" s="587"/>
      <c r="EE20" s="695"/>
      <c r="EF20" s="587"/>
      <c r="EG20" s="695"/>
      <c r="EH20" s="587"/>
      <c r="EI20" s="695"/>
      <c r="EJ20" s="587"/>
      <c r="EK20" s="695"/>
      <c r="EL20" s="587"/>
      <c r="EM20" s="695"/>
      <c r="EN20" s="587"/>
      <c r="EO20" s="695"/>
      <c r="EP20" s="587"/>
      <c r="EQ20" s="695"/>
      <c r="ER20" s="587"/>
      <c r="ES20" s="695"/>
      <c r="ET20" s="587"/>
      <c r="EU20" s="695"/>
      <c r="EV20" s="587"/>
      <c r="EW20" s="695"/>
      <c r="EX20" s="587"/>
      <c r="EY20" s="695"/>
      <c r="EZ20" s="587"/>
      <c r="FA20" s="695"/>
      <c r="FB20" s="587"/>
      <c r="FC20" s="695"/>
      <c r="FD20" s="587"/>
      <c r="FE20" s="695"/>
      <c r="FF20" s="587"/>
      <c r="FG20" s="695"/>
      <c r="FH20" s="589"/>
      <c r="FI20" s="563"/>
      <c r="FJ20" s="564"/>
      <c r="FK20" s="700"/>
      <c r="FL20" s="691"/>
      <c r="FM20" s="583"/>
      <c r="FN20" s="692"/>
      <c r="FO20" s="693"/>
      <c r="FP20" s="696"/>
      <c r="FQ20" s="697"/>
      <c r="FR20" s="587"/>
      <c r="FS20" s="698"/>
      <c r="FT20" s="697"/>
      <c r="FU20" s="592"/>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c r="C21" s="691"/>
      <c r="D21" s="583"/>
      <c r="E21" s="692"/>
      <c r="F21" s="693"/>
      <c r="G21" s="694"/>
      <c r="H21" s="587"/>
      <c r="I21" s="695"/>
      <c r="J21" s="587"/>
      <c r="K21" s="695"/>
      <c r="L21" s="587"/>
      <c r="M21" s="695"/>
      <c r="N21" s="587"/>
      <c r="O21" s="695"/>
      <c r="P21" s="587"/>
      <c r="Q21" s="695"/>
      <c r="R21" s="587"/>
      <c r="S21" s="695"/>
      <c r="T21" s="587"/>
      <c r="U21" s="695"/>
      <c r="V21" s="587"/>
      <c r="W21" s="695"/>
      <c r="X21" s="587"/>
      <c r="Y21" s="695"/>
      <c r="Z21" s="587"/>
      <c r="AA21" s="695"/>
      <c r="AB21" s="587"/>
      <c r="AC21" s="695"/>
      <c r="AD21" s="587"/>
      <c r="AE21" s="695"/>
      <c r="AF21" s="587"/>
      <c r="AG21" s="695"/>
      <c r="AH21" s="587"/>
      <c r="AI21" s="695"/>
      <c r="AJ21" s="587"/>
      <c r="AK21" s="695"/>
      <c r="AL21" s="587"/>
      <c r="AM21" s="695"/>
      <c r="AN21" s="587"/>
      <c r="AO21" s="695"/>
      <c r="AP21" s="587"/>
      <c r="AQ21" s="695"/>
      <c r="AR21" s="587"/>
      <c r="AS21" s="695"/>
      <c r="AT21" s="587"/>
      <c r="AU21" s="695"/>
      <c r="AV21" s="587"/>
      <c r="AW21" s="695"/>
      <c r="AX21" s="587"/>
      <c r="AY21" s="695"/>
      <c r="AZ21" s="587"/>
      <c r="BA21" s="695"/>
      <c r="BB21" s="589"/>
      <c r="BC21" s="562"/>
      <c r="BD21" s="552"/>
      <c r="BE21" s="700"/>
      <c r="BF21" s="691"/>
      <c r="BG21" s="583"/>
      <c r="BH21" s="692"/>
      <c r="BI21" s="693"/>
      <c r="BJ21" s="694"/>
      <c r="BK21" s="587"/>
      <c r="BL21" s="695"/>
      <c r="BM21" s="587"/>
      <c r="BN21" s="695"/>
      <c r="BO21" s="587"/>
      <c r="BP21" s="695"/>
      <c r="BQ21" s="587"/>
      <c r="BR21" s="695"/>
      <c r="BS21" s="587"/>
      <c r="BT21" s="695"/>
      <c r="BU21" s="587"/>
      <c r="BV21" s="695"/>
      <c r="BW21" s="587"/>
      <c r="BX21" s="695"/>
      <c r="BY21" s="587"/>
      <c r="BZ21" s="695"/>
      <c r="CA21" s="587"/>
      <c r="CB21" s="695"/>
      <c r="CC21" s="587"/>
      <c r="CD21" s="695"/>
      <c r="CE21" s="587"/>
      <c r="CF21" s="695"/>
      <c r="CG21" s="587"/>
      <c r="CH21" s="695"/>
      <c r="CI21" s="587"/>
      <c r="CJ21" s="695"/>
      <c r="CK21" s="587"/>
      <c r="CL21" s="695"/>
      <c r="CM21" s="587"/>
      <c r="CN21" s="695"/>
      <c r="CO21" s="587"/>
      <c r="CP21" s="695"/>
      <c r="CQ21" s="587"/>
      <c r="CR21" s="695"/>
      <c r="CS21" s="587"/>
      <c r="CT21" s="695"/>
      <c r="CU21" s="587"/>
      <c r="CV21" s="695"/>
      <c r="CW21" s="587"/>
      <c r="CX21" s="695"/>
      <c r="CY21" s="587"/>
      <c r="CZ21" s="695"/>
      <c r="DA21" s="587"/>
      <c r="DB21" s="695"/>
      <c r="DC21" s="587"/>
      <c r="DD21" s="695"/>
      <c r="DE21" s="589"/>
      <c r="DF21" s="562"/>
      <c r="DG21" s="552"/>
      <c r="DH21" s="700"/>
      <c r="DI21" s="691"/>
      <c r="DJ21" s="583"/>
      <c r="DK21" s="692"/>
      <c r="DL21" s="693"/>
      <c r="DM21" s="694"/>
      <c r="DN21" s="587"/>
      <c r="DO21" s="695"/>
      <c r="DP21" s="587"/>
      <c r="DQ21" s="695"/>
      <c r="DR21" s="587"/>
      <c r="DS21" s="695"/>
      <c r="DT21" s="587"/>
      <c r="DU21" s="695"/>
      <c r="DV21" s="587"/>
      <c r="DW21" s="695"/>
      <c r="DX21" s="587"/>
      <c r="DY21" s="695"/>
      <c r="DZ21" s="587"/>
      <c r="EA21" s="695"/>
      <c r="EB21" s="587"/>
      <c r="EC21" s="695"/>
      <c r="ED21" s="587"/>
      <c r="EE21" s="695"/>
      <c r="EF21" s="587"/>
      <c r="EG21" s="695"/>
      <c r="EH21" s="587"/>
      <c r="EI21" s="695"/>
      <c r="EJ21" s="587"/>
      <c r="EK21" s="695"/>
      <c r="EL21" s="587"/>
      <c r="EM21" s="695"/>
      <c r="EN21" s="587"/>
      <c r="EO21" s="695"/>
      <c r="EP21" s="587"/>
      <c r="EQ21" s="695"/>
      <c r="ER21" s="587"/>
      <c r="ES21" s="695"/>
      <c r="ET21" s="587"/>
      <c r="EU21" s="695"/>
      <c r="EV21" s="587"/>
      <c r="EW21" s="695"/>
      <c r="EX21" s="587"/>
      <c r="EY21" s="695"/>
      <c r="EZ21" s="587"/>
      <c r="FA21" s="695"/>
      <c r="FB21" s="587"/>
      <c r="FC21" s="695"/>
      <c r="FD21" s="587"/>
      <c r="FE21" s="695"/>
      <c r="FF21" s="587"/>
      <c r="FG21" s="695"/>
      <c r="FH21" s="589"/>
      <c r="FI21" s="563"/>
      <c r="FJ21" s="564"/>
      <c r="FK21" s="700"/>
      <c r="FL21" s="691"/>
      <c r="FM21" s="583"/>
      <c r="FN21" s="692"/>
      <c r="FO21" s="693"/>
      <c r="FP21" s="696"/>
      <c r="FQ21" s="697"/>
      <c r="FR21" s="587"/>
      <c r="FS21" s="698"/>
      <c r="FT21" s="697"/>
      <c r="FU21" s="592"/>
      <c r="FV21" s="593"/>
      <c r="FW21" s="594"/>
      <c r="FX21" s="595"/>
      <c r="FY21" s="596"/>
      <c r="FZ21" s="597"/>
      <c r="GA21" s="598"/>
      <c r="GB21" s="599"/>
      <c r="GC21" s="600"/>
      <c r="GD21" s="599"/>
      <c r="GE21" s="601"/>
      <c r="GF21" s="688"/>
      <c r="GG21" s="602"/>
      <c r="GH21" s="602"/>
      <c r="GI21" s="602"/>
      <c r="GJ21" s="409"/>
      <c r="GK21" s="701" t="s">
        <v>536</v>
      </c>
      <c r="GL21" s="702"/>
      <c r="GM21" s="703"/>
      <c r="GN21" s="638">
        <v>0</v>
      </c>
      <c r="GO21" s="704"/>
      <c r="GP21" s="705"/>
      <c r="GQ21" s="633">
        <v>0</v>
      </c>
      <c r="GR21" s="634">
        <v>0</v>
      </c>
      <c r="GS21" s="578"/>
      <c r="GT21" s="677"/>
      <c r="GU21" s="701" t="s">
        <v>537</v>
      </c>
      <c r="GV21" s="702"/>
      <c r="GW21" s="703"/>
      <c r="GX21" s="706">
        <v>0</v>
      </c>
      <c r="GY21" s="707"/>
      <c r="GZ21" s="704"/>
      <c r="HA21" s="708">
        <v>0</v>
      </c>
      <c r="HB21" s="709"/>
      <c r="HC21" s="710"/>
      <c r="HD21" s="562"/>
      <c r="HE21" s="615"/>
      <c r="HF21" s="615"/>
      <c r="HG21" s="415"/>
    </row>
    <row r="22" spans="1:218" ht="20.100000000000001" customHeight="1">
      <c r="A22" s="552"/>
      <c r="B22" s="700"/>
      <c r="C22" s="691"/>
      <c r="D22" s="583"/>
      <c r="E22" s="692"/>
      <c r="F22" s="693"/>
      <c r="G22" s="694"/>
      <c r="H22" s="587"/>
      <c r="I22" s="695"/>
      <c r="J22" s="587"/>
      <c r="K22" s="695"/>
      <c r="L22" s="587"/>
      <c r="M22" s="695"/>
      <c r="N22" s="587"/>
      <c r="O22" s="695"/>
      <c r="P22" s="587"/>
      <c r="Q22" s="695"/>
      <c r="R22" s="587"/>
      <c r="S22" s="695"/>
      <c r="T22" s="587"/>
      <c r="U22" s="695"/>
      <c r="V22" s="587"/>
      <c r="W22" s="695"/>
      <c r="X22" s="587"/>
      <c r="Y22" s="695"/>
      <c r="Z22" s="587"/>
      <c r="AA22" s="695"/>
      <c r="AB22" s="587"/>
      <c r="AC22" s="695"/>
      <c r="AD22" s="587"/>
      <c r="AE22" s="695"/>
      <c r="AF22" s="587"/>
      <c r="AG22" s="695"/>
      <c r="AH22" s="587"/>
      <c r="AI22" s="695"/>
      <c r="AJ22" s="587"/>
      <c r="AK22" s="695"/>
      <c r="AL22" s="587"/>
      <c r="AM22" s="695"/>
      <c r="AN22" s="587"/>
      <c r="AO22" s="695"/>
      <c r="AP22" s="587"/>
      <c r="AQ22" s="695"/>
      <c r="AR22" s="587"/>
      <c r="AS22" s="695"/>
      <c r="AT22" s="587"/>
      <c r="AU22" s="695"/>
      <c r="AV22" s="587"/>
      <c r="AW22" s="695"/>
      <c r="AX22" s="587"/>
      <c r="AY22" s="695"/>
      <c r="AZ22" s="587"/>
      <c r="BA22" s="695"/>
      <c r="BB22" s="589"/>
      <c r="BC22" s="562"/>
      <c r="BD22" s="552"/>
      <c r="BE22" s="700"/>
      <c r="BF22" s="691"/>
      <c r="BG22" s="583"/>
      <c r="BH22" s="692"/>
      <c r="BI22" s="693"/>
      <c r="BJ22" s="694"/>
      <c r="BK22" s="587"/>
      <c r="BL22" s="695"/>
      <c r="BM22" s="587"/>
      <c r="BN22" s="695"/>
      <c r="BO22" s="587"/>
      <c r="BP22" s="695"/>
      <c r="BQ22" s="587"/>
      <c r="BR22" s="695"/>
      <c r="BS22" s="587"/>
      <c r="BT22" s="695"/>
      <c r="BU22" s="587"/>
      <c r="BV22" s="695"/>
      <c r="BW22" s="587"/>
      <c r="BX22" s="695"/>
      <c r="BY22" s="587"/>
      <c r="BZ22" s="695"/>
      <c r="CA22" s="587"/>
      <c r="CB22" s="695"/>
      <c r="CC22" s="587"/>
      <c r="CD22" s="695"/>
      <c r="CE22" s="587"/>
      <c r="CF22" s="695"/>
      <c r="CG22" s="587"/>
      <c r="CH22" s="695"/>
      <c r="CI22" s="587"/>
      <c r="CJ22" s="695"/>
      <c r="CK22" s="587"/>
      <c r="CL22" s="695"/>
      <c r="CM22" s="587"/>
      <c r="CN22" s="695"/>
      <c r="CO22" s="587"/>
      <c r="CP22" s="695"/>
      <c r="CQ22" s="587"/>
      <c r="CR22" s="695"/>
      <c r="CS22" s="587"/>
      <c r="CT22" s="695"/>
      <c r="CU22" s="587"/>
      <c r="CV22" s="695"/>
      <c r="CW22" s="587"/>
      <c r="CX22" s="695"/>
      <c r="CY22" s="587"/>
      <c r="CZ22" s="695"/>
      <c r="DA22" s="587"/>
      <c r="DB22" s="695"/>
      <c r="DC22" s="587"/>
      <c r="DD22" s="695"/>
      <c r="DE22" s="589"/>
      <c r="DF22" s="562"/>
      <c r="DG22" s="552"/>
      <c r="DH22" s="700"/>
      <c r="DI22" s="691"/>
      <c r="DJ22" s="583"/>
      <c r="DK22" s="692"/>
      <c r="DL22" s="693"/>
      <c r="DM22" s="694"/>
      <c r="DN22" s="587"/>
      <c r="DO22" s="695"/>
      <c r="DP22" s="587"/>
      <c r="DQ22" s="695"/>
      <c r="DR22" s="587"/>
      <c r="DS22" s="695"/>
      <c r="DT22" s="587"/>
      <c r="DU22" s="695"/>
      <c r="DV22" s="587"/>
      <c r="DW22" s="695"/>
      <c r="DX22" s="587"/>
      <c r="DY22" s="695"/>
      <c r="DZ22" s="587"/>
      <c r="EA22" s="695"/>
      <c r="EB22" s="587"/>
      <c r="EC22" s="695"/>
      <c r="ED22" s="587"/>
      <c r="EE22" s="695"/>
      <c r="EF22" s="587"/>
      <c r="EG22" s="695"/>
      <c r="EH22" s="587"/>
      <c r="EI22" s="695"/>
      <c r="EJ22" s="587"/>
      <c r="EK22" s="695"/>
      <c r="EL22" s="587"/>
      <c r="EM22" s="695"/>
      <c r="EN22" s="587"/>
      <c r="EO22" s="695"/>
      <c r="EP22" s="587"/>
      <c r="EQ22" s="695"/>
      <c r="ER22" s="587"/>
      <c r="ES22" s="695"/>
      <c r="ET22" s="587"/>
      <c r="EU22" s="695"/>
      <c r="EV22" s="587"/>
      <c r="EW22" s="695"/>
      <c r="EX22" s="587"/>
      <c r="EY22" s="695"/>
      <c r="EZ22" s="587"/>
      <c r="FA22" s="695"/>
      <c r="FB22" s="587"/>
      <c r="FC22" s="695"/>
      <c r="FD22" s="587"/>
      <c r="FE22" s="695"/>
      <c r="FF22" s="587"/>
      <c r="FG22" s="695"/>
      <c r="FH22" s="589"/>
      <c r="FI22" s="563"/>
      <c r="FJ22" s="564"/>
      <c r="FK22" s="700"/>
      <c r="FL22" s="691"/>
      <c r="FM22" s="583"/>
      <c r="FN22" s="692"/>
      <c r="FO22" s="693"/>
      <c r="FP22" s="696"/>
      <c r="FQ22" s="697"/>
      <c r="FR22" s="587"/>
      <c r="FS22" s="698"/>
      <c r="FT22" s="697"/>
      <c r="FU22" s="592"/>
      <c r="FV22" s="593"/>
      <c r="FW22" s="594"/>
      <c r="FX22" s="595"/>
      <c r="FY22" s="596"/>
      <c r="FZ22" s="597"/>
      <c r="GA22" s="598"/>
      <c r="GB22" s="599"/>
      <c r="GC22" s="600"/>
      <c r="GD22" s="599"/>
      <c r="GE22" s="601"/>
      <c r="GF22" s="688"/>
      <c r="GG22" s="602"/>
      <c r="GH22" s="602"/>
      <c r="GI22" s="602"/>
      <c r="GJ22" s="530"/>
      <c r="GK22" s="711" t="s">
        <v>538</v>
      </c>
      <c r="GL22" s="712"/>
      <c r="GM22" s="712"/>
      <c r="GN22" s="713"/>
      <c r="GO22" s="633">
        <v>0</v>
      </c>
      <c r="GP22" s="633">
        <v>1</v>
      </c>
      <c r="GQ22" s="714"/>
      <c r="GR22" s="715"/>
      <c r="GS22" s="578"/>
      <c r="GT22" s="677"/>
      <c r="GU22" s="711" t="s">
        <v>539</v>
      </c>
      <c r="GV22" s="712"/>
      <c r="GW22" s="712"/>
      <c r="GX22" s="712"/>
      <c r="GY22" s="713"/>
      <c r="GZ22" s="633">
        <v>0</v>
      </c>
      <c r="HA22" s="716"/>
      <c r="HB22" s="717"/>
      <c r="HC22" s="413"/>
      <c r="HD22" s="562"/>
      <c r="HE22" s="415"/>
      <c r="HF22" s="415"/>
      <c r="HG22" s="415"/>
    </row>
    <row r="23" spans="1:218" ht="20.100000000000001" customHeight="1">
      <c r="A23" s="552"/>
      <c r="B23" s="700"/>
      <c r="C23" s="691"/>
      <c r="D23" s="583"/>
      <c r="E23" s="692"/>
      <c r="F23" s="693"/>
      <c r="G23" s="694"/>
      <c r="H23" s="587"/>
      <c r="I23" s="695"/>
      <c r="J23" s="587"/>
      <c r="K23" s="695"/>
      <c r="L23" s="587"/>
      <c r="M23" s="695"/>
      <c r="N23" s="587"/>
      <c r="O23" s="695"/>
      <c r="P23" s="587"/>
      <c r="Q23" s="695"/>
      <c r="R23" s="587"/>
      <c r="S23" s="695"/>
      <c r="T23" s="587"/>
      <c r="U23" s="695"/>
      <c r="V23" s="587"/>
      <c r="W23" s="695"/>
      <c r="X23" s="587"/>
      <c r="Y23" s="695"/>
      <c r="Z23" s="587"/>
      <c r="AA23" s="695"/>
      <c r="AB23" s="587"/>
      <c r="AC23" s="695"/>
      <c r="AD23" s="587"/>
      <c r="AE23" s="695"/>
      <c r="AF23" s="587"/>
      <c r="AG23" s="695"/>
      <c r="AH23" s="587"/>
      <c r="AI23" s="695"/>
      <c r="AJ23" s="587"/>
      <c r="AK23" s="695"/>
      <c r="AL23" s="587"/>
      <c r="AM23" s="695"/>
      <c r="AN23" s="587"/>
      <c r="AO23" s="695"/>
      <c r="AP23" s="587"/>
      <c r="AQ23" s="695"/>
      <c r="AR23" s="587"/>
      <c r="AS23" s="695"/>
      <c r="AT23" s="587"/>
      <c r="AU23" s="695"/>
      <c r="AV23" s="587"/>
      <c r="AW23" s="695"/>
      <c r="AX23" s="587"/>
      <c r="AY23" s="695"/>
      <c r="AZ23" s="587"/>
      <c r="BA23" s="695"/>
      <c r="BB23" s="589"/>
      <c r="BC23" s="562"/>
      <c r="BD23" s="552"/>
      <c r="BE23" s="700"/>
      <c r="BF23" s="691"/>
      <c r="BG23" s="583"/>
      <c r="BH23" s="692"/>
      <c r="BI23" s="693"/>
      <c r="BJ23" s="694"/>
      <c r="BK23" s="587"/>
      <c r="BL23" s="695"/>
      <c r="BM23" s="587"/>
      <c r="BN23" s="695"/>
      <c r="BO23" s="587"/>
      <c r="BP23" s="695"/>
      <c r="BQ23" s="587"/>
      <c r="BR23" s="695"/>
      <c r="BS23" s="587"/>
      <c r="BT23" s="695"/>
      <c r="BU23" s="587"/>
      <c r="BV23" s="695"/>
      <c r="BW23" s="587"/>
      <c r="BX23" s="695"/>
      <c r="BY23" s="587"/>
      <c r="BZ23" s="695"/>
      <c r="CA23" s="587"/>
      <c r="CB23" s="695"/>
      <c r="CC23" s="587"/>
      <c r="CD23" s="695"/>
      <c r="CE23" s="587"/>
      <c r="CF23" s="695"/>
      <c r="CG23" s="587"/>
      <c r="CH23" s="695"/>
      <c r="CI23" s="587"/>
      <c r="CJ23" s="695"/>
      <c r="CK23" s="587"/>
      <c r="CL23" s="695"/>
      <c r="CM23" s="587"/>
      <c r="CN23" s="695"/>
      <c r="CO23" s="587"/>
      <c r="CP23" s="695"/>
      <c r="CQ23" s="587"/>
      <c r="CR23" s="695"/>
      <c r="CS23" s="587"/>
      <c r="CT23" s="695"/>
      <c r="CU23" s="587"/>
      <c r="CV23" s="695"/>
      <c r="CW23" s="587"/>
      <c r="CX23" s="695"/>
      <c r="CY23" s="587"/>
      <c r="CZ23" s="695"/>
      <c r="DA23" s="587"/>
      <c r="DB23" s="695"/>
      <c r="DC23" s="587"/>
      <c r="DD23" s="695"/>
      <c r="DE23" s="589"/>
      <c r="DF23" s="562"/>
      <c r="DG23" s="552"/>
      <c r="DH23" s="700"/>
      <c r="DI23" s="691"/>
      <c r="DJ23" s="583"/>
      <c r="DK23" s="692"/>
      <c r="DL23" s="693"/>
      <c r="DM23" s="694"/>
      <c r="DN23" s="587"/>
      <c r="DO23" s="695"/>
      <c r="DP23" s="587"/>
      <c r="DQ23" s="695"/>
      <c r="DR23" s="587"/>
      <c r="DS23" s="695"/>
      <c r="DT23" s="587"/>
      <c r="DU23" s="695"/>
      <c r="DV23" s="587"/>
      <c r="DW23" s="695"/>
      <c r="DX23" s="587"/>
      <c r="DY23" s="695"/>
      <c r="DZ23" s="587"/>
      <c r="EA23" s="695"/>
      <c r="EB23" s="587"/>
      <c r="EC23" s="695"/>
      <c r="ED23" s="587"/>
      <c r="EE23" s="695"/>
      <c r="EF23" s="587"/>
      <c r="EG23" s="695"/>
      <c r="EH23" s="587"/>
      <c r="EI23" s="695"/>
      <c r="EJ23" s="587"/>
      <c r="EK23" s="695"/>
      <c r="EL23" s="587"/>
      <c r="EM23" s="695"/>
      <c r="EN23" s="587"/>
      <c r="EO23" s="695"/>
      <c r="EP23" s="587"/>
      <c r="EQ23" s="695"/>
      <c r="ER23" s="587"/>
      <c r="ES23" s="695"/>
      <c r="ET23" s="587"/>
      <c r="EU23" s="695"/>
      <c r="EV23" s="587"/>
      <c r="EW23" s="695"/>
      <c r="EX23" s="587"/>
      <c r="EY23" s="695"/>
      <c r="EZ23" s="587"/>
      <c r="FA23" s="695"/>
      <c r="FB23" s="587"/>
      <c r="FC23" s="695"/>
      <c r="FD23" s="587"/>
      <c r="FE23" s="695"/>
      <c r="FF23" s="587"/>
      <c r="FG23" s="695"/>
      <c r="FH23" s="589"/>
      <c r="FI23" s="563"/>
      <c r="FJ23" s="564"/>
      <c r="FK23" s="700"/>
      <c r="FL23" s="691"/>
      <c r="FM23" s="583"/>
      <c r="FN23" s="692"/>
      <c r="FO23" s="693"/>
      <c r="FP23" s="696"/>
      <c r="FQ23" s="697"/>
      <c r="FR23" s="587"/>
      <c r="FS23" s="698"/>
      <c r="FT23" s="697"/>
      <c r="FU23" s="592"/>
      <c r="FV23" s="593"/>
      <c r="FW23" s="594"/>
      <c r="FX23" s="595"/>
      <c r="FY23" s="596"/>
      <c r="FZ23" s="597"/>
      <c r="GA23" s="598"/>
      <c r="GB23" s="599"/>
      <c r="GC23" s="600"/>
      <c r="GD23" s="599"/>
      <c r="GE23" s="601"/>
      <c r="GF23" s="688"/>
      <c r="GG23" s="602"/>
      <c r="GH23" s="602"/>
      <c r="GI23" s="602"/>
      <c r="GJ23" s="615"/>
      <c r="GK23" s="580" t="s">
        <v>540</v>
      </c>
      <c r="GL23" s="609"/>
      <c r="GM23" s="718"/>
      <c r="GN23" s="719">
        <v>13</v>
      </c>
      <c r="GO23" s="500" t="s">
        <v>318</v>
      </c>
      <c r="GP23" s="719"/>
      <c r="GQ23" s="609"/>
      <c r="GR23" s="615"/>
      <c r="GS23" s="578"/>
      <c r="GT23" s="677"/>
      <c r="GU23" s="609"/>
      <c r="GV23" s="530"/>
      <c r="GW23" s="609"/>
      <c r="GX23" s="609"/>
      <c r="GY23" s="720"/>
      <c r="GZ23" s="721"/>
      <c r="HA23" s="413"/>
      <c r="HB23" s="721" t="s">
        <v>541</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542</v>
      </c>
      <c r="GL24" s="609"/>
      <c r="GM24" s="718"/>
      <c r="GN24" s="719">
        <v>0</v>
      </c>
      <c r="GO24" s="719"/>
      <c r="GP24" s="719"/>
      <c r="GQ24" s="609"/>
      <c r="GR24" s="615"/>
      <c r="GS24" s="609"/>
      <c r="GT24" s="677"/>
      <c r="GU24" s="580" t="s">
        <v>543</v>
      </c>
      <c r="GV24" s="609"/>
      <c r="GW24" s="609"/>
      <c r="GX24" s="413"/>
      <c r="GY24" s="722">
        <v>614</v>
      </c>
      <c r="GZ24" s="580" t="s">
        <v>319</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544</v>
      </c>
      <c r="GV25" s="609"/>
      <c r="GW25" s="609"/>
      <c r="GX25" s="413"/>
      <c r="GY25" s="733">
        <v>1</v>
      </c>
      <c r="GZ25" s="580"/>
      <c r="HA25" s="530"/>
      <c r="HB25" s="530"/>
      <c r="HC25" s="530"/>
      <c r="HD25" s="562"/>
      <c r="HE25" s="562"/>
      <c r="HF25" s="415"/>
      <c r="HG25" s="415"/>
    </row>
    <row r="26" spans="1:218" ht="20.100000000000001" customHeight="1">
      <c r="A26" s="641"/>
      <c r="B26" s="642"/>
      <c r="C26" s="642"/>
      <c r="D26" s="642" t="s">
        <v>320</v>
      </c>
      <c r="E26" s="642"/>
      <c r="F26" s="642"/>
      <c r="G26" s="644"/>
      <c r="H26" s="645">
        <f>SUM(H16:H25)</f>
        <v>93</v>
      </c>
      <c r="I26" s="734"/>
      <c r="J26" s="645">
        <f>SUM(J16:J25)</f>
        <v>74</v>
      </c>
      <c r="K26" s="735"/>
      <c r="L26" s="645">
        <f>SUM(L16:L25)</f>
        <v>71</v>
      </c>
      <c r="M26" s="735"/>
      <c r="N26" s="645">
        <f>SUM(N16:N25)</f>
        <v>68</v>
      </c>
      <c r="O26" s="735"/>
      <c r="P26" s="645">
        <f>SUM(P16:P25)</f>
        <v>67</v>
      </c>
      <c r="Q26" s="735"/>
      <c r="R26" s="645">
        <f>SUM(R16:R25)</f>
        <v>71</v>
      </c>
      <c r="S26" s="735"/>
      <c r="T26" s="645">
        <f>SUM(T16:T25)</f>
        <v>108</v>
      </c>
      <c r="U26" s="735"/>
      <c r="V26" s="645">
        <f>SUM(V16:V25)</f>
        <v>147</v>
      </c>
      <c r="W26" s="735"/>
      <c r="X26" s="645">
        <f>SUM(X16:X25)</f>
        <v>167</v>
      </c>
      <c r="Y26" s="735"/>
      <c r="Z26" s="645">
        <f>SUM(Z16:Z25)</f>
        <v>199</v>
      </c>
      <c r="AA26" s="735"/>
      <c r="AB26" s="645">
        <f>SUM(AB16:AB25)</f>
        <v>222</v>
      </c>
      <c r="AC26" s="735"/>
      <c r="AD26" s="645">
        <f>SUM(AD16:AD25)</f>
        <v>234</v>
      </c>
      <c r="AE26" s="735"/>
      <c r="AF26" s="645">
        <f>SUM(AF16:AF25)</f>
        <v>241</v>
      </c>
      <c r="AG26" s="735"/>
      <c r="AH26" s="645">
        <f>SUM(AH16:AH25)</f>
        <v>241</v>
      </c>
      <c r="AI26" s="735"/>
      <c r="AJ26" s="645">
        <f>SUM(AJ16:AJ25)</f>
        <v>225</v>
      </c>
      <c r="AK26" s="735"/>
      <c r="AL26" s="645">
        <f>SUM(AL16:AL25)</f>
        <v>212</v>
      </c>
      <c r="AM26" s="735"/>
      <c r="AN26" s="645">
        <f>SUM(AN16:AN25)</f>
        <v>186</v>
      </c>
      <c r="AO26" s="735"/>
      <c r="AP26" s="645">
        <f>SUM(AP16:AP25)</f>
        <v>167</v>
      </c>
      <c r="AQ26" s="735"/>
      <c r="AR26" s="645">
        <f>SUM(AR16:AR25)</f>
        <v>162</v>
      </c>
      <c r="AS26" s="735"/>
      <c r="AT26" s="645">
        <f>SUM(AT16:AT25)</f>
        <v>137</v>
      </c>
      <c r="AU26" s="735"/>
      <c r="AV26" s="645">
        <f>SUM(AV16:AV25)</f>
        <v>127</v>
      </c>
      <c r="AW26" s="735"/>
      <c r="AX26" s="645">
        <f>SUM(AX16:AX25)</f>
        <v>120</v>
      </c>
      <c r="AY26" s="735"/>
      <c r="AZ26" s="645">
        <f>SUM(AZ16:AZ25)</f>
        <v>108</v>
      </c>
      <c r="BA26" s="735"/>
      <c r="BB26" s="647">
        <f>SUM(BB16:BB25)</f>
        <v>101</v>
      </c>
      <c r="BC26" s="648"/>
      <c r="BD26" s="641"/>
      <c r="BE26" s="642"/>
      <c r="BF26" s="642"/>
      <c r="BG26" s="642" t="s">
        <v>321</v>
      </c>
      <c r="BH26" s="642"/>
      <c r="BI26" s="642"/>
      <c r="BJ26" s="644"/>
      <c r="BK26" s="645">
        <f>SUM(BK16:BK25)</f>
        <v>69</v>
      </c>
      <c r="BL26" s="734"/>
      <c r="BM26" s="645">
        <f>SUM(BM16:BM25)</f>
        <v>65</v>
      </c>
      <c r="BN26" s="735"/>
      <c r="BO26" s="645">
        <f>SUM(BO16:BO25)</f>
        <v>62</v>
      </c>
      <c r="BP26" s="735"/>
      <c r="BQ26" s="645">
        <f>SUM(BQ16:BQ25)</f>
        <v>59</v>
      </c>
      <c r="BR26" s="735"/>
      <c r="BS26" s="645">
        <f>SUM(BS16:BS25)</f>
        <v>58</v>
      </c>
      <c r="BT26" s="735"/>
      <c r="BU26" s="645">
        <f>SUM(BU16:BU25)</f>
        <v>62</v>
      </c>
      <c r="BV26" s="735"/>
      <c r="BW26" s="645">
        <f>SUM(BW16:BW25)</f>
        <v>87</v>
      </c>
      <c r="BX26" s="735"/>
      <c r="BY26" s="645">
        <f>SUM(BY16:BY25)</f>
        <v>137</v>
      </c>
      <c r="BZ26" s="735"/>
      <c r="CA26" s="645">
        <f>SUM(CA16:CA25)</f>
        <v>159</v>
      </c>
      <c r="CB26" s="735"/>
      <c r="CC26" s="645">
        <f>SUM(CC16:CC25)</f>
        <v>189</v>
      </c>
      <c r="CD26" s="735"/>
      <c r="CE26" s="645">
        <f>SUM(CE16:CE25)</f>
        <v>215</v>
      </c>
      <c r="CF26" s="735"/>
      <c r="CG26" s="645">
        <f>SUM(CG16:CG25)</f>
        <v>225</v>
      </c>
      <c r="CH26" s="735"/>
      <c r="CI26" s="645">
        <f>SUM(CI16:CI25)</f>
        <v>232</v>
      </c>
      <c r="CJ26" s="735"/>
      <c r="CK26" s="645">
        <f>SUM(CK16:CK25)</f>
        <v>225</v>
      </c>
      <c r="CL26" s="735"/>
      <c r="CM26" s="645">
        <f>SUM(CM16:CM25)</f>
        <v>212</v>
      </c>
      <c r="CN26" s="735"/>
      <c r="CO26" s="645">
        <f>SUM(CO16:CO25)</f>
        <v>199</v>
      </c>
      <c r="CP26" s="735"/>
      <c r="CQ26" s="645">
        <f>SUM(CQ16:CQ25)</f>
        <v>186</v>
      </c>
      <c r="CR26" s="735"/>
      <c r="CS26" s="645">
        <f>SUM(CS16:CS25)</f>
        <v>159</v>
      </c>
      <c r="CT26" s="735"/>
      <c r="CU26" s="645">
        <f>SUM(CU16:CU25)</f>
        <v>145</v>
      </c>
      <c r="CV26" s="735"/>
      <c r="CW26" s="645">
        <f>SUM(CW16:CW25)</f>
        <v>112</v>
      </c>
      <c r="CX26" s="735"/>
      <c r="CY26" s="645">
        <f>SUM(CY16:CY25)</f>
        <v>99</v>
      </c>
      <c r="CZ26" s="735"/>
      <c r="DA26" s="645">
        <f>SUM(DA16:DA25)</f>
        <v>87</v>
      </c>
      <c r="DB26" s="735"/>
      <c r="DC26" s="645">
        <f>SUM(DC16:DC25)</f>
        <v>84</v>
      </c>
      <c r="DD26" s="735"/>
      <c r="DE26" s="647">
        <f>SUM(DE16:DE25)</f>
        <v>72</v>
      </c>
      <c r="DF26" s="648"/>
      <c r="DG26" s="641"/>
      <c r="DH26" s="642"/>
      <c r="DI26" s="642"/>
      <c r="DJ26" s="642" t="s">
        <v>321</v>
      </c>
      <c r="DK26" s="642"/>
      <c r="DL26" s="642"/>
      <c r="DM26" s="644"/>
      <c r="DN26" s="645">
        <f>SUM(DN16:DN25)</f>
        <v>41</v>
      </c>
      <c r="DO26" s="734"/>
      <c r="DP26" s="645">
        <f>SUM(DP16:DP25)</f>
        <v>36</v>
      </c>
      <c r="DQ26" s="735"/>
      <c r="DR26" s="645">
        <f>SUM(DR16:DR25)</f>
        <v>33</v>
      </c>
      <c r="DS26" s="735"/>
      <c r="DT26" s="645">
        <f>SUM(DT16:DT25)</f>
        <v>30</v>
      </c>
      <c r="DU26" s="735"/>
      <c r="DV26" s="645">
        <f>SUM(DV16:DV25)</f>
        <v>28</v>
      </c>
      <c r="DW26" s="735"/>
      <c r="DX26" s="645">
        <f>SUM(DX16:DX25)</f>
        <v>30</v>
      </c>
      <c r="DY26" s="735"/>
      <c r="DZ26" s="645">
        <f>SUM(DZ16:DZ25)</f>
        <v>43</v>
      </c>
      <c r="EA26" s="735"/>
      <c r="EB26" s="645">
        <f>SUM(EB16:EB25)</f>
        <v>65</v>
      </c>
      <c r="EC26" s="735"/>
      <c r="ED26" s="645">
        <f>SUM(ED16:ED25)</f>
        <v>94</v>
      </c>
      <c r="EE26" s="735"/>
      <c r="EF26" s="645">
        <f>SUM(EF16:EF25)</f>
        <v>131</v>
      </c>
      <c r="EG26" s="735"/>
      <c r="EH26" s="645">
        <f>SUM(EH16:EH25)</f>
        <v>155</v>
      </c>
      <c r="EI26" s="735"/>
      <c r="EJ26" s="645">
        <f>SUM(EJ16:EJ25)</f>
        <v>175</v>
      </c>
      <c r="EK26" s="735"/>
      <c r="EL26" s="645">
        <f>SUM(EL16:EL25)</f>
        <v>179</v>
      </c>
      <c r="EM26" s="735"/>
      <c r="EN26" s="645">
        <f>SUM(EN16:EN25)</f>
        <v>170</v>
      </c>
      <c r="EO26" s="735"/>
      <c r="EP26" s="645">
        <f>SUM(EP16:EP25)</f>
        <v>159</v>
      </c>
      <c r="EQ26" s="735"/>
      <c r="ER26" s="645">
        <f>SUM(ER16:ER25)</f>
        <v>148</v>
      </c>
      <c r="ES26" s="735"/>
      <c r="ET26" s="645">
        <f>SUM(ET16:ET25)</f>
        <v>120</v>
      </c>
      <c r="EU26" s="735"/>
      <c r="EV26" s="645">
        <f>SUM(EV16:EV25)</f>
        <v>92</v>
      </c>
      <c r="EW26" s="735"/>
      <c r="EX26" s="645">
        <f>SUM(EX16:EX25)</f>
        <v>71</v>
      </c>
      <c r="EY26" s="735"/>
      <c r="EZ26" s="645">
        <f>SUM(EZ16:EZ25)</f>
        <v>62</v>
      </c>
      <c r="FA26" s="735"/>
      <c r="FB26" s="645">
        <f>SUM(FB16:FB25)</f>
        <v>58</v>
      </c>
      <c r="FC26" s="735"/>
      <c r="FD26" s="645">
        <f>SUM(FD16:FD25)</f>
        <v>55</v>
      </c>
      <c r="FE26" s="735"/>
      <c r="FF26" s="645">
        <f>SUM(FF16:FF25)</f>
        <v>52</v>
      </c>
      <c r="FG26" s="735"/>
      <c r="FH26" s="647">
        <f>SUM(FH16:FH25)</f>
        <v>46</v>
      </c>
      <c r="FI26" s="649"/>
      <c r="FJ26" s="564"/>
      <c r="FK26" s="642"/>
      <c r="FL26" s="642"/>
      <c r="FM26" s="642" t="s">
        <v>321</v>
      </c>
      <c r="FN26" s="642"/>
      <c r="FO26" s="642"/>
      <c r="FP26" s="650"/>
      <c r="FQ26" s="651"/>
      <c r="FR26" s="645">
        <f>SUM(FR16:FR25)</f>
        <v>650</v>
      </c>
      <c r="FS26" s="736"/>
      <c r="FT26" s="651"/>
      <c r="FU26" s="653">
        <f>SUM(FU16:FU25)</f>
        <v>586</v>
      </c>
      <c r="FV26" s="593"/>
      <c r="FW26" s="594"/>
      <c r="FX26" s="595"/>
      <c r="FY26" s="596"/>
      <c r="FZ26" s="597"/>
      <c r="GA26" s="598"/>
      <c r="GB26" s="599"/>
      <c r="GC26" s="600"/>
      <c r="GD26" s="599"/>
      <c r="GE26" s="601"/>
      <c r="GF26" s="654"/>
      <c r="GG26" s="655"/>
      <c r="GH26" s="655"/>
      <c r="GI26" s="655"/>
      <c r="GJ26" s="615"/>
      <c r="GK26" s="530" t="s">
        <v>545</v>
      </c>
      <c r="GL26" s="615"/>
      <c r="GM26" s="530"/>
      <c r="GN26" s="615"/>
      <c r="GO26" s="530"/>
      <c r="GP26" s="615"/>
      <c r="GQ26" s="615"/>
      <c r="GR26" s="615"/>
      <c r="GS26" s="579"/>
      <c r="GT26" s="677"/>
      <c r="GU26" s="580" t="s">
        <v>546</v>
      </c>
      <c r="GV26" s="609"/>
      <c r="GW26" s="609"/>
      <c r="GX26" s="413"/>
      <c r="GY26" s="733">
        <v>0</v>
      </c>
      <c r="GZ26" s="580"/>
      <c r="HA26" s="530"/>
      <c r="HB26" s="530"/>
      <c r="HC26" s="530"/>
      <c r="HD26" s="648"/>
      <c r="HE26" s="415"/>
      <c r="HF26" s="415"/>
      <c r="HG26" s="580"/>
      <c r="HH26" s="648"/>
      <c r="HI26" s="415"/>
      <c r="HJ26" s="415"/>
    </row>
    <row r="27" spans="1:218" ht="20.100000000000001" customHeight="1">
      <c r="A27" s="737" t="s">
        <v>427</v>
      </c>
      <c r="B27" s="738"/>
      <c r="C27" s="739"/>
      <c r="D27" s="663"/>
      <c r="E27" s="739"/>
      <c r="F27" s="739"/>
      <c r="G27" s="740" t="s">
        <v>322</v>
      </c>
      <c r="H27" s="663" t="s">
        <v>428</v>
      </c>
      <c r="I27" s="741" t="s">
        <v>429</v>
      </c>
      <c r="J27" s="663" t="s">
        <v>428</v>
      </c>
      <c r="K27" s="742" t="s">
        <v>322</v>
      </c>
      <c r="L27" s="663" t="s">
        <v>430</v>
      </c>
      <c r="M27" s="742" t="s">
        <v>429</v>
      </c>
      <c r="N27" s="663" t="s">
        <v>428</v>
      </c>
      <c r="O27" s="742" t="s">
        <v>429</v>
      </c>
      <c r="P27" s="663" t="s">
        <v>428</v>
      </c>
      <c r="Q27" s="742" t="s">
        <v>429</v>
      </c>
      <c r="R27" s="663" t="s">
        <v>430</v>
      </c>
      <c r="S27" s="742" t="s">
        <v>322</v>
      </c>
      <c r="T27" s="663" t="s">
        <v>428</v>
      </c>
      <c r="U27" s="742" t="s">
        <v>322</v>
      </c>
      <c r="V27" s="663" t="s">
        <v>430</v>
      </c>
      <c r="W27" s="742" t="s">
        <v>322</v>
      </c>
      <c r="X27" s="663" t="s">
        <v>430</v>
      </c>
      <c r="Y27" s="742" t="s">
        <v>322</v>
      </c>
      <c r="Z27" s="663" t="s">
        <v>430</v>
      </c>
      <c r="AA27" s="742" t="s">
        <v>429</v>
      </c>
      <c r="AB27" s="663" t="s">
        <v>430</v>
      </c>
      <c r="AC27" s="742" t="s">
        <v>322</v>
      </c>
      <c r="AD27" s="663" t="s">
        <v>428</v>
      </c>
      <c r="AE27" s="742" t="s">
        <v>429</v>
      </c>
      <c r="AF27" s="663" t="s">
        <v>428</v>
      </c>
      <c r="AG27" s="742" t="s">
        <v>429</v>
      </c>
      <c r="AH27" s="663" t="s">
        <v>428</v>
      </c>
      <c r="AI27" s="742" t="s">
        <v>429</v>
      </c>
      <c r="AJ27" s="663" t="s">
        <v>430</v>
      </c>
      <c r="AK27" s="742" t="s">
        <v>429</v>
      </c>
      <c r="AL27" s="663" t="s">
        <v>428</v>
      </c>
      <c r="AM27" s="742" t="s">
        <v>429</v>
      </c>
      <c r="AN27" s="663" t="s">
        <v>430</v>
      </c>
      <c r="AO27" s="742" t="s">
        <v>429</v>
      </c>
      <c r="AP27" s="663" t="s">
        <v>428</v>
      </c>
      <c r="AQ27" s="742" t="s">
        <v>322</v>
      </c>
      <c r="AR27" s="663" t="s">
        <v>430</v>
      </c>
      <c r="AS27" s="742" t="s">
        <v>322</v>
      </c>
      <c r="AT27" s="663" t="s">
        <v>428</v>
      </c>
      <c r="AU27" s="742" t="s">
        <v>322</v>
      </c>
      <c r="AV27" s="663" t="s">
        <v>430</v>
      </c>
      <c r="AW27" s="742" t="s">
        <v>322</v>
      </c>
      <c r="AX27" s="663" t="s">
        <v>428</v>
      </c>
      <c r="AY27" s="742" t="s">
        <v>322</v>
      </c>
      <c r="AZ27" s="663" t="s">
        <v>430</v>
      </c>
      <c r="BA27" s="742" t="s">
        <v>322</v>
      </c>
      <c r="BB27" s="665" t="s">
        <v>430</v>
      </c>
      <c r="BC27" s="723"/>
      <c r="BD27" s="737" t="s">
        <v>431</v>
      </c>
      <c r="BE27" s="738"/>
      <c r="BF27" s="739"/>
      <c r="BG27" s="663"/>
      <c r="BH27" s="739"/>
      <c r="BI27" s="739"/>
      <c r="BJ27" s="740" t="s">
        <v>429</v>
      </c>
      <c r="BK27" s="663" t="s">
        <v>428</v>
      </c>
      <c r="BL27" s="741" t="s">
        <v>429</v>
      </c>
      <c r="BM27" s="663" t="s">
        <v>430</v>
      </c>
      <c r="BN27" s="742" t="s">
        <v>322</v>
      </c>
      <c r="BO27" s="663" t="s">
        <v>430</v>
      </c>
      <c r="BP27" s="742" t="s">
        <v>322</v>
      </c>
      <c r="BQ27" s="663" t="s">
        <v>428</v>
      </c>
      <c r="BR27" s="742" t="s">
        <v>322</v>
      </c>
      <c r="BS27" s="663" t="s">
        <v>430</v>
      </c>
      <c r="BT27" s="742" t="s">
        <v>429</v>
      </c>
      <c r="BU27" s="663" t="s">
        <v>430</v>
      </c>
      <c r="BV27" s="742" t="s">
        <v>429</v>
      </c>
      <c r="BW27" s="663" t="s">
        <v>428</v>
      </c>
      <c r="BX27" s="742" t="s">
        <v>429</v>
      </c>
      <c r="BY27" s="663" t="s">
        <v>428</v>
      </c>
      <c r="BZ27" s="742" t="s">
        <v>429</v>
      </c>
      <c r="CA27" s="663" t="s">
        <v>430</v>
      </c>
      <c r="CB27" s="742" t="s">
        <v>322</v>
      </c>
      <c r="CC27" s="663" t="s">
        <v>430</v>
      </c>
      <c r="CD27" s="742" t="s">
        <v>429</v>
      </c>
      <c r="CE27" s="663" t="s">
        <v>428</v>
      </c>
      <c r="CF27" s="742" t="s">
        <v>429</v>
      </c>
      <c r="CG27" s="663" t="s">
        <v>430</v>
      </c>
      <c r="CH27" s="742" t="s">
        <v>322</v>
      </c>
      <c r="CI27" s="663" t="s">
        <v>428</v>
      </c>
      <c r="CJ27" s="742" t="s">
        <v>429</v>
      </c>
      <c r="CK27" s="663" t="s">
        <v>430</v>
      </c>
      <c r="CL27" s="742" t="s">
        <v>322</v>
      </c>
      <c r="CM27" s="663" t="s">
        <v>428</v>
      </c>
      <c r="CN27" s="742" t="s">
        <v>429</v>
      </c>
      <c r="CO27" s="663" t="s">
        <v>428</v>
      </c>
      <c r="CP27" s="742" t="s">
        <v>429</v>
      </c>
      <c r="CQ27" s="663" t="s">
        <v>428</v>
      </c>
      <c r="CR27" s="742" t="s">
        <v>322</v>
      </c>
      <c r="CS27" s="663" t="s">
        <v>430</v>
      </c>
      <c r="CT27" s="742" t="s">
        <v>429</v>
      </c>
      <c r="CU27" s="663" t="s">
        <v>430</v>
      </c>
      <c r="CV27" s="742" t="s">
        <v>322</v>
      </c>
      <c r="CW27" s="663" t="s">
        <v>430</v>
      </c>
      <c r="CX27" s="742" t="s">
        <v>322</v>
      </c>
      <c r="CY27" s="663" t="s">
        <v>430</v>
      </c>
      <c r="CZ27" s="742" t="s">
        <v>322</v>
      </c>
      <c r="DA27" s="663" t="s">
        <v>428</v>
      </c>
      <c r="DB27" s="742" t="s">
        <v>322</v>
      </c>
      <c r="DC27" s="663" t="s">
        <v>430</v>
      </c>
      <c r="DD27" s="742" t="s">
        <v>429</v>
      </c>
      <c r="DE27" s="665" t="s">
        <v>428</v>
      </c>
      <c r="DF27" s="723"/>
      <c r="DG27" s="737" t="s">
        <v>431</v>
      </c>
      <c r="DH27" s="743"/>
      <c r="DI27" s="744"/>
      <c r="DJ27" s="745"/>
      <c r="DK27" s="744"/>
      <c r="DL27" s="744"/>
      <c r="DM27" s="740" t="s">
        <v>322</v>
      </c>
      <c r="DN27" s="663" t="s">
        <v>430</v>
      </c>
      <c r="DO27" s="741" t="s">
        <v>429</v>
      </c>
      <c r="DP27" s="663" t="s">
        <v>430</v>
      </c>
      <c r="DQ27" s="742" t="s">
        <v>322</v>
      </c>
      <c r="DR27" s="663" t="s">
        <v>428</v>
      </c>
      <c r="DS27" s="742" t="s">
        <v>429</v>
      </c>
      <c r="DT27" s="663" t="s">
        <v>428</v>
      </c>
      <c r="DU27" s="742" t="s">
        <v>429</v>
      </c>
      <c r="DV27" s="663" t="s">
        <v>428</v>
      </c>
      <c r="DW27" s="742" t="s">
        <v>429</v>
      </c>
      <c r="DX27" s="663" t="s">
        <v>430</v>
      </c>
      <c r="DY27" s="742" t="s">
        <v>429</v>
      </c>
      <c r="DZ27" s="663" t="s">
        <v>428</v>
      </c>
      <c r="EA27" s="742" t="s">
        <v>429</v>
      </c>
      <c r="EB27" s="663" t="s">
        <v>430</v>
      </c>
      <c r="EC27" s="742" t="s">
        <v>429</v>
      </c>
      <c r="ED27" s="663" t="s">
        <v>428</v>
      </c>
      <c r="EE27" s="742" t="s">
        <v>322</v>
      </c>
      <c r="EF27" s="663" t="s">
        <v>430</v>
      </c>
      <c r="EG27" s="742" t="s">
        <v>322</v>
      </c>
      <c r="EH27" s="663" t="s">
        <v>428</v>
      </c>
      <c r="EI27" s="742" t="s">
        <v>322</v>
      </c>
      <c r="EJ27" s="663" t="s">
        <v>430</v>
      </c>
      <c r="EK27" s="742" t="s">
        <v>322</v>
      </c>
      <c r="EL27" s="663" t="s">
        <v>428</v>
      </c>
      <c r="EM27" s="742" t="s">
        <v>322</v>
      </c>
      <c r="EN27" s="663" t="s">
        <v>430</v>
      </c>
      <c r="EO27" s="742" t="s">
        <v>322</v>
      </c>
      <c r="EP27" s="663" t="s">
        <v>430</v>
      </c>
      <c r="EQ27" s="742" t="s">
        <v>429</v>
      </c>
      <c r="ER27" s="663" t="s">
        <v>430</v>
      </c>
      <c r="ES27" s="742" t="s">
        <v>322</v>
      </c>
      <c r="ET27" s="663" t="s">
        <v>428</v>
      </c>
      <c r="EU27" s="742" t="s">
        <v>322</v>
      </c>
      <c r="EV27" s="663" t="s">
        <v>428</v>
      </c>
      <c r="EW27" s="742" t="s">
        <v>429</v>
      </c>
      <c r="EX27" s="663" t="s">
        <v>428</v>
      </c>
      <c r="EY27" s="742" t="s">
        <v>429</v>
      </c>
      <c r="EZ27" s="663" t="s">
        <v>428</v>
      </c>
      <c r="FA27" s="742" t="s">
        <v>322</v>
      </c>
      <c r="FB27" s="663" t="s">
        <v>430</v>
      </c>
      <c r="FC27" s="742" t="s">
        <v>322</v>
      </c>
      <c r="FD27" s="663" t="s">
        <v>428</v>
      </c>
      <c r="FE27" s="742" t="s">
        <v>429</v>
      </c>
      <c r="FF27" s="663" t="s">
        <v>428</v>
      </c>
      <c r="FG27" s="742" t="s">
        <v>322</v>
      </c>
      <c r="FH27" s="665" t="s">
        <v>430</v>
      </c>
      <c r="FI27" s="746"/>
      <c r="FJ27" s="542" t="s">
        <v>432</v>
      </c>
      <c r="FK27" s="743"/>
      <c r="FL27" s="744"/>
      <c r="FM27" s="745"/>
      <c r="FN27" s="744"/>
      <c r="FO27" s="744"/>
      <c r="FP27" s="747" t="s">
        <v>433</v>
      </c>
      <c r="FQ27" s="673" t="s">
        <v>429</v>
      </c>
      <c r="FR27" s="663" t="s">
        <v>434</v>
      </c>
      <c r="FS27" s="748" t="s">
        <v>433</v>
      </c>
      <c r="FT27" s="673" t="s">
        <v>429</v>
      </c>
      <c r="FU27" s="675" t="s">
        <v>434</v>
      </c>
      <c r="FV27" s="593"/>
      <c r="FW27" s="594"/>
      <c r="FX27" s="595"/>
      <c r="FY27" s="596"/>
      <c r="FZ27" s="597"/>
      <c r="GA27" s="598"/>
      <c r="GB27" s="599"/>
      <c r="GC27" s="600"/>
      <c r="GD27" s="599"/>
      <c r="GE27" s="601"/>
      <c r="GF27" s="749"/>
      <c r="GG27" s="750"/>
      <c r="GH27" s="750"/>
      <c r="GI27" s="750"/>
      <c r="GJ27" s="615"/>
      <c r="GK27" s="530" t="s">
        <v>547</v>
      </c>
      <c r="GL27" s="615"/>
      <c r="GM27" s="615"/>
      <c r="GN27" s="615"/>
      <c r="GO27" s="413"/>
      <c r="GP27" s="751">
        <v>27.3</v>
      </c>
      <c r="GQ27" s="413" t="s">
        <v>548</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435</v>
      </c>
      <c r="C28" s="753"/>
      <c r="D28" s="754">
        <v>51</v>
      </c>
      <c r="E28" s="755">
        <v>2</v>
      </c>
      <c r="F28" s="756" t="s">
        <v>436</v>
      </c>
      <c r="G28" s="757">
        <v>1</v>
      </c>
      <c r="H28" s="559">
        <v>102</v>
      </c>
      <c r="I28" s="758">
        <v>1</v>
      </c>
      <c r="J28" s="559">
        <v>102</v>
      </c>
      <c r="K28" s="758">
        <v>1</v>
      </c>
      <c r="L28" s="559">
        <v>102</v>
      </c>
      <c r="M28" s="758">
        <v>1</v>
      </c>
      <c r="N28" s="559">
        <v>102</v>
      </c>
      <c r="O28" s="758">
        <v>1</v>
      </c>
      <c r="P28" s="559">
        <v>102</v>
      </c>
      <c r="Q28" s="758">
        <v>1</v>
      </c>
      <c r="R28" s="559">
        <v>102</v>
      </c>
      <c r="S28" s="758">
        <v>1</v>
      </c>
      <c r="T28" s="559">
        <v>102</v>
      </c>
      <c r="U28" s="758">
        <v>1</v>
      </c>
      <c r="V28" s="559">
        <v>102</v>
      </c>
      <c r="W28" s="758">
        <v>1</v>
      </c>
      <c r="X28" s="559">
        <v>102</v>
      </c>
      <c r="Y28" s="758">
        <v>1</v>
      </c>
      <c r="Z28" s="559">
        <v>102</v>
      </c>
      <c r="AA28" s="758">
        <v>1</v>
      </c>
      <c r="AB28" s="559">
        <v>102</v>
      </c>
      <c r="AC28" s="758">
        <v>1</v>
      </c>
      <c r="AD28" s="559">
        <v>102</v>
      </c>
      <c r="AE28" s="758">
        <v>1</v>
      </c>
      <c r="AF28" s="559">
        <v>102</v>
      </c>
      <c r="AG28" s="758">
        <v>1</v>
      </c>
      <c r="AH28" s="559">
        <v>102</v>
      </c>
      <c r="AI28" s="758">
        <v>1</v>
      </c>
      <c r="AJ28" s="559">
        <v>102</v>
      </c>
      <c r="AK28" s="758">
        <v>1</v>
      </c>
      <c r="AL28" s="559">
        <v>102</v>
      </c>
      <c r="AM28" s="758">
        <v>1</v>
      </c>
      <c r="AN28" s="559">
        <v>102</v>
      </c>
      <c r="AO28" s="758">
        <v>1</v>
      </c>
      <c r="AP28" s="559">
        <v>102</v>
      </c>
      <c r="AQ28" s="758">
        <v>1</v>
      </c>
      <c r="AR28" s="559">
        <v>102</v>
      </c>
      <c r="AS28" s="758">
        <v>1</v>
      </c>
      <c r="AT28" s="559">
        <v>102</v>
      </c>
      <c r="AU28" s="758">
        <v>1</v>
      </c>
      <c r="AV28" s="559">
        <v>102</v>
      </c>
      <c r="AW28" s="758">
        <v>1</v>
      </c>
      <c r="AX28" s="559">
        <v>102</v>
      </c>
      <c r="AY28" s="758">
        <v>1</v>
      </c>
      <c r="AZ28" s="559">
        <v>102</v>
      </c>
      <c r="BA28" s="758">
        <v>1</v>
      </c>
      <c r="BB28" s="684">
        <v>102</v>
      </c>
      <c r="BC28" s="562"/>
      <c r="BD28" s="552"/>
      <c r="BE28" s="752" t="s">
        <v>435</v>
      </c>
      <c r="BF28" s="753"/>
      <c r="BG28" s="754">
        <v>51</v>
      </c>
      <c r="BH28" s="755">
        <v>2</v>
      </c>
      <c r="BI28" s="756" t="s">
        <v>436</v>
      </c>
      <c r="BJ28" s="757">
        <v>1</v>
      </c>
      <c r="BK28" s="559">
        <v>102</v>
      </c>
      <c r="BL28" s="758">
        <v>1</v>
      </c>
      <c r="BM28" s="559">
        <v>102</v>
      </c>
      <c r="BN28" s="758">
        <v>1</v>
      </c>
      <c r="BO28" s="559">
        <v>102</v>
      </c>
      <c r="BP28" s="758">
        <v>1</v>
      </c>
      <c r="BQ28" s="559">
        <v>102</v>
      </c>
      <c r="BR28" s="758">
        <v>1</v>
      </c>
      <c r="BS28" s="559">
        <v>102</v>
      </c>
      <c r="BT28" s="758">
        <v>1</v>
      </c>
      <c r="BU28" s="559">
        <v>102</v>
      </c>
      <c r="BV28" s="758">
        <v>1</v>
      </c>
      <c r="BW28" s="559">
        <v>102</v>
      </c>
      <c r="BX28" s="758">
        <v>1</v>
      </c>
      <c r="BY28" s="559">
        <v>102</v>
      </c>
      <c r="BZ28" s="758">
        <v>1</v>
      </c>
      <c r="CA28" s="559">
        <v>102</v>
      </c>
      <c r="CB28" s="758">
        <v>1</v>
      </c>
      <c r="CC28" s="559">
        <v>102</v>
      </c>
      <c r="CD28" s="758">
        <v>1</v>
      </c>
      <c r="CE28" s="559">
        <v>102</v>
      </c>
      <c r="CF28" s="758">
        <v>1</v>
      </c>
      <c r="CG28" s="559">
        <v>102</v>
      </c>
      <c r="CH28" s="758">
        <v>1</v>
      </c>
      <c r="CI28" s="559">
        <v>102</v>
      </c>
      <c r="CJ28" s="758">
        <v>1</v>
      </c>
      <c r="CK28" s="559">
        <v>102</v>
      </c>
      <c r="CL28" s="758">
        <v>1</v>
      </c>
      <c r="CM28" s="559">
        <v>102</v>
      </c>
      <c r="CN28" s="758">
        <v>1</v>
      </c>
      <c r="CO28" s="559">
        <v>102</v>
      </c>
      <c r="CP28" s="758">
        <v>1</v>
      </c>
      <c r="CQ28" s="559">
        <v>102</v>
      </c>
      <c r="CR28" s="758">
        <v>1</v>
      </c>
      <c r="CS28" s="559">
        <v>102</v>
      </c>
      <c r="CT28" s="758">
        <v>1</v>
      </c>
      <c r="CU28" s="559">
        <v>102</v>
      </c>
      <c r="CV28" s="758">
        <v>1</v>
      </c>
      <c r="CW28" s="559">
        <v>102</v>
      </c>
      <c r="CX28" s="758">
        <v>1</v>
      </c>
      <c r="CY28" s="559">
        <v>102</v>
      </c>
      <c r="CZ28" s="758">
        <v>1</v>
      </c>
      <c r="DA28" s="559">
        <v>102</v>
      </c>
      <c r="DB28" s="758">
        <v>1</v>
      </c>
      <c r="DC28" s="559">
        <v>102</v>
      </c>
      <c r="DD28" s="758">
        <v>1</v>
      </c>
      <c r="DE28" s="684">
        <v>102</v>
      </c>
      <c r="DF28" s="562"/>
      <c r="DG28" s="552"/>
      <c r="DH28" s="752" t="s">
        <v>435</v>
      </c>
      <c r="DI28" s="753"/>
      <c r="DJ28" s="754">
        <v>51</v>
      </c>
      <c r="DK28" s="755">
        <v>2</v>
      </c>
      <c r="DL28" s="756" t="s">
        <v>436</v>
      </c>
      <c r="DM28" s="757">
        <v>1</v>
      </c>
      <c r="DN28" s="559">
        <v>102</v>
      </c>
      <c r="DO28" s="758">
        <v>1</v>
      </c>
      <c r="DP28" s="559">
        <v>102</v>
      </c>
      <c r="DQ28" s="758">
        <v>1</v>
      </c>
      <c r="DR28" s="559">
        <v>102</v>
      </c>
      <c r="DS28" s="758">
        <v>1</v>
      </c>
      <c r="DT28" s="559">
        <v>102</v>
      </c>
      <c r="DU28" s="758">
        <v>1</v>
      </c>
      <c r="DV28" s="559">
        <v>102</v>
      </c>
      <c r="DW28" s="758">
        <v>1</v>
      </c>
      <c r="DX28" s="559">
        <v>102</v>
      </c>
      <c r="DY28" s="758">
        <v>1</v>
      </c>
      <c r="DZ28" s="559">
        <v>102</v>
      </c>
      <c r="EA28" s="758">
        <v>1</v>
      </c>
      <c r="EB28" s="559">
        <v>102</v>
      </c>
      <c r="EC28" s="758">
        <v>1</v>
      </c>
      <c r="ED28" s="559">
        <v>102</v>
      </c>
      <c r="EE28" s="758">
        <v>1</v>
      </c>
      <c r="EF28" s="559">
        <v>102</v>
      </c>
      <c r="EG28" s="758">
        <v>1</v>
      </c>
      <c r="EH28" s="559">
        <v>102</v>
      </c>
      <c r="EI28" s="758">
        <v>1</v>
      </c>
      <c r="EJ28" s="559">
        <v>102</v>
      </c>
      <c r="EK28" s="758">
        <v>1</v>
      </c>
      <c r="EL28" s="559">
        <v>102</v>
      </c>
      <c r="EM28" s="758">
        <v>1</v>
      </c>
      <c r="EN28" s="559">
        <v>102</v>
      </c>
      <c r="EO28" s="758">
        <v>1</v>
      </c>
      <c r="EP28" s="559">
        <v>102</v>
      </c>
      <c r="EQ28" s="758">
        <v>1</v>
      </c>
      <c r="ER28" s="559">
        <v>102</v>
      </c>
      <c r="ES28" s="758">
        <v>1</v>
      </c>
      <c r="ET28" s="559">
        <v>102</v>
      </c>
      <c r="EU28" s="758">
        <v>1</v>
      </c>
      <c r="EV28" s="559">
        <v>102</v>
      </c>
      <c r="EW28" s="758">
        <v>1</v>
      </c>
      <c r="EX28" s="559">
        <v>102</v>
      </c>
      <c r="EY28" s="758">
        <v>1</v>
      </c>
      <c r="EZ28" s="559">
        <v>102</v>
      </c>
      <c r="FA28" s="758">
        <v>1</v>
      </c>
      <c r="FB28" s="559">
        <v>102</v>
      </c>
      <c r="FC28" s="758">
        <v>1</v>
      </c>
      <c r="FD28" s="559">
        <v>102</v>
      </c>
      <c r="FE28" s="758">
        <v>1</v>
      </c>
      <c r="FF28" s="559">
        <v>102</v>
      </c>
      <c r="FG28" s="758">
        <v>1</v>
      </c>
      <c r="FH28" s="684">
        <v>102</v>
      </c>
      <c r="FI28" s="563"/>
      <c r="FJ28" s="564"/>
      <c r="FK28" s="752" t="s">
        <v>437</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549</v>
      </c>
      <c r="GL28" s="413"/>
      <c r="GM28" s="413"/>
      <c r="GN28" s="413"/>
      <c r="GO28" s="530"/>
      <c r="GP28" s="751">
        <v>28</v>
      </c>
      <c r="GQ28" s="413" t="s">
        <v>550</v>
      </c>
      <c r="GR28" s="733"/>
      <c r="GS28" s="530"/>
      <c r="GT28" s="763"/>
      <c r="GU28" s="580" t="s">
        <v>551</v>
      </c>
      <c r="GV28" s="609"/>
      <c r="GW28" s="530"/>
      <c r="GX28" s="529"/>
      <c r="GY28" s="409"/>
      <c r="GZ28" s="615"/>
      <c r="HA28" s="530"/>
      <c r="HB28" s="530"/>
      <c r="HC28" s="530"/>
      <c r="HD28" s="530"/>
      <c r="HE28" s="415"/>
      <c r="HF28" s="415"/>
      <c r="HG28" s="415"/>
      <c r="HH28" s="415"/>
    </row>
    <row r="29" spans="1:218" ht="20.100000000000001" customHeight="1" thickBot="1">
      <c r="A29" s="552"/>
      <c r="B29" s="764" t="s">
        <v>438</v>
      </c>
      <c r="C29" s="765"/>
      <c r="D29" s="766">
        <v>15</v>
      </c>
      <c r="E29" s="767">
        <v>13</v>
      </c>
      <c r="F29" s="768" t="s">
        <v>436</v>
      </c>
      <c r="G29" s="769">
        <v>1</v>
      </c>
      <c r="H29" s="587">
        <v>195</v>
      </c>
      <c r="I29" s="770">
        <v>1</v>
      </c>
      <c r="J29" s="587">
        <v>195</v>
      </c>
      <c r="K29" s="770">
        <v>1</v>
      </c>
      <c r="L29" s="587">
        <v>195</v>
      </c>
      <c r="M29" s="770">
        <v>1</v>
      </c>
      <c r="N29" s="587">
        <v>195</v>
      </c>
      <c r="O29" s="770">
        <v>1</v>
      </c>
      <c r="P29" s="587">
        <v>195</v>
      </c>
      <c r="Q29" s="770">
        <v>1</v>
      </c>
      <c r="R29" s="587">
        <v>195</v>
      </c>
      <c r="S29" s="770">
        <v>1</v>
      </c>
      <c r="T29" s="587">
        <v>195</v>
      </c>
      <c r="U29" s="770">
        <v>1</v>
      </c>
      <c r="V29" s="587">
        <v>195</v>
      </c>
      <c r="W29" s="770">
        <v>1</v>
      </c>
      <c r="X29" s="587">
        <v>195</v>
      </c>
      <c r="Y29" s="770">
        <v>1</v>
      </c>
      <c r="Z29" s="587">
        <v>195</v>
      </c>
      <c r="AA29" s="770">
        <v>1</v>
      </c>
      <c r="AB29" s="587">
        <v>195</v>
      </c>
      <c r="AC29" s="770">
        <v>1</v>
      </c>
      <c r="AD29" s="587">
        <v>195</v>
      </c>
      <c r="AE29" s="770">
        <v>1</v>
      </c>
      <c r="AF29" s="587">
        <v>195</v>
      </c>
      <c r="AG29" s="770">
        <v>1</v>
      </c>
      <c r="AH29" s="587">
        <v>195</v>
      </c>
      <c r="AI29" s="770">
        <v>1</v>
      </c>
      <c r="AJ29" s="587">
        <v>195</v>
      </c>
      <c r="AK29" s="770">
        <v>1</v>
      </c>
      <c r="AL29" s="587">
        <v>195</v>
      </c>
      <c r="AM29" s="770">
        <v>1</v>
      </c>
      <c r="AN29" s="587">
        <v>195</v>
      </c>
      <c r="AO29" s="770">
        <v>1</v>
      </c>
      <c r="AP29" s="587">
        <v>195</v>
      </c>
      <c r="AQ29" s="770">
        <v>1</v>
      </c>
      <c r="AR29" s="587">
        <v>195</v>
      </c>
      <c r="AS29" s="770">
        <v>1</v>
      </c>
      <c r="AT29" s="587">
        <v>195</v>
      </c>
      <c r="AU29" s="770">
        <v>1</v>
      </c>
      <c r="AV29" s="587">
        <v>195</v>
      </c>
      <c r="AW29" s="770">
        <v>1</v>
      </c>
      <c r="AX29" s="587">
        <v>195</v>
      </c>
      <c r="AY29" s="770">
        <v>1</v>
      </c>
      <c r="AZ29" s="587">
        <v>195</v>
      </c>
      <c r="BA29" s="770">
        <v>1</v>
      </c>
      <c r="BB29" s="589">
        <v>195</v>
      </c>
      <c r="BC29" s="562"/>
      <c r="BD29" s="552"/>
      <c r="BE29" s="764" t="s">
        <v>439</v>
      </c>
      <c r="BF29" s="765"/>
      <c r="BG29" s="766">
        <v>15</v>
      </c>
      <c r="BH29" s="767">
        <v>13</v>
      </c>
      <c r="BI29" s="768" t="s">
        <v>436</v>
      </c>
      <c r="BJ29" s="769">
        <v>1</v>
      </c>
      <c r="BK29" s="587">
        <v>195</v>
      </c>
      <c r="BL29" s="770">
        <v>1</v>
      </c>
      <c r="BM29" s="587">
        <v>195</v>
      </c>
      <c r="BN29" s="770">
        <v>1</v>
      </c>
      <c r="BO29" s="587">
        <v>195</v>
      </c>
      <c r="BP29" s="770">
        <v>1</v>
      </c>
      <c r="BQ29" s="587">
        <v>195</v>
      </c>
      <c r="BR29" s="770">
        <v>1</v>
      </c>
      <c r="BS29" s="587">
        <v>195</v>
      </c>
      <c r="BT29" s="770">
        <v>1</v>
      </c>
      <c r="BU29" s="587">
        <v>195</v>
      </c>
      <c r="BV29" s="770">
        <v>1</v>
      </c>
      <c r="BW29" s="587">
        <v>195</v>
      </c>
      <c r="BX29" s="770">
        <v>1</v>
      </c>
      <c r="BY29" s="587">
        <v>195</v>
      </c>
      <c r="BZ29" s="770">
        <v>1</v>
      </c>
      <c r="CA29" s="587">
        <v>195</v>
      </c>
      <c r="CB29" s="770">
        <v>1</v>
      </c>
      <c r="CC29" s="587">
        <v>195</v>
      </c>
      <c r="CD29" s="770">
        <v>1</v>
      </c>
      <c r="CE29" s="587">
        <v>195</v>
      </c>
      <c r="CF29" s="770">
        <v>1</v>
      </c>
      <c r="CG29" s="587">
        <v>195</v>
      </c>
      <c r="CH29" s="770">
        <v>1</v>
      </c>
      <c r="CI29" s="587">
        <v>195</v>
      </c>
      <c r="CJ29" s="770">
        <v>1</v>
      </c>
      <c r="CK29" s="587">
        <v>195</v>
      </c>
      <c r="CL29" s="770">
        <v>1</v>
      </c>
      <c r="CM29" s="587">
        <v>195</v>
      </c>
      <c r="CN29" s="770">
        <v>1</v>
      </c>
      <c r="CO29" s="587">
        <v>195</v>
      </c>
      <c r="CP29" s="770">
        <v>1</v>
      </c>
      <c r="CQ29" s="587">
        <v>195</v>
      </c>
      <c r="CR29" s="770">
        <v>1</v>
      </c>
      <c r="CS29" s="587">
        <v>195</v>
      </c>
      <c r="CT29" s="770">
        <v>1</v>
      </c>
      <c r="CU29" s="587">
        <v>195</v>
      </c>
      <c r="CV29" s="770">
        <v>1</v>
      </c>
      <c r="CW29" s="587">
        <v>195</v>
      </c>
      <c r="CX29" s="770">
        <v>1</v>
      </c>
      <c r="CY29" s="587">
        <v>195</v>
      </c>
      <c r="CZ29" s="770">
        <v>1</v>
      </c>
      <c r="DA29" s="587">
        <v>195</v>
      </c>
      <c r="DB29" s="770">
        <v>1</v>
      </c>
      <c r="DC29" s="587">
        <v>195</v>
      </c>
      <c r="DD29" s="770">
        <v>1</v>
      </c>
      <c r="DE29" s="589">
        <v>195</v>
      </c>
      <c r="DF29" s="562"/>
      <c r="DG29" s="552"/>
      <c r="DH29" s="764" t="s">
        <v>438</v>
      </c>
      <c r="DI29" s="765"/>
      <c r="DJ29" s="766">
        <v>15</v>
      </c>
      <c r="DK29" s="767">
        <v>13</v>
      </c>
      <c r="DL29" s="768" t="s">
        <v>436</v>
      </c>
      <c r="DM29" s="769">
        <v>1</v>
      </c>
      <c r="DN29" s="587">
        <v>195</v>
      </c>
      <c r="DO29" s="770">
        <v>1</v>
      </c>
      <c r="DP29" s="587">
        <v>195</v>
      </c>
      <c r="DQ29" s="770">
        <v>1</v>
      </c>
      <c r="DR29" s="587">
        <v>195</v>
      </c>
      <c r="DS29" s="770">
        <v>1</v>
      </c>
      <c r="DT29" s="587">
        <v>195</v>
      </c>
      <c r="DU29" s="770">
        <v>1</v>
      </c>
      <c r="DV29" s="587">
        <v>195</v>
      </c>
      <c r="DW29" s="770">
        <v>1</v>
      </c>
      <c r="DX29" s="587">
        <v>195</v>
      </c>
      <c r="DY29" s="770">
        <v>1</v>
      </c>
      <c r="DZ29" s="587">
        <v>195</v>
      </c>
      <c r="EA29" s="770">
        <v>1</v>
      </c>
      <c r="EB29" s="587">
        <v>195</v>
      </c>
      <c r="EC29" s="770">
        <v>1</v>
      </c>
      <c r="ED29" s="587">
        <v>195</v>
      </c>
      <c r="EE29" s="770">
        <v>1</v>
      </c>
      <c r="EF29" s="587">
        <v>195</v>
      </c>
      <c r="EG29" s="770">
        <v>1</v>
      </c>
      <c r="EH29" s="587">
        <v>195</v>
      </c>
      <c r="EI29" s="770">
        <v>1</v>
      </c>
      <c r="EJ29" s="587">
        <v>195</v>
      </c>
      <c r="EK29" s="770">
        <v>1</v>
      </c>
      <c r="EL29" s="587">
        <v>195</v>
      </c>
      <c r="EM29" s="770">
        <v>1</v>
      </c>
      <c r="EN29" s="587">
        <v>195</v>
      </c>
      <c r="EO29" s="770">
        <v>1</v>
      </c>
      <c r="EP29" s="587">
        <v>195</v>
      </c>
      <c r="EQ29" s="770">
        <v>1</v>
      </c>
      <c r="ER29" s="587">
        <v>195</v>
      </c>
      <c r="ES29" s="770">
        <v>1</v>
      </c>
      <c r="ET29" s="587">
        <v>195</v>
      </c>
      <c r="EU29" s="770">
        <v>1</v>
      </c>
      <c r="EV29" s="587">
        <v>195</v>
      </c>
      <c r="EW29" s="770">
        <v>1</v>
      </c>
      <c r="EX29" s="587">
        <v>195</v>
      </c>
      <c r="EY29" s="770">
        <v>1</v>
      </c>
      <c r="EZ29" s="587">
        <v>195</v>
      </c>
      <c r="FA29" s="770">
        <v>1</v>
      </c>
      <c r="FB29" s="587">
        <v>195</v>
      </c>
      <c r="FC29" s="770">
        <v>1</v>
      </c>
      <c r="FD29" s="587">
        <v>195</v>
      </c>
      <c r="FE29" s="770">
        <v>1</v>
      </c>
      <c r="FF29" s="587">
        <v>195</v>
      </c>
      <c r="FG29" s="770">
        <v>1</v>
      </c>
      <c r="FH29" s="589">
        <v>195</v>
      </c>
      <c r="FI29" s="563"/>
      <c r="FJ29" s="564"/>
      <c r="FK29" s="764" t="s">
        <v>439</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552</v>
      </c>
      <c r="GL29" s="774"/>
      <c r="GM29" s="774"/>
      <c r="GN29" s="774"/>
      <c r="GO29" s="615"/>
      <c r="GP29" s="751">
        <v>-0.69999999999999929</v>
      </c>
      <c r="GQ29" s="413" t="s">
        <v>548</v>
      </c>
      <c r="GR29" s="775"/>
      <c r="GS29" s="530"/>
      <c r="GT29" s="763"/>
      <c r="GU29" s="580" t="s">
        <v>553</v>
      </c>
      <c r="GV29" s="609"/>
      <c r="GW29" s="530"/>
      <c r="GX29" s="529"/>
      <c r="GY29" s="409"/>
      <c r="GZ29" s="530"/>
      <c r="HA29" s="580"/>
      <c r="HB29" s="580"/>
      <c r="HC29" s="579"/>
      <c r="HD29" s="530"/>
      <c r="HE29" s="415"/>
      <c r="HF29" s="415"/>
    </row>
    <row r="30" spans="1:218" ht="20.100000000000001" customHeight="1">
      <c r="A30" s="552"/>
      <c r="B30" s="764" t="s">
        <v>440</v>
      </c>
      <c r="C30" s="766">
        <v>4</v>
      </c>
      <c r="D30" s="767">
        <v>13</v>
      </c>
      <c r="E30" s="776">
        <v>1</v>
      </c>
      <c r="F30" s="777" t="s">
        <v>436</v>
      </c>
      <c r="G30" s="769">
        <v>1</v>
      </c>
      <c r="H30" s="587">
        <v>52</v>
      </c>
      <c r="I30" s="770">
        <v>1</v>
      </c>
      <c r="J30" s="587">
        <v>52</v>
      </c>
      <c r="K30" s="770">
        <v>1</v>
      </c>
      <c r="L30" s="587">
        <v>52</v>
      </c>
      <c r="M30" s="770">
        <v>1</v>
      </c>
      <c r="N30" s="587">
        <v>52</v>
      </c>
      <c r="O30" s="770">
        <v>1</v>
      </c>
      <c r="P30" s="587">
        <v>52</v>
      </c>
      <c r="Q30" s="770">
        <v>1</v>
      </c>
      <c r="R30" s="587">
        <v>52</v>
      </c>
      <c r="S30" s="770">
        <v>1</v>
      </c>
      <c r="T30" s="587">
        <v>52</v>
      </c>
      <c r="U30" s="770">
        <v>1</v>
      </c>
      <c r="V30" s="587">
        <v>52</v>
      </c>
      <c r="W30" s="770">
        <v>1</v>
      </c>
      <c r="X30" s="587">
        <v>52</v>
      </c>
      <c r="Y30" s="770">
        <v>1</v>
      </c>
      <c r="Z30" s="587">
        <v>52</v>
      </c>
      <c r="AA30" s="770">
        <v>1</v>
      </c>
      <c r="AB30" s="587">
        <v>52</v>
      </c>
      <c r="AC30" s="770">
        <v>1</v>
      </c>
      <c r="AD30" s="587">
        <v>52</v>
      </c>
      <c r="AE30" s="770">
        <v>1</v>
      </c>
      <c r="AF30" s="587">
        <v>52</v>
      </c>
      <c r="AG30" s="770">
        <v>1</v>
      </c>
      <c r="AH30" s="587">
        <v>52</v>
      </c>
      <c r="AI30" s="770">
        <v>1</v>
      </c>
      <c r="AJ30" s="587">
        <v>52</v>
      </c>
      <c r="AK30" s="770">
        <v>1</v>
      </c>
      <c r="AL30" s="587">
        <v>52</v>
      </c>
      <c r="AM30" s="770">
        <v>1</v>
      </c>
      <c r="AN30" s="587">
        <v>52</v>
      </c>
      <c r="AO30" s="770">
        <v>1</v>
      </c>
      <c r="AP30" s="587">
        <v>52</v>
      </c>
      <c r="AQ30" s="770">
        <v>1</v>
      </c>
      <c r="AR30" s="587">
        <v>52</v>
      </c>
      <c r="AS30" s="770">
        <v>1</v>
      </c>
      <c r="AT30" s="587">
        <v>52</v>
      </c>
      <c r="AU30" s="770">
        <v>1</v>
      </c>
      <c r="AV30" s="587">
        <v>52</v>
      </c>
      <c r="AW30" s="770">
        <v>1</v>
      </c>
      <c r="AX30" s="587">
        <v>52</v>
      </c>
      <c r="AY30" s="770">
        <v>1</v>
      </c>
      <c r="AZ30" s="587">
        <v>52</v>
      </c>
      <c r="BA30" s="770">
        <v>1</v>
      </c>
      <c r="BB30" s="589">
        <v>52</v>
      </c>
      <c r="BC30" s="562"/>
      <c r="BD30" s="552"/>
      <c r="BE30" s="764" t="s">
        <v>441</v>
      </c>
      <c r="BF30" s="766">
        <v>4</v>
      </c>
      <c r="BG30" s="767">
        <v>13</v>
      </c>
      <c r="BH30" s="776">
        <v>1</v>
      </c>
      <c r="BI30" s="777" t="s">
        <v>436</v>
      </c>
      <c r="BJ30" s="769">
        <v>1</v>
      </c>
      <c r="BK30" s="587">
        <v>52</v>
      </c>
      <c r="BL30" s="770">
        <v>1</v>
      </c>
      <c r="BM30" s="587">
        <v>52</v>
      </c>
      <c r="BN30" s="770">
        <v>1</v>
      </c>
      <c r="BO30" s="587">
        <v>52</v>
      </c>
      <c r="BP30" s="770">
        <v>1</v>
      </c>
      <c r="BQ30" s="587">
        <v>52</v>
      </c>
      <c r="BR30" s="770">
        <v>1</v>
      </c>
      <c r="BS30" s="587">
        <v>52</v>
      </c>
      <c r="BT30" s="770">
        <v>1</v>
      </c>
      <c r="BU30" s="587">
        <v>52</v>
      </c>
      <c r="BV30" s="770">
        <v>1</v>
      </c>
      <c r="BW30" s="587">
        <v>52</v>
      </c>
      <c r="BX30" s="770">
        <v>1</v>
      </c>
      <c r="BY30" s="587">
        <v>52</v>
      </c>
      <c r="BZ30" s="770">
        <v>1</v>
      </c>
      <c r="CA30" s="587">
        <v>52</v>
      </c>
      <c r="CB30" s="770">
        <v>1</v>
      </c>
      <c r="CC30" s="587">
        <v>52</v>
      </c>
      <c r="CD30" s="770">
        <v>1</v>
      </c>
      <c r="CE30" s="587">
        <v>52</v>
      </c>
      <c r="CF30" s="770">
        <v>1</v>
      </c>
      <c r="CG30" s="587">
        <v>52</v>
      </c>
      <c r="CH30" s="770">
        <v>1</v>
      </c>
      <c r="CI30" s="587">
        <v>52</v>
      </c>
      <c r="CJ30" s="770">
        <v>1</v>
      </c>
      <c r="CK30" s="587">
        <v>52</v>
      </c>
      <c r="CL30" s="770">
        <v>1</v>
      </c>
      <c r="CM30" s="587">
        <v>52</v>
      </c>
      <c r="CN30" s="770">
        <v>1</v>
      </c>
      <c r="CO30" s="587">
        <v>52</v>
      </c>
      <c r="CP30" s="770">
        <v>1</v>
      </c>
      <c r="CQ30" s="587">
        <v>52</v>
      </c>
      <c r="CR30" s="770">
        <v>1</v>
      </c>
      <c r="CS30" s="587">
        <v>52</v>
      </c>
      <c r="CT30" s="770">
        <v>1</v>
      </c>
      <c r="CU30" s="587">
        <v>52</v>
      </c>
      <c r="CV30" s="770">
        <v>1</v>
      </c>
      <c r="CW30" s="587">
        <v>52</v>
      </c>
      <c r="CX30" s="770">
        <v>1</v>
      </c>
      <c r="CY30" s="587">
        <v>52</v>
      </c>
      <c r="CZ30" s="770">
        <v>1</v>
      </c>
      <c r="DA30" s="587">
        <v>52</v>
      </c>
      <c r="DB30" s="770">
        <v>1</v>
      </c>
      <c r="DC30" s="587">
        <v>52</v>
      </c>
      <c r="DD30" s="770">
        <v>1</v>
      </c>
      <c r="DE30" s="589">
        <v>52</v>
      </c>
      <c r="DF30" s="562"/>
      <c r="DG30" s="552"/>
      <c r="DH30" s="764" t="s">
        <v>441</v>
      </c>
      <c r="DI30" s="766">
        <v>4</v>
      </c>
      <c r="DJ30" s="767">
        <v>13</v>
      </c>
      <c r="DK30" s="776">
        <v>1</v>
      </c>
      <c r="DL30" s="777" t="s">
        <v>436</v>
      </c>
      <c r="DM30" s="769">
        <v>1</v>
      </c>
      <c r="DN30" s="587">
        <v>52</v>
      </c>
      <c r="DO30" s="770">
        <v>1</v>
      </c>
      <c r="DP30" s="587">
        <v>52</v>
      </c>
      <c r="DQ30" s="770">
        <v>1</v>
      </c>
      <c r="DR30" s="587">
        <v>52</v>
      </c>
      <c r="DS30" s="770">
        <v>1</v>
      </c>
      <c r="DT30" s="587">
        <v>52</v>
      </c>
      <c r="DU30" s="770">
        <v>1</v>
      </c>
      <c r="DV30" s="587">
        <v>52</v>
      </c>
      <c r="DW30" s="770">
        <v>1</v>
      </c>
      <c r="DX30" s="587">
        <v>52</v>
      </c>
      <c r="DY30" s="770">
        <v>1</v>
      </c>
      <c r="DZ30" s="587">
        <v>52</v>
      </c>
      <c r="EA30" s="770">
        <v>1</v>
      </c>
      <c r="EB30" s="587">
        <v>52</v>
      </c>
      <c r="EC30" s="770">
        <v>1</v>
      </c>
      <c r="ED30" s="587">
        <v>52</v>
      </c>
      <c r="EE30" s="770">
        <v>1</v>
      </c>
      <c r="EF30" s="587">
        <v>52</v>
      </c>
      <c r="EG30" s="770">
        <v>1</v>
      </c>
      <c r="EH30" s="587">
        <v>52</v>
      </c>
      <c r="EI30" s="770">
        <v>1</v>
      </c>
      <c r="EJ30" s="587">
        <v>52</v>
      </c>
      <c r="EK30" s="770">
        <v>1</v>
      </c>
      <c r="EL30" s="587">
        <v>52</v>
      </c>
      <c r="EM30" s="770">
        <v>1</v>
      </c>
      <c r="EN30" s="587">
        <v>52</v>
      </c>
      <c r="EO30" s="770">
        <v>1</v>
      </c>
      <c r="EP30" s="587">
        <v>52</v>
      </c>
      <c r="EQ30" s="770">
        <v>1</v>
      </c>
      <c r="ER30" s="587">
        <v>52</v>
      </c>
      <c r="ES30" s="770">
        <v>1</v>
      </c>
      <c r="ET30" s="587">
        <v>52</v>
      </c>
      <c r="EU30" s="770">
        <v>1</v>
      </c>
      <c r="EV30" s="587">
        <v>52</v>
      </c>
      <c r="EW30" s="770">
        <v>1</v>
      </c>
      <c r="EX30" s="587">
        <v>52</v>
      </c>
      <c r="EY30" s="770">
        <v>1</v>
      </c>
      <c r="EZ30" s="587">
        <v>52</v>
      </c>
      <c r="FA30" s="770">
        <v>1</v>
      </c>
      <c r="FB30" s="587">
        <v>52</v>
      </c>
      <c r="FC30" s="770">
        <v>1</v>
      </c>
      <c r="FD30" s="587">
        <v>52</v>
      </c>
      <c r="FE30" s="770">
        <v>1</v>
      </c>
      <c r="FF30" s="587">
        <v>52</v>
      </c>
      <c r="FG30" s="770">
        <v>1</v>
      </c>
      <c r="FH30" s="589">
        <v>52</v>
      </c>
      <c r="FI30" s="563"/>
      <c r="FJ30" s="564"/>
      <c r="FK30" s="764" t="s">
        <v>440</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554</v>
      </c>
      <c r="GL30" s="774"/>
      <c r="GM30" s="774"/>
      <c r="GN30" s="774"/>
      <c r="GO30" s="530"/>
      <c r="GP30" s="778">
        <v>-0.44</v>
      </c>
      <c r="GQ30" s="413"/>
      <c r="GR30" s="413"/>
      <c r="GS30" s="530"/>
      <c r="GT30" s="763"/>
      <c r="GU30" s="779" t="s">
        <v>380</v>
      </c>
      <c r="GV30" s="780"/>
      <c r="GW30" s="781" t="s">
        <v>555</v>
      </c>
      <c r="GX30" s="781"/>
      <c r="GY30" s="781"/>
      <c r="GZ30" s="781"/>
      <c r="HA30" s="782"/>
      <c r="HB30" s="783" t="s">
        <v>556</v>
      </c>
      <c r="HC30" s="579"/>
      <c r="HD30" s="562"/>
      <c r="HE30" s="415"/>
      <c r="HF30" s="415"/>
    </row>
    <row r="31" spans="1:218" ht="20.100000000000001" customHeight="1">
      <c r="A31" s="552"/>
      <c r="B31" s="784" t="s">
        <v>442</v>
      </c>
      <c r="C31" s="784"/>
      <c r="D31" s="785"/>
      <c r="E31" s="786"/>
      <c r="F31" s="787"/>
      <c r="G31" s="769"/>
      <c r="H31" s="587">
        <v>0</v>
      </c>
      <c r="I31" s="770"/>
      <c r="J31" s="587">
        <v>0</v>
      </c>
      <c r="K31" s="770"/>
      <c r="L31" s="587">
        <v>0</v>
      </c>
      <c r="M31" s="770"/>
      <c r="N31" s="587">
        <v>0</v>
      </c>
      <c r="O31" s="770"/>
      <c r="P31" s="587">
        <v>0</v>
      </c>
      <c r="Q31" s="770"/>
      <c r="R31" s="587">
        <v>0</v>
      </c>
      <c r="S31" s="770"/>
      <c r="T31" s="587">
        <v>0</v>
      </c>
      <c r="U31" s="770"/>
      <c r="V31" s="587">
        <v>0</v>
      </c>
      <c r="W31" s="770"/>
      <c r="X31" s="587">
        <v>0</v>
      </c>
      <c r="Y31" s="770"/>
      <c r="Z31" s="587">
        <v>0</v>
      </c>
      <c r="AA31" s="770"/>
      <c r="AB31" s="587">
        <v>0</v>
      </c>
      <c r="AC31" s="770"/>
      <c r="AD31" s="587">
        <v>0</v>
      </c>
      <c r="AE31" s="770"/>
      <c r="AF31" s="587">
        <v>0</v>
      </c>
      <c r="AG31" s="770"/>
      <c r="AH31" s="587">
        <v>0</v>
      </c>
      <c r="AI31" s="770"/>
      <c r="AJ31" s="587">
        <v>0</v>
      </c>
      <c r="AK31" s="770"/>
      <c r="AL31" s="587">
        <v>0</v>
      </c>
      <c r="AM31" s="770"/>
      <c r="AN31" s="587">
        <v>0</v>
      </c>
      <c r="AO31" s="770"/>
      <c r="AP31" s="587">
        <v>0</v>
      </c>
      <c r="AQ31" s="770"/>
      <c r="AR31" s="587">
        <v>0</v>
      </c>
      <c r="AS31" s="770"/>
      <c r="AT31" s="587">
        <v>0</v>
      </c>
      <c r="AU31" s="770"/>
      <c r="AV31" s="587">
        <v>0</v>
      </c>
      <c r="AW31" s="770"/>
      <c r="AX31" s="587">
        <v>0</v>
      </c>
      <c r="AY31" s="770"/>
      <c r="AZ31" s="587">
        <v>0</v>
      </c>
      <c r="BA31" s="770"/>
      <c r="BB31" s="589">
        <v>0</v>
      </c>
      <c r="BC31" s="562"/>
      <c r="BD31" s="552"/>
      <c r="BE31" s="784" t="s">
        <v>443</v>
      </c>
      <c r="BF31" s="784"/>
      <c r="BG31" s="785">
        <v>0</v>
      </c>
      <c r="BH31" s="786">
        <v>0</v>
      </c>
      <c r="BI31" s="787"/>
      <c r="BJ31" s="769"/>
      <c r="BK31" s="587">
        <v>0</v>
      </c>
      <c r="BL31" s="770"/>
      <c r="BM31" s="587">
        <v>0</v>
      </c>
      <c r="BN31" s="770"/>
      <c r="BO31" s="587">
        <v>0</v>
      </c>
      <c r="BP31" s="770"/>
      <c r="BQ31" s="587">
        <v>0</v>
      </c>
      <c r="BR31" s="770"/>
      <c r="BS31" s="587">
        <v>0</v>
      </c>
      <c r="BT31" s="770"/>
      <c r="BU31" s="587">
        <v>0</v>
      </c>
      <c r="BV31" s="770"/>
      <c r="BW31" s="587">
        <v>0</v>
      </c>
      <c r="BX31" s="770"/>
      <c r="BY31" s="587">
        <v>0</v>
      </c>
      <c r="BZ31" s="770"/>
      <c r="CA31" s="587">
        <v>0</v>
      </c>
      <c r="CB31" s="770"/>
      <c r="CC31" s="587">
        <v>0</v>
      </c>
      <c r="CD31" s="770"/>
      <c r="CE31" s="587">
        <v>0</v>
      </c>
      <c r="CF31" s="770"/>
      <c r="CG31" s="587">
        <v>0</v>
      </c>
      <c r="CH31" s="770"/>
      <c r="CI31" s="587">
        <v>0</v>
      </c>
      <c r="CJ31" s="770"/>
      <c r="CK31" s="587">
        <v>0</v>
      </c>
      <c r="CL31" s="770"/>
      <c r="CM31" s="587">
        <v>0</v>
      </c>
      <c r="CN31" s="770"/>
      <c r="CO31" s="587">
        <v>0</v>
      </c>
      <c r="CP31" s="770"/>
      <c r="CQ31" s="587">
        <v>0</v>
      </c>
      <c r="CR31" s="770"/>
      <c r="CS31" s="587">
        <v>0</v>
      </c>
      <c r="CT31" s="770"/>
      <c r="CU31" s="587">
        <v>0</v>
      </c>
      <c r="CV31" s="770"/>
      <c r="CW31" s="587">
        <v>0</v>
      </c>
      <c r="CX31" s="770"/>
      <c r="CY31" s="587">
        <v>0</v>
      </c>
      <c r="CZ31" s="770"/>
      <c r="DA31" s="587">
        <v>0</v>
      </c>
      <c r="DB31" s="770"/>
      <c r="DC31" s="587">
        <v>0</v>
      </c>
      <c r="DD31" s="770"/>
      <c r="DE31" s="589">
        <v>0</v>
      </c>
      <c r="DF31" s="562"/>
      <c r="DG31" s="552"/>
      <c r="DH31" s="784" t="s">
        <v>442</v>
      </c>
      <c r="DI31" s="784"/>
      <c r="DJ31" s="785">
        <v>0</v>
      </c>
      <c r="DK31" s="786">
        <v>0</v>
      </c>
      <c r="DL31" s="787"/>
      <c r="DM31" s="769"/>
      <c r="DN31" s="587">
        <v>0</v>
      </c>
      <c r="DO31" s="770"/>
      <c r="DP31" s="587">
        <v>0</v>
      </c>
      <c r="DQ31" s="770"/>
      <c r="DR31" s="587">
        <v>0</v>
      </c>
      <c r="DS31" s="770"/>
      <c r="DT31" s="587">
        <v>0</v>
      </c>
      <c r="DU31" s="770"/>
      <c r="DV31" s="587">
        <v>0</v>
      </c>
      <c r="DW31" s="770"/>
      <c r="DX31" s="587">
        <v>0</v>
      </c>
      <c r="DY31" s="770"/>
      <c r="DZ31" s="587">
        <v>0</v>
      </c>
      <c r="EA31" s="770"/>
      <c r="EB31" s="587">
        <v>0</v>
      </c>
      <c r="EC31" s="770"/>
      <c r="ED31" s="587">
        <v>0</v>
      </c>
      <c r="EE31" s="770"/>
      <c r="EF31" s="587">
        <v>0</v>
      </c>
      <c r="EG31" s="770"/>
      <c r="EH31" s="587">
        <v>0</v>
      </c>
      <c r="EI31" s="770"/>
      <c r="EJ31" s="587">
        <v>0</v>
      </c>
      <c r="EK31" s="770"/>
      <c r="EL31" s="587">
        <v>0</v>
      </c>
      <c r="EM31" s="770"/>
      <c r="EN31" s="587">
        <v>0</v>
      </c>
      <c r="EO31" s="770"/>
      <c r="EP31" s="587">
        <v>0</v>
      </c>
      <c r="EQ31" s="770"/>
      <c r="ER31" s="587">
        <v>0</v>
      </c>
      <c r="ES31" s="770"/>
      <c r="ET31" s="587">
        <v>0</v>
      </c>
      <c r="EU31" s="770"/>
      <c r="EV31" s="587">
        <v>0</v>
      </c>
      <c r="EW31" s="770"/>
      <c r="EX31" s="587">
        <v>0</v>
      </c>
      <c r="EY31" s="770"/>
      <c r="EZ31" s="587">
        <v>0</v>
      </c>
      <c r="FA31" s="770"/>
      <c r="FB31" s="587">
        <v>0</v>
      </c>
      <c r="FC31" s="770"/>
      <c r="FD31" s="587">
        <v>0</v>
      </c>
      <c r="FE31" s="770"/>
      <c r="FF31" s="587">
        <v>0</v>
      </c>
      <c r="FG31" s="770"/>
      <c r="FH31" s="589">
        <v>0</v>
      </c>
      <c r="FI31" s="563"/>
      <c r="FJ31" s="564"/>
      <c r="FK31" s="784" t="s">
        <v>442</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-0.44</v>
      </c>
      <c r="GQ31" s="413"/>
      <c r="GR31" s="413"/>
      <c r="GS31" s="580"/>
      <c r="GT31" s="763"/>
      <c r="GU31" s="779"/>
      <c r="GV31" s="780"/>
      <c r="GW31" s="789" t="s">
        <v>558</v>
      </c>
      <c r="GX31" s="790" t="s">
        <v>559</v>
      </c>
      <c r="GY31" s="791" t="s">
        <v>560</v>
      </c>
      <c r="GZ31" s="792" t="s">
        <v>561</v>
      </c>
      <c r="HA31" s="792" t="s">
        <v>536</v>
      </c>
      <c r="HB31" s="793"/>
      <c r="HC31" s="579"/>
      <c r="HD31" s="562"/>
      <c r="HE31" s="415"/>
      <c r="HF31" s="415"/>
    </row>
    <row r="32" spans="1:218" ht="20.100000000000001" customHeight="1">
      <c r="A32" s="552"/>
      <c r="B32" s="794" t="s">
        <v>444</v>
      </c>
      <c r="C32" s="795"/>
      <c r="D32" s="785"/>
      <c r="E32" s="796"/>
      <c r="F32" s="797"/>
      <c r="G32" s="798"/>
      <c r="H32" s="799">
        <v>0</v>
      </c>
      <c r="I32" s="800"/>
      <c r="J32" s="799">
        <v>0</v>
      </c>
      <c r="K32" s="800"/>
      <c r="L32" s="799">
        <v>0</v>
      </c>
      <c r="M32" s="800"/>
      <c r="N32" s="799">
        <v>0</v>
      </c>
      <c r="O32" s="800"/>
      <c r="P32" s="799">
        <v>0</v>
      </c>
      <c r="Q32" s="800"/>
      <c r="R32" s="799">
        <v>0</v>
      </c>
      <c r="S32" s="800"/>
      <c r="T32" s="799">
        <v>0</v>
      </c>
      <c r="U32" s="800"/>
      <c r="V32" s="799">
        <v>0</v>
      </c>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v>0</v>
      </c>
      <c r="AS32" s="800"/>
      <c r="AT32" s="799">
        <v>0</v>
      </c>
      <c r="AU32" s="800"/>
      <c r="AV32" s="799">
        <v>0</v>
      </c>
      <c r="AW32" s="800"/>
      <c r="AX32" s="799">
        <v>0</v>
      </c>
      <c r="AY32" s="800"/>
      <c r="AZ32" s="799">
        <v>0</v>
      </c>
      <c r="BA32" s="800"/>
      <c r="BB32" s="801">
        <v>0</v>
      </c>
      <c r="BC32" s="562"/>
      <c r="BD32" s="552"/>
      <c r="BE32" s="794" t="s">
        <v>444</v>
      </c>
      <c r="BF32" s="795"/>
      <c r="BG32" s="785">
        <v>0</v>
      </c>
      <c r="BH32" s="796">
        <v>0</v>
      </c>
      <c r="BI32" s="797"/>
      <c r="BJ32" s="798"/>
      <c r="BK32" s="799">
        <v>0</v>
      </c>
      <c r="BL32" s="800"/>
      <c r="BM32" s="799">
        <v>0</v>
      </c>
      <c r="BN32" s="800"/>
      <c r="BO32" s="799">
        <v>0</v>
      </c>
      <c r="BP32" s="800"/>
      <c r="BQ32" s="799">
        <v>0</v>
      </c>
      <c r="BR32" s="800"/>
      <c r="BS32" s="799">
        <v>0</v>
      </c>
      <c r="BT32" s="800"/>
      <c r="BU32" s="799">
        <v>0</v>
      </c>
      <c r="BV32" s="800"/>
      <c r="BW32" s="799">
        <v>0</v>
      </c>
      <c r="BX32" s="800"/>
      <c r="BY32" s="799">
        <v>0</v>
      </c>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v>0</v>
      </c>
      <c r="CV32" s="800"/>
      <c r="CW32" s="799">
        <v>0</v>
      </c>
      <c r="CX32" s="800"/>
      <c r="CY32" s="799">
        <v>0</v>
      </c>
      <c r="CZ32" s="800"/>
      <c r="DA32" s="799">
        <v>0</v>
      </c>
      <c r="DB32" s="800"/>
      <c r="DC32" s="799">
        <v>0</v>
      </c>
      <c r="DD32" s="800"/>
      <c r="DE32" s="801">
        <v>0</v>
      </c>
      <c r="DF32" s="562"/>
      <c r="DG32" s="552"/>
      <c r="DH32" s="794" t="s">
        <v>444</v>
      </c>
      <c r="DI32" s="795"/>
      <c r="DJ32" s="785">
        <v>0</v>
      </c>
      <c r="DK32" s="796">
        <v>0</v>
      </c>
      <c r="DL32" s="797"/>
      <c r="DM32" s="798"/>
      <c r="DN32" s="799">
        <v>0</v>
      </c>
      <c r="DO32" s="800"/>
      <c r="DP32" s="799">
        <v>0</v>
      </c>
      <c r="DQ32" s="800"/>
      <c r="DR32" s="799">
        <v>0</v>
      </c>
      <c r="DS32" s="800"/>
      <c r="DT32" s="799">
        <v>0</v>
      </c>
      <c r="DU32" s="800"/>
      <c r="DV32" s="799">
        <v>0</v>
      </c>
      <c r="DW32" s="800"/>
      <c r="DX32" s="799">
        <v>0</v>
      </c>
      <c r="DY32" s="800"/>
      <c r="DZ32" s="799">
        <v>0</v>
      </c>
      <c r="EA32" s="800"/>
      <c r="EB32" s="799">
        <v>0</v>
      </c>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v>0</v>
      </c>
      <c r="EY32" s="800"/>
      <c r="EZ32" s="799">
        <v>0</v>
      </c>
      <c r="FA32" s="800"/>
      <c r="FB32" s="799">
        <v>0</v>
      </c>
      <c r="FC32" s="800"/>
      <c r="FD32" s="799">
        <v>0</v>
      </c>
      <c r="FE32" s="800"/>
      <c r="FF32" s="799">
        <v>0</v>
      </c>
      <c r="FG32" s="800"/>
      <c r="FH32" s="801">
        <v>0</v>
      </c>
      <c r="FI32" s="563"/>
      <c r="FJ32" s="564"/>
      <c r="FK32" s="794" t="s">
        <v>444</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325</v>
      </c>
      <c r="E33" s="642"/>
      <c r="F33" s="642"/>
      <c r="G33" s="644"/>
      <c r="H33" s="645">
        <v>349</v>
      </c>
      <c r="I33" s="646"/>
      <c r="J33" s="645">
        <v>349</v>
      </c>
      <c r="K33" s="646"/>
      <c r="L33" s="645">
        <v>349</v>
      </c>
      <c r="M33" s="646"/>
      <c r="N33" s="645">
        <v>349</v>
      </c>
      <c r="O33" s="646"/>
      <c r="P33" s="645">
        <v>349</v>
      </c>
      <c r="Q33" s="646"/>
      <c r="R33" s="645">
        <v>349</v>
      </c>
      <c r="S33" s="646"/>
      <c r="T33" s="645">
        <v>349</v>
      </c>
      <c r="U33" s="646"/>
      <c r="V33" s="645">
        <v>349</v>
      </c>
      <c r="W33" s="646"/>
      <c r="X33" s="645">
        <v>349</v>
      </c>
      <c r="Y33" s="646"/>
      <c r="Z33" s="645">
        <v>349</v>
      </c>
      <c r="AA33" s="646"/>
      <c r="AB33" s="645">
        <v>349</v>
      </c>
      <c r="AC33" s="646"/>
      <c r="AD33" s="645">
        <v>349</v>
      </c>
      <c r="AE33" s="646"/>
      <c r="AF33" s="645">
        <v>349</v>
      </c>
      <c r="AG33" s="646"/>
      <c r="AH33" s="645">
        <v>349</v>
      </c>
      <c r="AI33" s="646"/>
      <c r="AJ33" s="645">
        <v>349</v>
      </c>
      <c r="AK33" s="646"/>
      <c r="AL33" s="645">
        <v>349</v>
      </c>
      <c r="AM33" s="646"/>
      <c r="AN33" s="645">
        <v>349</v>
      </c>
      <c r="AO33" s="646"/>
      <c r="AP33" s="645">
        <v>349</v>
      </c>
      <c r="AQ33" s="646"/>
      <c r="AR33" s="645">
        <v>349</v>
      </c>
      <c r="AS33" s="646"/>
      <c r="AT33" s="645">
        <v>349</v>
      </c>
      <c r="AU33" s="646"/>
      <c r="AV33" s="645">
        <v>349</v>
      </c>
      <c r="AW33" s="646"/>
      <c r="AX33" s="645">
        <v>349</v>
      </c>
      <c r="AY33" s="646"/>
      <c r="AZ33" s="645">
        <v>349</v>
      </c>
      <c r="BA33" s="646"/>
      <c r="BB33" s="647">
        <v>349</v>
      </c>
      <c r="BC33" s="648"/>
      <c r="BD33" s="641"/>
      <c r="BE33" s="642"/>
      <c r="BF33" s="642"/>
      <c r="BG33" s="643" t="s">
        <v>325</v>
      </c>
      <c r="BH33" s="642"/>
      <c r="BI33" s="642"/>
      <c r="BJ33" s="644"/>
      <c r="BK33" s="645">
        <v>349</v>
      </c>
      <c r="BL33" s="646"/>
      <c r="BM33" s="645">
        <v>349</v>
      </c>
      <c r="BN33" s="646"/>
      <c r="BO33" s="645">
        <v>349</v>
      </c>
      <c r="BP33" s="646"/>
      <c r="BQ33" s="645">
        <v>349</v>
      </c>
      <c r="BR33" s="646"/>
      <c r="BS33" s="645">
        <v>349</v>
      </c>
      <c r="BT33" s="646"/>
      <c r="BU33" s="645">
        <v>349</v>
      </c>
      <c r="BV33" s="646"/>
      <c r="BW33" s="645">
        <v>349</v>
      </c>
      <c r="BX33" s="646"/>
      <c r="BY33" s="645">
        <v>349</v>
      </c>
      <c r="BZ33" s="646"/>
      <c r="CA33" s="645">
        <v>349</v>
      </c>
      <c r="CB33" s="646"/>
      <c r="CC33" s="645">
        <v>349</v>
      </c>
      <c r="CD33" s="646"/>
      <c r="CE33" s="645">
        <v>349</v>
      </c>
      <c r="CF33" s="646"/>
      <c r="CG33" s="645">
        <v>349</v>
      </c>
      <c r="CH33" s="646"/>
      <c r="CI33" s="645">
        <v>349</v>
      </c>
      <c r="CJ33" s="646"/>
      <c r="CK33" s="645">
        <v>349</v>
      </c>
      <c r="CL33" s="646"/>
      <c r="CM33" s="645">
        <v>349</v>
      </c>
      <c r="CN33" s="646"/>
      <c r="CO33" s="645">
        <v>349</v>
      </c>
      <c r="CP33" s="646"/>
      <c r="CQ33" s="645">
        <v>349</v>
      </c>
      <c r="CR33" s="646"/>
      <c r="CS33" s="645">
        <v>349</v>
      </c>
      <c r="CT33" s="646"/>
      <c r="CU33" s="645">
        <v>349</v>
      </c>
      <c r="CV33" s="646"/>
      <c r="CW33" s="645">
        <v>349</v>
      </c>
      <c r="CX33" s="646"/>
      <c r="CY33" s="645">
        <v>349</v>
      </c>
      <c r="CZ33" s="646"/>
      <c r="DA33" s="645">
        <v>349</v>
      </c>
      <c r="DB33" s="646"/>
      <c r="DC33" s="645">
        <v>349</v>
      </c>
      <c r="DD33" s="646"/>
      <c r="DE33" s="647">
        <v>349</v>
      </c>
      <c r="DF33" s="648"/>
      <c r="DG33" s="641"/>
      <c r="DH33" s="642"/>
      <c r="DI33" s="642"/>
      <c r="DJ33" s="643" t="s">
        <v>325</v>
      </c>
      <c r="DK33" s="642"/>
      <c r="DL33" s="642"/>
      <c r="DM33" s="644"/>
      <c r="DN33" s="645">
        <v>349</v>
      </c>
      <c r="DO33" s="646"/>
      <c r="DP33" s="645">
        <v>349</v>
      </c>
      <c r="DQ33" s="646"/>
      <c r="DR33" s="645">
        <v>349</v>
      </c>
      <c r="DS33" s="646"/>
      <c r="DT33" s="645">
        <v>349</v>
      </c>
      <c r="DU33" s="646"/>
      <c r="DV33" s="645">
        <v>349</v>
      </c>
      <c r="DW33" s="646"/>
      <c r="DX33" s="645">
        <v>349</v>
      </c>
      <c r="DY33" s="646"/>
      <c r="DZ33" s="645">
        <v>349</v>
      </c>
      <c r="EA33" s="646"/>
      <c r="EB33" s="645">
        <v>349</v>
      </c>
      <c r="EC33" s="646"/>
      <c r="ED33" s="645">
        <v>349</v>
      </c>
      <c r="EE33" s="646"/>
      <c r="EF33" s="645">
        <v>349</v>
      </c>
      <c r="EG33" s="646"/>
      <c r="EH33" s="645">
        <v>349</v>
      </c>
      <c r="EI33" s="646"/>
      <c r="EJ33" s="645">
        <v>349</v>
      </c>
      <c r="EK33" s="646"/>
      <c r="EL33" s="645">
        <v>349</v>
      </c>
      <c r="EM33" s="646"/>
      <c r="EN33" s="645">
        <v>349</v>
      </c>
      <c r="EO33" s="646"/>
      <c r="EP33" s="645">
        <v>349</v>
      </c>
      <c r="EQ33" s="646"/>
      <c r="ER33" s="645">
        <v>349</v>
      </c>
      <c r="ES33" s="646"/>
      <c r="ET33" s="645">
        <v>349</v>
      </c>
      <c r="EU33" s="646"/>
      <c r="EV33" s="645">
        <v>349</v>
      </c>
      <c r="EW33" s="646"/>
      <c r="EX33" s="645">
        <v>349</v>
      </c>
      <c r="EY33" s="646"/>
      <c r="EZ33" s="645">
        <v>349</v>
      </c>
      <c r="FA33" s="646"/>
      <c r="FB33" s="645">
        <v>349</v>
      </c>
      <c r="FC33" s="646"/>
      <c r="FD33" s="645">
        <v>349</v>
      </c>
      <c r="FE33" s="646"/>
      <c r="FF33" s="645">
        <v>349</v>
      </c>
      <c r="FG33" s="646"/>
      <c r="FH33" s="647">
        <v>349</v>
      </c>
      <c r="FI33" s="649"/>
      <c r="FJ33" s="564"/>
      <c r="FK33" s="642"/>
      <c r="FL33" s="642"/>
      <c r="FM33" s="643" t="s">
        <v>445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562</v>
      </c>
      <c r="GL33" s="579"/>
      <c r="GM33" s="530"/>
      <c r="GN33" s="579"/>
      <c r="GO33" s="530"/>
      <c r="GP33" s="530"/>
      <c r="GQ33" s="530"/>
      <c r="GR33" s="579"/>
      <c r="GS33" s="530"/>
      <c r="GT33" s="763"/>
      <c r="GU33" s="811" t="s">
        <v>563</v>
      </c>
      <c r="GV33" s="812"/>
      <c r="GW33" s="813">
        <v>0</v>
      </c>
      <c r="GX33" s="814">
        <v>0</v>
      </c>
      <c r="GY33" s="814">
        <v>33.369999999999997</v>
      </c>
      <c r="GZ33" s="814">
        <v>0</v>
      </c>
      <c r="HA33" s="814">
        <v>33.369999999999997</v>
      </c>
      <c r="HB33" s="815">
        <v>13</v>
      </c>
      <c r="HC33" s="413"/>
      <c r="HD33" s="648"/>
      <c r="HE33" s="415"/>
      <c r="HF33" s="415"/>
    </row>
    <row r="34" spans="1:219" ht="20.100000000000001" customHeight="1">
      <c r="A34" s="816" t="s">
        <v>446</v>
      </c>
      <c r="B34" s="743"/>
      <c r="C34" s="817"/>
      <c r="D34" s="818"/>
      <c r="E34" s="817"/>
      <c r="F34" s="819"/>
      <c r="G34" s="740" t="s">
        <v>447</v>
      </c>
      <c r="H34" s="663" t="s">
        <v>430</v>
      </c>
      <c r="I34" s="741" t="s">
        <v>448</v>
      </c>
      <c r="J34" s="663" t="s">
        <v>430</v>
      </c>
      <c r="K34" s="742" t="s">
        <v>447</v>
      </c>
      <c r="L34" s="663" t="s">
        <v>430</v>
      </c>
      <c r="M34" s="742" t="s">
        <v>447</v>
      </c>
      <c r="N34" s="663" t="s">
        <v>428</v>
      </c>
      <c r="O34" s="742" t="s">
        <v>448</v>
      </c>
      <c r="P34" s="663" t="s">
        <v>428</v>
      </c>
      <c r="Q34" s="742" t="s">
        <v>448</v>
      </c>
      <c r="R34" s="663" t="s">
        <v>430</v>
      </c>
      <c r="S34" s="742" t="s">
        <v>448</v>
      </c>
      <c r="T34" s="663" t="s">
        <v>430</v>
      </c>
      <c r="U34" s="742" t="s">
        <v>447</v>
      </c>
      <c r="V34" s="663" t="s">
        <v>430</v>
      </c>
      <c r="W34" s="742" t="s">
        <v>447</v>
      </c>
      <c r="X34" s="663" t="s">
        <v>428</v>
      </c>
      <c r="Y34" s="742" t="s">
        <v>448</v>
      </c>
      <c r="Z34" s="663" t="s">
        <v>428</v>
      </c>
      <c r="AA34" s="742" t="s">
        <v>448</v>
      </c>
      <c r="AB34" s="663" t="s">
        <v>428</v>
      </c>
      <c r="AC34" s="742" t="s">
        <v>448</v>
      </c>
      <c r="AD34" s="663" t="s">
        <v>428</v>
      </c>
      <c r="AE34" s="742" t="s">
        <v>448</v>
      </c>
      <c r="AF34" s="663" t="s">
        <v>428</v>
      </c>
      <c r="AG34" s="742" t="s">
        <v>448</v>
      </c>
      <c r="AH34" s="663" t="s">
        <v>430</v>
      </c>
      <c r="AI34" s="742" t="s">
        <v>447</v>
      </c>
      <c r="AJ34" s="663" t="s">
        <v>428</v>
      </c>
      <c r="AK34" s="742" t="s">
        <v>448</v>
      </c>
      <c r="AL34" s="663" t="s">
        <v>430</v>
      </c>
      <c r="AM34" s="742" t="s">
        <v>448</v>
      </c>
      <c r="AN34" s="663" t="s">
        <v>428</v>
      </c>
      <c r="AO34" s="742" t="s">
        <v>447</v>
      </c>
      <c r="AP34" s="663" t="s">
        <v>430</v>
      </c>
      <c r="AQ34" s="742" t="s">
        <v>447</v>
      </c>
      <c r="AR34" s="663" t="s">
        <v>430</v>
      </c>
      <c r="AS34" s="742" t="s">
        <v>448</v>
      </c>
      <c r="AT34" s="663" t="s">
        <v>428</v>
      </c>
      <c r="AU34" s="742" t="s">
        <v>448</v>
      </c>
      <c r="AV34" s="663" t="s">
        <v>428</v>
      </c>
      <c r="AW34" s="742" t="s">
        <v>448</v>
      </c>
      <c r="AX34" s="663" t="s">
        <v>428</v>
      </c>
      <c r="AY34" s="742" t="s">
        <v>447</v>
      </c>
      <c r="AZ34" s="663" t="s">
        <v>430</v>
      </c>
      <c r="BA34" s="742" t="s">
        <v>447</v>
      </c>
      <c r="BB34" s="665" t="s">
        <v>430</v>
      </c>
      <c r="BC34" s="723"/>
      <c r="BD34" s="816" t="s">
        <v>449</v>
      </c>
      <c r="BE34" s="820"/>
      <c r="BF34" s="821"/>
      <c r="BG34" s="822"/>
      <c r="BH34" s="821"/>
      <c r="BI34" s="823"/>
      <c r="BJ34" s="740" t="s">
        <v>448</v>
      </c>
      <c r="BK34" s="663" t="s">
        <v>428</v>
      </c>
      <c r="BL34" s="741" t="s">
        <v>448</v>
      </c>
      <c r="BM34" s="663" t="s">
        <v>430</v>
      </c>
      <c r="BN34" s="742" t="s">
        <v>447</v>
      </c>
      <c r="BO34" s="663" t="s">
        <v>430</v>
      </c>
      <c r="BP34" s="742" t="s">
        <v>447</v>
      </c>
      <c r="BQ34" s="663" t="s">
        <v>430</v>
      </c>
      <c r="BR34" s="742" t="s">
        <v>447</v>
      </c>
      <c r="BS34" s="663" t="s">
        <v>428</v>
      </c>
      <c r="BT34" s="742" t="s">
        <v>448</v>
      </c>
      <c r="BU34" s="663" t="s">
        <v>430</v>
      </c>
      <c r="BV34" s="742" t="s">
        <v>447</v>
      </c>
      <c r="BW34" s="663" t="s">
        <v>428</v>
      </c>
      <c r="BX34" s="742" t="s">
        <v>447</v>
      </c>
      <c r="BY34" s="663" t="s">
        <v>430</v>
      </c>
      <c r="BZ34" s="742" t="s">
        <v>448</v>
      </c>
      <c r="CA34" s="663" t="s">
        <v>428</v>
      </c>
      <c r="CB34" s="742" t="s">
        <v>447</v>
      </c>
      <c r="CC34" s="663" t="s">
        <v>428</v>
      </c>
      <c r="CD34" s="742" t="s">
        <v>448</v>
      </c>
      <c r="CE34" s="663" t="s">
        <v>428</v>
      </c>
      <c r="CF34" s="742" t="s">
        <v>447</v>
      </c>
      <c r="CG34" s="663" t="s">
        <v>430</v>
      </c>
      <c r="CH34" s="742" t="s">
        <v>447</v>
      </c>
      <c r="CI34" s="663" t="s">
        <v>428</v>
      </c>
      <c r="CJ34" s="742" t="s">
        <v>447</v>
      </c>
      <c r="CK34" s="663" t="s">
        <v>430</v>
      </c>
      <c r="CL34" s="742" t="s">
        <v>447</v>
      </c>
      <c r="CM34" s="663" t="s">
        <v>430</v>
      </c>
      <c r="CN34" s="742" t="s">
        <v>448</v>
      </c>
      <c r="CO34" s="663" t="s">
        <v>428</v>
      </c>
      <c r="CP34" s="742" t="s">
        <v>448</v>
      </c>
      <c r="CQ34" s="663" t="s">
        <v>428</v>
      </c>
      <c r="CR34" s="742" t="s">
        <v>447</v>
      </c>
      <c r="CS34" s="663" t="s">
        <v>428</v>
      </c>
      <c r="CT34" s="742" t="s">
        <v>447</v>
      </c>
      <c r="CU34" s="663" t="s">
        <v>430</v>
      </c>
      <c r="CV34" s="742" t="s">
        <v>447</v>
      </c>
      <c r="CW34" s="663" t="s">
        <v>430</v>
      </c>
      <c r="CX34" s="742" t="s">
        <v>448</v>
      </c>
      <c r="CY34" s="663" t="s">
        <v>428</v>
      </c>
      <c r="CZ34" s="742" t="s">
        <v>448</v>
      </c>
      <c r="DA34" s="663" t="s">
        <v>428</v>
      </c>
      <c r="DB34" s="742" t="s">
        <v>448</v>
      </c>
      <c r="DC34" s="663" t="s">
        <v>428</v>
      </c>
      <c r="DD34" s="742" t="s">
        <v>448</v>
      </c>
      <c r="DE34" s="665" t="s">
        <v>428</v>
      </c>
      <c r="DF34" s="723"/>
      <c r="DG34" s="816" t="s">
        <v>446</v>
      </c>
      <c r="DH34" s="738"/>
      <c r="DI34" s="824"/>
      <c r="DJ34" s="825"/>
      <c r="DK34" s="824"/>
      <c r="DL34" s="826"/>
      <c r="DM34" s="740" t="s">
        <v>447</v>
      </c>
      <c r="DN34" s="663" t="s">
        <v>430</v>
      </c>
      <c r="DO34" s="741" t="s">
        <v>447</v>
      </c>
      <c r="DP34" s="663" t="s">
        <v>430</v>
      </c>
      <c r="DQ34" s="742" t="s">
        <v>447</v>
      </c>
      <c r="DR34" s="663" t="s">
        <v>428</v>
      </c>
      <c r="DS34" s="742" t="s">
        <v>448</v>
      </c>
      <c r="DT34" s="663" t="s">
        <v>428</v>
      </c>
      <c r="DU34" s="742" t="s">
        <v>448</v>
      </c>
      <c r="DV34" s="663" t="s">
        <v>430</v>
      </c>
      <c r="DW34" s="742" t="s">
        <v>447</v>
      </c>
      <c r="DX34" s="663" t="s">
        <v>428</v>
      </c>
      <c r="DY34" s="742" t="s">
        <v>448</v>
      </c>
      <c r="DZ34" s="663" t="s">
        <v>430</v>
      </c>
      <c r="EA34" s="742" t="s">
        <v>448</v>
      </c>
      <c r="EB34" s="663" t="s">
        <v>428</v>
      </c>
      <c r="EC34" s="742" t="s">
        <v>447</v>
      </c>
      <c r="ED34" s="663" t="s">
        <v>430</v>
      </c>
      <c r="EE34" s="742" t="s">
        <v>447</v>
      </c>
      <c r="EF34" s="663" t="s">
        <v>430</v>
      </c>
      <c r="EG34" s="742" t="s">
        <v>448</v>
      </c>
      <c r="EH34" s="663" t="s">
        <v>428</v>
      </c>
      <c r="EI34" s="742" t="s">
        <v>448</v>
      </c>
      <c r="EJ34" s="663" t="s">
        <v>428</v>
      </c>
      <c r="EK34" s="742" t="s">
        <v>448</v>
      </c>
      <c r="EL34" s="663" t="s">
        <v>428</v>
      </c>
      <c r="EM34" s="742" t="s">
        <v>447</v>
      </c>
      <c r="EN34" s="663" t="s">
        <v>430</v>
      </c>
      <c r="EO34" s="742" t="s">
        <v>447</v>
      </c>
      <c r="EP34" s="663" t="s">
        <v>430</v>
      </c>
      <c r="EQ34" s="742" t="s">
        <v>447</v>
      </c>
      <c r="ER34" s="663" t="s">
        <v>430</v>
      </c>
      <c r="ES34" s="742" t="s">
        <v>448</v>
      </c>
      <c r="ET34" s="663" t="s">
        <v>428</v>
      </c>
      <c r="EU34" s="742" t="s">
        <v>447</v>
      </c>
      <c r="EV34" s="663" t="s">
        <v>430</v>
      </c>
      <c r="EW34" s="742" t="s">
        <v>448</v>
      </c>
      <c r="EX34" s="663" t="s">
        <v>430</v>
      </c>
      <c r="EY34" s="742" t="s">
        <v>447</v>
      </c>
      <c r="EZ34" s="663" t="s">
        <v>428</v>
      </c>
      <c r="FA34" s="742" t="s">
        <v>448</v>
      </c>
      <c r="FB34" s="663" t="s">
        <v>430</v>
      </c>
      <c r="FC34" s="742" t="s">
        <v>448</v>
      </c>
      <c r="FD34" s="663" t="s">
        <v>428</v>
      </c>
      <c r="FE34" s="742" t="s">
        <v>448</v>
      </c>
      <c r="FF34" s="663" t="s">
        <v>430</v>
      </c>
      <c r="FG34" s="742" t="s">
        <v>447</v>
      </c>
      <c r="FH34" s="665" t="s">
        <v>430</v>
      </c>
      <c r="FI34" s="746"/>
      <c r="FJ34" s="827" t="s">
        <v>446</v>
      </c>
      <c r="FK34" s="738"/>
      <c r="FL34" s="824"/>
      <c r="FM34" s="825"/>
      <c r="FN34" s="824"/>
      <c r="FO34" s="826"/>
      <c r="FP34" s="747" t="s">
        <v>450</v>
      </c>
      <c r="FQ34" s="673" t="s">
        <v>448</v>
      </c>
      <c r="FR34" s="663" t="s">
        <v>434</v>
      </c>
      <c r="FS34" s="748" t="s">
        <v>433</v>
      </c>
      <c r="FT34" s="673" t="s">
        <v>447</v>
      </c>
      <c r="FU34" s="675" t="s">
        <v>451</v>
      </c>
      <c r="FV34" s="593"/>
      <c r="FW34" s="594"/>
      <c r="FX34" s="806"/>
      <c r="FY34" s="596"/>
      <c r="FZ34" s="807"/>
      <c r="GA34" s="598"/>
      <c r="GB34" s="808"/>
      <c r="GC34" s="600"/>
      <c r="GD34" s="808"/>
      <c r="GE34" s="601"/>
      <c r="GF34" s="749"/>
      <c r="GG34" s="750"/>
      <c r="GH34" s="750"/>
      <c r="GI34" s="750"/>
      <c r="GJ34" s="579"/>
      <c r="GK34" s="828" t="s">
        <v>564</v>
      </c>
      <c r="GL34" s="828"/>
      <c r="GM34" s="828"/>
      <c r="GN34" s="828"/>
      <c r="GO34" s="828"/>
      <c r="GP34" s="828"/>
      <c r="GQ34" s="615">
        <v>0</v>
      </c>
      <c r="GR34" s="579" t="s">
        <v>565</v>
      </c>
      <c r="GS34" s="580"/>
      <c r="GT34" s="763"/>
      <c r="GU34" s="829"/>
      <c r="GV34" s="830"/>
      <c r="GW34" s="831"/>
      <c r="GX34" s="633"/>
      <c r="GY34" s="633"/>
      <c r="GZ34" s="633"/>
      <c r="HA34" s="633"/>
      <c r="HB34" s="634"/>
      <c r="HC34" s="530"/>
      <c r="HD34" s="723"/>
      <c r="HE34" s="415"/>
      <c r="HF34" s="415"/>
    </row>
    <row r="35" spans="1:219" ht="20.100000000000001" customHeight="1">
      <c r="A35" s="832"/>
      <c r="B35" s="466" t="s">
        <v>452</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566</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453</v>
      </c>
      <c r="E36" s="642"/>
      <c r="F36" s="642"/>
      <c r="G36" s="845"/>
      <c r="H36" s="846">
        <v>0</v>
      </c>
      <c r="I36" s="847"/>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850">
        <v>0</v>
      </c>
      <c r="BC36" s="648"/>
      <c r="BD36" s="832"/>
      <c r="BE36" s="642"/>
      <c r="BF36" s="642"/>
      <c r="BG36" s="643" t="s">
        <v>327</v>
      </c>
      <c r="BH36" s="642"/>
      <c r="BI36" s="642"/>
      <c r="BJ36" s="845"/>
      <c r="BK36" s="846">
        <v>0</v>
      </c>
      <c r="BL36" s="847"/>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850">
        <v>0</v>
      </c>
      <c r="DF36" s="648"/>
      <c r="DG36" s="832"/>
      <c r="DH36" s="642"/>
      <c r="DI36" s="642"/>
      <c r="DJ36" s="643" t="s">
        <v>327</v>
      </c>
      <c r="DK36" s="642"/>
      <c r="DL36" s="642"/>
      <c r="DM36" s="845"/>
      <c r="DN36" s="846">
        <v>0</v>
      </c>
      <c r="DO36" s="847"/>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850">
        <v>0</v>
      </c>
      <c r="FI36" s="649"/>
      <c r="FJ36" s="841"/>
      <c r="FK36" s="642"/>
      <c r="FL36" s="642"/>
      <c r="FM36" s="643" t="s">
        <v>327</v>
      </c>
      <c r="FN36" s="642"/>
      <c r="FO36" s="642"/>
      <c r="FP36" s="650"/>
      <c r="FQ36" s="847"/>
      <c r="FR36" s="846">
        <v>0</v>
      </c>
      <c r="FS36" s="851"/>
      <c r="FT36" s="847"/>
      <c r="FU36" s="852">
        <v>0</v>
      </c>
      <c r="FV36" s="593"/>
      <c r="FW36" s="594"/>
      <c r="FX36" s="806"/>
      <c r="FY36" s="596"/>
      <c r="FZ36" s="807"/>
      <c r="GA36" s="598"/>
      <c r="GB36" s="808"/>
      <c r="GC36" s="600"/>
      <c r="GD36" s="808"/>
      <c r="GE36" s="601"/>
      <c r="GF36" s="654"/>
      <c r="GG36" s="655"/>
      <c r="GH36" s="655"/>
      <c r="GI36" s="655"/>
      <c r="GJ36" s="530"/>
      <c r="GK36" s="828" t="s">
        <v>567</v>
      </c>
      <c r="GL36" s="828"/>
      <c r="GM36" s="828"/>
      <c r="GN36" s="828"/>
      <c r="GO36" s="828"/>
      <c r="GP36" s="828"/>
      <c r="GQ36" s="615">
        <v>10</v>
      </c>
      <c r="GR36" s="579" t="s">
        <v>568</v>
      </c>
      <c r="GS36" s="530"/>
      <c r="GT36" s="763"/>
      <c r="GU36" s="829"/>
      <c r="GV36" s="830"/>
      <c r="GW36" s="831"/>
      <c r="GX36" s="633"/>
      <c r="GY36" s="633"/>
      <c r="GZ36" s="633"/>
      <c r="HA36" s="633"/>
      <c r="HB36" s="634"/>
      <c r="HC36" s="530"/>
      <c r="HD36" s="648"/>
      <c r="HE36" s="415"/>
      <c r="HF36" s="415"/>
    </row>
    <row r="37" spans="1:219" ht="24" customHeight="1">
      <c r="A37" s="853" t="s">
        <v>454</v>
      </c>
      <c r="B37" s="854"/>
      <c r="C37" s="855" t="s">
        <v>455</v>
      </c>
      <c r="D37" s="856"/>
      <c r="E37" s="857" t="s">
        <v>456</v>
      </c>
      <c r="F37" s="858"/>
      <c r="G37" s="662" t="s">
        <v>447</v>
      </c>
      <c r="H37" s="663" t="s">
        <v>457</v>
      </c>
      <c r="I37" s="664" t="s">
        <v>448</v>
      </c>
      <c r="J37" s="663" t="s">
        <v>458</v>
      </c>
      <c r="K37" s="664" t="s">
        <v>448</v>
      </c>
      <c r="L37" s="663" t="s">
        <v>458</v>
      </c>
      <c r="M37" s="664" t="s">
        <v>448</v>
      </c>
      <c r="N37" s="663" t="s">
        <v>458</v>
      </c>
      <c r="O37" s="664" t="s">
        <v>448</v>
      </c>
      <c r="P37" s="663" t="s">
        <v>458</v>
      </c>
      <c r="Q37" s="664" t="s">
        <v>447</v>
      </c>
      <c r="R37" s="663" t="s">
        <v>458</v>
      </c>
      <c r="S37" s="664" t="s">
        <v>447</v>
      </c>
      <c r="T37" s="663" t="s">
        <v>459</v>
      </c>
      <c r="U37" s="664" t="s">
        <v>447</v>
      </c>
      <c r="V37" s="663" t="s">
        <v>459</v>
      </c>
      <c r="W37" s="664" t="s">
        <v>447</v>
      </c>
      <c r="X37" s="663" t="s">
        <v>458</v>
      </c>
      <c r="Y37" s="664" t="s">
        <v>448</v>
      </c>
      <c r="Z37" s="663" t="s">
        <v>458</v>
      </c>
      <c r="AA37" s="664" t="s">
        <v>447</v>
      </c>
      <c r="AB37" s="663" t="s">
        <v>458</v>
      </c>
      <c r="AC37" s="664" t="s">
        <v>447</v>
      </c>
      <c r="AD37" s="663" t="s">
        <v>459</v>
      </c>
      <c r="AE37" s="664" t="s">
        <v>448</v>
      </c>
      <c r="AF37" s="663" t="s">
        <v>458</v>
      </c>
      <c r="AG37" s="664" t="s">
        <v>447</v>
      </c>
      <c r="AH37" s="663" t="s">
        <v>459</v>
      </c>
      <c r="AI37" s="664" t="s">
        <v>447</v>
      </c>
      <c r="AJ37" s="663" t="s">
        <v>459</v>
      </c>
      <c r="AK37" s="664" t="s">
        <v>447</v>
      </c>
      <c r="AL37" s="663" t="s">
        <v>458</v>
      </c>
      <c r="AM37" s="664" t="s">
        <v>447</v>
      </c>
      <c r="AN37" s="663" t="s">
        <v>459</v>
      </c>
      <c r="AO37" s="664" t="s">
        <v>448</v>
      </c>
      <c r="AP37" s="663" t="s">
        <v>458</v>
      </c>
      <c r="AQ37" s="664" t="s">
        <v>448</v>
      </c>
      <c r="AR37" s="663" t="s">
        <v>459</v>
      </c>
      <c r="AS37" s="664" t="s">
        <v>447</v>
      </c>
      <c r="AT37" s="663" t="s">
        <v>459</v>
      </c>
      <c r="AU37" s="664" t="s">
        <v>447</v>
      </c>
      <c r="AV37" s="663" t="s">
        <v>458</v>
      </c>
      <c r="AW37" s="664" t="s">
        <v>447</v>
      </c>
      <c r="AX37" s="663" t="s">
        <v>459</v>
      </c>
      <c r="AY37" s="664" t="s">
        <v>447</v>
      </c>
      <c r="AZ37" s="663" t="s">
        <v>459</v>
      </c>
      <c r="BA37" s="664" t="s">
        <v>448</v>
      </c>
      <c r="BB37" s="665" t="s">
        <v>458</v>
      </c>
      <c r="BC37" s="723"/>
      <c r="BD37" s="853" t="s">
        <v>454</v>
      </c>
      <c r="BE37" s="854"/>
      <c r="BF37" s="855" t="s">
        <v>460</v>
      </c>
      <c r="BG37" s="856"/>
      <c r="BH37" s="857" t="s">
        <v>456</v>
      </c>
      <c r="BI37" s="858"/>
      <c r="BJ37" s="662" t="s">
        <v>447</v>
      </c>
      <c r="BK37" s="663" t="s">
        <v>457</v>
      </c>
      <c r="BL37" s="664" t="s">
        <v>448</v>
      </c>
      <c r="BM37" s="663" t="s">
        <v>458</v>
      </c>
      <c r="BN37" s="664" t="s">
        <v>448</v>
      </c>
      <c r="BO37" s="663" t="s">
        <v>458</v>
      </c>
      <c r="BP37" s="664" t="s">
        <v>448</v>
      </c>
      <c r="BQ37" s="663" t="s">
        <v>459</v>
      </c>
      <c r="BR37" s="664" t="s">
        <v>448</v>
      </c>
      <c r="BS37" s="663" t="s">
        <v>459</v>
      </c>
      <c r="BT37" s="664" t="s">
        <v>447</v>
      </c>
      <c r="BU37" s="663" t="s">
        <v>459</v>
      </c>
      <c r="BV37" s="664" t="s">
        <v>447</v>
      </c>
      <c r="BW37" s="663" t="s">
        <v>459</v>
      </c>
      <c r="BX37" s="664" t="s">
        <v>448</v>
      </c>
      <c r="BY37" s="663" t="s">
        <v>458</v>
      </c>
      <c r="BZ37" s="664" t="s">
        <v>448</v>
      </c>
      <c r="CA37" s="663" t="s">
        <v>459</v>
      </c>
      <c r="CB37" s="664" t="s">
        <v>448</v>
      </c>
      <c r="CC37" s="663" t="s">
        <v>459</v>
      </c>
      <c r="CD37" s="664" t="s">
        <v>447</v>
      </c>
      <c r="CE37" s="663" t="s">
        <v>458</v>
      </c>
      <c r="CF37" s="664" t="s">
        <v>448</v>
      </c>
      <c r="CG37" s="663" t="s">
        <v>459</v>
      </c>
      <c r="CH37" s="664" t="s">
        <v>447</v>
      </c>
      <c r="CI37" s="663" t="s">
        <v>459</v>
      </c>
      <c r="CJ37" s="664" t="s">
        <v>447</v>
      </c>
      <c r="CK37" s="663" t="s">
        <v>459</v>
      </c>
      <c r="CL37" s="664" t="s">
        <v>448</v>
      </c>
      <c r="CM37" s="663" t="s">
        <v>459</v>
      </c>
      <c r="CN37" s="664" t="s">
        <v>447</v>
      </c>
      <c r="CO37" s="663" t="s">
        <v>458</v>
      </c>
      <c r="CP37" s="664" t="s">
        <v>448</v>
      </c>
      <c r="CQ37" s="663" t="s">
        <v>458</v>
      </c>
      <c r="CR37" s="664" t="s">
        <v>447</v>
      </c>
      <c r="CS37" s="663" t="s">
        <v>459</v>
      </c>
      <c r="CT37" s="664" t="s">
        <v>447</v>
      </c>
      <c r="CU37" s="663" t="s">
        <v>459</v>
      </c>
      <c r="CV37" s="664" t="s">
        <v>448</v>
      </c>
      <c r="CW37" s="663" t="s">
        <v>459</v>
      </c>
      <c r="CX37" s="664" t="s">
        <v>447</v>
      </c>
      <c r="CY37" s="663" t="s">
        <v>459</v>
      </c>
      <c r="CZ37" s="664" t="s">
        <v>447</v>
      </c>
      <c r="DA37" s="663" t="s">
        <v>458</v>
      </c>
      <c r="DB37" s="664" t="s">
        <v>448</v>
      </c>
      <c r="DC37" s="663" t="s">
        <v>459</v>
      </c>
      <c r="DD37" s="664" t="s">
        <v>448</v>
      </c>
      <c r="DE37" s="665" t="s">
        <v>459</v>
      </c>
      <c r="DF37" s="723"/>
      <c r="DG37" s="853" t="s">
        <v>454</v>
      </c>
      <c r="DH37" s="854"/>
      <c r="DI37" s="855" t="s">
        <v>455</v>
      </c>
      <c r="DJ37" s="856"/>
      <c r="DK37" s="857" t="s">
        <v>461</v>
      </c>
      <c r="DL37" s="858"/>
      <c r="DM37" s="662" t="s">
        <v>448</v>
      </c>
      <c r="DN37" s="663" t="s">
        <v>457</v>
      </c>
      <c r="DO37" s="664" t="s">
        <v>448</v>
      </c>
      <c r="DP37" s="663" t="s">
        <v>458</v>
      </c>
      <c r="DQ37" s="664" t="s">
        <v>447</v>
      </c>
      <c r="DR37" s="663" t="s">
        <v>458</v>
      </c>
      <c r="DS37" s="664" t="s">
        <v>447</v>
      </c>
      <c r="DT37" s="663" t="s">
        <v>459</v>
      </c>
      <c r="DU37" s="664" t="s">
        <v>447</v>
      </c>
      <c r="DV37" s="663" t="s">
        <v>459</v>
      </c>
      <c r="DW37" s="664" t="s">
        <v>447</v>
      </c>
      <c r="DX37" s="663" t="s">
        <v>458</v>
      </c>
      <c r="DY37" s="664" t="s">
        <v>448</v>
      </c>
      <c r="DZ37" s="663" t="s">
        <v>458</v>
      </c>
      <c r="EA37" s="664" t="s">
        <v>447</v>
      </c>
      <c r="EB37" s="663" t="s">
        <v>458</v>
      </c>
      <c r="EC37" s="664" t="s">
        <v>447</v>
      </c>
      <c r="ED37" s="663" t="s">
        <v>459</v>
      </c>
      <c r="EE37" s="664" t="s">
        <v>448</v>
      </c>
      <c r="EF37" s="663" t="s">
        <v>458</v>
      </c>
      <c r="EG37" s="664" t="s">
        <v>447</v>
      </c>
      <c r="EH37" s="663" t="s">
        <v>459</v>
      </c>
      <c r="EI37" s="664" t="s">
        <v>447</v>
      </c>
      <c r="EJ37" s="663" t="s">
        <v>459</v>
      </c>
      <c r="EK37" s="664" t="s">
        <v>447</v>
      </c>
      <c r="EL37" s="663" t="s">
        <v>458</v>
      </c>
      <c r="EM37" s="664" t="s">
        <v>447</v>
      </c>
      <c r="EN37" s="663" t="s">
        <v>459</v>
      </c>
      <c r="EO37" s="664" t="s">
        <v>448</v>
      </c>
      <c r="EP37" s="663" t="s">
        <v>458</v>
      </c>
      <c r="EQ37" s="664" t="s">
        <v>448</v>
      </c>
      <c r="ER37" s="663" t="s">
        <v>459</v>
      </c>
      <c r="ES37" s="664" t="s">
        <v>447</v>
      </c>
      <c r="ET37" s="663" t="s">
        <v>459</v>
      </c>
      <c r="EU37" s="664" t="s">
        <v>447</v>
      </c>
      <c r="EV37" s="663" t="s">
        <v>458</v>
      </c>
      <c r="EW37" s="664" t="s">
        <v>447</v>
      </c>
      <c r="EX37" s="663" t="s">
        <v>459</v>
      </c>
      <c r="EY37" s="664" t="s">
        <v>447</v>
      </c>
      <c r="EZ37" s="663" t="s">
        <v>459</v>
      </c>
      <c r="FA37" s="664" t="s">
        <v>448</v>
      </c>
      <c r="FB37" s="663" t="s">
        <v>458</v>
      </c>
      <c r="FC37" s="664" t="s">
        <v>447</v>
      </c>
      <c r="FD37" s="663" t="s">
        <v>458</v>
      </c>
      <c r="FE37" s="664" t="s">
        <v>447</v>
      </c>
      <c r="FF37" s="663" t="s">
        <v>458</v>
      </c>
      <c r="FG37" s="664" t="s">
        <v>448</v>
      </c>
      <c r="FH37" s="665" t="s">
        <v>458</v>
      </c>
      <c r="FI37" s="746"/>
      <c r="FJ37" s="827" t="s">
        <v>462</v>
      </c>
      <c r="FK37" s="854"/>
      <c r="FL37" s="855" t="s">
        <v>460</v>
      </c>
      <c r="FM37" s="856"/>
      <c r="FN37" s="857" t="s">
        <v>456</v>
      </c>
      <c r="FO37" s="858"/>
      <c r="FP37" s="672"/>
      <c r="FQ37" s="859" t="s">
        <v>311</v>
      </c>
      <c r="FR37" s="663" t="s">
        <v>458</v>
      </c>
      <c r="FS37" s="674"/>
      <c r="FT37" s="859" t="s">
        <v>463</v>
      </c>
      <c r="FU37" s="675" t="s">
        <v>458</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464</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c r="FM38" s="865"/>
      <c r="FN38" s="866">
        <v>0</v>
      </c>
      <c r="FO38" s="867"/>
      <c r="FP38" s="685"/>
      <c r="FQ38" s="686"/>
      <c r="FR38" s="559">
        <v>0</v>
      </c>
      <c r="FS38" s="687"/>
      <c r="FT38" s="686"/>
      <c r="FU38" s="567">
        <v>0</v>
      </c>
      <c r="FV38" s="593"/>
      <c r="FW38" s="594"/>
      <c r="FX38" s="806"/>
      <c r="FY38" s="596"/>
      <c r="FZ38" s="807"/>
      <c r="GA38" s="598"/>
      <c r="GB38" s="808"/>
      <c r="GC38" s="600"/>
      <c r="GD38" s="808"/>
      <c r="GE38" s="601"/>
      <c r="GF38" s="688"/>
      <c r="GG38" s="602"/>
      <c r="GH38" s="602"/>
      <c r="GI38" s="602"/>
      <c r="GJ38" s="580"/>
      <c r="GK38" s="413" t="s">
        <v>569</v>
      </c>
      <c r="GL38" s="409"/>
      <c r="GM38" s="413"/>
      <c r="GN38" s="409"/>
      <c r="GO38" s="413"/>
      <c r="GP38" s="413"/>
      <c r="GQ38" s="413"/>
      <c r="GR38" s="413"/>
      <c r="GS38" s="580"/>
      <c r="GT38" s="861"/>
      <c r="GU38" s="872" t="s">
        <v>536</v>
      </c>
      <c r="GV38" s="873"/>
      <c r="GW38" s="873"/>
      <c r="GX38" s="873"/>
      <c r="GY38" s="873"/>
      <c r="GZ38" s="874"/>
      <c r="HA38" s="633">
        <v>33.369999999999997</v>
      </c>
      <c r="HB38" s="875">
        <v>13</v>
      </c>
      <c r="HC38" s="530"/>
      <c r="HD38" s="530"/>
      <c r="HE38" s="387"/>
      <c r="HF38" s="387"/>
      <c r="HK38" s="415"/>
    </row>
    <row r="39" spans="1:219" ht="20.100000000000001" customHeight="1">
      <c r="A39" s="832"/>
      <c r="B39" s="876" t="s">
        <v>465</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v>8.11</v>
      </c>
      <c r="FM39" s="878"/>
      <c r="FN39" s="879">
        <v>1.8</v>
      </c>
      <c r="FO39" s="880"/>
      <c r="FP39" s="696"/>
      <c r="FQ39" s="697">
        <v>15.9</v>
      </c>
      <c r="FR39" s="587">
        <v>232</v>
      </c>
      <c r="FS39" s="698"/>
      <c r="FT39" s="697">
        <v>15.9</v>
      </c>
      <c r="FU39" s="592">
        <v>232</v>
      </c>
      <c r="FV39" s="593"/>
      <c r="FW39" s="594"/>
      <c r="FX39" s="806"/>
      <c r="FY39" s="596"/>
      <c r="FZ39" s="807"/>
      <c r="GA39" s="598"/>
      <c r="GB39" s="808"/>
      <c r="GC39" s="600"/>
      <c r="GD39" s="808"/>
      <c r="GE39" s="601"/>
      <c r="GF39" s="688"/>
      <c r="GG39" s="602"/>
      <c r="GH39" s="602"/>
      <c r="GI39" s="602"/>
      <c r="GJ39" s="409"/>
      <c r="GK39" s="885"/>
      <c r="GL39" s="886"/>
      <c r="GM39" s="887" t="s">
        <v>570</v>
      </c>
      <c r="GN39" s="886"/>
      <c r="GO39" s="887" t="s">
        <v>571</v>
      </c>
      <c r="GP39" s="886"/>
      <c r="GQ39" s="887" t="s">
        <v>572</v>
      </c>
      <c r="GR39" s="888"/>
      <c r="GS39" s="413"/>
      <c r="GT39" s="689"/>
      <c r="GU39" s="530" t="s">
        <v>573</v>
      </c>
      <c r="GV39" s="530"/>
      <c r="GW39" s="530"/>
      <c r="GX39" s="530"/>
      <c r="GY39" s="530"/>
      <c r="GZ39" s="530"/>
      <c r="HA39" s="690">
        <v>2.57</v>
      </c>
      <c r="HB39" s="579"/>
      <c r="HC39" s="530"/>
      <c r="HD39" s="562"/>
    </row>
    <row r="40" spans="1:219" ht="20.100000000000001" customHeight="1">
      <c r="A40" s="889"/>
      <c r="B40" s="642"/>
      <c r="C40" s="642"/>
      <c r="D40" s="643" t="s">
        <v>329</v>
      </c>
      <c r="E40" s="642"/>
      <c r="F40" s="642"/>
      <c r="G40" s="845"/>
      <c r="H40" s="846">
        <v>0</v>
      </c>
      <c r="I40" s="847"/>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850">
        <v>0</v>
      </c>
      <c r="BC40" s="648"/>
      <c r="BD40" s="889"/>
      <c r="BE40" s="642"/>
      <c r="BF40" s="642"/>
      <c r="BG40" s="643" t="s">
        <v>329</v>
      </c>
      <c r="BH40" s="642"/>
      <c r="BI40" s="642"/>
      <c r="BJ40" s="845"/>
      <c r="BK40" s="846">
        <v>0</v>
      </c>
      <c r="BL40" s="847"/>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850">
        <v>0</v>
      </c>
      <c r="DF40" s="648"/>
      <c r="DG40" s="889"/>
      <c r="DH40" s="642"/>
      <c r="DI40" s="642"/>
      <c r="DJ40" s="643" t="s">
        <v>466</v>
      </c>
      <c r="DK40" s="642"/>
      <c r="DL40" s="642"/>
      <c r="DM40" s="845"/>
      <c r="DN40" s="846">
        <v>0</v>
      </c>
      <c r="DO40" s="847"/>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850">
        <v>0</v>
      </c>
      <c r="FI40" s="649"/>
      <c r="FJ40" s="841"/>
      <c r="FK40" s="642"/>
      <c r="FL40" s="642"/>
      <c r="FM40" s="643" t="s">
        <v>329</v>
      </c>
      <c r="FN40" s="642"/>
      <c r="FO40" s="642"/>
      <c r="FP40" s="650"/>
      <c r="FQ40" s="847"/>
      <c r="FR40" s="846">
        <v>232</v>
      </c>
      <c r="FS40" s="851"/>
      <c r="FT40" s="847"/>
      <c r="FU40" s="852">
        <v>232</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610</v>
      </c>
      <c r="GV40" s="530"/>
      <c r="GW40" s="530"/>
      <c r="GX40" s="530"/>
      <c r="GY40" s="530"/>
      <c r="GZ40" s="530"/>
      <c r="HA40" s="894">
        <v>49.4</v>
      </c>
      <c r="HB40" s="413"/>
      <c r="HC40" s="530"/>
      <c r="HD40" s="580"/>
      <c r="HK40" s="415"/>
    </row>
    <row r="41" spans="1:219" ht="20.100000000000001" customHeight="1">
      <c r="A41" s="862" t="s">
        <v>467</v>
      </c>
      <c r="B41" s="738"/>
      <c r="C41" s="895"/>
      <c r="D41" s="895"/>
      <c r="E41" s="895"/>
      <c r="F41" s="896"/>
      <c r="G41" s="740"/>
      <c r="H41" s="663" t="s">
        <v>428</v>
      </c>
      <c r="I41" s="741"/>
      <c r="J41" s="663" t="s">
        <v>428</v>
      </c>
      <c r="K41" s="742"/>
      <c r="L41" s="663" t="s">
        <v>428</v>
      </c>
      <c r="M41" s="742"/>
      <c r="N41" s="663" t="s">
        <v>430</v>
      </c>
      <c r="O41" s="742"/>
      <c r="P41" s="663" t="s">
        <v>430</v>
      </c>
      <c r="Q41" s="742"/>
      <c r="R41" s="663" t="s">
        <v>430</v>
      </c>
      <c r="S41" s="742"/>
      <c r="T41" s="663" t="s">
        <v>430</v>
      </c>
      <c r="U41" s="742"/>
      <c r="V41" s="663" t="s">
        <v>428</v>
      </c>
      <c r="W41" s="742"/>
      <c r="X41" s="663" t="s">
        <v>430</v>
      </c>
      <c r="Y41" s="742" t="s">
        <v>448</v>
      </c>
      <c r="Z41" s="663" t="s">
        <v>428</v>
      </c>
      <c r="AA41" s="742" t="s">
        <v>448</v>
      </c>
      <c r="AB41" s="663" t="s">
        <v>428</v>
      </c>
      <c r="AC41" s="742"/>
      <c r="AD41" s="663" t="s">
        <v>430</v>
      </c>
      <c r="AE41" s="742"/>
      <c r="AF41" s="663" t="s">
        <v>430</v>
      </c>
      <c r="AG41" s="742"/>
      <c r="AH41" s="663" t="s">
        <v>430</v>
      </c>
      <c r="AI41" s="742"/>
      <c r="AJ41" s="663" t="s">
        <v>428</v>
      </c>
      <c r="AK41" s="742"/>
      <c r="AL41" s="663" t="s">
        <v>428</v>
      </c>
      <c r="AM41" s="742"/>
      <c r="AN41" s="663" t="s">
        <v>428</v>
      </c>
      <c r="AO41" s="742"/>
      <c r="AP41" s="663" t="s">
        <v>430</v>
      </c>
      <c r="AQ41" s="742"/>
      <c r="AR41" s="663" t="s">
        <v>430</v>
      </c>
      <c r="AS41" s="742"/>
      <c r="AT41" s="663" t="s">
        <v>430</v>
      </c>
      <c r="AU41" s="742"/>
      <c r="AV41" s="663" t="s">
        <v>430</v>
      </c>
      <c r="AW41" s="742"/>
      <c r="AX41" s="663" t="s">
        <v>428</v>
      </c>
      <c r="AY41" s="742"/>
      <c r="AZ41" s="663" t="s">
        <v>430</v>
      </c>
      <c r="BA41" s="742"/>
      <c r="BB41" s="665" t="s">
        <v>430</v>
      </c>
      <c r="BC41" s="723"/>
      <c r="BD41" s="862" t="s">
        <v>467</v>
      </c>
      <c r="BE41" s="738"/>
      <c r="BF41" s="895"/>
      <c r="BG41" s="895"/>
      <c r="BH41" s="895"/>
      <c r="BI41" s="896"/>
      <c r="BJ41" s="740"/>
      <c r="BK41" s="663" t="s">
        <v>430</v>
      </c>
      <c r="BL41" s="741"/>
      <c r="BM41" s="663" t="s">
        <v>428</v>
      </c>
      <c r="BN41" s="742"/>
      <c r="BO41" s="663" t="s">
        <v>428</v>
      </c>
      <c r="BP41" s="742"/>
      <c r="BQ41" s="663" t="s">
        <v>428</v>
      </c>
      <c r="BR41" s="742"/>
      <c r="BS41" s="663" t="s">
        <v>430</v>
      </c>
      <c r="BT41" s="742"/>
      <c r="BU41" s="663" t="s">
        <v>430</v>
      </c>
      <c r="BV41" s="742"/>
      <c r="BW41" s="663" t="s">
        <v>430</v>
      </c>
      <c r="BX41" s="742"/>
      <c r="BY41" s="663" t="s">
        <v>430</v>
      </c>
      <c r="BZ41" s="742"/>
      <c r="CA41" s="663" t="s">
        <v>428</v>
      </c>
      <c r="CB41" s="742" t="s">
        <v>448</v>
      </c>
      <c r="CC41" s="663" t="s">
        <v>428</v>
      </c>
      <c r="CD41" s="742" t="s">
        <v>448</v>
      </c>
      <c r="CE41" s="663" t="s">
        <v>428</v>
      </c>
      <c r="CF41" s="742"/>
      <c r="CG41" s="663" t="s">
        <v>430</v>
      </c>
      <c r="CH41" s="742"/>
      <c r="CI41" s="663" t="s">
        <v>430</v>
      </c>
      <c r="CJ41" s="742"/>
      <c r="CK41" s="663" t="s">
        <v>430</v>
      </c>
      <c r="CL41" s="742"/>
      <c r="CM41" s="663" t="s">
        <v>430</v>
      </c>
      <c r="CN41" s="742"/>
      <c r="CO41" s="663" t="s">
        <v>428</v>
      </c>
      <c r="CP41" s="742"/>
      <c r="CQ41" s="663" t="s">
        <v>428</v>
      </c>
      <c r="CR41" s="742"/>
      <c r="CS41" s="663" t="s">
        <v>428</v>
      </c>
      <c r="CT41" s="742"/>
      <c r="CU41" s="663" t="s">
        <v>430</v>
      </c>
      <c r="CV41" s="742"/>
      <c r="CW41" s="663" t="s">
        <v>430</v>
      </c>
      <c r="CX41" s="742"/>
      <c r="CY41" s="663" t="s">
        <v>430</v>
      </c>
      <c r="CZ41" s="742"/>
      <c r="DA41" s="663" t="s">
        <v>430</v>
      </c>
      <c r="DB41" s="742"/>
      <c r="DC41" s="663" t="s">
        <v>428</v>
      </c>
      <c r="DD41" s="742"/>
      <c r="DE41" s="665" t="s">
        <v>430</v>
      </c>
      <c r="DF41" s="723"/>
      <c r="DG41" s="862" t="s">
        <v>468</v>
      </c>
      <c r="DH41" s="738"/>
      <c r="DI41" s="895"/>
      <c r="DJ41" s="895"/>
      <c r="DK41" s="895"/>
      <c r="DL41" s="896"/>
      <c r="DM41" s="740"/>
      <c r="DN41" s="663" t="s">
        <v>430</v>
      </c>
      <c r="DO41" s="741"/>
      <c r="DP41" s="663" t="s">
        <v>430</v>
      </c>
      <c r="DQ41" s="742"/>
      <c r="DR41" s="663" t="s">
        <v>428</v>
      </c>
      <c r="DS41" s="742"/>
      <c r="DT41" s="663" t="s">
        <v>428</v>
      </c>
      <c r="DU41" s="742"/>
      <c r="DV41" s="663" t="s">
        <v>428</v>
      </c>
      <c r="DW41" s="742"/>
      <c r="DX41" s="663" t="s">
        <v>430</v>
      </c>
      <c r="DY41" s="742"/>
      <c r="DZ41" s="663" t="s">
        <v>430</v>
      </c>
      <c r="EA41" s="742"/>
      <c r="EB41" s="663" t="s">
        <v>430</v>
      </c>
      <c r="EC41" s="742"/>
      <c r="ED41" s="663" t="s">
        <v>430</v>
      </c>
      <c r="EE41" s="742" t="s">
        <v>447</v>
      </c>
      <c r="EF41" s="663" t="s">
        <v>428</v>
      </c>
      <c r="EG41" s="742" t="s">
        <v>447</v>
      </c>
      <c r="EH41" s="663" t="s">
        <v>430</v>
      </c>
      <c r="EI41" s="742"/>
      <c r="EJ41" s="663" t="s">
        <v>428</v>
      </c>
      <c r="EK41" s="742"/>
      <c r="EL41" s="663" t="s">
        <v>430</v>
      </c>
      <c r="EM41" s="742"/>
      <c r="EN41" s="663" t="s">
        <v>430</v>
      </c>
      <c r="EO41" s="742"/>
      <c r="EP41" s="663" t="s">
        <v>430</v>
      </c>
      <c r="EQ41" s="742"/>
      <c r="ER41" s="663" t="s">
        <v>430</v>
      </c>
      <c r="ES41" s="742"/>
      <c r="ET41" s="663" t="s">
        <v>428</v>
      </c>
      <c r="EU41" s="742"/>
      <c r="EV41" s="663" t="s">
        <v>428</v>
      </c>
      <c r="EW41" s="742"/>
      <c r="EX41" s="663" t="s">
        <v>428</v>
      </c>
      <c r="EY41" s="742"/>
      <c r="EZ41" s="663" t="s">
        <v>430</v>
      </c>
      <c r="FA41" s="742"/>
      <c r="FB41" s="663" t="s">
        <v>430</v>
      </c>
      <c r="FC41" s="742"/>
      <c r="FD41" s="663" t="s">
        <v>430</v>
      </c>
      <c r="FE41" s="742"/>
      <c r="FF41" s="663" t="s">
        <v>430</v>
      </c>
      <c r="FG41" s="742"/>
      <c r="FH41" s="665" t="s">
        <v>428</v>
      </c>
      <c r="FI41" s="746"/>
      <c r="FJ41" s="827" t="s">
        <v>468</v>
      </c>
      <c r="FK41" s="743"/>
      <c r="FL41" s="897"/>
      <c r="FM41" s="897"/>
      <c r="FN41" s="897"/>
      <c r="FO41" s="898"/>
      <c r="FP41" s="747"/>
      <c r="FQ41" s="673"/>
      <c r="FR41" s="663" t="s">
        <v>451</v>
      </c>
      <c r="FS41" s="748"/>
      <c r="FT41" s="673"/>
      <c r="FU41" s="675" t="s">
        <v>451</v>
      </c>
      <c r="FV41" s="593"/>
      <c r="FW41" s="594"/>
      <c r="FX41" s="806"/>
      <c r="FY41" s="596"/>
      <c r="FZ41" s="807"/>
      <c r="GA41" s="598"/>
      <c r="GB41" s="808"/>
      <c r="GC41" s="600"/>
      <c r="GD41" s="808"/>
      <c r="GE41" s="601"/>
      <c r="GF41" s="749"/>
      <c r="GG41" s="750"/>
      <c r="GH41" s="750"/>
      <c r="GI41" s="750"/>
      <c r="GJ41" s="580"/>
      <c r="GK41" s="899" t="s">
        <v>574</v>
      </c>
      <c r="GL41" s="900"/>
      <c r="GM41" s="901" t="s">
        <v>575</v>
      </c>
      <c r="GN41" s="901"/>
      <c r="GO41" s="901" t="s">
        <v>576</v>
      </c>
      <c r="GP41" s="901"/>
      <c r="GQ41" s="901"/>
      <c r="GR41" s="902"/>
      <c r="GS41" s="861"/>
      <c r="GT41" s="689"/>
      <c r="GU41" s="530" t="s">
        <v>611</v>
      </c>
      <c r="GV41" s="530"/>
      <c r="GW41" s="530"/>
      <c r="GX41" s="530"/>
      <c r="GY41" s="530"/>
      <c r="GZ41" s="530"/>
      <c r="HA41" s="894">
        <v>35.9</v>
      </c>
      <c r="HB41" s="413"/>
      <c r="HC41" s="530"/>
      <c r="HD41" s="409"/>
    </row>
    <row r="42" spans="1:219" ht="20.100000000000001" customHeight="1">
      <c r="A42" s="832"/>
      <c r="B42" s="903" t="s">
        <v>469</v>
      </c>
      <c r="C42" s="904"/>
      <c r="D42" s="904"/>
      <c r="E42" s="905"/>
      <c r="F42" s="906"/>
      <c r="G42" s="836"/>
      <c r="H42" s="837"/>
      <c r="I42" s="838"/>
      <c r="J42" s="799"/>
      <c r="K42" s="839"/>
      <c r="L42" s="799"/>
      <c r="M42" s="839"/>
      <c r="N42" s="799"/>
      <c r="O42" s="839"/>
      <c r="P42" s="799"/>
      <c r="Q42" s="839"/>
      <c r="R42" s="799"/>
      <c r="S42" s="839"/>
      <c r="T42" s="799"/>
      <c r="U42" s="839"/>
      <c r="V42" s="799"/>
      <c r="W42" s="839"/>
      <c r="X42" s="799">
        <v>130</v>
      </c>
      <c r="Y42" s="839"/>
      <c r="Z42" s="799">
        <v>91</v>
      </c>
      <c r="AA42" s="839"/>
      <c r="AB42" s="799">
        <v>91</v>
      </c>
      <c r="AC42" s="839"/>
      <c r="AD42" s="799">
        <v>91</v>
      </c>
      <c r="AE42" s="839"/>
      <c r="AF42" s="799">
        <v>91</v>
      </c>
      <c r="AG42" s="839"/>
      <c r="AH42" s="799">
        <v>91</v>
      </c>
      <c r="AI42" s="839"/>
      <c r="AJ42" s="799">
        <v>91</v>
      </c>
      <c r="AK42" s="839"/>
      <c r="AL42" s="799">
        <v>91</v>
      </c>
      <c r="AM42" s="839"/>
      <c r="AN42" s="799">
        <v>91</v>
      </c>
      <c r="AO42" s="839"/>
      <c r="AP42" s="799">
        <v>91</v>
      </c>
      <c r="AQ42" s="839"/>
      <c r="AR42" s="799"/>
      <c r="AS42" s="839"/>
      <c r="AT42" s="799"/>
      <c r="AU42" s="839"/>
      <c r="AV42" s="799"/>
      <c r="AW42" s="839"/>
      <c r="AX42" s="799"/>
      <c r="AY42" s="839"/>
      <c r="AZ42" s="799"/>
      <c r="BA42" s="839"/>
      <c r="BB42" s="840"/>
      <c r="BC42" s="562"/>
      <c r="BD42" s="832"/>
      <c r="BE42" s="907" t="s">
        <v>470</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130</v>
      </c>
      <c r="CB42" s="839"/>
      <c r="CC42" s="799">
        <v>91</v>
      </c>
      <c r="CD42" s="839"/>
      <c r="CE42" s="799">
        <v>91</v>
      </c>
      <c r="CF42" s="839"/>
      <c r="CG42" s="799">
        <v>91</v>
      </c>
      <c r="CH42" s="839"/>
      <c r="CI42" s="799">
        <v>91</v>
      </c>
      <c r="CJ42" s="839"/>
      <c r="CK42" s="799">
        <v>91</v>
      </c>
      <c r="CL42" s="839"/>
      <c r="CM42" s="799">
        <v>91</v>
      </c>
      <c r="CN42" s="839"/>
      <c r="CO42" s="799">
        <v>91</v>
      </c>
      <c r="CP42" s="839"/>
      <c r="CQ42" s="799">
        <v>91</v>
      </c>
      <c r="CR42" s="839"/>
      <c r="CS42" s="799">
        <v>91</v>
      </c>
      <c r="CT42" s="839"/>
      <c r="CU42" s="799"/>
      <c r="CV42" s="839"/>
      <c r="CW42" s="799"/>
      <c r="CX42" s="839"/>
      <c r="CY42" s="799"/>
      <c r="CZ42" s="839"/>
      <c r="DA42" s="799"/>
      <c r="DB42" s="839"/>
      <c r="DC42" s="799"/>
      <c r="DD42" s="839"/>
      <c r="DE42" s="840"/>
      <c r="DF42" s="562"/>
      <c r="DG42" s="832"/>
      <c r="DH42" s="907" t="s">
        <v>470</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130</v>
      </c>
      <c r="EE42" s="839"/>
      <c r="EF42" s="799">
        <v>91</v>
      </c>
      <c r="EG42" s="839"/>
      <c r="EH42" s="799">
        <v>91</v>
      </c>
      <c r="EI42" s="839"/>
      <c r="EJ42" s="799">
        <v>91</v>
      </c>
      <c r="EK42" s="839"/>
      <c r="EL42" s="799">
        <v>91</v>
      </c>
      <c r="EM42" s="839"/>
      <c r="EN42" s="799">
        <v>91</v>
      </c>
      <c r="EO42" s="839"/>
      <c r="EP42" s="799">
        <v>91</v>
      </c>
      <c r="EQ42" s="839"/>
      <c r="ER42" s="799">
        <v>91</v>
      </c>
      <c r="ES42" s="839"/>
      <c r="ET42" s="799">
        <v>91</v>
      </c>
      <c r="EU42" s="839"/>
      <c r="EV42" s="799">
        <v>91</v>
      </c>
      <c r="EW42" s="839"/>
      <c r="EX42" s="799"/>
      <c r="EY42" s="839"/>
      <c r="EZ42" s="799"/>
      <c r="FA42" s="839"/>
      <c r="FB42" s="799"/>
      <c r="FC42" s="839"/>
      <c r="FD42" s="799"/>
      <c r="FE42" s="839"/>
      <c r="FF42" s="799"/>
      <c r="FG42" s="839"/>
      <c r="FH42" s="840"/>
      <c r="FI42" s="563"/>
      <c r="FJ42" s="841"/>
      <c r="FK42" s="907" t="s">
        <v>469</v>
      </c>
      <c r="FL42" s="904"/>
      <c r="FM42" s="904"/>
      <c r="FN42" s="905"/>
      <c r="FO42" s="906"/>
      <c r="FP42" s="842"/>
      <c r="FQ42" s="838"/>
      <c r="FR42" s="837">
        <v>341</v>
      </c>
      <c r="FS42" s="843"/>
      <c r="FT42" s="838"/>
      <c r="FU42" s="805">
        <v>341</v>
      </c>
      <c r="FV42" s="593"/>
      <c r="FW42" s="594"/>
      <c r="FX42" s="806"/>
      <c r="FY42" s="596"/>
      <c r="FZ42" s="807"/>
      <c r="GA42" s="598"/>
      <c r="GB42" s="808"/>
      <c r="GC42" s="600"/>
      <c r="GD42" s="808"/>
      <c r="GE42" s="601"/>
      <c r="GF42" s="844"/>
      <c r="GG42" s="602"/>
      <c r="GH42" s="602"/>
      <c r="GI42" s="602"/>
      <c r="GJ42" s="409"/>
      <c r="GK42" s="908"/>
      <c r="GL42" s="909"/>
      <c r="GM42" s="910">
        <v>0</v>
      </c>
      <c r="GN42" s="910"/>
      <c r="GO42" s="910">
        <v>10</v>
      </c>
      <c r="GP42" s="910"/>
      <c r="GQ42" s="910">
        <v>10</v>
      </c>
      <c r="GR42" s="911"/>
      <c r="GS42" s="580"/>
      <c r="GT42" s="500"/>
      <c r="GU42" s="500"/>
      <c r="GV42" s="500"/>
      <c r="GW42" s="579"/>
      <c r="GX42" s="579"/>
      <c r="GY42" s="579"/>
      <c r="GZ42" s="578"/>
      <c r="HA42" s="500"/>
      <c r="HB42" s="500"/>
      <c r="HC42" s="530"/>
      <c r="HD42" s="530"/>
    </row>
    <row r="43" spans="1:219" ht="20.100000000000001" customHeight="1">
      <c r="A43" s="832"/>
      <c r="B43" s="912" t="s">
        <v>471</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471</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471</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472</v>
      </c>
      <c r="FL43" s="913"/>
      <c r="FM43" s="913"/>
      <c r="FN43" s="913"/>
      <c r="FO43" s="914"/>
      <c r="FP43" s="696"/>
      <c r="FQ43" s="697"/>
      <c r="FR43" s="587">
        <v>626</v>
      </c>
      <c r="FS43" s="698"/>
      <c r="FT43" s="697"/>
      <c r="FU43" s="592">
        <v>626</v>
      </c>
      <c r="FV43" s="918"/>
      <c r="FW43" s="919"/>
      <c r="FX43" s="920"/>
      <c r="FY43" s="921"/>
      <c r="FZ43" s="922"/>
      <c r="GA43" s="923"/>
      <c r="GB43" s="924"/>
      <c r="GC43" s="925"/>
      <c r="GD43" s="924"/>
      <c r="GE43" s="926"/>
      <c r="GF43" s="688"/>
      <c r="GG43" s="602"/>
      <c r="GH43" s="602"/>
      <c r="GI43" s="602"/>
      <c r="GJ43" s="927"/>
      <c r="GK43" s="928" t="s">
        <v>577</v>
      </c>
      <c r="GL43" s="929"/>
      <c r="GM43" s="930" t="s">
        <v>575</v>
      </c>
      <c r="GN43" s="930"/>
      <c r="GO43" s="930" t="s">
        <v>578</v>
      </c>
      <c r="GP43" s="930"/>
      <c r="GQ43" s="930"/>
      <c r="GR43" s="931"/>
      <c r="GS43" s="580"/>
      <c r="GT43" s="609"/>
      <c r="GU43" s="530" t="s">
        <v>545</v>
      </c>
      <c r="GV43" s="413"/>
      <c r="GW43" s="409"/>
      <c r="GX43" s="413"/>
      <c r="GY43" s="413"/>
      <c r="GZ43" s="413"/>
      <c r="HA43" s="409"/>
      <c r="HB43" s="413"/>
      <c r="HC43" s="932"/>
      <c r="HD43" s="415"/>
    </row>
    <row r="44" spans="1:219" ht="20.100000000000001" customHeight="1" thickBot="1">
      <c r="A44" s="933"/>
      <c r="B44" s="642"/>
      <c r="C44" s="642"/>
      <c r="D44" s="643" t="s">
        <v>473</v>
      </c>
      <c r="E44" s="642"/>
      <c r="F44" s="642"/>
      <c r="G44" s="845"/>
      <c r="H44" s="846">
        <v>0</v>
      </c>
      <c r="I44" s="847"/>
      <c r="J44" s="848">
        <v>0</v>
      </c>
      <c r="K44" s="849"/>
      <c r="L44" s="848">
        <v>0</v>
      </c>
      <c r="M44" s="849"/>
      <c r="N44" s="848">
        <v>0</v>
      </c>
      <c r="O44" s="849"/>
      <c r="P44" s="848">
        <v>0</v>
      </c>
      <c r="Q44" s="849"/>
      <c r="R44" s="848">
        <v>0</v>
      </c>
      <c r="S44" s="849"/>
      <c r="T44" s="848">
        <v>0</v>
      </c>
      <c r="U44" s="849"/>
      <c r="V44" s="848">
        <v>0</v>
      </c>
      <c r="W44" s="849"/>
      <c r="X44" s="848">
        <v>130</v>
      </c>
      <c r="Y44" s="849"/>
      <c r="Z44" s="848">
        <v>91</v>
      </c>
      <c r="AA44" s="849"/>
      <c r="AB44" s="848">
        <v>91</v>
      </c>
      <c r="AC44" s="849"/>
      <c r="AD44" s="848">
        <v>91</v>
      </c>
      <c r="AE44" s="849"/>
      <c r="AF44" s="848">
        <v>91</v>
      </c>
      <c r="AG44" s="849"/>
      <c r="AH44" s="848">
        <v>91</v>
      </c>
      <c r="AI44" s="849"/>
      <c r="AJ44" s="848">
        <v>91</v>
      </c>
      <c r="AK44" s="849"/>
      <c r="AL44" s="848">
        <v>91</v>
      </c>
      <c r="AM44" s="849"/>
      <c r="AN44" s="848">
        <v>91</v>
      </c>
      <c r="AO44" s="849"/>
      <c r="AP44" s="848">
        <v>91</v>
      </c>
      <c r="AQ44" s="849"/>
      <c r="AR44" s="848">
        <v>0</v>
      </c>
      <c r="AS44" s="849"/>
      <c r="AT44" s="848">
        <v>0</v>
      </c>
      <c r="AU44" s="849"/>
      <c r="AV44" s="848">
        <v>0</v>
      </c>
      <c r="AW44" s="849"/>
      <c r="AX44" s="848">
        <v>0</v>
      </c>
      <c r="AY44" s="849"/>
      <c r="AZ44" s="848">
        <v>0</v>
      </c>
      <c r="BA44" s="849"/>
      <c r="BB44" s="850">
        <v>0</v>
      </c>
      <c r="BC44" s="648"/>
      <c r="BD44" s="933"/>
      <c r="BE44" s="642"/>
      <c r="BF44" s="642"/>
      <c r="BG44" s="643" t="s">
        <v>474</v>
      </c>
      <c r="BH44" s="642"/>
      <c r="BI44" s="642"/>
      <c r="BJ44" s="845"/>
      <c r="BK44" s="846">
        <v>0</v>
      </c>
      <c r="BL44" s="847"/>
      <c r="BM44" s="848">
        <v>0</v>
      </c>
      <c r="BN44" s="849"/>
      <c r="BO44" s="848">
        <v>0</v>
      </c>
      <c r="BP44" s="849"/>
      <c r="BQ44" s="848">
        <v>0</v>
      </c>
      <c r="BR44" s="849"/>
      <c r="BS44" s="848">
        <v>0</v>
      </c>
      <c r="BT44" s="849"/>
      <c r="BU44" s="848">
        <v>0</v>
      </c>
      <c r="BV44" s="849"/>
      <c r="BW44" s="848">
        <v>0</v>
      </c>
      <c r="BX44" s="849"/>
      <c r="BY44" s="848">
        <v>0</v>
      </c>
      <c r="BZ44" s="849"/>
      <c r="CA44" s="848">
        <v>130</v>
      </c>
      <c r="CB44" s="849"/>
      <c r="CC44" s="848">
        <v>91</v>
      </c>
      <c r="CD44" s="849"/>
      <c r="CE44" s="848">
        <v>91</v>
      </c>
      <c r="CF44" s="849"/>
      <c r="CG44" s="848">
        <v>91</v>
      </c>
      <c r="CH44" s="849"/>
      <c r="CI44" s="848">
        <v>91</v>
      </c>
      <c r="CJ44" s="849"/>
      <c r="CK44" s="848">
        <v>91</v>
      </c>
      <c r="CL44" s="849"/>
      <c r="CM44" s="848">
        <v>91</v>
      </c>
      <c r="CN44" s="849"/>
      <c r="CO44" s="848">
        <v>91</v>
      </c>
      <c r="CP44" s="849"/>
      <c r="CQ44" s="848">
        <v>91</v>
      </c>
      <c r="CR44" s="849"/>
      <c r="CS44" s="848">
        <v>91</v>
      </c>
      <c r="CT44" s="849"/>
      <c r="CU44" s="848">
        <v>0</v>
      </c>
      <c r="CV44" s="849"/>
      <c r="CW44" s="848">
        <v>0</v>
      </c>
      <c r="CX44" s="849"/>
      <c r="CY44" s="848">
        <v>0</v>
      </c>
      <c r="CZ44" s="849"/>
      <c r="DA44" s="848">
        <v>0</v>
      </c>
      <c r="DB44" s="849"/>
      <c r="DC44" s="848">
        <v>0</v>
      </c>
      <c r="DD44" s="849"/>
      <c r="DE44" s="850">
        <v>0</v>
      </c>
      <c r="DF44" s="648"/>
      <c r="DG44" s="933"/>
      <c r="DH44" s="642"/>
      <c r="DI44" s="642"/>
      <c r="DJ44" s="643" t="s">
        <v>475</v>
      </c>
      <c r="DK44" s="642"/>
      <c r="DL44" s="642"/>
      <c r="DM44" s="845"/>
      <c r="DN44" s="846">
        <v>0</v>
      </c>
      <c r="DO44" s="847"/>
      <c r="DP44" s="848">
        <v>0</v>
      </c>
      <c r="DQ44" s="849"/>
      <c r="DR44" s="848">
        <v>0</v>
      </c>
      <c r="DS44" s="849"/>
      <c r="DT44" s="848">
        <v>0</v>
      </c>
      <c r="DU44" s="849"/>
      <c r="DV44" s="848">
        <v>0</v>
      </c>
      <c r="DW44" s="849"/>
      <c r="DX44" s="848">
        <v>0</v>
      </c>
      <c r="DY44" s="849"/>
      <c r="DZ44" s="848">
        <v>0</v>
      </c>
      <c r="EA44" s="849"/>
      <c r="EB44" s="848">
        <v>0</v>
      </c>
      <c r="EC44" s="849"/>
      <c r="ED44" s="848">
        <v>130</v>
      </c>
      <c r="EE44" s="849"/>
      <c r="EF44" s="848">
        <v>91</v>
      </c>
      <c r="EG44" s="849"/>
      <c r="EH44" s="848">
        <v>91</v>
      </c>
      <c r="EI44" s="849"/>
      <c r="EJ44" s="848">
        <v>91</v>
      </c>
      <c r="EK44" s="849"/>
      <c r="EL44" s="848">
        <v>91</v>
      </c>
      <c r="EM44" s="849"/>
      <c r="EN44" s="848">
        <v>91</v>
      </c>
      <c r="EO44" s="849"/>
      <c r="EP44" s="848">
        <v>91</v>
      </c>
      <c r="EQ44" s="849"/>
      <c r="ER44" s="848">
        <v>91</v>
      </c>
      <c r="ES44" s="849"/>
      <c r="ET44" s="848">
        <v>91</v>
      </c>
      <c r="EU44" s="849"/>
      <c r="EV44" s="848">
        <v>91</v>
      </c>
      <c r="EW44" s="849"/>
      <c r="EX44" s="848">
        <v>0</v>
      </c>
      <c r="EY44" s="849"/>
      <c r="EZ44" s="848">
        <v>0</v>
      </c>
      <c r="FA44" s="849"/>
      <c r="FB44" s="848">
        <v>0</v>
      </c>
      <c r="FC44" s="849"/>
      <c r="FD44" s="848">
        <v>0</v>
      </c>
      <c r="FE44" s="849"/>
      <c r="FF44" s="848">
        <v>0</v>
      </c>
      <c r="FG44" s="849"/>
      <c r="FH44" s="850">
        <v>0</v>
      </c>
      <c r="FI44" s="649"/>
      <c r="FJ44" s="934"/>
      <c r="FK44" s="642"/>
      <c r="FL44" s="642"/>
      <c r="FM44" s="643" t="s">
        <v>474</v>
      </c>
      <c r="FN44" s="642"/>
      <c r="FO44" s="642"/>
      <c r="FP44" s="650"/>
      <c r="FQ44" s="847"/>
      <c r="FR44" s="846">
        <v>967</v>
      </c>
      <c r="FS44" s="851"/>
      <c r="FT44" s="847"/>
      <c r="FU44" s="852">
        <v>967</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0</v>
      </c>
      <c r="GN44" s="935"/>
      <c r="GO44" s="935">
        <v>7</v>
      </c>
      <c r="GP44" s="935"/>
      <c r="GQ44" s="910">
        <v>7</v>
      </c>
      <c r="GR44" s="911"/>
      <c r="GS44" s="936"/>
      <c r="GT44" s="937"/>
      <c r="GU44" s="530" t="s">
        <v>579</v>
      </c>
      <c r="GV44" s="615"/>
      <c r="GW44" s="615"/>
      <c r="GX44" s="615"/>
      <c r="GY44" s="413"/>
      <c r="GZ44" s="413"/>
      <c r="HA44" s="751">
        <v>1.5</v>
      </c>
      <c r="HB44" s="413" t="s">
        <v>550</v>
      </c>
      <c r="HC44" s="938"/>
      <c r="HD44" s="415"/>
    </row>
    <row r="45" spans="1:219" ht="20.100000000000001" customHeight="1" thickTop="1">
      <c r="A45" s="939" t="s">
        <v>476</v>
      </c>
      <c r="B45" s="940"/>
      <c r="C45" s="940"/>
      <c r="D45" s="940"/>
      <c r="E45" s="940"/>
      <c r="F45" s="941"/>
      <c r="G45" s="942"/>
      <c r="H45" s="943">
        <v>442</v>
      </c>
      <c r="I45" s="944"/>
      <c r="J45" s="943">
        <v>423</v>
      </c>
      <c r="K45" s="944"/>
      <c r="L45" s="943">
        <v>420</v>
      </c>
      <c r="M45" s="944"/>
      <c r="N45" s="943">
        <v>417</v>
      </c>
      <c r="O45" s="944"/>
      <c r="P45" s="943">
        <v>416</v>
      </c>
      <c r="Q45" s="944"/>
      <c r="R45" s="943">
        <v>420</v>
      </c>
      <c r="S45" s="944"/>
      <c r="T45" s="943">
        <v>457</v>
      </c>
      <c r="U45" s="944"/>
      <c r="V45" s="943">
        <v>496</v>
      </c>
      <c r="W45" s="944"/>
      <c r="X45" s="943">
        <v>646</v>
      </c>
      <c r="Y45" s="944"/>
      <c r="Z45" s="943">
        <v>639</v>
      </c>
      <c r="AA45" s="944"/>
      <c r="AB45" s="943">
        <v>662</v>
      </c>
      <c r="AC45" s="944"/>
      <c r="AD45" s="943">
        <v>674</v>
      </c>
      <c r="AE45" s="944"/>
      <c r="AF45" s="943">
        <v>681</v>
      </c>
      <c r="AG45" s="944"/>
      <c r="AH45" s="943">
        <v>681</v>
      </c>
      <c r="AI45" s="944"/>
      <c r="AJ45" s="943">
        <v>665</v>
      </c>
      <c r="AK45" s="944"/>
      <c r="AL45" s="943">
        <v>652</v>
      </c>
      <c r="AM45" s="944"/>
      <c r="AN45" s="943">
        <v>626</v>
      </c>
      <c r="AO45" s="944"/>
      <c r="AP45" s="943">
        <v>607</v>
      </c>
      <c r="AQ45" s="944"/>
      <c r="AR45" s="943">
        <v>511</v>
      </c>
      <c r="AS45" s="944"/>
      <c r="AT45" s="943">
        <v>486</v>
      </c>
      <c r="AU45" s="944"/>
      <c r="AV45" s="943">
        <v>476</v>
      </c>
      <c r="AW45" s="944"/>
      <c r="AX45" s="943">
        <v>469</v>
      </c>
      <c r="AY45" s="944"/>
      <c r="AZ45" s="943">
        <v>457</v>
      </c>
      <c r="BA45" s="944"/>
      <c r="BB45" s="945">
        <v>450</v>
      </c>
      <c r="BC45" s="648"/>
      <c r="BD45" s="939" t="s">
        <v>476</v>
      </c>
      <c r="BE45" s="940"/>
      <c r="BF45" s="940"/>
      <c r="BG45" s="940"/>
      <c r="BH45" s="940"/>
      <c r="BI45" s="941"/>
      <c r="BJ45" s="942"/>
      <c r="BK45" s="943">
        <v>418</v>
      </c>
      <c r="BL45" s="944"/>
      <c r="BM45" s="943">
        <v>414</v>
      </c>
      <c r="BN45" s="944"/>
      <c r="BO45" s="943">
        <v>411</v>
      </c>
      <c r="BP45" s="944"/>
      <c r="BQ45" s="943">
        <v>408</v>
      </c>
      <c r="BR45" s="944"/>
      <c r="BS45" s="943">
        <v>407</v>
      </c>
      <c r="BT45" s="944"/>
      <c r="BU45" s="943">
        <v>411</v>
      </c>
      <c r="BV45" s="944"/>
      <c r="BW45" s="943">
        <v>436</v>
      </c>
      <c r="BX45" s="944"/>
      <c r="BY45" s="943">
        <v>486</v>
      </c>
      <c r="BZ45" s="944"/>
      <c r="CA45" s="943">
        <v>638</v>
      </c>
      <c r="CB45" s="944"/>
      <c r="CC45" s="943">
        <v>629</v>
      </c>
      <c r="CD45" s="944"/>
      <c r="CE45" s="943">
        <v>655</v>
      </c>
      <c r="CF45" s="944"/>
      <c r="CG45" s="943">
        <v>665</v>
      </c>
      <c r="CH45" s="944"/>
      <c r="CI45" s="943">
        <v>672</v>
      </c>
      <c r="CJ45" s="944"/>
      <c r="CK45" s="943">
        <v>665</v>
      </c>
      <c r="CL45" s="944"/>
      <c r="CM45" s="943">
        <v>652</v>
      </c>
      <c r="CN45" s="944"/>
      <c r="CO45" s="943">
        <v>639</v>
      </c>
      <c r="CP45" s="944"/>
      <c r="CQ45" s="943">
        <v>626</v>
      </c>
      <c r="CR45" s="944"/>
      <c r="CS45" s="943">
        <v>599</v>
      </c>
      <c r="CT45" s="944"/>
      <c r="CU45" s="943">
        <v>494</v>
      </c>
      <c r="CV45" s="944"/>
      <c r="CW45" s="943">
        <v>461</v>
      </c>
      <c r="CX45" s="944"/>
      <c r="CY45" s="943">
        <v>448</v>
      </c>
      <c r="CZ45" s="944"/>
      <c r="DA45" s="943">
        <v>436</v>
      </c>
      <c r="DB45" s="944"/>
      <c r="DC45" s="943">
        <v>433</v>
      </c>
      <c r="DD45" s="944"/>
      <c r="DE45" s="945">
        <v>421</v>
      </c>
      <c r="DF45" s="648"/>
      <c r="DG45" s="939" t="s">
        <v>476</v>
      </c>
      <c r="DH45" s="940"/>
      <c r="DI45" s="940"/>
      <c r="DJ45" s="940"/>
      <c r="DK45" s="940"/>
      <c r="DL45" s="941"/>
      <c r="DM45" s="942"/>
      <c r="DN45" s="943">
        <v>390</v>
      </c>
      <c r="DO45" s="944"/>
      <c r="DP45" s="943">
        <v>385</v>
      </c>
      <c r="DQ45" s="944"/>
      <c r="DR45" s="943">
        <v>382</v>
      </c>
      <c r="DS45" s="944"/>
      <c r="DT45" s="943">
        <v>379</v>
      </c>
      <c r="DU45" s="944"/>
      <c r="DV45" s="943">
        <v>377</v>
      </c>
      <c r="DW45" s="944"/>
      <c r="DX45" s="943">
        <v>379</v>
      </c>
      <c r="DY45" s="944"/>
      <c r="DZ45" s="943">
        <v>392</v>
      </c>
      <c r="EA45" s="944"/>
      <c r="EB45" s="943">
        <v>414</v>
      </c>
      <c r="EC45" s="944"/>
      <c r="ED45" s="943">
        <v>573</v>
      </c>
      <c r="EE45" s="944"/>
      <c r="EF45" s="943">
        <v>571</v>
      </c>
      <c r="EG45" s="944"/>
      <c r="EH45" s="943">
        <v>595</v>
      </c>
      <c r="EI45" s="944"/>
      <c r="EJ45" s="943">
        <v>615</v>
      </c>
      <c r="EK45" s="944"/>
      <c r="EL45" s="943">
        <v>619</v>
      </c>
      <c r="EM45" s="944"/>
      <c r="EN45" s="943">
        <v>610</v>
      </c>
      <c r="EO45" s="944"/>
      <c r="EP45" s="943">
        <v>599</v>
      </c>
      <c r="EQ45" s="944"/>
      <c r="ER45" s="943">
        <v>588</v>
      </c>
      <c r="ES45" s="944"/>
      <c r="ET45" s="943">
        <v>560</v>
      </c>
      <c r="EU45" s="944"/>
      <c r="EV45" s="943">
        <v>532</v>
      </c>
      <c r="EW45" s="944"/>
      <c r="EX45" s="943">
        <v>420</v>
      </c>
      <c r="EY45" s="944"/>
      <c r="EZ45" s="943">
        <v>411</v>
      </c>
      <c r="FA45" s="944"/>
      <c r="FB45" s="943">
        <v>407</v>
      </c>
      <c r="FC45" s="944"/>
      <c r="FD45" s="943">
        <v>404</v>
      </c>
      <c r="FE45" s="944"/>
      <c r="FF45" s="943">
        <v>401</v>
      </c>
      <c r="FG45" s="944"/>
      <c r="FH45" s="945">
        <v>395</v>
      </c>
      <c r="FI45" s="648"/>
      <c r="FJ45" s="939" t="s">
        <v>476</v>
      </c>
      <c r="FK45" s="940"/>
      <c r="FL45" s="940"/>
      <c r="FM45" s="940"/>
      <c r="FN45" s="940"/>
      <c r="FO45" s="941"/>
      <c r="FP45" s="946"/>
      <c r="FQ45" s="947"/>
      <c r="FR45" s="943">
        <v>1849</v>
      </c>
      <c r="FS45" s="948"/>
      <c r="FT45" s="947"/>
      <c r="FU45" s="949">
        <v>1785</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580</v>
      </c>
      <c r="GV45" s="413"/>
      <c r="GW45" s="413"/>
      <c r="GX45" s="413"/>
      <c r="GY45" s="530"/>
      <c r="GZ45" s="733"/>
      <c r="HA45" s="751">
        <v>19</v>
      </c>
      <c r="HB45" s="413" t="s">
        <v>581</v>
      </c>
      <c r="HC45" s="938"/>
      <c r="HD45" s="415"/>
    </row>
    <row r="46" spans="1:219" ht="20.100000000000001" customHeight="1">
      <c r="A46" s="954" t="s">
        <v>336</v>
      </c>
      <c r="B46" s="955"/>
      <c r="C46" s="955"/>
      <c r="D46" s="955"/>
      <c r="E46" s="955"/>
      <c r="F46" s="956"/>
      <c r="G46" s="957" t="s">
        <v>477</v>
      </c>
      <c r="H46" s="958"/>
      <c r="I46" s="959" t="s">
        <v>477</v>
      </c>
      <c r="J46" s="958"/>
      <c r="K46" s="959" t="s">
        <v>477</v>
      </c>
      <c r="L46" s="958"/>
      <c r="M46" s="959" t="s">
        <v>477</v>
      </c>
      <c r="N46" s="958"/>
      <c r="O46" s="959" t="s">
        <v>477</v>
      </c>
      <c r="P46" s="958"/>
      <c r="Q46" s="959" t="s">
        <v>477</v>
      </c>
      <c r="R46" s="958"/>
      <c r="S46" s="959" t="s">
        <v>477</v>
      </c>
      <c r="T46" s="958"/>
      <c r="U46" s="959" t="s">
        <v>477</v>
      </c>
      <c r="V46" s="958"/>
      <c r="W46" s="959" t="s">
        <v>477</v>
      </c>
      <c r="X46" s="958"/>
      <c r="Y46" s="959" t="s">
        <v>477</v>
      </c>
      <c r="Z46" s="958"/>
      <c r="AA46" s="959" t="s">
        <v>477</v>
      </c>
      <c r="AB46" s="958"/>
      <c r="AC46" s="959" t="s">
        <v>477</v>
      </c>
      <c r="AD46" s="958"/>
      <c r="AE46" s="959" t="s">
        <v>477</v>
      </c>
      <c r="AF46" s="958"/>
      <c r="AG46" s="959" t="s">
        <v>477</v>
      </c>
      <c r="AH46" s="958"/>
      <c r="AI46" s="959" t="s">
        <v>477</v>
      </c>
      <c r="AJ46" s="958"/>
      <c r="AK46" s="959" t="s">
        <v>477</v>
      </c>
      <c r="AL46" s="958"/>
      <c r="AM46" s="959" t="s">
        <v>477</v>
      </c>
      <c r="AN46" s="958"/>
      <c r="AO46" s="959" t="s">
        <v>477</v>
      </c>
      <c r="AP46" s="958"/>
      <c r="AQ46" s="959" t="s">
        <v>477</v>
      </c>
      <c r="AR46" s="958"/>
      <c r="AS46" s="959" t="s">
        <v>477</v>
      </c>
      <c r="AT46" s="958"/>
      <c r="AU46" s="959" t="s">
        <v>477</v>
      </c>
      <c r="AV46" s="958"/>
      <c r="AW46" s="959" t="s">
        <v>477</v>
      </c>
      <c r="AX46" s="958"/>
      <c r="AY46" s="959" t="s">
        <v>477</v>
      </c>
      <c r="AZ46" s="960"/>
      <c r="BA46" s="961" t="s">
        <v>477</v>
      </c>
      <c r="BB46" s="962"/>
      <c r="BC46" s="963"/>
      <c r="BD46" s="954" t="s">
        <v>478</v>
      </c>
      <c r="BE46" s="955"/>
      <c r="BF46" s="955"/>
      <c r="BG46" s="955"/>
      <c r="BH46" s="955"/>
      <c r="BI46" s="956"/>
      <c r="BJ46" s="957" t="s">
        <v>477</v>
      </c>
      <c r="BK46" s="958"/>
      <c r="BL46" s="959" t="s">
        <v>477</v>
      </c>
      <c r="BM46" s="958"/>
      <c r="BN46" s="959" t="s">
        <v>477</v>
      </c>
      <c r="BO46" s="958"/>
      <c r="BP46" s="959" t="s">
        <v>477</v>
      </c>
      <c r="BQ46" s="958"/>
      <c r="BR46" s="959" t="s">
        <v>477</v>
      </c>
      <c r="BS46" s="958"/>
      <c r="BT46" s="959" t="s">
        <v>477</v>
      </c>
      <c r="BU46" s="958"/>
      <c r="BV46" s="959" t="s">
        <v>477</v>
      </c>
      <c r="BW46" s="958"/>
      <c r="BX46" s="959" t="s">
        <v>477</v>
      </c>
      <c r="BY46" s="958"/>
      <c r="BZ46" s="959" t="s">
        <v>477</v>
      </c>
      <c r="CA46" s="958"/>
      <c r="CB46" s="959" t="s">
        <v>477</v>
      </c>
      <c r="CC46" s="958"/>
      <c r="CD46" s="959" t="s">
        <v>477</v>
      </c>
      <c r="CE46" s="958"/>
      <c r="CF46" s="959" t="s">
        <v>477</v>
      </c>
      <c r="CG46" s="958"/>
      <c r="CH46" s="959" t="s">
        <v>477</v>
      </c>
      <c r="CI46" s="958"/>
      <c r="CJ46" s="959" t="s">
        <v>477</v>
      </c>
      <c r="CK46" s="958"/>
      <c r="CL46" s="959" t="s">
        <v>477</v>
      </c>
      <c r="CM46" s="958"/>
      <c r="CN46" s="959" t="s">
        <v>477</v>
      </c>
      <c r="CO46" s="958"/>
      <c r="CP46" s="959" t="s">
        <v>477</v>
      </c>
      <c r="CQ46" s="958"/>
      <c r="CR46" s="959" t="s">
        <v>477</v>
      </c>
      <c r="CS46" s="958"/>
      <c r="CT46" s="959" t="s">
        <v>477</v>
      </c>
      <c r="CU46" s="958"/>
      <c r="CV46" s="959" t="s">
        <v>477</v>
      </c>
      <c r="CW46" s="958"/>
      <c r="CX46" s="959" t="s">
        <v>477</v>
      </c>
      <c r="CY46" s="958"/>
      <c r="CZ46" s="959" t="s">
        <v>477</v>
      </c>
      <c r="DA46" s="958"/>
      <c r="DB46" s="959" t="s">
        <v>477</v>
      </c>
      <c r="DC46" s="960"/>
      <c r="DD46" s="961" t="s">
        <v>477</v>
      </c>
      <c r="DE46" s="962"/>
      <c r="DF46" s="963"/>
      <c r="DG46" s="954" t="s">
        <v>479</v>
      </c>
      <c r="DH46" s="955"/>
      <c r="DI46" s="955"/>
      <c r="DJ46" s="955"/>
      <c r="DK46" s="955"/>
      <c r="DL46" s="956"/>
      <c r="DM46" s="957" t="s">
        <v>477</v>
      </c>
      <c r="DN46" s="958"/>
      <c r="DO46" s="959" t="s">
        <v>477</v>
      </c>
      <c r="DP46" s="958"/>
      <c r="DQ46" s="959" t="s">
        <v>477</v>
      </c>
      <c r="DR46" s="958"/>
      <c r="DS46" s="959" t="s">
        <v>477</v>
      </c>
      <c r="DT46" s="958"/>
      <c r="DU46" s="959" t="s">
        <v>477</v>
      </c>
      <c r="DV46" s="958"/>
      <c r="DW46" s="959" t="s">
        <v>477</v>
      </c>
      <c r="DX46" s="958"/>
      <c r="DY46" s="959" t="s">
        <v>477</v>
      </c>
      <c r="DZ46" s="958"/>
      <c r="EA46" s="959" t="s">
        <v>477</v>
      </c>
      <c r="EB46" s="958"/>
      <c r="EC46" s="959" t="s">
        <v>477</v>
      </c>
      <c r="ED46" s="958"/>
      <c r="EE46" s="959" t="s">
        <v>477</v>
      </c>
      <c r="EF46" s="958"/>
      <c r="EG46" s="959" t="s">
        <v>477</v>
      </c>
      <c r="EH46" s="958"/>
      <c r="EI46" s="959" t="s">
        <v>477</v>
      </c>
      <c r="EJ46" s="958"/>
      <c r="EK46" s="959" t="s">
        <v>477</v>
      </c>
      <c r="EL46" s="958"/>
      <c r="EM46" s="959" t="s">
        <v>477</v>
      </c>
      <c r="EN46" s="958"/>
      <c r="EO46" s="959" t="s">
        <v>477</v>
      </c>
      <c r="EP46" s="958"/>
      <c r="EQ46" s="959" t="s">
        <v>477</v>
      </c>
      <c r="ER46" s="958"/>
      <c r="ES46" s="959" t="s">
        <v>477</v>
      </c>
      <c r="ET46" s="958"/>
      <c r="EU46" s="959" t="s">
        <v>477</v>
      </c>
      <c r="EV46" s="958"/>
      <c r="EW46" s="959" t="s">
        <v>477</v>
      </c>
      <c r="EX46" s="958"/>
      <c r="EY46" s="959" t="s">
        <v>477</v>
      </c>
      <c r="EZ46" s="958"/>
      <c r="FA46" s="959" t="s">
        <v>477</v>
      </c>
      <c r="FB46" s="958"/>
      <c r="FC46" s="959" t="s">
        <v>477</v>
      </c>
      <c r="FD46" s="958"/>
      <c r="FE46" s="959" t="s">
        <v>477</v>
      </c>
      <c r="FF46" s="960"/>
      <c r="FG46" s="961" t="s">
        <v>477</v>
      </c>
      <c r="FH46" s="962"/>
      <c r="FI46" s="963"/>
      <c r="FJ46" s="954" t="s">
        <v>480</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c r="GL46" s="413"/>
      <c r="GM46" s="750"/>
      <c r="GN46" s="750"/>
      <c r="GO46" s="750"/>
      <c r="GP46" s="750"/>
      <c r="GQ46" s="750"/>
      <c r="GR46" s="861"/>
      <c r="GS46" s="580"/>
      <c r="GT46" s="763"/>
      <c r="GU46" s="774" t="s">
        <v>582</v>
      </c>
      <c r="GV46" s="774"/>
      <c r="GW46" s="774"/>
      <c r="GX46" s="774"/>
      <c r="GY46" s="615"/>
      <c r="GZ46" s="775"/>
      <c r="HA46" s="751">
        <v>17.5</v>
      </c>
      <c r="HB46" s="413" t="s">
        <v>583</v>
      </c>
      <c r="HC46" s="938"/>
      <c r="HD46" s="415"/>
    </row>
    <row r="47" spans="1:219" ht="20.100000000000001" customHeight="1" thickBot="1">
      <c r="A47" s="970" t="s">
        <v>337</v>
      </c>
      <c r="B47" s="971"/>
      <c r="C47" s="971"/>
      <c r="D47" s="972"/>
      <c r="E47" s="973"/>
      <c r="F47" s="973"/>
      <c r="G47" s="974"/>
      <c r="H47" s="975">
        <v>464</v>
      </c>
      <c r="I47" s="976"/>
      <c r="J47" s="975">
        <v>444</v>
      </c>
      <c r="K47" s="976"/>
      <c r="L47" s="975">
        <v>441</v>
      </c>
      <c r="M47" s="976"/>
      <c r="N47" s="975">
        <v>438</v>
      </c>
      <c r="O47" s="976"/>
      <c r="P47" s="975">
        <v>437</v>
      </c>
      <c r="Q47" s="976"/>
      <c r="R47" s="975">
        <v>441</v>
      </c>
      <c r="S47" s="976"/>
      <c r="T47" s="975">
        <v>480</v>
      </c>
      <c r="U47" s="976"/>
      <c r="V47" s="975">
        <v>521</v>
      </c>
      <c r="W47" s="976"/>
      <c r="X47" s="975">
        <v>678</v>
      </c>
      <c r="Y47" s="976"/>
      <c r="Z47" s="975">
        <v>671</v>
      </c>
      <c r="AA47" s="976"/>
      <c r="AB47" s="975">
        <v>695</v>
      </c>
      <c r="AC47" s="976"/>
      <c r="AD47" s="975">
        <v>708</v>
      </c>
      <c r="AE47" s="976"/>
      <c r="AF47" s="975">
        <v>715</v>
      </c>
      <c r="AG47" s="976"/>
      <c r="AH47" s="975">
        <v>715</v>
      </c>
      <c r="AI47" s="976"/>
      <c r="AJ47" s="975">
        <v>698</v>
      </c>
      <c r="AK47" s="976"/>
      <c r="AL47" s="975">
        <v>685</v>
      </c>
      <c r="AM47" s="976"/>
      <c r="AN47" s="975">
        <v>657</v>
      </c>
      <c r="AO47" s="976"/>
      <c r="AP47" s="975">
        <v>637</v>
      </c>
      <c r="AQ47" s="976"/>
      <c r="AR47" s="975">
        <v>537</v>
      </c>
      <c r="AS47" s="976"/>
      <c r="AT47" s="975">
        <v>510</v>
      </c>
      <c r="AU47" s="976"/>
      <c r="AV47" s="975">
        <v>500</v>
      </c>
      <c r="AW47" s="976"/>
      <c r="AX47" s="975">
        <v>492</v>
      </c>
      <c r="AY47" s="977"/>
      <c r="AZ47" s="978">
        <v>480</v>
      </c>
      <c r="BA47" s="979"/>
      <c r="BB47" s="980">
        <v>473</v>
      </c>
      <c r="BC47" s="981"/>
      <c r="BD47" s="970" t="s">
        <v>337</v>
      </c>
      <c r="BE47" s="971"/>
      <c r="BF47" s="971"/>
      <c r="BG47" s="972"/>
      <c r="BH47" s="973"/>
      <c r="BI47" s="973"/>
      <c r="BJ47" s="974"/>
      <c r="BK47" s="975">
        <v>439</v>
      </c>
      <c r="BL47" s="976"/>
      <c r="BM47" s="975">
        <v>435</v>
      </c>
      <c r="BN47" s="976"/>
      <c r="BO47" s="975">
        <v>432</v>
      </c>
      <c r="BP47" s="976"/>
      <c r="BQ47" s="975">
        <v>428</v>
      </c>
      <c r="BR47" s="976"/>
      <c r="BS47" s="975">
        <v>427</v>
      </c>
      <c r="BT47" s="976"/>
      <c r="BU47" s="975">
        <v>432</v>
      </c>
      <c r="BV47" s="976"/>
      <c r="BW47" s="975">
        <v>458</v>
      </c>
      <c r="BX47" s="976"/>
      <c r="BY47" s="975">
        <v>510</v>
      </c>
      <c r="BZ47" s="976"/>
      <c r="CA47" s="975">
        <v>670</v>
      </c>
      <c r="CB47" s="976"/>
      <c r="CC47" s="975">
        <v>660</v>
      </c>
      <c r="CD47" s="976"/>
      <c r="CE47" s="975">
        <v>688</v>
      </c>
      <c r="CF47" s="976"/>
      <c r="CG47" s="975">
        <v>698</v>
      </c>
      <c r="CH47" s="976"/>
      <c r="CI47" s="975">
        <v>706</v>
      </c>
      <c r="CJ47" s="976"/>
      <c r="CK47" s="975">
        <v>698</v>
      </c>
      <c r="CL47" s="976"/>
      <c r="CM47" s="975">
        <v>685</v>
      </c>
      <c r="CN47" s="976"/>
      <c r="CO47" s="975">
        <v>671</v>
      </c>
      <c r="CP47" s="976"/>
      <c r="CQ47" s="975">
        <v>657</v>
      </c>
      <c r="CR47" s="976"/>
      <c r="CS47" s="975">
        <v>629</v>
      </c>
      <c r="CT47" s="976"/>
      <c r="CU47" s="975">
        <v>519</v>
      </c>
      <c r="CV47" s="976"/>
      <c r="CW47" s="975">
        <v>484</v>
      </c>
      <c r="CX47" s="976"/>
      <c r="CY47" s="975">
        <v>470</v>
      </c>
      <c r="CZ47" s="976"/>
      <c r="DA47" s="975">
        <v>458</v>
      </c>
      <c r="DB47" s="977"/>
      <c r="DC47" s="978">
        <v>455</v>
      </c>
      <c r="DD47" s="979"/>
      <c r="DE47" s="980">
        <v>442</v>
      </c>
      <c r="DF47" s="981"/>
      <c r="DG47" s="970" t="s">
        <v>481</v>
      </c>
      <c r="DH47" s="971"/>
      <c r="DI47" s="971"/>
      <c r="DJ47" s="972"/>
      <c r="DK47" s="973"/>
      <c r="DL47" s="973"/>
      <c r="DM47" s="974"/>
      <c r="DN47" s="975">
        <v>410</v>
      </c>
      <c r="DO47" s="976"/>
      <c r="DP47" s="975">
        <v>404</v>
      </c>
      <c r="DQ47" s="976"/>
      <c r="DR47" s="975">
        <v>401</v>
      </c>
      <c r="DS47" s="976"/>
      <c r="DT47" s="975">
        <v>398</v>
      </c>
      <c r="DU47" s="976"/>
      <c r="DV47" s="975">
        <v>396</v>
      </c>
      <c r="DW47" s="976"/>
      <c r="DX47" s="975">
        <v>398</v>
      </c>
      <c r="DY47" s="976"/>
      <c r="DZ47" s="975">
        <v>412</v>
      </c>
      <c r="EA47" s="976"/>
      <c r="EB47" s="975">
        <v>435</v>
      </c>
      <c r="EC47" s="976"/>
      <c r="ED47" s="975">
        <v>602</v>
      </c>
      <c r="EE47" s="976"/>
      <c r="EF47" s="975">
        <v>600</v>
      </c>
      <c r="EG47" s="976"/>
      <c r="EH47" s="975">
        <v>625</v>
      </c>
      <c r="EI47" s="976"/>
      <c r="EJ47" s="975">
        <v>646</v>
      </c>
      <c r="EK47" s="976"/>
      <c r="EL47" s="975">
        <v>650</v>
      </c>
      <c r="EM47" s="976"/>
      <c r="EN47" s="975">
        <v>641</v>
      </c>
      <c r="EO47" s="976"/>
      <c r="EP47" s="975">
        <v>629</v>
      </c>
      <c r="EQ47" s="976"/>
      <c r="ER47" s="975">
        <v>617</v>
      </c>
      <c r="ES47" s="976"/>
      <c r="ET47" s="975">
        <v>588</v>
      </c>
      <c r="EU47" s="976"/>
      <c r="EV47" s="975">
        <v>559</v>
      </c>
      <c r="EW47" s="976"/>
      <c r="EX47" s="975">
        <v>441</v>
      </c>
      <c r="EY47" s="976"/>
      <c r="EZ47" s="975">
        <v>432</v>
      </c>
      <c r="FA47" s="976"/>
      <c r="FB47" s="975">
        <v>427</v>
      </c>
      <c r="FC47" s="976"/>
      <c r="FD47" s="975">
        <v>424</v>
      </c>
      <c r="FE47" s="977"/>
      <c r="FF47" s="978">
        <v>421</v>
      </c>
      <c r="FG47" s="979"/>
      <c r="FH47" s="980">
        <v>415</v>
      </c>
      <c r="FI47" s="981"/>
      <c r="FJ47" s="970" t="s">
        <v>337</v>
      </c>
      <c r="FK47" s="971"/>
      <c r="FL47" s="971"/>
      <c r="FM47" s="972"/>
      <c r="FN47" s="973"/>
      <c r="FO47" s="973"/>
      <c r="FP47" s="982"/>
      <c r="FQ47" s="983"/>
      <c r="FR47" s="975">
        <v>1849</v>
      </c>
      <c r="FS47" s="984"/>
      <c r="FT47" s="983"/>
      <c r="FU47" s="985">
        <v>1785</v>
      </c>
      <c r="FV47" s="986">
        <v>13</v>
      </c>
      <c r="FW47" s="975">
        <v>715</v>
      </c>
      <c r="FX47" s="987">
        <v>13</v>
      </c>
      <c r="FY47" s="975">
        <v>706</v>
      </c>
      <c r="FZ47" s="987">
        <v>13</v>
      </c>
      <c r="GA47" s="975">
        <v>650</v>
      </c>
      <c r="GB47" s="988" t="s">
        <v>366</v>
      </c>
      <c r="GC47" s="975">
        <v>715</v>
      </c>
      <c r="GD47" s="988" t="s">
        <v>368</v>
      </c>
      <c r="GE47" s="989">
        <v>1849</v>
      </c>
      <c r="GF47" s="688"/>
      <c r="GG47" s="990"/>
      <c r="GH47" s="990"/>
      <c r="GI47" s="990"/>
      <c r="GJ47" s="893"/>
      <c r="GK47" s="413" t="s">
        <v>584</v>
      </c>
      <c r="GL47" s="893"/>
      <c r="GM47" s="530"/>
      <c r="GN47" s="893"/>
      <c r="GO47" s="530"/>
      <c r="GP47" s="530"/>
      <c r="GQ47" s="530"/>
      <c r="GR47" s="893"/>
      <c r="GS47" s="530"/>
      <c r="GT47" s="763"/>
      <c r="GU47" s="774" t="s">
        <v>585</v>
      </c>
      <c r="GV47" s="774"/>
      <c r="GW47" s="774"/>
      <c r="GX47" s="774"/>
      <c r="GY47" s="530"/>
      <c r="GZ47" s="413"/>
      <c r="HA47" s="778">
        <v>-0.15</v>
      </c>
      <c r="HB47" s="413"/>
      <c r="HC47" s="981"/>
      <c r="HD47" s="415"/>
    </row>
    <row r="48" spans="1:219" ht="20.100000000000001" customHeight="1">
      <c r="A48" s="991" t="s">
        <v>482</v>
      </c>
      <c r="B48" s="992" t="s">
        <v>483</v>
      </c>
      <c r="C48" s="895"/>
      <c r="D48" s="825"/>
      <c r="E48" s="825"/>
      <c r="F48" s="826"/>
      <c r="G48" s="740" t="s">
        <v>484</v>
      </c>
      <c r="H48" s="663" t="s">
        <v>430</v>
      </c>
      <c r="I48" s="742" t="s">
        <v>484</v>
      </c>
      <c r="J48" s="993" t="s">
        <v>430</v>
      </c>
      <c r="K48" s="742" t="s">
        <v>484</v>
      </c>
      <c r="L48" s="993" t="s">
        <v>430</v>
      </c>
      <c r="M48" s="742" t="s">
        <v>484</v>
      </c>
      <c r="N48" s="993" t="s">
        <v>430</v>
      </c>
      <c r="O48" s="742" t="s">
        <v>485</v>
      </c>
      <c r="P48" s="993" t="s">
        <v>430</v>
      </c>
      <c r="Q48" s="742" t="s">
        <v>486</v>
      </c>
      <c r="R48" s="993" t="s">
        <v>430</v>
      </c>
      <c r="S48" s="742" t="s">
        <v>487</v>
      </c>
      <c r="T48" s="993" t="s">
        <v>488</v>
      </c>
      <c r="U48" s="742" t="s">
        <v>489</v>
      </c>
      <c r="V48" s="993" t="s">
        <v>430</v>
      </c>
      <c r="W48" s="742" t="s">
        <v>484</v>
      </c>
      <c r="X48" s="993" t="s">
        <v>490</v>
      </c>
      <c r="Y48" s="742" t="s">
        <v>486</v>
      </c>
      <c r="Z48" s="993" t="s">
        <v>430</v>
      </c>
      <c r="AA48" s="742" t="s">
        <v>484</v>
      </c>
      <c r="AB48" s="993" t="s">
        <v>430</v>
      </c>
      <c r="AC48" s="742" t="s">
        <v>485</v>
      </c>
      <c r="AD48" s="993" t="s">
        <v>490</v>
      </c>
      <c r="AE48" s="742" t="s">
        <v>484</v>
      </c>
      <c r="AF48" s="993" t="s">
        <v>430</v>
      </c>
      <c r="AG48" s="742" t="s">
        <v>491</v>
      </c>
      <c r="AH48" s="993" t="s">
        <v>430</v>
      </c>
      <c r="AI48" s="742" t="s">
        <v>484</v>
      </c>
      <c r="AJ48" s="993" t="s">
        <v>430</v>
      </c>
      <c r="AK48" s="742" t="s">
        <v>491</v>
      </c>
      <c r="AL48" s="993" t="s">
        <v>430</v>
      </c>
      <c r="AM48" s="742" t="s">
        <v>484</v>
      </c>
      <c r="AN48" s="993" t="s">
        <v>430</v>
      </c>
      <c r="AO48" s="742" t="s">
        <v>484</v>
      </c>
      <c r="AP48" s="993" t="s">
        <v>430</v>
      </c>
      <c r="AQ48" s="742" t="s">
        <v>484</v>
      </c>
      <c r="AR48" s="993" t="s">
        <v>430</v>
      </c>
      <c r="AS48" s="742" t="s">
        <v>485</v>
      </c>
      <c r="AT48" s="993" t="s">
        <v>430</v>
      </c>
      <c r="AU48" s="742" t="s">
        <v>492</v>
      </c>
      <c r="AV48" s="993" t="s">
        <v>430</v>
      </c>
      <c r="AW48" s="742" t="s">
        <v>491</v>
      </c>
      <c r="AX48" s="993" t="s">
        <v>430</v>
      </c>
      <c r="AY48" s="742" t="s">
        <v>484</v>
      </c>
      <c r="AZ48" s="994" t="s">
        <v>430</v>
      </c>
      <c r="BA48" s="995" t="s">
        <v>484</v>
      </c>
      <c r="BB48" s="996" t="s">
        <v>430</v>
      </c>
      <c r="BC48" s="932"/>
      <c r="BD48" s="991" t="s">
        <v>482</v>
      </c>
      <c r="BE48" s="992" t="s">
        <v>483</v>
      </c>
      <c r="BF48" s="895"/>
      <c r="BG48" s="825"/>
      <c r="BH48" s="825"/>
      <c r="BI48" s="826"/>
      <c r="BJ48" s="740" t="s">
        <v>484</v>
      </c>
      <c r="BK48" s="663" t="s">
        <v>430</v>
      </c>
      <c r="BL48" s="742" t="s">
        <v>484</v>
      </c>
      <c r="BM48" s="993" t="s">
        <v>430</v>
      </c>
      <c r="BN48" s="742" t="s">
        <v>484</v>
      </c>
      <c r="BO48" s="993" t="s">
        <v>430</v>
      </c>
      <c r="BP48" s="742" t="s">
        <v>489</v>
      </c>
      <c r="BQ48" s="993" t="s">
        <v>490</v>
      </c>
      <c r="BR48" s="742" t="s">
        <v>484</v>
      </c>
      <c r="BS48" s="993" t="s">
        <v>430</v>
      </c>
      <c r="BT48" s="742" t="s">
        <v>484</v>
      </c>
      <c r="BU48" s="993" t="s">
        <v>430</v>
      </c>
      <c r="BV48" s="742" t="s">
        <v>484</v>
      </c>
      <c r="BW48" s="993" t="s">
        <v>430</v>
      </c>
      <c r="BX48" s="742" t="s">
        <v>493</v>
      </c>
      <c r="BY48" s="993" t="s">
        <v>430</v>
      </c>
      <c r="BZ48" s="742" t="s">
        <v>484</v>
      </c>
      <c r="CA48" s="993" t="s">
        <v>430</v>
      </c>
      <c r="CB48" s="742" t="s">
        <v>489</v>
      </c>
      <c r="CC48" s="993" t="s">
        <v>494</v>
      </c>
      <c r="CD48" s="742" t="s">
        <v>491</v>
      </c>
      <c r="CE48" s="993" t="s">
        <v>430</v>
      </c>
      <c r="CF48" s="742" t="s">
        <v>484</v>
      </c>
      <c r="CG48" s="993" t="s">
        <v>430</v>
      </c>
      <c r="CH48" s="742" t="s">
        <v>486</v>
      </c>
      <c r="CI48" s="993" t="s">
        <v>430</v>
      </c>
      <c r="CJ48" s="742" t="s">
        <v>489</v>
      </c>
      <c r="CK48" s="993" t="s">
        <v>488</v>
      </c>
      <c r="CL48" s="742" t="s">
        <v>484</v>
      </c>
      <c r="CM48" s="993" t="s">
        <v>430</v>
      </c>
      <c r="CN48" s="742" t="s">
        <v>493</v>
      </c>
      <c r="CO48" s="993" t="s">
        <v>430</v>
      </c>
      <c r="CP48" s="742" t="s">
        <v>484</v>
      </c>
      <c r="CQ48" s="993" t="s">
        <v>430</v>
      </c>
      <c r="CR48" s="742" t="s">
        <v>495</v>
      </c>
      <c r="CS48" s="993" t="s">
        <v>430</v>
      </c>
      <c r="CT48" s="742" t="s">
        <v>484</v>
      </c>
      <c r="CU48" s="993" t="s">
        <v>430</v>
      </c>
      <c r="CV48" s="742" t="s">
        <v>484</v>
      </c>
      <c r="CW48" s="993" t="s">
        <v>430</v>
      </c>
      <c r="CX48" s="742" t="s">
        <v>489</v>
      </c>
      <c r="CY48" s="993" t="s">
        <v>430</v>
      </c>
      <c r="CZ48" s="742" t="s">
        <v>486</v>
      </c>
      <c r="DA48" s="993" t="s">
        <v>430</v>
      </c>
      <c r="DB48" s="742" t="s">
        <v>484</v>
      </c>
      <c r="DC48" s="994" t="s">
        <v>496</v>
      </c>
      <c r="DD48" s="995" t="s">
        <v>491</v>
      </c>
      <c r="DE48" s="996" t="s">
        <v>488</v>
      </c>
      <c r="DF48" s="932"/>
      <c r="DG48" s="991" t="s">
        <v>482</v>
      </c>
      <c r="DH48" s="992" t="s">
        <v>483</v>
      </c>
      <c r="DI48" s="895"/>
      <c r="DJ48" s="825"/>
      <c r="DK48" s="825"/>
      <c r="DL48" s="826"/>
      <c r="DM48" s="740" t="s">
        <v>484</v>
      </c>
      <c r="DN48" s="663" t="s">
        <v>430</v>
      </c>
      <c r="DO48" s="742" t="s">
        <v>484</v>
      </c>
      <c r="DP48" s="993" t="s">
        <v>430</v>
      </c>
      <c r="DQ48" s="742" t="s">
        <v>484</v>
      </c>
      <c r="DR48" s="993" t="s">
        <v>494</v>
      </c>
      <c r="DS48" s="742" t="s">
        <v>484</v>
      </c>
      <c r="DT48" s="993" t="s">
        <v>430</v>
      </c>
      <c r="DU48" s="742" t="s">
        <v>484</v>
      </c>
      <c r="DV48" s="993" t="s">
        <v>430</v>
      </c>
      <c r="DW48" s="742" t="s">
        <v>492</v>
      </c>
      <c r="DX48" s="993" t="s">
        <v>430</v>
      </c>
      <c r="DY48" s="742" t="s">
        <v>484</v>
      </c>
      <c r="DZ48" s="993" t="s">
        <v>430</v>
      </c>
      <c r="EA48" s="742" t="s">
        <v>484</v>
      </c>
      <c r="EB48" s="993" t="s">
        <v>430</v>
      </c>
      <c r="EC48" s="742" t="s">
        <v>484</v>
      </c>
      <c r="ED48" s="993" t="s">
        <v>430</v>
      </c>
      <c r="EE48" s="742" t="s">
        <v>495</v>
      </c>
      <c r="EF48" s="993" t="s">
        <v>430</v>
      </c>
      <c r="EG48" s="742" t="s">
        <v>495</v>
      </c>
      <c r="EH48" s="993" t="s">
        <v>430</v>
      </c>
      <c r="EI48" s="742" t="s">
        <v>484</v>
      </c>
      <c r="EJ48" s="993" t="s">
        <v>430</v>
      </c>
      <c r="EK48" s="742" t="s">
        <v>484</v>
      </c>
      <c r="EL48" s="993" t="s">
        <v>497</v>
      </c>
      <c r="EM48" s="742" t="s">
        <v>484</v>
      </c>
      <c r="EN48" s="993" t="s">
        <v>430</v>
      </c>
      <c r="EO48" s="742" t="s">
        <v>486</v>
      </c>
      <c r="EP48" s="993" t="s">
        <v>430</v>
      </c>
      <c r="EQ48" s="742" t="s">
        <v>491</v>
      </c>
      <c r="ER48" s="993" t="s">
        <v>430</v>
      </c>
      <c r="ES48" s="742" t="s">
        <v>484</v>
      </c>
      <c r="ET48" s="993" t="s">
        <v>430</v>
      </c>
      <c r="EU48" s="742" t="s">
        <v>486</v>
      </c>
      <c r="EV48" s="993" t="s">
        <v>430</v>
      </c>
      <c r="EW48" s="742" t="s">
        <v>489</v>
      </c>
      <c r="EX48" s="993" t="s">
        <v>488</v>
      </c>
      <c r="EY48" s="742" t="s">
        <v>484</v>
      </c>
      <c r="EZ48" s="993" t="s">
        <v>430</v>
      </c>
      <c r="FA48" s="742" t="s">
        <v>493</v>
      </c>
      <c r="FB48" s="993" t="s">
        <v>430</v>
      </c>
      <c r="FC48" s="742" t="s">
        <v>484</v>
      </c>
      <c r="FD48" s="993" t="s">
        <v>430</v>
      </c>
      <c r="FE48" s="742" t="s">
        <v>495</v>
      </c>
      <c r="FF48" s="994" t="s">
        <v>430</v>
      </c>
      <c r="FG48" s="995" t="s">
        <v>484</v>
      </c>
      <c r="FH48" s="996" t="s">
        <v>430</v>
      </c>
      <c r="FI48" s="932"/>
      <c r="FJ48" s="991" t="s">
        <v>498</v>
      </c>
      <c r="FK48" s="738" t="s">
        <v>499</v>
      </c>
      <c r="FL48" s="895"/>
      <c r="FM48" s="825"/>
      <c r="FN48" s="825"/>
      <c r="FO48" s="826"/>
      <c r="FP48" s="747" t="s">
        <v>450</v>
      </c>
      <c r="FQ48" s="673" t="s">
        <v>487</v>
      </c>
      <c r="FR48" s="663" t="s">
        <v>500</v>
      </c>
      <c r="FS48" s="997" t="s">
        <v>501</v>
      </c>
      <c r="FT48" s="673" t="s">
        <v>493</v>
      </c>
      <c r="FU48" s="998" t="s">
        <v>502</v>
      </c>
      <c r="FV48" s="999"/>
      <c r="FW48" s="993" t="s">
        <v>323</v>
      </c>
      <c r="FX48" s="997"/>
      <c r="FY48" s="993" t="s">
        <v>323</v>
      </c>
      <c r="FZ48" s="997"/>
      <c r="GA48" s="993" t="s">
        <v>323</v>
      </c>
      <c r="GB48" s="997"/>
      <c r="GC48" s="993" t="s">
        <v>323</v>
      </c>
      <c r="GD48" s="997"/>
      <c r="GE48" s="1000" t="s">
        <v>324</v>
      </c>
      <c r="GF48" s="688"/>
      <c r="GG48" s="655"/>
      <c r="GH48" s="655"/>
      <c r="GI48" s="655"/>
      <c r="GJ48" s="530"/>
      <c r="GK48" s="615" t="s">
        <v>586</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435</v>
      </c>
      <c r="C49" s="1002"/>
      <c r="D49" s="754">
        <v>47</v>
      </c>
      <c r="E49" s="755">
        <v>2</v>
      </c>
      <c r="F49" s="1003" t="s">
        <v>436</v>
      </c>
      <c r="G49" s="757">
        <v>1</v>
      </c>
      <c r="H49" s="559">
        <v>94</v>
      </c>
      <c r="I49" s="758">
        <v>1</v>
      </c>
      <c r="J49" s="559">
        <v>94</v>
      </c>
      <c r="K49" s="758">
        <v>1</v>
      </c>
      <c r="L49" s="559">
        <v>94</v>
      </c>
      <c r="M49" s="758">
        <v>1</v>
      </c>
      <c r="N49" s="559">
        <v>94</v>
      </c>
      <c r="O49" s="758">
        <v>1</v>
      </c>
      <c r="P49" s="559">
        <v>94</v>
      </c>
      <c r="Q49" s="758">
        <v>1</v>
      </c>
      <c r="R49" s="559">
        <v>94</v>
      </c>
      <c r="S49" s="758">
        <v>1</v>
      </c>
      <c r="T49" s="559">
        <v>94</v>
      </c>
      <c r="U49" s="758">
        <v>1</v>
      </c>
      <c r="V49" s="559">
        <v>94</v>
      </c>
      <c r="W49" s="758">
        <v>1</v>
      </c>
      <c r="X49" s="559">
        <v>94</v>
      </c>
      <c r="Y49" s="758">
        <v>1</v>
      </c>
      <c r="Z49" s="559">
        <v>94</v>
      </c>
      <c r="AA49" s="758">
        <v>1</v>
      </c>
      <c r="AB49" s="559">
        <v>94</v>
      </c>
      <c r="AC49" s="758">
        <v>1</v>
      </c>
      <c r="AD49" s="559">
        <v>94</v>
      </c>
      <c r="AE49" s="758">
        <v>1</v>
      </c>
      <c r="AF49" s="559">
        <v>94</v>
      </c>
      <c r="AG49" s="758">
        <v>1</v>
      </c>
      <c r="AH49" s="559">
        <v>94</v>
      </c>
      <c r="AI49" s="758">
        <v>1</v>
      </c>
      <c r="AJ49" s="559">
        <v>94</v>
      </c>
      <c r="AK49" s="758">
        <v>1</v>
      </c>
      <c r="AL49" s="559">
        <v>94</v>
      </c>
      <c r="AM49" s="758">
        <v>1</v>
      </c>
      <c r="AN49" s="559">
        <v>94</v>
      </c>
      <c r="AO49" s="758">
        <v>1</v>
      </c>
      <c r="AP49" s="559">
        <v>94</v>
      </c>
      <c r="AQ49" s="758">
        <v>1</v>
      </c>
      <c r="AR49" s="559">
        <v>94</v>
      </c>
      <c r="AS49" s="758">
        <v>1</v>
      </c>
      <c r="AT49" s="559">
        <v>94</v>
      </c>
      <c r="AU49" s="758">
        <v>1</v>
      </c>
      <c r="AV49" s="559">
        <v>94</v>
      </c>
      <c r="AW49" s="758">
        <v>1</v>
      </c>
      <c r="AX49" s="559">
        <v>94</v>
      </c>
      <c r="AY49" s="1004">
        <v>1</v>
      </c>
      <c r="AZ49" s="1005">
        <v>94</v>
      </c>
      <c r="BA49" s="1006">
        <v>1</v>
      </c>
      <c r="BB49" s="1007">
        <v>94</v>
      </c>
      <c r="BC49" s="938"/>
      <c r="BD49" s="1001"/>
      <c r="BE49" s="752" t="s">
        <v>435</v>
      </c>
      <c r="BF49" s="1002"/>
      <c r="BG49" s="754"/>
      <c r="BH49" s="755">
        <v>2</v>
      </c>
      <c r="BI49" s="1003" t="s">
        <v>436</v>
      </c>
      <c r="BJ49" s="757">
        <v>1</v>
      </c>
      <c r="BK49" s="559">
        <v>94</v>
      </c>
      <c r="BL49" s="758">
        <v>1</v>
      </c>
      <c r="BM49" s="559">
        <v>94</v>
      </c>
      <c r="BN49" s="758">
        <v>1</v>
      </c>
      <c r="BO49" s="559">
        <v>94</v>
      </c>
      <c r="BP49" s="758">
        <v>1</v>
      </c>
      <c r="BQ49" s="559">
        <v>94</v>
      </c>
      <c r="BR49" s="758">
        <v>1</v>
      </c>
      <c r="BS49" s="559">
        <v>94</v>
      </c>
      <c r="BT49" s="758">
        <v>1</v>
      </c>
      <c r="BU49" s="559">
        <v>94</v>
      </c>
      <c r="BV49" s="758">
        <v>1</v>
      </c>
      <c r="BW49" s="559">
        <v>94</v>
      </c>
      <c r="BX49" s="758">
        <v>1</v>
      </c>
      <c r="BY49" s="559">
        <v>94</v>
      </c>
      <c r="BZ49" s="758">
        <v>1</v>
      </c>
      <c r="CA49" s="559">
        <v>94</v>
      </c>
      <c r="CB49" s="758">
        <v>1</v>
      </c>
      <c r="CC49" s="559">
        <v>94</v>
      </c>
      <c r="CD49" s="758">
        <v>1</v>
      </c>
      <c r="CE49" s="559">
        <v>94</v>
      </c>
      <c r="CF49" s="758">
        <v>1</v>
      </c>
      <c r="CG49" s="559">
        <v>94</v>
      </c>
      <c r="CH49" s="758">
        <v>1</v>
      </c>
      <c r="CI49" s="559">
        <v>94</v>
      </c>
      <c r="CJ49" s="758">
        <v>1</v>
      </c>
      <c r="CK49" s="559">
        <v>94</v>
      </c>
      <c r="CL49" s="758">
        <v>1</v>
      </c>
      <c r="CM49" s="559">
        <v>94</v>
      </c>
      <c r="CN49" s="758">
        <v>1</v>
      </c>
      <c r="CO49" s="559">
        <v>94</v>
      </c>
      <c r="CP49" s="758">
        <v>1</v>
      </c>
      <c r="CQ49" s="559">
        <v>94</v>
      </c>
      <c r="CR49" s="758">
        <v>1</v>
      </c>
      <c r="CS49" s="559">
        <v>94</v>
      </c>
      <c r="CT49" s="758">
        <v>1</v>
      </c>
      <c r="CU49" s="559">
        <v>94</v>
      </c>
      <c r="CV49" s="758">
        <v>1</v>
      </c>
      <c r="CW49" s="559">
        <v>94</v>
      </c>
      <c r="CX49" s="758">
        <v>1</v>
      </c>
      <c r="CY49" s="559">
        <v>94</v>
      </c>
      <c r="CZ49" s="758">
        <v>1</v>
      </c>
      <c r="DA49" s="559">
        <v>94</v>
      </c>
      <c r="DB49" s="1004">
        <v>1</v>
      </c>
      <c r="DC49" s="1005">
        <v>94</v>
      </c>
      <c r="DD49" s="1006">
        <v>1</v>
      </c>
      <c r="DE49" s="1007">
        <v>94</v>
      </c>
      <c r="DF49" s="938"/>
      <c r="DG49" s="1001"/>
      <c r="DH49" s="752" t="s">
        <v>503</v>
      </c>
      <c r="DI49" s="1002"/>
      <c r="DJ49" s="754"/>
      <c r="DK49" s="755">
        <v>2</v>
      </c>
      <c r="DL49" s="1003" t="s">
        <v>436</v>
      </c>
      <c r="DM49" s="757">
        <v>1</v>
      </c>
      <c r="DN49" s="559">
        <v>94</v>
      </c>
      <c r="DO49" s="758">
        <v>1</v>
      </c>
      <c r="DP49" s="559">
        <v>94</v>
      </c>
      <c r="DQ49" s="758">
        <v>1</v>
      </c>
      <c r="DR49" s="559">
        <v>94</v>
      </c>
      <c r="DS49" s="758">
        <v>1</v>
      </c>
      <c r="DT49" s="559">
        <v>94</v>
      </c>
      <c r="DU49" s="758">
        <v>1</v>
      </c>
      <c r="DV49" s="559">
        <v>94</v>
      </c>
      <c r="DW49" s="758">
        <v>1</v>
      </c>
      <c r="DX49" s="559">
        <v>94</v>
      </c>
      <c r="DY49" s="758">
        <v>1</v>
      </c>
      <c r="DZ49" s="559">
        <v>94</v>
      </c>
      <c r="EA49" s="758">
        <v>1</v>
      </c>
      <c r="EB49" s="559">
        <v>94</v>
      </c>
      <c r="EC49" s="758">
        <v>1</v>
      </c>
      <c r="ED49" s="559">
        <v>94</v>
      </c>
      <c r="EE49" s="758">
        <v>1</v>
      </c>
      <c r="EF49" s="559">
        <v>94</v>
      </c>
      <c r="EG49" s="758">
        <v>1</v>
      </c>
      <c r="EH49" s="559">
        <v>94</v>
      </c>
      <c r="EI49" s="758">
        <v>1</v>
      </c>
      <c r="EJ49" s="559">
        <v>94</v>
      </c>
      <c r="EK49" s="758">
        <v>1</v>
      </c>
      <c r="EL49" s="559">
        <v>94</v>
      </c>
      <c r="EM49" s="758">
        <v>1</v>
      </c>
      <c r="EN49" s="559">
        <v>94</v>
      </c>
      <c r="EO49" s="758">
        <v>1</v>
      </c>
      <c r="EP49" s="559">
        <v>94</v>
      </c>
      <c r="EQ49" s="758">
        <v>1</v>
      </c>
      <c r="ER49" s="559">
        <v>94</v>
      </c>
      <c r="ES49" s="758">
        <v>1</v>
      </c>
      <c r="ET49" s="559">
        <v>94</v>
      </c>
      <c r="EU49" s="758">
        <v>1</v>
      </c>
      <c r="EV49" s="559">
        <v>94</v>
      </c>
      <c r="EW49" s="758">
        <v>1</v>
      </c>
      <c r="EX49" s="559">
        <v>94</v>
      </c>
      <c r="EY49" s="758">
        <v>1</v>
      </c>
      <c r="EZ49" s="559">
        <v>94</v>
      </c>
      <c r="FA49" s="758">
        <v>1</v>
      </c>
      <c r="FB49" s="559">
        <v>94</v>
      </c>
      <c r="FC49" s="758">
        <v>1</v>
      </c>
      <c r="FD49" s="559">
        <v>94</v>
      </c>
      <c r="FE49" s="1004">
        <v>1</v>
      </c>
      <c r="FF49" s="1005">
        <v>94</v>
      </c>
      <c r="FG49" s="1006">
        <v>1</v>
      </c>
      <c r="FH49" s="1007">
        <v>94</v>
      </c>
      <c r="FI49" s="938"/>
      <c r="FJ49" s="1001"/>
      <c r="FK49" s="752" t="s">
        <v>435</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587</v>
      </c>
      <c r="GL49" s="580"/>
      <c r="GM49" s="413"/>
      <c r="GN49" s="580"/>
      <c r="GO49" s="413"/>
      <c r="GP49" s="413"/>
      <c r="GQ49" s="413"/>
      <c r="GR49" s="580"/>
      <c r="GS49" s="530"/>
      <c r="GT49" s="861"/>
      <c r="GU49" s="530" t="s">
        <v>562</v>
      </c>
      <c r="GV49" s="615"/>
      <c r="GW49" s="530"/>
      <c r="GX49" s="615"/>
      <c r="GY49" s="530"/>
      <c r="GZ49" s="391"/>
      <c r="HA49" s="580"/>
      <c r="HB49" s="391"/>
      <c r="HC49" s="1017"/>
      <c r="HD49" s="415"/>
    </row>
    <row r="50" spans="1:212" ht="20.100000000000001" customHeight="1">
      <c r="A50" s="1001"/>
      <c r="B50" s="764" t="s">
        <v>504</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449</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449</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449</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588</v>
      </c>
      <c r="GL50" s="580"/>
      <c r="GM50" s="413"/>
      <c r="GN50" s="580"/>
      <c r="GO50" s="413"/>
      <c r="GP50" s="413"/>
      <c r="GQ50" s="413"/>
      <c r="GR50" s="580"/>
      <c r="GS50" s="953"/>
      <c r="GT50" s="937"/>
      <c r="GU50" s="580" t="s">
        <v>564</v>
      </c>
      <c r="GV50" s="580"/>
      <c r="GW50" s="580"/>
      <c r="GX50" s="580"/>
      <c r="GY50" s="615"/>
      <c r="GZ50" s="579"/>
      <c r="HA50" s="615">
        <v>0</v>
      </c>
      <c r="HB50" s="579" t="s">
        <v>589</v>
      </c>
      <c r="HC50" s="1038"/>
      <c r="HD50" s="415"/>
    </row>
    <row r="51" spans="1:212" ht="20.100000000000001" customHeight="1" thickBot="1">
      <c r="A51" s="1039"/>
      <c r="B51" s="466" t="s">
        <v>505</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506</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507</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506</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450</v>
      </c>
      <c r="GM51" s="1047" t="s">
        <v>590</v>
      </c>
      <c r="GN51" s="1048" t="s">
        <v>343</v>
      </c>
      <c r="GO51" s="1049" t="s">
        <v>591</v>
      </c>
      <c r="GP51" s="1049" t="s">
        <v>592</v>
      </c>
      <c r="GQ51" s="1050" t="s">
        <v>572</v>
      </c>
      <c r="GR51" s="733"/>
      <c r="GS51" s="953"/>
      <c r="GT51" s="763"/>
      <c r="GU51" s="580"/>
      <c r="GV51" s="580"/>
      <c r="GW51" s="580"/>
      <c r="GX51" s="580"/>
      <c r="GY51" s="413"/>
      <c r="GZ51" s="1051"/>
      <c r="HA51" s="615">
        <v>0</v>
      </c>
      <c r="HB51" s="579" t="s">
        <v>319</v>
      </c>
      <c r="HC51" s="1052"/>
      <c r="HD51" s="415"/>
    </row>
    <row r="52" spans="1:212" ht="20.100000000000001" customHeight="1" thickBot="1">
      <c r="A52" s="1053" t="s">
        <v>508</v>
      </c>
      <c r="B52" s="1054"/>
      <c r="C52" s="1055"/>
      <c r="D52" s="1055"/>
      <c r="E52" s="1056"/>
      <c r="F52" s="1055"/>
      <c r="G52" s="1057"/>
      <c r="H52" s="1058">
        <v>94</v>
      </c>
      <c r="I52" s="1059"/>
      <c r="J52" s="1058">
        <v>94</v>
      </c>
      <c r="K52" s="1059"/>
      <c r="L52" s="1058">
        <v>94</v>
      </c>
      <c r="M52" s="1059"/>
      <c r="N52" s="1058">
        <v>94</v>
      </c>
      <c r="O52" s="1059"/>
      <c r="P52" s="1058">
        <v>94</v>
      </c>
      <c r="Q52" s="1059"/>
      <c r="R52" s="1058">
        <v>94</v>
      </c>
      <c r="S52" s="1059"/>
      <c r="T52" s="1058">
        <v>94</v>
      </c>
      <c r="U52" s="1059"/>
      <c r="V52" s="1058">
        <v>94</v>
      </c>
      <c r="W52" s="1059"/>
      <c r="X52" s="1058">
        <v>94</v>
      </c>
      <c r="Y52" s="1059"/>
      <c r="Z52" s="1058">
        <v>94</v>
      </c>
      <c r="AA52" s="1059"/>
      <c r="AB52" s="1058">
        <v>94</v>
      </c>
      <c r="AC52" s="1059"/>
      <c r="AD52" s="1058">
        <v>94</v>
      </c>
      <c r="AE52" s="1059"/>
      <c r="AF52" s="1058">
        <v>94</v>
      </c>
      <c r="AG52" s="1059"/>
      <c r="AH52" s="1058">
        <v>94</v>
      </c>
      <c r="AI52" s="1059"/>
      <c r="AJ52" s="1058">
        <v>94</v>
      </c>
      <c r="AK52" s="1059"/>
      <c r="AL52" s="1058">
        <v>94</v>
      </c>
      <c r="AM52" s="1059"/>
      <c r="AN52" s="1058">
        <v>94</v>
      </c>
      <c r="AO52" s="1059"/>
      <c r="AP52" s="1058">
        <v>94</v>
      </c>
      <c r="AQ52" s="1059"/>
      <c r="AR52" s="1058">
        <v>94</v>
      </c>
      <c r="AS52" s="1059"/>
      <c r="AT52" s="1058">
        <v>94</v>
      </c>
      <c r="AU52" s="1059"/>
      <c r="AV52" s="1058">
        <v>94</v>
      </c>
      <c r="AW52" s="1059"/>
      <c r="AX52" s="1058">
        <v>94</v>
      </c>
      <c r="AY52" s="1060"/>
      <c r="AZ52" s="1061">
        <v>94</v>
      </c>
      <c r="BA52" s="1062"/>
      <c r="BB52" s="1063">
        <v>94</v>
      </c>
      <c r="BC52" s="981"/>
      <c r="BD52" s="1053" t="s">
        <v>509</v>
      </c>
      <c r="BE52" s="1054"/>
      <c r="BF52" s="1055"/>
      <c r="BG52" s="1055"/>
      <c r="BH52" s="1056"/>
      <c r="BI52" s="1055"/>
      <c r="BJ52" s="1057"/>
      <c r="BK52" s="1058">
        <v>94</v>
      </c>
      <c r="BL52" s="1059"/>
      <c r="BM52" s="1058">
        <v>94</v>
      </c>
      <c r="BN52" s="1059"/>
      <c r="BO52" s="1058">
        <v>94</v>
      </c>
      <c r="BP52" s="1059"/>
      <c r="BQ52" s="1058">
        <v>94</v>
      </c>
      <c r="BR52" s="1059"/>
      <c r="BS52" s="1058">
        <v>94</v>
      </c>
      <c r="BT52" s="1059"/>
      <c r="BU52" s="1058">
        <v>94</v>
      </c>
      <c r="BV52" s="1059"/>
      <c r="BW52" s="1058">
        <v>94</v>
      </c>
      <c r="BX52" s="1059"/>
      <c r="BY52" s="1058">
        <v>94</v>
      </c>
      <c r="BZ52" s="1059"/>
      <c r="CA52" s="1058">
        <v>94</v>
      </c>
      <c r="CB52" s="1059"/>
      <c r="CC52" s="1058">
        <v>94</v>
      </c>
      <c r="CD52" s="1059"/>
      <c r="CE52" s="1058">
        <v>94</v>
      </c>
      <c r="CF52" s="1059"/>
      <c r="CG52" s="1058">
        <v>94</v>
      </c>
      <c r="CH52" s="1059"/>
      <c r="CI52" s="1058">
        <v>94</v>
      </c>
      <c r="CJ52" s="1059"/>
      <c r="CK52" s="1058">
        <v>94</v>
      </c>
      <c r="CL52" s="1059"/>
      <c r="CM52" s="1058">
        <v>94</v>
      </c>
      <c r="CN52" s="1059"/>
      <c r="CO52" s="1058">
        <v>94</v>
      </c>
      <c r="CP52" s="1059"/>
      <c r="CQ52" s="1058">
        <v>94</v>
      </c>
      <c r="CR52" s="1059"/>
      <c r="CS52" s="1058">
        <v>94</v>
      </c>
      <c r="CT52" s="1059"/>
      <c r="CU52" s="1058">
        <v>94</v>
      </c>
      <c r="CV52" s="1059"/>
      <c r="CW52" s="1058">
        <v>94</v>
      </c>
      <c r="CX52" s="1059"/>
      <c r="CY52" s="1058">
        <v>94</v>
      </c>
      <c r="CZ52" s="1059"/>
      <c r="DA52" s="1058">
        <v>94</v>
      </c>
      <c r="DB52" s="1060"/>
      <c r="DC52" s="1061">
        <v>94</v>
      </c>
      <c r="DD52" s="1062"/>
      <c r="DE52" s="1063">
        <v>94</v>
      </c>
      <c r="DF52" s="981"/>
      <c r="DG52" s="1053" t="s">
        <v>508</v>
      </c>
      <c r="DH52" s="1054"/>
      <c r="DI52" s="1055"/>
      <c r="DJ52" s="1055"/>
      <c r="DK52" s="1056"/>
      <c r="DL52" s="1055"/>
      <c r="DM52" s="1057"/>
      <c r="DN52" s="1058">
        <v>94</v>
      </c>
      <c r="DO52" s="1059"/>
      <c r="DP52" s="1058">
        <v>94</v>
      </c>
      <c r="DQ52" s="1059"/>
      <c r="DR52" s="1058">
        <v>94</v>
      </c>
      <c r="DS52" s="1059"/>
      <c r="DT52" s="1058">
        <v>94</v>
      </c>
      <c r="DU52" s="1059"/>
      <c r="DV52" s="1058">
        <v>94</v>
      </c>
      <c r="DW52" s="1059"/>
      <c r="DX52" s="1058">
        <v>94</v>
      </c>
      <c r="DY52" s="1059"/>
      <c r="DZ52" s="1058">
        <v>94</v>
      </c>
      <c r="EA52" s="1059"/>
      <c r="EB52" s="1058">
        <v>94</v>
      </c>
      <c r="EC52" s="1059"/>
      <c r="ED52" s="1058">
        <v>94</v>
      </c>
      <c r="EE52" s="1059"/>
      <c r="EF52" s="1058">
        <v>94</v>
      </c>
      <c r="EG52" s="1059"/>
      <c r="EH52" s="1058">
        <v>94</v>
      </c>
      <c r="EI52" s="1059"/>
      <c r="EJ52" s="1058">
        <v>94</v>
      </c>
      <c r="EK52" s="1059"/>
      <c r="EL52" s="1058">
        <v>94</v>
      </c>
      <c r="EM52" s="1059"/>
      <c r="EN52" s="1058">
        <v>94</v>
      </c>
      <c r="EO52" s="1059"/>
      <c r="EP52" s="1058">
        <v>94</v>
      </c>
      <c r="EQ52" s="1059"/>
      <c r="ER52" s="1058">
        <v>94</v>
      </c>
      <c r="ES52" s="1059"/>
      <c r="ET52" s="1058">
        <v>94</v>
      </c>
      <c r="EU52" s="1059"/>
      <c r="EV52" s="1058">
        <v>94</v>
      </c>
      <c r="EW52" s="1059"/>
      <c r="EX52" s="1058">
        <v>94</v>
      </c>
      <c r="EY52" s="1059"/>
      <c r="EZ52" s="1058">
        <v>94</v>
      </c>
      <c r="FA52" s="1059"/>
      <c r="FB52" s="1058">
        <v>94</v>
      </c>
      <c r="FC52" s="1059"/>
      <c r="FD52" s="1058">
        <v>94</v>
      </c>
      <c r="FE52" s="1060"/>
      <c r="FF52" s="1061">
        <v>94</v>
      </c>
      <c r="FG52" s="1062"/>
      <c r="FH52" s="1063">
        <v>94</v>
      </c>
      <c r="FI52" s="981"/>
      <c r="FJ52" s="1053" t="s">
        <v>510</v>
      </c>
      <c r="FK52" s="1054"/>
      <c r="FL52" s="1055"/>
      <c r="FM52" s="1055"/>
      <c r="FN52" s="1056"/>
      <c r="FO52" s="1055"/>
      <c r="FP52" s="1064"/>
      <c r="FQ52" s="1065"/>
      <c r="FR52" s="1058">
        <v>0</v>
      </c>
      <c r="FS52" s="1066"/>
      <c r="FT52" s="1065"/>
      <c r="FU52" s="1067">
        <v>0</v>
      </c>
      <c r="FV52" s="1068">
        <v>13</v>
      </c>
      <c r="FW52" s="1069">
        <v>94</v>
      </c>
      <c r="FX52" s="1070">
        <v>13</v>
      </c>
      <c r="FY52" s="1069">
        <v>94</v>
      </c>
      <c r="FZ52" s="1070">
        <v>13</v>
      </c>
      <c r="GA52" s="1069">
        <v>94</v>
      </c>
      <c r="GB52" s="1071" t="s">
        <v>366</v>
      </c>
      <c r="GC52" s="1072">
        <v>94</v>
      </c>
      <c r="GD52" s="1071" t="s">
        <v>368</v>
      </c>
      <c r="GE52" s="1073">
        <v>0</v>
      </c>
      <c r="GF52" s="688"/>
      <c r="GG52" s="990"/>
      <c r="GH52" s="990"/>
      <c r="GI52" s="990"/>
      <c r="GJ52" s="936"/>
      <c r="GK52" s="733"/>
      <c r="GL52" s="1074"/>
      <c r="GM52" s="1075"/>
      <c r="GN52" s="1075"/>
      <c r="GO52" s="1076"/>
      <c r="GP52" s="1076"/>
      <c r="GQ52" s="1077"/>
      <c r="GR52" s="953"/>
      <c r="GS52" s="893"/>
      <c r="GT52" s="861"/>
      <c r="GU52" s="530" t="s">
        <v>593</v>
      </c>
      <c r="GV52" s="733"/>
      <c r="GW52" s="936"/>
      <c r="GX52" s="733"/>
      <c r="GY52" s="413"/>
      <c r="GZ52" s="1078"/>
      <c r="HA52" s="953"/>
      <c r="HB52" s="1078"/>
      <c r="HC52" s="562"/>
      <c r="HD52" s="415"/>
    </row>
    <row r="53" spans="1:212" ht="20.100000000000001" customHeight="1" thickTop="1">
      <c r="A53" s="1079" t="s">
        <v>511</v>
      </c>
      <c r="B53" s="1080"/>
      <c r="C53" s="1081"/>
      <c r="D53" s="1081"/>
      <c r="E53" s="1082"/>
      <c r="F53" s="1083"/>
      <c r="G53" s="1084"/>
      <c r="H53" s="1085">
        <v>558</v>
      </c>
      <c r="I53" s="1086"/>
      <c r="J53" s="1085">
        <v>538</v>
      </c>
      <c r="K53" s="1086"/>
      <c r="L53" s="1085">
        <v>535</v>
      </c>
      <c r="M53" s="1086"/>
      <c r="N53" s="1085">
        <v>532</v>
      </c>
      <c r="O53" s="1086"/>
      <c r="P53" s="1085">
        <v>531</v>
      </c>
      <c r="Q53" s="1086"/>
      <c r="R53" s="1085">
        <v>535</v>
      </c>
      <c r="S53" s="1086"/>
      <c r="T53" s="1085">
        <v>574</v>
      </c>
      <c r="U53" s="1086"/>
      <c r="V53" s="1085">
        <v>615</v>
      </c>
      <c r="W53" s="1086"/>
      <c r="X53" s="1085">
        <v>772</v>
      </c>
      <c r="Y53" s="1086"/>
      <c r="Z53" s="1085">
        <v>765</v>
      </c>
      <c r="AA53" s="1086"/>
      <c r="AB53" s="1085">
        <v>789</v>
      </c>
      <c r="AC53" s="1086"/>
      <c r="AD53" s="1085">
        <v>802</v>
      </c>
      <c r="AE53" s="1086"/>
      <c r="AF53" s="1085">
        <v>809</v>
      </c>
      <c r="AG53" s="1086"/>
      <c r="AH53" s="1085">
        <v>809</v>
      </c>
      <c r="AI53" s="1086"/>
      <c r="AJ53" s="1085">
        <v>792</v>
      </c>
      <c r="AK53" s="1086"/>
      <c r="AL53" s="1085">
        <v>779</v>
      </c>
      <c r="AM53" s="1086"/>
      <c r="AN53" s="1085">
        <v>751</v>
      </c>
      <c r="AO53" s="1086"/>
      <c r="AP53" s="1085">
        <v>731</v>
      </c>
      <c r="AQ53" s="1086"/>
      <c r="AR53" s="1085">
        <v>631</v>
      </c>
      <c r="AS53" s="1086"/>
      <c r="AT53" s="1085">
        <v>604</v>
      </c>
      <c r="AU53" s="1086"/>
      <c r="AV53" s="1085">
        <v>594</v>
      </c>
      <c r="AW53" s="1086"/>
      <c r="AX53" s="1085">
        <v>586</v>
      </c>
      <c r="AY53" s="1087"/>
      <c r="AZ53" s="1088">
        <v>574</v>
      </c>
      <c r="BA53" s="1089"/>
      <c r="BB53" s="1090">
        <v>567</v>
      </c>
      <c r="BC53" s="981"/>
      <c r="BD53" s="1079" t="s">
        <v>512</v>
      </c>
      <c r="BE53" s="1080"/>
      <c r="BF53" s="1081"/>
      <c r="BG53" s="1081"/>
      <c r="BH53" s="1082"/>
      <c r="BI53" s="1083"/>
      <c r="BJ53" s="1084"/>
      <c r="BK53" s="1085">
        <v>533</v>
      </c>
      <c r="BL53" s="1086"/>
      <c r="BM53" s="1085">
        <v>529</v>
      </c>
      <c r="BN53" s="1086"/>
      <c r="BO53" s="1085">
        <v>526</v>
      </c>
      <c r="BP53" s="1086"/>
      <c r="BQ53" s="1085">
        <v>522</v>
      </c>
      <c r="BR53" s="1086"/>
      <c r="BS53" s="1085">
        <v>521</v>
      </c>
      <c r="BT53" s="1086"/>
      <c r="BU53" s="1085">
        <v>526</v>
      </c>
      <c r="BV53" s="1086"/>
      <c r="BW53" s="1085">
        <v>552</v>
      </c>
      <c r="BX53" s="1086"/>
      <c r="BY53" s="1085">
        <v>604</v>
      </c>
      <c r="BZ53" s="1086"/>
      <c r="CA53" s="1085">
        <v>764</v>
      </c>
      <c r="CB53" s="1086"/>
      <c r="CC53" s="1085">
        <v>754</v>
      </c>
      <c r="CD53" s="1086"/>
      <c r="CE53" s="1085">
        <v>782</v>
      </c>
      <c r="CF53" s="1086"/>
      <c r="CG53" s="1085">
        <v>792</v>
      </c>
      <c r="CH53" s="1086"/>
      <c r="CI53" s="1085">
        <v>800</v>
      </c>
      <c r="CJ53" s="1086"/>
      <c r="CK53" s="1085">
        <v>792</v>
      </c>
      <c r="CL53" s="1086"/>
      <c r="CM53" s="1085">
        <v>779</v>
      </c>
      <c r="CN53" s="1086"/>
      <c r="CO53" s="1085">
        <v>765</v>
      </c>
      <c r="CP53" s="1086"/>
      <c r="CQ53" s="1085">
        <v>751</v>
      </c>
      <c r="CR53" s="1086"/>
      <c r="CS53" s="1085">
        <v>723</v>
      </c>
      <c r="CT53" s="1086"/>
      <c r="CU53" s="1085">
        <v>613</v>
      </c>
      <c r="CV53" s="1086"/>
      <c r="CW53" s="1085">
        <v>578</v>
      </c>
      <c r="CX53" s="1086"/>
      <c r="CY53" s="1085">
        <v>564</v>
      </c>
      <c r="CZ53" s="1086"/>
      <c r="DA53" s="1085">
        <v>552</v>
      </c>
      <c r="DB53" s="1087"/>
      <c r="DC53" s="1088">
        <v>549</v>
      </c>
      <c r="DD53" s="1089"/>
      <c r="DE53" s="1090">
        <v>536</v>
      </c>
      <c r="DF53" s="981"/>
      <c r="DG53" s="1079" t="s">
        <v>344</v>
      </c>
      <c r="DH53" s="1080"/>
      <c r="DI53" s="1081"/>
      <c r="DJ53" s="1081"/>
      <c r="DK53" s="1082"/>
      <c r="DL53" s="1083"/>
      <c r="DM53" s="1084"/>
      <c r="DN53" s="1085">
        <v>504</v>
      </c>
      <c r="DO53" s="1086"/>
      <c r="DP53" s="1085">
        <v>498</v>
      </c>
      <c r="DQ53" s="1086"/>
      <c r="DR53" s="1085">
        <v>495</v>
      </c>
      <c r="DS53" s="1086"/>
      <c r="DT53" s="1085">
        <v>492</v>
      </c>
      <c r="DU53" s="1086"/>
      <c r="DV53" s="1085">
        <v>490</v>
      </c>
      <c r="DW53" s="1086"/>
      <c r="DX53" s="1085">
        <v>492</v>
      </c>
      <c r="DY53" s="1086"/>
      <c r="DZ53" s="1085">
        <v>506</v>
      </c>
      <c r="EA53" s="1086"/>
      <c r="EB53" s="1085">
        <v>529</v>
      </c>
      <c r="EC53" s="1086"/>
      <c r="ED53" s="1085">
        <v>696</v>
      </c>
      <c r="EE53" s="1086"/>
      <c r="EF53" s="1085">
        <v>694</v>
      </c>
      <c r="EG53" s="1086"/>
      <c r="EH53" s="1085">
        <v>719</v>
      </c>
      <c r="EI53" s="1086"/>
      <c r="EJ53" s="1085">
        <v>740</v>
      </c>
      <c r="EK53" s="1086"/>
      <c r="EL53" s="1085">
        <v>744</v>
      </c>
      <c r="EM53" s="1086"/>
      <c r="EN53" s="1085">
        <v>735</v>
      </c>
      <c r="EO53" s="1086"/>
      <c r="EP53" s="1085">
        <v>723</v>
      </c>
      <c r="EQ53" s="1086"/>
      <c r="ER53" s="1085">
        <v>711</v>
      </c>
      <c r="ES53" s="1086"/>
      <c r="ET53" s="1085">
        <v>682</v>
      </c>
      <c r="EU53" s="1086"/>
      <c r="EV53" s="1085">
        <v>653</v>
      </c>
      <c r="EW53" s="1086"/>
      <c r="EX53" s="1085">
        <v>535</v>
      </c>
      <c r="EY53" s="1086"/>
      <c r="EZ53" s="1085">
        <v>526</v>
      </c>
      <c r="FA53" s="1086"/>
      <c r="FB53" s="1085">
        <v>521</v>
      </c>
      <c r="FC53" s="1086"/>
      <c r="FD53" s="1085">
        <v>518</v>
      </c>
      <c r="FE53" s="1087"/>
      <c r="FF53" s="1088">
        <v>515</v>
      </c>
      <c r="FG53" s="1089"/>
      <c r="FH53" s="1090">
        <v>509</v>
      </c>
      <c r="FI53" s="981"/>
      <c r="FJ53" s="1079" t="s">
        <v>344</v>
      </c>
      <c r="FK53" s="1080"/>
      <c r="FL53" s="1081"/>
      <c r="FM53" s="1081"/>
      <c r="FN53" s="1082"/>
      <c r="FO53" s="1083"/>
      <c r="FP53" s="1091"/>
      <c r="FQ53" s="1092"/>
      <c r="FR53" s="1085">
        <v>1849</v>
      </c>
      <c r="FS53" s="1093"/>
      <c r="FT53" s="1092"/>
      <c r="FU53" s="1094">
        <v>1785</v>
      </c>
      <c r="FV53" s="1095">
        <v>13</v>
      </c>
      <c r="FW53" s="1096">
        <v>809</v>
      </c>
      <c r="FX53" s="1097">
        <v>13</v>
      </c>
      <c r="FY53" s="1096">
        <v>800</v>
      </c>
      <c r="FZ53" s="1097">
        <v>13</v>
      </c>
      <c r="GA53" s="1096">
        <v>744</v>
      </c>
      <c r="GB53" s="1098" t="s">
        <v>366</v>
      </c>
      <c r="GC53" s="1096">
        <v>809</v>
      </c>
      <c r="GD53" s="1098" t="s">
        <v>368</v>
      </c>
      <c r="GE53" s="1099">
        <v>1849</v>
      </c>
      <c r="GF53" s="688"/>
      <c r="GG53" s="990"/>
      <c r="GH53" s="990"/>
      <c r="GI53" s="990"/>
      <c r="GJ53" s="953"/>
      <c r="GK53" s="413"/>
      <c r="GL53" s="1100">
        <v>10</v>
      </c>
      <c r="GM53" s="1101">
        <v>1</v>
      </c>
      <c r="GN53" s="1102">
        <v>0.92</v>
      </c>
      <c r="GO53" s="1103">
        <v>0</v>
      </c>
      <c r="GP53" s="1103">
        <v>7</v>
      </c>
      <c r="GQ53" s="1104">
        <v>7</v>
      </c>
      <c r="GR53" s="580"/>
      <c r="GS53" s="483"/>
      <c r="GT53" s="861"/>
      <c r="GU53" s="580" t="s">
        <v>594</v>
      </c>
      <c r="GV53" s="580"/>
      <c r="GW53" s="580"/>
      <c r="GX53" s="580"/>
      <c r="GY53" s="413"/>
      <c r="GZ53" s="409"/>
      <c r="HA53" s="615">
        <v>26.2</v>
      </c>
      <c r="HB53" s="579" t="s">
        <v>319</v>
      </c>
      <c r="HC53" s="799"/>
      <c r="HD53" s="415"/>
    </row>
    <row r="54" spans="1:212" ht="20.100000000000001" customHeight="1">
      <c r="A54" s="1105" t="s">
        <v>345</v>
      </c>
      <c r="B54" s="1106"/>
      <c r="C54" s="1107"/>
      <c r="D54" s="1108"/>
      <c r="E54" s="1109"/>
      <c r="F54" s="1110"/>
      <c r="G54" s="1111"/>
      <c r="H54" s="1112">
        <v>42.9</v>
      </c>
      <c r="I54" s="1113"/>
      <c r="J54" s="1112">
        <v>41.4</v>
      </c>
      <c r="K54" s="1113"/>
      <c r="L54" s="1112">
        <v>41.2</v>
      </c>
      <c r="M54" s="1113"/>
      <c r="N54" s="1112">
        <v>40.9</v>
      </c>
      <c r="O54" s="1113"/>
      <c r="P54" s="1112">
        <v>40.799999999999997</v>
      </c>
      <c r="Q54" s="1113"/>
      <c r="R54" s="1112">
        <v>41.2</v>
      </c>
      <c r="S54" s="1113"/>
      <c r="T54" s="1112">
        <v>44.2</v>
      </c>
      <c r="U54" s="1113"/>
      <c r="V54" s="1112">
        <v>47.3</v>
      </c>
      <c r="W54" s="1113"/>
      <c r="X54" s="1112">
        <v>59.4</v>
      </c>
      <c r="Y54" s="1113"/>
      <c r="Z54" s="1112">
        <v>58.8</v>
      </c>
      <c r="AA54" s="1113"/>
      <c r="AB54" s="1112">
        <v>60.7</v>
      </c>
      <c r="AC54" s="1113"/>
      <c r="AD54" s="1112">
        <v>61.7</v>
      </c>
      <c r="AE54" s="1113"/>
      <c r="AF54" s="1112">
        <v>62.2</v>
      </c>
      <c r="AG54" s="1113"/>
      <c r="AH54" s="1112">
        <v>62.2</v>
      </c>
      <c r="AI54" s="1113"/>
      <c r="AJ54" s="1112">
        <v>60.9</v>
      </c>
      <c r="AK54" s="1113"/>
      <c r="AL54" s="1112">
        <v>59.9</v>
      </c>
      <c r="AM54" s="1113"/>
      <c r="AN54" s="1112">
        <v>57.8</v>
      </c>
      <c r="AO54" s="1113"/>
      <c r="AP54" s="1112">
        <v>56.2</v>
      </c>
      <c r="AQ54" s="1113"/>
      <c r="AR54" s="1112">
        <v>48.5</v>
      </c>
      <c r="AS54" s="1113"/>
      <c r="AT54" s="1112">
        <v>46.5</v>
      </c>
      <c r="AU54" s="1113"/>
      <c r="AV54" s="1112">
        <v>45.7</v>
      </c>
      <c r="AW54" s="1113"/>
      <c r="AX54" s="1112">
        <v>45.1</v>
      </c>
      <c r="AY54" s="1113"/>
      <c r="AZ54" s="1112">
        <v>44.2</v>
      </c>
      <c r="BA54" s="1113"/>
      <c r="BB54" s="1114">
        <v>43.6</v>
      </c>
      <c r="BC54" s="1017"/>
      <c r="BD54" s="1105" t="s">
        <v>345</v>
      </c>
      <c r="BE54" s="1106"/>
      <c r="BF54" s="1107"/>
      <c r="BG54" s="1108"/>
      <c r="BH54" s="1109"/>
      <c r="BI54" s="1110"/>
      <c r="BJ54" s="1111"/>
      <c r="BK54" s="1112">
        <v>41</v>
      </c>
      <c r="BL54" s="1113"/>
      <c r="BM54" s="1112">
        <v>40.700000000000003</v>
      </c>
      <c r="BN54" s="1113"/>
      <c r="BO54" s="1112">
        <v>40.5</v>
      </c>
      <c r="BP54" s="1113"/>
      <c r="BQ54" s="1112">
        <v>40.200000000000003</v>
      </c>
      <c r="BR54" s="1113"/>
      <c r="BS54" s="1112">
        <v>40.1</v>
      </c>
      <c r="BT54" s="1113"/>
      <c r="BU54" s="1112">
        <v>40.5</v>
      </c>
      <c r="BV54" s="1113"/>
      <c r="BW54" s="1112">
        <v>42.5</v>
      </c>
      <c r="BX54" s="1113"/>
      <c r="BY54" s="1112">
        <v>46.5</v>
      </c>
      <c r="BZ54" s="1113"/>
      <c r="CA54" s="1112">
        <v>58.8</v>
      </c>
      <c r="CB54" s="1113"/>
      <c r="CC54" s="1112">
        <v>58</v>
      </c>
      <c r="CD54" s="1113"/>
      <c r="CE54" s="1112">
        <v>60.2</v>
      </c>
      <c r="CF54" s="1113"/>
      <c r="CG54" s="1112">
        <v>60.9</v>
      </c>
      <c r="CH54" s="1113"/>
      <c r="CI54" s="1112">
        <v>61.5</v>
      </c>
      <c r="CJ54" s="1113"/>
      <c r="CK54" s="1112">
        <v>60.9</v>
      </c>
      <c r="CL54" s="1113"/>
      <c r="CM54" s="1112">
        <v>59.9</v>
      </c>
      <c r="CN54" s="1113"/>
      <c r="CO54" s="1112">
        <v>58.8</v>
      </c>
      <c r="CP54" s="1113"/>
      <c r="CQ54" s="1112">
        <v>57.8</v>
      </c>
      <c r="CR54" s="1113"/>
      <c r="CS54" s="1112">
        <v>55.6</v>
      </c>
      <c r="CT54" s="1113"/>
      <c r="CU54" s="1112">
        <v>47.2</v>
      </c>
      <c r="CV54" s="1113"/>
      <c r="CW54" s="1112">
        <v>44.5</v>
      </c>
      <c r="CX54" s="1113"/>
      <c r="CY54" s="1112">
        <v>43.4</v>
      </c>
      <c r="CZ54" s="1113"/>
      <c r="DA54" s="1112">
        <v>42.5</v>
      </c>
      <c r="DB54" s="1113"/>
      <c r="DC54" s="1112">
        <v>42.2</v>
      </c>
      <c r="DD54" s="1113"/>
      <c r="DE54" s="1114">
        <v>41.2</v>
      </c>
      <c r="DF54" s="1017"/>
      <c r="DG54" s="1105" t="s">
        <v>345</v>
      </c>
      <c r="DH54" s="1106"/>
      <c r="DI54" s="1107"/>
      <c r="DJ54" s="1108"/>
      <c r="DK54" s="1109"/>
      <c r="DL54" s="1110"/>
      <c r="DM54" s="1111"/>
      <c r="DN54" s="1112">
        <v>38.799999999999997</v>
      </c>
      <c r="DO54" s="1113"/>
      <c r="DP54" s="1112">
        <v>38.299999999999997</v>
      </c>
      <c r="DQ54" s="1113"/>
      <c r="DR54" s="1112">
        <v>38.1</v>
      </c>
      <c r="DS54" s="1113"/>
      <c r="DT54" s="1112">
        <v>37.799999999999997</v>
      </c>
      <c r="DU54" s="1113"/>
      <c r="DV54" s="1112">
        <v>37.700000000000003</v>
      </c>
      <c r="DW54" s="1113"/>
      <c r="DX54" s="1112">
        <v>37.799999999999997</v>
      </c>
      <c r="DY54" s="1113"/>
      <c r="DZ54" s="1112">
        <v>38.9</v>
      </c>
      <c r="EA54" s="1113"/>
      <c r="EB54" s="1112">
        <v>40.700000000000003</v>
      </c>
      <c r="EC54" s="1113"/>
      <c r="ED54" s="1112">
        <v>53.5</v>
      </c>
      <c r="EE54" s="1113"/>
      <c r="EF54" s="1112">
        <v>53.4</v>
      </c>
      <c r="EG54" s="1113"/>
      <c r="EH54" s="1112">
        <v>55.3</v>
      </c>
      <c r="EI54" s="1113"/>
      <c r="EJ54" s="1112">
        <v>56.9</v>
      </c>
      <c r="EK54" s="1113"/>
      <c r="EL54" s="1112">
        <v>57.2</v>
      </c>
      <c r="EM54" s="1113"/>
      <c r="EN54" s="1112">
        <v>56.5</v>
      </c>
      <c r="EO54" s="1113"/>
      <c r="EP54" s="1112">
        <v>55.6</v>
      </c>
      <c r="EQ54" s="1113"/>
      <c r="ER54" s="1112">
        <v>54.7</v>
      </c>
      <c r="ES54" s="1113"/>
      <c r="ET54" s="1112">
        <v>52.5</v>
      </c>
      <c r="EU54" s="1113"/>
      <c r="EV54" s="1112">
        <v>50.2</v>
      </c>
      <c r="EW54" s="1113"/>
      <c r="EX54" s="1112">
        <v>41.2</v>
      </c>
      <c r="EY54" s="1113"/>
      <c r="EZ54" s="1112">
        <v>40.5</v>
      </c>
      <c r="FA54" s="1113"/>
      <c r="FB54" s="1112">
        <v>40.1</v>
      </c>
      <c r="FC54" s="1113"/>
      <c r="FD54" s="1112">
        <v>39.799999999999997</v>
      </c>
      <c r="FE54" s="1113"/>
      <c r="FF54" s="1112">
        <v>39.6</v>
      </c>
      <c r="FG54" s="1113"/>
      <c r="FH54" s="1114">
        <v>39.200000000000003</v>
      </c>
      <c r="FI54" s="1017"/>
      <c r="FJ54" s="1105" t="s">
        <v>345</v>
      </c>
      <c r="FK54" s="1106"/>
      <c r="FL54" s="1107"/>
      <c r="FM54" s="1108"/>
      <c r="FN54" s="1109"/>
      <c r="FO54" s="1110"/>
      <c r="FP54" s="1115"/>
      <c r="FQ54" s="1113"/>
      <c r="FR54" s="1112">
        <v>142.19999999999999</v>
      </c>
      <c r="FS54" s="1116"/>
      <c r="FT54" s="1113"/>
      <c r="FU54" s="1117">
        <v>137.30000000000001</v>
      </c>
      <c r="FV54" s="1116"/>
      <c r="FW54" s="1112">
        <f>IF(面積=0,0,ROUND(FW53/面積,1))</f>
        <v>62.2</v>
      </c>
      <c r="FX54" s="1116"/>
      <c r="FY54" s="1112">
        <f>IF(面積=0,0,ROUND(FY53/面積,1))</f>
        <v>61.5</v>
      </c>
      <c r="FZ54" s="1116"/>
      <c r="GA54" s="1112">
        <f>IF(面積=0,0,ROUND(GA53/面積,1))</f>
        <v>57.2</v>
      </c>
      <c r="GB54" s="1116"/>
      <c r="GC54" s="1112">
        <f>IF(面積=0,0,ROUND(GC53/面積,1))</f>
        <v>62.2</v>
      </c>
      <c r="GD54" s="1116"/>
      <c r="GE54" s="1114">
        <f>IF(面積=0,0,ROUND(GE53/面積,1))</f>
        <v>142.19999999999999</v>
      </c>
      <c r="GF54" s="688"/>
      <c r="GG54" s="937"/>
      <c r="GH54" s="937"/>
      <c r="GI54" s="937"/>
      <c r="GJ54" s="580"/>
      <c r="GK54" s="579"/>
      <c r="GL54" s="1100">
        <v>11</v>
      </c>
      <c r="GM54" s="1101">
        <v>2</v>
      </c>
      <c r="GN54" s="1102">
        <v>0.85</v>
      </c>
      <c r="GO54" s="1103">
        <v>0</v>
      </c>
      <c r="GP54" s="1103">
        <v>7</v>
      </c>
      <c r="GQ54" s="1104">
        <v>7</v>
      </c>
      <c r="GR54" s="530"/>
      <c r="GS54" s="580"/>
      <c r="GT54" s="861"/>
      <c r="GU54" s="1118" t="s">
        <v>595</v>
      </c>
      <c r="GV54" s="1118"/>
      <c r="GW54" s="1118"/>
      <c r="GX54" s="1118"/>
      <c r="GY54" s="775"/>
      <c r="GZ54" s="1119"/>
      <c r="HA54" s="1120">
        <v>26.2</v>
      </c>
      <c r="HB54" s="1121" t="s">
        <v>589</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0</v>
      </c>
      <c r="GP55" s="1103">
        <v>7</v>
      </c>
      <c r="GQ55" s="1104">
        <v>7</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348</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0</v>
      </c>
      <c r="GP56" s="1103">
        <v>7</v>
      </c>
      <c r="GQ56" s="1104">
        <v>7</v>
      </c>
      <c r="GR56" s="530"/>
      <c r="GS56" s="529"/>
      <c r="GT56" s="1127" t="s">
        <v>596</v>
      </c>
      <c r="GU56" s="530"/>
      <c r="GV56" s="579"/>
      <c r="GW56" s="530"/>
      <c r="GX56" s="579"/>
      <c r="GY56" s="391"/>
      <c r="GZ56" s="529"/>
      <c r="HA56" s="580"/>
      <c r="HB56" s="529"/>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0</v>
      </c>
      <c r="GP57" s="1103">
        <v>7</v>
      </c>
      <c r="GQ57" s="1104">
        <v>7</v>
      </c>
      <c r="GR57" s="953"/>
      <c r="GS57" s="529"/>
      <c r="GT57" s="1127"/>
      <c r="GU57" s="580"/>
      <c r="GV57" s="580"/>
      <c r="GW57" s="409" t="s">
        <v>597</v>
      </c>
      <c r="GX57" s="392"/>
      <c r="GY57" s="579"/>
      <c r="GZ57" s="529"/>
      <c r="HA57" s="1162">
        <v>0</v>
      </c>
      <c r="HB57" s="409" t="s">
        <v>355</v>
      </c>
      <c r="HC57" s="1052"/>
    </row>
    <row r="58" spans="1:212" ht="20.100000000000001" customHeight="1">
      <c r="A58" s="1163" t="s">
        <v>612</v>
      </c>
      <c r="B58" s="1164"/>
      <c r="C58" s="1164"/>
      <c r="D58" s="1164"/>
      <c r="E58" s="1165"/>
      <c r="F58" s="1166"/>
      <c r="G58" s="1167"/>
      <c r="H58" s="1168">
        <v>20</v>
      </c>
      <c r="I58" s="1169"/>
      <c r="J58" s="1168">
        <v>20</v>
      </c>
      <c r="K58" s="1169"/>
      <c r="L58" s="1168">
        <v>20</v>
      </c>
      <c r="M58" s="1169"/>
      <c r="N58" s="1168">
        <v>20</v>
      </c>
      <c r="O58" s="1169"/>
      <c r="P58" s="1168">
        <v>20</v>
      </c>
      <c r="Q58" s="1169"/>
      <c r="R58" s="1168">
        <v>20</v>
      </c>
      <c r="S58" s="1169"/>
      <c r="T58" s="1168">
        <v>20</v>
      </c>
      <c r="U58" s="1169"/>
      <c r="V58" s="1168">
        <v>20</v>
      </c>
      <c r="W58" s="1169"/>
      <c r="X58" s="1168">
        <v>60</v>
      </c>
      <c r="Y58" s="1169"/>
      <c r="Z58" s="1168">
        <v>60</v>
      </c>
      <c r="AA58" s="1169"/>
      <c r="AB58" s="1168">
        <v>60</v>
      </c>
      <c r="AC58" s="1169"/>
      <c r="AD58" s="1168">
        <v>60</v>
      </c>
      <c r="AE58" s="1169"/>
      <c r="AF58" s="1168">
        <v>60</v>
      </c>
      <c r="AG58" s="1169"/>
      <c r="AH58" s="1168">
        <v>60</v>
      </c>
      <c r="AI58" s="1169"/>
      <c r="AJ58" s="1168">
        <v>60</v>
      </c>
      <c r="AK58" s="1169"/>
      <c r="AL58" s="1168">
        <v>60</v>
      </c>
      <c r="AM58" s="1169"/>
      <c r="AN58" s="1168">
        <v>60</v>
      </c>
      <c r="AO58" s="1169"/>
      <c r="AP58" s="1168">
        <v>60</v>
      </c>
      <c r="AQ58" s="1169"/>
      <c r="AR58" s="1168">
        <v>20</v>
      </c>
      <c r="AS58" s="1169"/>
      <c r="AT58" s="1168">
        <v>20</v>
      </c>
      <c r="AU58" s="1169"/>
      <c r="AV58" s="1168">
        <v>20</v>
      </c>
      <c r="AW58" s="1169"/>
      <c r="AX58" s="1168">
        <v>20</v>
      </c>
      <c r="AY58" s="1169"/>
      <c r="AZ58" s="1168">
        <v>20</v>
      </c>
      <c r="BA58" s="1169"/>
      <c r="BB58" s="561">
        <v>20</v>
      </c>
      <c r="BC58" s="563"/>
      <c r="BD58" s="1163" t="s">
        <v>612</v>
      </c>
      <c r="BE58" s="1164"/>
      <c r="BF58" s="1164"/>
      <c r="BG58" s="1164"/>
      <c r="BH58" s="1165"/>
      <c r="BI58" s="1166"/>
      <c r="BJ58" s="1167"/>
      <c r="BK58" s="1168">
        <v>20</v>
      </c>
      <c r="BL58" s="1169"/>
      <c r="BM58" s="1168">
        <v>20</v>
      </c>
      <c r="BN58" s="1169"/>
      <c r="BO58" s="1168">
        <v>20</v>
      </c>
      <c r="BP58" s="1169"/>
      <c r="BQ58" s="1168">
        <v>20</v>
      </c>
      <c r="BR58" s="1169"/>
      <c r="BS58" s="1168">
        <v>20</v>
      </c>
      <c r="BT58" s="1169"/>
      <c r="BU58" s="1168">
        <v>20</v>
      </c>
      <c r="BV58" s="1169"/>
      <c r="BW58" s="1168">
        <v>20</v>
      </c>
      <c r="BX58" s="1169"/>
      <c r="BY58" s="1168">
        <v>20</v>
      </c>
      <c r="BZ58" s="1169"/>
      <c r="CA58" s="1168">
        <v>60</v>
      </c>
      <c r="CB58" s="1169"/>
      <c r="CC58" s="1168">
        <v>60</v>
      </c>
      <c r="CD58" s="1169"/>
      <c r="CE58" s="1168">
        <v>60</v>
      </c>
      <c r="CF58" s="1169"/>
      <c r="CG58" s="1168">
        <v>60</v>
      </c>
      <c r="CH58" s="1169"/>
      <c r="CI58" s="1168">
        <v>60</v>
      </c>
      <c r="CJ58" s="1169"/>
      <c r="CK58" s="1168">
        <v>60</v>
      </c>
      <c r="CL58" s="1169"/>
      <c r="CM58" s="1168">
        <v>60</v>
      </c>
      <c r="CN58" s="1169"/>
      <c r="CO58" s="1168">
        <v>60</v>
      </c>
      <c r="CP58" s="1169"/>
      <c r="CQ58" s="1168">
        <v>60</v>
      </c>
      <c r="CR58" s="1169"/>
      <c r="CS58" s="1168">
        <v>60</v>
      </c>
      <c r="CT58" s="1169"/>
      <c r="CU58" s="1168">
        <v>20</v>
      </c>
      <c r="CV58" s="1169"/>
      <c r="CW58" s="1168">
        <v>20</v>
      </c>
      <c r="CX58" s="1169"/>
      <c r="CY58" s="1168">
        <v>20</v>
      </c>
      <c r="CZ58" s="1169"/>
      <c r="DA58" s="1168">
        <v>20</v>
      </c>
      <c r="DB58" s="1169"/>
      <c r="DC58" s="1168">
        <v>20</v>
      </c>
      <c r="DD58" s="1169"/>
      <c r="DE58" s="561">
        <v>20</v>
      </c>
      <c r="DF58" s="562"/>
      <c r="DG58" s="1163" t="s">
        <v>613</v>
      </c>
      <c r="DH58" s="1164"/>
      <c r="DI58" s="1164"/>
      <c r="DJ58" s="1164"/>
      <c r="DK58" s="1165"/>
      <c r="DL58" s="1166"/>
      <c r="DM58" s="1167"/>
      <c r="DN58" s="1168">
        <v>20</v>
      </c>
      <c r="DO58" s="1169"/>
      <c r="DP58" s="1168">
        <v>20</v>
      </c>
      <c r="DQ58" s="1169"/>
      <c r="DR58" s="1168">
        <v>20</v>
      </c>
      <c r="DS58" s="1169"/>
      <c r="DT58" s="1168">
        <v>20</v>
      </c>
      <c r="DU58" s="1169"/>
      <c r="DV58" s="1168">
        <v>20</v>
      </c>
      <c r="DW58" s="1169"/>
      <c r="DX58" s="1168">
        <v>20</v>
      </c>
      <c r="DY58" s="1169"/>
      <c r="DZ58" s="1168">
        <v>20</v>
      </c>
      <c r="EA58" s="1169"/>
      <c r="EB58" s="1168">
        <v>20</v>
      </c>
      <c r="EC58" s="1169"/>
      <c r="ED58" s="1168">
        <v>60</v>
      </c>
      <c r="EE58" s="1169"/>
      <c r="EF58" s="1168">
        <v>60</v>
      </c>
      <c r="EG58" s="1169"/>
      <c r="EH58" s="1168">
        <v>60</v>
      </c>
      <c r="EI58" s="1169"/>
      <c r="EJ58" s="1168">
        <v>60</v>
      </c>
      <c r="EK58" s="1169"/>
      <c r="EL58" s="1168">
        <v>60</v>
      </c>
      <c r="EM58" s="1169"/>
      <c r="EN58" s="1168">
        <v>60</v>
      </c>
      <c r="EO58" s="1169"/>
      <c r="EP58" s="1168">
        <v>60</v>
      </c>
      <c r="EQ58" s="1169"/>
      <c r="ER58" s="1168">
        <v>60</v>
      </c>
      <c r="ES58" s="1169"/>
      <c r="ET58" s="1168">
        <v>60</v>
      </c>
      <c r="EU58" s="1169"/>
      <c r="EV58" s="1168">
        <v>60</v>
      </c>
      <c r="EW58" s="1169"/>
      <c r="EX58" s="1168">
        <v>20</v>
      </c>
      <c r="EY58" s="1169"/>
      <c r="EZ58" s="1168">
        <v>20</v>
      </c>
      <c r="FA58" s="1169"/>
      <c r="FB58" s="1168">
        <v>20</v>
      </c>
      <c r="FC58" s="1169"/>
      <c r="FD58" s="1168">
        <v>20</v>
      </c>
      <c r="FE58" s="1169"/>
      <c r="FF58" s="1168">
        <v>20</v>
      </c>
      <c r="FG58" s="1169"/>
      <c r="FH58" s="561">
        <v>20</v>
      </c>
      <c r="FI58" s="563"/>
      <c r="FJ58" s="1163" t="s">
        <v>612</v>
      </c>
      <c r="FK58" s="1164"/>
      <c r="FL58" s="1164"/>
      <c r="FM58" s="1164"/>
      <c r="FN58" s="1165"/>
      <c r="FO58" s="1166"/>
      <c r="FP58" s="1170"/>
      <c r="FQ58" s="1171"/>
      <c r="FR58" s="1168">
        <v>60</v>
      </c>
      <c r="FS58" s="1172"/>
      <c r="FT58" s="1171"/>
      <c r="FU58" s="1173">
        <v>60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0</v>
      </c>
      <c r="GP58" s="1103">
        <v>7</v>
      </c>
      <c r="GQ58" s="1104">
        <v>7</v>
      </c>
      <c r="GR58" s="953"/>
      <c r="GS58" s="530"/>
      <c r="GT58" s="689"/>
      <c r="GU58" s="893"/>
      <c r="GV58" s="580"/>
      <c r="GW58" s="1178" t="s">
        <v>599</v>
      </c>
      <c r="GX58" s="392"/>
      <c r="GY58" s="1051"/>
      <c r="GZ58" s="391"/>
      <c r="HA58" s="1162">
        <v>232</v>
      </c>
      <c r="HB58" s="409" t="s">
        <v>355</v>
      </c>
      <c r="HC58" s="562"/>
      <c r="HD58" s="1179"/>
    </row>
    <row r="59" spans="1:212" ht="20.100000000000001" customHeight="1">
      <c r="A59" s="1180" t="s">
        <v>614</v>
      </c>
      <c r="B59" s="1181"/>
      <c r="C59" s="1181"/>
      <c r="D59" s="1182" t="s">
        <v>615</v>
      </c>
      <c r="E59" s="1183"/>
      <c r="F59" s="1021"/>
      <c r="G59" s="1184">
        <v>6.6</v>
      </c>
      <c r="H59" s="585">
        <v>44</v>
      </c>
      <c r="I59" s="1185">
        <v>6.5</v>
      </c>
      <c r="J59" s="587">
        <v>43</v>
      </c>
      <c r="K59" s="1185">
        <v>6.4</v>
      </c>
      <c r="L59" s="587">
        <v>43</v>
      </c>
      <c r="M59" s="1185">
        <v>6.3</v>
      </c>
      <c r="N59" s="587">
        <v>42</v>
      </c>
      <c r="O59" s="1185">
        <v>6.2</v>
      </c>
      <c r="P59" s="587">
        <v>41</v>
      </c>
      <c r="Q59" s="1185">
        <v>6.3</v>
      </c>
      <c r="R59" s="587">
        <v>42</v>
      </c>
      <c r="S59" s="1185">
        <v>6.6</v>
      </c>
      <c r="T59" s="587">
        <v>44</v>
      </c>
      <c r="U59" s="1185">
        <v>6.8</v>
      </c>
      <c r="V59" s="587">
        <v>45</v>
      </c>
      <c r="W59" s="1185">
        <v>7.1</v>
      </c>
      <c r="X59" s="587">
        <v>142</v>
      </c>
      <c r="Y59" s="1185">
        <v>7.4</v>
      </c>
      <c r="Z59" s="587">
        <v>148</v>
      </c>
      <c r="AA59" s="1185">
        <v>7.5</v>
      </c>
      <c r="AB59" s="587">
        <v>150</v>
      </c>
      <c r="AC59" s="1185">
        <v>7.9</v>
      </c>
      <c r="AD59" s="587">
        <v>158</v>
      </c>
      <c r="AE59" s="1185">
        <v>7.7</v>
      </c>
      <c r="AF59" s="587">
        <v>154</v>
      </c>
      <c r="AG59" s="1185">
        <v>7.5</v>
      </c>
      <c r="AH59" s="587">
        <v>150</v>
      </c>
      <c r="AI59" s="1185">
        <v>7.5</v>
      </c>
      <c r="AJ59" s="587">
        <v>150</v>
      </c>
      <c r="AK59" s="1185">
        <v>7.4</v>
      </c>
      <c r="AL59" s="587">
        <v>148</v>
      </c>
      <c r="AM59" s="1185">
        <v>7.2</v>
      </c>
      <c r="AN59" s="587">
        <v>144</v>
      </c>
      <c r="AO59" s="1185">
        <v>7</v>
      </c>
      <c r="AP59" s="587">
        <v>140</v>
      </c>
      <c r="AQ59" s="1185">
        <v>6.8</v>
      </c>
      <c r="AR59" s="587">
        <v>45</v>
      </c>
      <c r="AS59" s="1185">
        <v>6.6</v>
      </c>
      <c r="AT59" s="587">
        <v>44</v>
      </c>
      <c r="AU59" s="1185">
        <v>6.7</v>
      </c>
      <c r="AV59" s="587">
        <v>45</v>
      </c>
      <c r="AW59" s="1185">
        <v>6.7</v>
      </c>
      <c r="AX59" s="587">
        <v>45</v>
      </c>
      <c r="AY59" s="1185">
        <v>6.7</v>
      </c>
      <c r="AZ59" s="587">
        <v>45</v>
      </c>
      <c r="BA59" s="1185">
        <v>6.7</v>
      </c>
      <c r="BB59" s="589">
        <v>45</v>
      </c>
      <c r="BC59" s="563"/>
      <c r="BD59" s="1180" t="s">
        <v>616</v>
      </c>
      <c r="BE59" s="1181"/>
      <c r="BF59" s="1181"/>
      <c r="BG59" s="1182" t="s">
        <v>615</v>
      </c>
      <c r="BH59" s="1183"/>
      <c r="BI59" s="1021"/>
      <c r="BJ59" s="1184">
        <v>5</v>
      </c>
      <c r="BK59" s="585">
        <v>33</v>
      </c>
      <c r="BL59" s="1185">
        <v>5</v>
      </c>
      <c r="BM59" s="587">
        <v>33</v>
      </c>
      <c r="BN59" s="1185">
        <v>4.9000000000000004</v>
      </c>
      <c r="BO59" s="587">
        <v>33</v>
      </c>
      <c r="BP59" s="1185">
        <v>4.9000000000000004</v>
      </c>
      <c r="BQ59" s="587">
        <v>33</v>
      </c>
      <c r="BR59" s="1185">
        <v>4.8</v>
      </c>
      <c r="BS59" s="587">
        <v>32</v>
      </c>
      <c r="BT59" s="1185">
        <v>4.9000000000000004</v>
      </c>
      <c r="BU59" s="587">
        <v>33</v>
      </c>
      <c r="BV59" s="1185">
        <v>5</v>
      </c>
      <c r="BW59" s="587">
        <v>33</v>
      </c>
      <c r="BX59" s="1185">
        <v>5.3</v>
      </c>
      <c r="BY59" s="587">
        <v>35</v>
      </c>
      <c r="BZ59" s="1185">
        <v>5.6</v>
      </c>
      <c r="CA59" s="587">
        <v>112</v>
      </c>
      <c r="CB59" s="1185">
        <v>5.8</v>
      </c>
      <c r="CC59" s="587">
        <v>116</v>
      </c>
      <c r="CD59" s="1185">
        <v>6.1</v>
      </c>
      <c r="CE59" s="587">
        <v>122</v>
      </c>
      <c r="CF59" s="1185">
        <v>6.3</v>
      </c>
      <c r="CG59" s="587">
        <v>126</v>
      </c>
      <c r="CH59" s="1185">
        <v>6.4</v>
      </c>
      <c r="CI59" s="587">
        <v>128</v>
      </c>
      <c r="CJ59" s="1185">
        <v>6.2</v>
      </c>
      <c r="CK59" s="587">
        <v>124</v>
      </c>
      <c r="CL59" s="1185">
        <v>6.2</v>
      </c>
      <c r="CM59" s="587">
        <v>124</v>
      </c>
      <c r="CN59" s="1185">
        <v>6.1</v>
      </c>
      <c r="CO59" s="587">
        <v>122</v>
      </c>
      <c r="CP59" s="1185">
        <v>6.1</v>
      </c>
      <c r="CQ59" s="587">
        <v>122</v>
      </c>
      <c r="CR59" s="1185">
        <v>5.9</v>
      </c>
      <c r="CS59" s="587">
        <v>118</v>
      </c>
      <c r="CT59" s="1185">
        <v>5.6</v>
      </c>
      <c r="CU59" s="587">
        <v>37</v>
      </c>
      <c r="CV59" s="1185">
        <v>5.3</v>
      </c>
      <c r="CW59" s="587">
        <v>35</v>
      </c>
      <c r="CX59" s="1185">
        <v>5.2</v>
      </c>
      <c r="CY59" s="587">
        <v>35</v>
      </c>
      <c r="CZ59" s="1185">
        <v>5.0999999999999996</v>
      </c>
      <c r="DA59" s="587">
        <v>34</v>
      </c>
      <c r="DB59" s="1185">
        <v>5.2</v>
      </c>
      <c r="DC59" s="587">
        <v>35</v>
      </c>
      <c r="DD59" s="1185">
        <v>5.2</v>
      </c>
      <c r="DE59" s="589">
        <v>35</v>
      </c>
      <c r="DF59" s="562"/>
      <c r="DG59" s="1180" t="s">
        <v>617</v>
      </c>
      <c r="DH59" s="1181"/>
      <c r="DI59" s="1181"/>
      <c r="DJ59" s="1182" t="s">
        <v>615</v>
      </c>
      <c r="DK59" s="1183"/>
      <c r="DL59" s="1021"/>
      <c r="DM59" s="1184">
        <v>3.5</v>
      </c>
      <c r="DN59" s="585">
        <v>23</v>
      </c>
      <c r="DO59" s="1185">
        <v>3.3</v>
      </c>
      <c r="DP59" s="587">
        <v>22</v>
      </c>
      <c r="DQ59" s="1185">
        <v>3.2</v>
      </c>
      <c r="DR59" s="587">
        <v>21</v>
      </c>
      <c r="DS59" s="1185">
        <v>2.9</v>
      </c>
      <c r="DT59" s="587">
        <v>19</v>
      </c>
      <c r="DU59" s="1185">
        <v>2.7</v>
      </c>
      <c r="DV59" s="587">
        <v>18</v>
      </c>
      <c r="DW59" s="1185">
        <v>2.6</v>
      </c>
      <c r="DX59" s="587">
        <v>17</v>
      </c>
      <c r="DY59" s="1185">
        <v>2.7</v>
      </c>
      <c r="DZ59" s="587">
        <v>18</v>
      </c>
      <c r="EA59" s="1185">
        <v>2.9</v>
      </c>
      <c r="EB59" s="587">
        <v>19</v>
      </c>
      <c r="EC59" s="1185">
        <v>2.9</v>
      </c>
      <c r="ED59" s="587">
        <v>58</v>
      </c>
      <c r="EE59" s="1185">
        <v>3.3</v>
      </c>
      <c r="EF59" s="587">
        <v>66</v>
      </c>
      <c r="EG59" s="1185">
        <v>3.3</v>
      </c>
      <c r="EH59" s="587">
        <v>66</v>
      </c>
      <c r="EI59" s="1185">
        <v>3.4</v>
      </c>
      <c r="EJ59" s="587">
        <v>68</v>
      </c>
      <c r="EK59" s="1185">
        <v>3.3</v>
      </c>
      <c r="EL59" s="587">
        <v>66</v>
      </c>
      <c r="EM59" s="1185">
        <v>3.2</v>
      </c>
      <c r="EN59" s="587">
        <v>64</v>
      </c>
      <c r="EO59" s="1185">
        <v>3.1</v>
      </c>
      <c r="EP59" s="587">
        <v>62</v>
      </c>
      <c r="EQ59" s="1185">
        <v>3.2</v>
      </c>
      <c r="ER59" s="587">
        <v>64</v>
      </c>
      <c r="ES59" s="1185">
        <v>3</v>
      </c>
      <c r="ET59" s="587">
        <v>60</v>
      </c>
      <c r="EU59" s="1185">
        <v>3.2</v>
      </c>
      <c r="EV59" s="587">
        <v>64</v>
      </c>
      <c r="EW59" s="1185">
        <v>3.4</v>
      </c>
      <c r="EX59" s="587">
        <v>23</v>
      </c>
      <c r="EY59" s="1185">
        <v>3.9</v>
      </c>
      <c r="EZ59" s="587">
        <v>26</v>
      </c>
      <c r="FA59" s="1185">
        <v>4.0999999999999996</v>
      </c>
      <c r="FB59" s="587">
        <v>27</v>
      </c>
      <c r="FC59" s="1185">
        <v>4.2</v>
      </c>
      <c r="FD59" s="587">
        <v>28</v>
      </c>
      <c r="FE59" s="1185">
        <v>4</v>
      </c>
      <c r="FF59" s="587">
        <v>27</v>
      </c>
      <c r="FG59" s="1185">
        <v>3.8</v>
      </c>
      <c r="FH59" s="589">
        <v>25</v>
      </c>
      <c r="FI59" s="563"/>
      <c r="FJ59" s="1180" t="s">
        <v>616</v>
      </c>
      <c r="FK59" s="1181"/>
      <c r="FL59" s="1181"/>
      <c r="FM59" s="1182" t="s">
        <v>615</v>
      </c>
      <c r="FN59" s="1183"/>
      <c r="FO59" s="1021"/>
      <c r="FP59" s="625">
        <v>5</v>
      </c>
      <c r="FQ59" s="1186">
        <v>8.9</v>
      </c>
      <c r="FR59" s="1187">
        <v>178</v>
      </c>
      <c r="FS59" s="1188">
        <v>5</v>
      </c>
      <c r="FT59" s="1186">
        <v>7.3</v>
      </c>
      <c r="FU59" s="1189">
        <v>146</v>
      </c>
      <c r="FV59" s="1190">
        <v>13</v>
      </c>
      <c r="FW59" s="1191">
        <v>154</v>
      </c>
      <c r="FX59" s="1192">
        <v>13</v>
      </c>
      <c r="FY59" s="1191">
        <v>128</v>
      </c>
      <c r="FZ59" s="1192">
        <v>13</v>
      </c>
      <c r="GA59" s="1191">
        <v>66</v>
      </c>
      <c r="GB59" s="1192" t="s">
        <v>618</v>
      </c>
      <c r="GC59" s="1191">
        <v>154</v>
      </c>
      <c r="GD59" s="1192" t="s">
        <v>619</v>
      </c>
      <c r="GE59" s="1193">
        <v>178</v>
      </c>
      <c r="GF59" s="688"/>
      <c r="GG59" s="1194"/>
      <c r="GH59" s="1194"/>
      <c r="GI59" s="1194"/>
      <c r="GJ59" s="893"/>
      <c r="GK59" s="409"/>
      <c r="GL59" s="1124">
        <v>16</v>
      </c>
      <c r="GM59" s="1125">
        <v>7</v>
      </c>
      <c r="GN59" s="1102">
        <v>0.56000000000000005</v>
      </c>
      <c r="GO59" s="1103">
        <v>0</v>
      </c>
      <c r="GP59" s="1103">
        <v>7</v>
      </c>
      <c r="GQ59" s="1104">
        <v>7</v>
      </c>
      <c r="GR59" s="893"/>
      <c r="GS59" s="391"/>
      <c r="GT59" s="750"/>
      <c r="GU59" s="391"/>
      <c r="GV59" s="893"/>
      <c r="GW59" s="409" t="s">
        <v>536</v>
      </c>
      <c r="GX59" s="392"/>
      <c r="GY59" s="1078"/>
      <c r="GZ59" s="486"/>
      <c r="HA59" s="1162">
        <v>232</v>
      </c>
      <c r="HB59" s="409" t="s">
        <v>600</v>
      </c>
      <c r="HC59" s="1179"/>
      <c r="HD59" s="1195"/>
    </row>
    <row r="60" spans="1:212" ht="20.100000000000001" customHeight="1">
      <c r="A60" s="1180"/>
      <c r="B60" s="1181"/>
      <c r="C60" s="1181"/>
      <c r="D60" s="1196"/>
      <c r="E60" s="1196"/>
      <c r="F60" s="1197">
        <v>0</v>
      </c>
      <c r="G60" s="584"/>
      <c r="H60" s="585">
        <v>0</v>
      </c>
      <c r="I60" s="588"/>
      <c r="J60" s="587">
        <v>0</v>
      </c>
      <c r="K60" s="588"/>
      <c r="L60" s="587">
        <v>0</v>
      </c>
      <c r="M60" s="588"/>
      <c r="N60" s="587">
        <v>0</v>
      </c>
      <c r="O60" s="588"/>
      <c r="P60" s="587">
        <v>0</v>
      </c>
      <c r="Q60" s="588"/>
      <c r="R60" s="587">
        <v>0</v>
      </c>
      <c r="S60" s="588"/>
      <c r="T60" s="587">
        <v>0</v>
      </c>
      <c r="U60" s="588"/>
      <c r="V60" s="587">
        <v>0</v>
      </c>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v>0</v>
      </c>
      <c r="AS60" s="588"/>
      <c r="AT60" s="587">
        <v>0</v>
      </c>
      <c r="AU60" s="588"/>
      <c r="AV60" s="587">
        <v>0</v>
      </c>
      <c r="AW60" s="588"/>
      <c r="AX60" s="587">
        <v>0</v>
      </c>
      <c r="AY60" s="588"/>
      <c r="AZ60" s="587">
        <v>0</v>
      </c>
      <c r="BA60" s="588"/>
      <c r="BB60" s="589">
        <v>0</v>
      </c>
      <c r="BC60" s="563"/>
      <c r="BD60" s="1180"/>
      <c r="BE60" s="1181"/>
      <c r="BF60" s="1181"/>
      <c r="BG60" s="1196"/>
      <c r="BH60" s="1196"/>
      <c r="BI60" s="1197"/>
      <c r="BJ60" s="584"/>
      <c r="BK60" s="585">
        <v>0</v>
      </c>
      <c r="BL60" s="588"/>
      <c r="BM60" s="587">
        <v>0</v>
      </c>
      <c r="BN60" s="588"/>
      <c r="BO60" s="587">
        <v>0</v>
      </c>
      <c r="BP60" s="588"/>
      <c r="BQ60" s="587">
        <v>0</v>
      </c>
      <c r="BR60" s="588"/>
      <c r="BS60" s="587">
        <v>0</v>
      </c>
      <c r="BT60" s="588"/>
      <c r="BU60" s="587">
        <v>0</v>
      </c>
      <c r="BV60" s="588"/>
      <c r="BW60" s="587">
        <v>0</v>
      </c>
      <c r="BX60" s="588"/>
      <c r="BY60" s="587">
        <v>0</v>
      </c>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v>0</v>
      </c>
      <c r="CV60" s="588"/>
      <c r="CW60" s="587">
        <v>0</v>
      </c>
      <c r="CX60" s="588"/>
      <c r="CY60" s="587">
        <v>0</v>
      </c>
      <c r="CZ60" s="588"/>
      <c r="DA60" s="587">
        <v>0</v>
      </c>
      <c r="DB60" s="588"/>
      <c r="DC60" s="587">
        <v>0</v>
      </c>
      <c r="DD60" s="588"/>
      <c r="DE60" s="589">
        <v>0</v>
      </c>
      <c r="DF60" s="562"/>
      <c r="DG60" s="1180"/>
      <c r="DH60" s="1181"/>
      <c r="DI60" s="1181"/>
      <c r="DJ60" s="1196"/>
      <c r="DK60" s="1196"/>
      <c r="DL60" s="1197"/>
      <c r="DM60" s="584"/>
      <c r="DN60" s="585">
        <v>0</v>
      </c>
      <c r="DO60" s="588"/>
      <c r="DP60" s="587">
        <v>0</v>
      </c>
      <c r="DQ60" s="588"/>
      <c r="DR60" s="587">
        <v>0</v>
      </c>
      <c r="DS60" s="588"/>
      <c r="DT60" s="587">
        <v>0</v>
      </c>
      <c r="DU60" s="588"/>
      <c r="DV60" s="587">
        <v>0</v>
      </c>
      <c r="DW60" s="588"/>
      <c r="DX60" s="587">
        <v>0</v>
      </c>
      <c r="DY60" s="588"/>
      <c r="DZ60" s="587">
        <v>0</v>
      </c>
      <c r="EA60" s="588"/>
      <c r="EB60" s="587">
        <v>0</v>
      </c>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v>0</v>
      </c>
      <c r="EY60" s="588"/>
      <c r="EZ60" s="587">
        <v>0</v>
      </c>
      <c r="FA60" s="588"/>
      <c r="FB60" s="587">
        <v>0</v>
      </c>
      <c r="FC60" s="588"/>
      <c r="FD60" s="587">
        <v>0</v>
      </c>
      <c r="FE60" s="588"/>
      <c r="FF60" s="587">
        <v>0</v>
      </c>
      <c r="FG60" s="588"/>
      <c r="FH60" s="589">
        <v>0</v>
      </c>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0</v>
      </c>
      <c r="GP60" s="1103">
        <v>7</v>
      </c>
      <c r="GQ60" s="1104">
        <v>7</v>
      </c>
      <c r="GR60" s="391"/>
      <c r="GS60" s="483"/>
      <c r="GT60" s="1200"/>
      <c r="GU60" s="483" t="s">
        <v>601</v>
      </c>
      <c r="GV60" s="486"/>
      <c r="GW60" s="483"/>
      <c r="GX60" s="486"/>
      <c r="GY60" s="409"/>
      <c r="GZ60" s="413"/>
      <c r="HA60" s="580"/>
      <c r="HB60" s="413"/>
      <c r="HC60" s="1201"/>
      <c r="HD60" s="1038"/>
    </row>
    <row r="61" spans="1:212" ht="20.100000000000001" customHeight="1">
      <c r="A61" s="1202" t="s">
        <v>620</v>
      </c>
      <c r="B61" s="1203"/>
      <c r="C61" s="1203"/>
      <c r="D61" s="1203"/>
      <c r="E61" s="1203"/>
      <c r="F61" s="1204"/>
      <c r="G61" s="1205"/>
      <c r="H61" s="1206">
        <v>602</v>
      </c>
      <c r="I61" s="1207"/>
      <c r="J61" s="1208">
        <v>581</v>
      </c>
      <c r="K61" s="1207"/>
      <c r="L61" s="1208">
        <v>578</v>
      </c>
      <c r="M61" s="1207"/>
      <c r="N61" s="1208">
        <v>574</v>
      </c>
      <c r="O61" s="1207"/>
      <c r="P61" s="1208">
        <v>572</v>
      </c>
      <c r="Q61" s="1207"/>
      <c r="R61" s="1208">
        <v>577</v>
      </c>
      <c r="S61" s="1207"/>
      <c r="T61" s="1208">
        <v>618</v>
      </c>
      <c r="U61" s="1207"/>
      <c r="V61" s="1208">
        <v>660</v>
      </c>
      <c r="W61" s="1207"/>
      <c r="X61" s="1208">
        <v>914</v>
      </c>
      <c r="Y61" s="1207"/>
      <c r="Z61" s="1208">
        <v>913</v>
      </c>
      <c r="AA61" s="1207"/>
      <c r="AB61" s="1208">
        <v>939</v>
      </c>
      <c r="AC61" s="1207"/>
      <c r="AD61" s="1208">
        <v>960</v>
      </c>
      <c r="AE61" s="1207"/>
      <c r="AF61" s="1208">
        <v>963</v>
      </c>
      <c r="AG61" s="1207"/>
      <c r="AH61" s="1208">
        <v>959</v>
      </c>
      <c r="AI61" s="1207"/>
      <c r="AJ61" s="1208">
        <v>942</v>
      </c>
      <c r="AK61" s="1207"/>
      <c r="AL61" s="1208">
        <v>927</v>
      </c>
      <c r="AM61" s="1207"/>
      <c r="AN61" s="1208">
        <v>895</v>
      </c>
      <c r="AO61" s="1207"/>
      <c r="AP61" s="1208">
        <v>871</v>
      </c>
      <c r="AQ61" s="1207"/>
      <c r="AR61" s="1208">
        <v>676</v>
      </c>
      <c r="AS61" s="1207"/>
      <c r="AT61" s="1208">
        <v>648</v>
      </c>
      <c r="AU61" s="1207"/>
      <c r="AV61" s="1208">
        <v>639</v>
      </c>
      <c r="AW61" s="1207"/>
      <c r="AX61" s="1208">
        <v>631</v>
      </c>
      <c r="AY61" s="1207"/>
      <c r="AZ61" s="1208">
        <v>619</v>
      </c>
      <c r="BA61" s="1207"/>
      <c r="BB61" s="1209">
        <v>612</v>
      </c>
      <c r="BC61" s="563"/>
      <c r="BD61" s="1202" t="s">
        <v>621</v>
      </c>
      <c r="BE61" s="1203"/>
      <c r="BF61" s="1203"/>
      <c r="BG61" s="1203"/>
      <c r="BH61" s="1203"/>
      <c r="BI61" s="1204"/>
      <c r="BJ61" s="1205"/>
      <c r="BK61" s="1206">
        <v>566</v>
      </c>
      <c r="BL61" s="1207"/>
      <c r="BM61" s="1208">
        <v>562</v>
      </c>
      <c r="BN61" s="1207"/>
      <c r="BO61" s="1208">
        <v>559</v>
      </c>
      <c r="BP61" s="1207"/>
      <c r="BQ61" s="1208">
        <v>555</v>
      </c>
      <c r="BR61" s="1207"/>
      <c r="BS61" s="1208">
        <v>553</v>
      </c>
      <c r="BT61" s="1207"/>
      <c r="BU61" s="1208">
        <v>559</v>
      </c>
      <c r="BV61" s="1207"/>
      <c r="BW61" s="1208">
        <v>585</v>
      </c>
      <c r="BX61" s="1207"/>
      <c r="BY61" s="1208">
        <v>639</v>
      </c>
      <c r="BZ61" s="1207"/>
      <c r="CA61" s="1208">
        <v>876</v>
      </c>
      <c r="CB61" s="1207"/>
      <c r="CC61" s="1208">
        <v>870</v>
      </c>
      <c r="CD61" s="1207"/>
      <c r="CE61" s="1208">
        <v>904</v>
      </c>
      <c r="CF61" s="1207"/>
      <c r="CG61" s="1208">
        <v>918</v>
      </c>
      <c r="CH61" s="1207"/>
      <c r="CI61" s="1208">
        <v>928</v>
      </c>
      <c r="CJ61" s="1207"/>
      <c r="CK61" s="1208">
        <v>916</v>
      </c>
      <c r="CL61" s="1207"/>
      <c r="CM61" s="1208">
        <v>903</v>
      </c>
      <c r="CN61" s="1207"/>
      <c r="CO61" s="1208">
        <v>887</v>
      </c>
      <c r="CP61" s="1207"/>
      <c r="CQ61" s="1208">
        <v>873</v>
      </c>
      <c r="CR61" s="1207"/>
      <c r="CS61" s="1208">
        <v>841</v>
      </c>
      <c r="CT61" s="1207"/>
      <c r="CU61" s="1208">
        <v>650</v>
      </c>
      <c r="CV61" s="1207"/>
      <c r="CW61" s="1208">
        <v>613</v>
      </c>
      <c r="CX61" s="1207"/>
      <c r="CY61" s="1208">
        <v>599</v>
      </c>
      <c r="CZ61" s="1207"/>
      <c r="DA61" s="1208">
        <v>586</v>
      </c>
      <c r="DB61" s="1207"/>
      <c r="DC61" s="1208">
        <v>584</v>
      </c>
      <c r="DD61" s="1207"/>
      <c r="DE61" s="1209">
        <v>571</v>
      </c>
      <c r="DF61" s="562"/>
      <c r="DG61" s="1202" t="s">
        <v>620</v>
      </c>
      <c r="DH61" s="1203"/>
      <c r="DI61" s="1203"/>
      <c r="DJ61" s="1203"/>
      <c r="DK61" s="1203"/>
      <c r="DL61" s="1204"/>
      <c r="DM61" s="1205"/>
      <c r="DN61" s="1206">
        <v>527</v>
      </c>
      <c r="DO61" s="1207"/>
      <c r="DP61" s="1208">
        <v>520</v>
      </c>
      <c r="DQ61" s="1207"/>
      <c r="DR61" s="1208">
        <v>516</v>
      </c>
      <c r="DS61" s="1207"/>
      <c r="DT61" s="1208">
        <v>511</v>
      </c>
      <c r="DU61" s="1207"/>
      <c r="DV61" s="1208">
        <v>508</v>
      </c>
      <c r="DW61" s="1207"/>
      <c r="DX61" s="1208">
        <v>509</v>
      </c>
      <c r="DY61" s="1207"/>
      <c r="DZ61" s="1208">
        <v>524</v>
      </c>
      <c r="EA61" s="1207"/>
      <c r="EB61" s="1208">
        <v>548</v>
      </c>
      <c r="EC61" s="1207"/>
      <c r="ED61" s="1208">
        <v>754</v>
      </c>
      <c r="EE61" s="1207"/>
      <c r="EF61" s="1208">
        <v>760</v>
      </c>
      <c r="EG61" s="1207"/>
      <c r="EH61" s="1208">
        <v>785</v>
      </c>
      <c r="EI61" s="1207"/>
      <c r="EJ61" s="1208">
        <v>808</v>
      </c>
      <c r="EK61" s="1207"/>
      <c r="EL61" s="1208">
        <v>810</v>
      </c>
      <c r="EM61" s="1207"/>
      <c r="EN61" s="1208">
        <v>799</v>
      </c>
      <c r="EO61" s="1207"/>
      <c r="EP61" s="1208">
        <v>785</v>
      </c>
      <c r="EQ61" s="1207"/>
      <c r="ER61" s="1208">
        <v>775</v>
      </c>
      <c r="ES61" s="1207"/>
      <c r="ET61" s="1208">
        <v>742</v>
      </c>
      <c r="EU61" s="1207"/>
      <c r="EV61" s="1208">
        <v>717</v>
      </c>
      <c r="EW61" s="1207"/>
      <c r="EX61" s="1208">
        <v>558</v>
      </c>
      <c r="EY61" s="1207"/>
      <c r="EZ61" s="1208">
        <v>552</v>
      </c>
      <c r="FA61" s="1207"/>
      <c r="FB61" s="1208">
        <v>548</v>
      </c>
      <c r="FC61" s="1207"/>
      <c r="FD61" s="1208">
        <v>546</v>
      </c>
      <c r="FE61" s="1207"/>
      <c r="FF61" s="1208">
        <v>542</v>
      </c>
      <c r="FG61" s="1207"/>
      <c r="FH61" s="1209">
        <v>534</v>
      </c>
      <c r="FI61" s="563"/>
      <c r="FJ61" s="1202" t="s">
        <v>620</v>
      </c>
      <c r="FK61" s="1203"/>
      <c r="FL61" s="1203"/>
      <c r="FM61" s="1203"/>
      <c r="FN61" s="1203"/>
      <c r="FO61" s="1203"/>
      <c r="FP61" s="1210"/>
      <c r="FQ61" s="1211"/>
      <c r="FR61" s="1212">
        <v>2027</v>
      </c>
      <c r="FS61" s="1213"/>
      <c r="FT61" s="1211"/>
      <c r="FU61" s="1214">
        <v>1931</v>
      </c>
      <c r="FV61" s="1215">
        <v>13</v>
      </c>
      <c r="FW61" s="1216">
        <v>963</v>
      </c>
      <c r="FX61" s="1217">
        <v>13</v>
      </c>
      <c r="FY61" s="1216">
        <v>928</v>
      </c>
      <c r="FZ61" s="1217">
        <v>13</v>
      </c>
      <c r="GA61" s="1216">
        <v>810</v>
      </c>
      <c r="GB61" s="1218" t="s">
        <v>622</v>
      </c>
      <c r="GC61" s="1216">
        <v>963</v>
      </c>
      <c r="GD61" s="1218" t="s">
        <v>619</v>
      </c>
      <c r="GE61" s="1219">
        <v>2027</v>
      </c>
      <c r="GF61" s="688"/>
      <c r="GG61" s="483"/>
      <c r="GH61" s="483"/>
      <c r="GI61" s="483"/>
      <c r="GJ61" s="483"/>
      <c r="GK61" s="486"/>
      <c r="GL61" s="1124">
        <v>18</v>
      </c>
      <c r="GM61" s="1220">
        <v>9</v>
      </c>
      <c r="GN61" s="1102">
        <v>0.47</v>
      </c>
      <c r="GO61" s="1103">
        <v>0</v>
      </c>
      <c r="GP61" s="1103">
        <v>7</v>
      </c>
      <c r="GQ61" s="1104">
        <v>7</v>
      </c>
      <c r="GR61" s="483"/>
      <c r="GS61" s="580"/>
      <c r="GT61" s="750"/>
      <c r="GU61" s="1221" t="s">
        <v>602</v>
      </c>
      <c r="GV61" s="1221"/>
      <c r="GW61" s="1221"/>
      <c r="GX61" s="1221"/>
      <c r="GY61" s="391"/>
      <c r="GZ61" s="529"/>
      <c r="HA61" s="751">
        <v>1.7</v>
      </c>
      <c r="HB61" s="529"/>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391"/>
      <c r="GU62" s="1221" t="s">
        <v>603</v>
      </c>
      <c r="GV62" s="1221"/>
      <c r="GW62" s="1221"/>
      <c r="GX62" s="1221"/>
      <c r="GY62" s="486"/>
      <c r="GZ62" s="529"/>
      <c r="HA62" s="751">
        <v>3.7</v>
      </c>
      <c r="HB62" s="529"/>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348</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127" t="s">
        <v>596</v>
      </c>
      <c r="GK63" s="1127"/>
      <c r="GL63" s="580"/>
      <c r="GM63" s="413"/>
      <c r="GN63" s="580"/>
      <c r="GO63" s="413"/>
      <c r="GP63" s="413"/>
      <c r="GQ63" s="413"/>
      <c r="GR63" s="580"/>
      <c r="GS63" s="530"/>
      <c r="GT63" s="486"/>
      <c r="GU63" s="530" t="s">
        <v>604</v>
      </c>
      <c r="GV63" s="529"/>
      <c r="GW63" s="530"/>
      <c r="GX63" s="529"/>
      <c r="GY63" s="413"/>
      <c r="GZ63" s="529"/>
      <c r="HA63" s="751">
        <v>2</v>
      </c>
      <c r="HB63" s="529"/>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29"/>
      <c r="GK64" s="529" t="s">
        <v>605</v>
      </c>
      <c r="GL64" s="530"/>
      <c r="GM64" s="529"/>
      <c r="GN64" s="530"/>
      <c r="GO64" s="529"/>
      <c r="GP64" s="529"/>
      <c r="GQ64" s="529"/>
      <c r="GR64" s="530"/>
      <c r="GS64" s="409"/>
      <c r="GT64" s="861"/>
      <c r="GU64" s="580" t="s">
        <v>606</v>
      </c>
      <c r="GV64" s="413"/>
      <c r="GW64" s="580"/>
      <c r="GX64" s="413"/>
      <c r="GY64" s="529"/>
      <c r="GZ64" s="391"/>
      <c r="HA64" s="1231">
        <v>0.9</v>
      </c>
      <c r="HB64" s="391"/>
      <c r="HC64" s="562"/>
    </row>
    <row r="65" spans="1:211" ht="20.100000000000001" customHeight="1">
      <c r="A65" s="1163"/>
      <c r="B65" s="1164"/>
      <c r="C65" s="1164"/>
      <c r="D65" s="1232"/>
      <c r="E65" s="1233"/>
      <c r="F65" s="1234"/>
      <c r="G65" s="1235"/>
      <c r="H65" s="1168">
        <v>0</v>
      </c>
      <c r="I65" s="1236"/>
      <c r="J65" s="1237">
        <v>0</v>
      </c>
      <c r="K65" s="1238"/>
      <c r="L65" s="1237">
        <v>0</v>
      </c>
      <c r="M65" s="1238"/>
      <c r="N65" s="1237">
        <v>0</v>
      </c>
      <c r="O65" s="1238"/>
      <c r="P65" s="1237">
        <v>0</v>
      </c>
      <c r="Q65" s="1238"/>
      <c r="R65" s="1237">
        <v>0</v>
      </c>
      <c r="S65" s="1238"/>
      <c r="T65" s="1237">
        <v>0</v>
      </c>
      <c r="U65" s="1238"/>
      <c r="V65" s="1237">
        <v>0</v>
      </c>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v>0</v>
      </c>
      <c r="AS65" s="1238"/>
      <c r="AT65" s="1237">
        <v>0</v>
      </c>
      <c r="AU65" s="1238"/>
      <c r="AV65" s="1237">
        <v>0</v>
      </c>
      <c r="AW65" s="1238"/>
      <c r="AX65" s="1237">
        <v>0</v>
      </c>
      <c r="AY65" s="1238"/>
      <c r="AZ65" s="1237">
        <v>0</v>
      </c>
      <c r="BA65" s="1238"/>
      <c r="BB65" s="561">
        <v>0</v>
      </c>
      <c r="BC65" s="563"/>
      <c r="BD65" s="1163"/>
      <c r="BE65" s="1164"/>
      <c r="BF65" s="1164"/>
      <c r="BG65" s="1232"/>
      <c r="BH65" s="1233"/>
      <c r="BI65" s="1234"/>
      <c r="BJ65" s="1235"/>
      <c r="BK65" s="1168">
        <v>0</v>
      </c>
      <c r="BL65" s="1236"/>
      <c r="BM65" s="1237">
        <v>0</v>
      </c>
      <c r="BN65" s="1238"/>
      <c r="BO65" s="1237">
        <v>0</v>
      </c>
      <c r="BP65" s="1238"/>
      <c r="BQ65" s="1237">
        <v>0</v>
      </c>
      <c r="BR65" s="1238"/>
      <c r="BS65" s="1237">
        <v>0</v>
      </c>
      <c r="BT65" s="1238"/>
      <c r="BU65" s="1237">
        <v>0</v>
      </c>
      <c r="BV65" s="1238"/>
      <c r="BW65" s="1237">
        <v>0</v>
      </c>
      <c r="BX65" s="1238"/>
      <c r="BY65" s="1237">
        <v>0</v>
      </c>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v>0</v>
      </c>
      <c r="CV65" s="1238"/>
      <c r="CW65" s="1237">
        <v>0</v>
      </c>
      <c r="CX65" s="1238"/>
      <c r="CY65" s="1237">
        <v>0</v>
      </c>
      <c r="CZ65" s="1238"/>
      <c r="DA65" s="1237">
        <v>0</v>
      </c>
      <c r="DB65" s="1238"/>
      <c r="DC65" s="1237">
        <v>0</v>
      </c>
      <c r="DD65" s="1238"/>
      <c r="DE65" s="561">
        <v>0</v>
      </c>
      <c r="DF65" s="562"/>
      <c r="DG65" s="1163"/>
      <c r="DH65" s="1164"/>
      <c r="DI65" s="1164"/>
      <c r="DJ65" s="1232"/>
      <c r="DK65" s="1233"/>
      <c r="DL65" s="1234"/>
      <c r="DM65" s="1235"/>
      <c r="DN65" s="1168">
        <v>0</v>
      </c>
      <c r="DO65" s="1236"/>
      <c r="DP65" s="1237">
        <v>0</v>
      </c>
      <c r="DQ65" s="1238"/>
      <c r="DR65" s="1237">
        <v>0</v>
      </c>
      <c r="DS65" s="1238"/>
      <c r="DT65" s="1237">
        <v>0</v>
      </c>
      <c r="DU65" s="1238"/>
      <c r="DV65" s="1237">
        <v>0</v>
      </c>
      <c r="DW65" s="1238"/>
      <c r="DX65" s="1237">
        <v>0</v>
      </c>
      <c r="DY65" s="1238"/>
      <c r="DZ65" s="1237">
        <v>0</v>
      </c>
      <c r="EA65" s="1238"/>
      <c r="EB65" s="1237">
        <v>0</v>
      </c>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v>0</v>
      </c>
      <c r="EY65" s="1238"/>
      <c r="EZ65" s="1237">
        <v>0</v>
      </c>
      <c r="FA65" s="1238"/>
      <c r="FB65" s="1237">
        <v>0</v>
      </c>
      <c r="FC65" s="1238"/>
      <c r="FD65" s="1237">
        <v>0</v>
      </c>
      <c r="FE65" s="1238"/>
      <c r="FF65" s="1237">
        <v>0</v>
      </c>
      <c r="FG65" s="1238"/>
      <c r="FH65" s="561">
        <v>0</v>
      </c>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391"/>
      <c r="GK65" s="529"/>
      <c r="GL65" s="529"/>
      <c r="GM65" s="529"/>
      <c r="GN65" s="529"/>
      <c r="GO65" s="529"/>
      <c r="GP65" s="529"/>
      <c r="GQ65" s="529"/>
      <c r="GR65" s="529"/>
      <c r="GS65" s="409"/>
      <c r="GT65" s="1194"/>
      <c r="GU65" s="529" t="s">
        <v>607</v>
      </c>
      <c r="GV65" s="529"/>
      <c r="GW65" s="529"/>
      <c r="GX65" s="529"/>
      <c r="GY65" s="529"/>
      <c r="GZ65" s="486"/>
      <c r="HA65" s="391"/>
      <c r="HB65" s="486"/>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623</v>
      </c>
      <c r="FK66" s="1203"/>
      <c r="FL66" s="1249"/>
      <c r="FM66" s="1250" t="s">
        <v>624</v>
      </c>
      <c r="FN66" s="1251"/>
      <c r="FO66" s="1204"/>
      <c r="FP66" s="1210">
        <v>5</v>
      </c>
      <c r="FQ66" s="1252">
        <v>1.2</v>
      </c>
      <c r="FR66" s="1253">
        <v>0.1</v>
      </c>
      <c r="FS66" s="1213">
        <v>5</v>
      </c>
      <c r="FT66" s="1252">
        <v>0.8</v>
      </c>
      <c r="FU66" s="1254">
        <v>0.1</v>
      </c>
      <c r="FV66" s="1255"/>
      <c r="FW66" s="1256"/>
      <c r="FX66" s="1256"/>
      <c r="FY66" s="1256"/>
      <c r="FZ66" s="1256"/>
      <c r="GA66" s="1256"/>
      <c r="GB66" s="1256"/>
      <c r="GC66" s="1257"/>
      <c r="GD66" s="1213"/>
      <c r="GE66" s="1258">
        <v>0.1</v>
      </c>
      <c r="GF66" s="688"/>
      <c r="GG66" s="391"/>
      <c r="GH66" s="391"/>
      <c r="GI66" s="391"/>
      <c r="GJ66" s="483"/>
      <c r="GK66" s="529"/>
      <c r="GL66" s="530"/>
      <c r="GM66" s="529"/>
      <c r="GN66" s="530"/>
      <c r="GO66" s="529"/>
      <c r="GP66" s="529"/>
      <c r="GQ66" s="529"/>
      <c r="GR66" s="530"/>
      <c r="GT66" s="1194"/>
      <c r="GU66" s="391" t="s">
        <v>608</v>
      </c>
      <c r="GV66" s="391"/>
      <c r="GW66" s="391"/>
      <c r="GX66" s="391"/>
      <c r="GY66" s="391"/>
      <c r="GZ66" s="413"/>
      <c r="HA66" s="529">
        <v>626</v>
      </c>
      <c r="HB66" s="409" t="s">
        <v>598</v>
      </c>
      <c r="HC66" s="406"/>
    </row>
    <row r="67" spans="1:211" ht="20.100000000000001" customHeight="1" thickBot="1">
      <c r="BC67" s="389"/>
      <c r="DF67" s="389"/>
      <c r="FI67" s="389"/>
      <c r="GD67" s="688"/>
      <c r="GE67" s="799"/>
      <c r="GF67" s="688"/>
      <c r="GG67" s="483"/>
      <c r="GH67" s="483"/>
      <c r="GI67" s="483"/>
      <c r="GJ67" s="391"/>
      <c r="GT67" s="689"/>
      <c r="GU67" s="529"/>
      <c r="GV67" s="529"/>
      <c r="GW67" s="529"/>
      <c r="GX67" s="529"/>
      <c r="GY67" s="529"/>
      <c r="HA67" s="530"/>
      <c r="HC67" s="406"/>
    </row>
    <row r="68" spans="1:211" ht="20.100000000000001" customHeight="1">
      <c r="A68" s="1260" t="s">
        <v>360</v>
      </c>
      <c r="B68" s="1261"/>
      <c r="C68" s="1261"/>
      <c r="D68" s="1261"/>
      <c r="E68" s="825"/>
      <c r="F68" s="825"/>
      <c r="G68" s="1262"/>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f>$G68</f>
        <v>0</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f>$G68</f>
        <v>0</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391"/>
      <c r="GU68" s="1118" t="s">
        <v>609</v>
      </c>
      <c r="GV68" s="1118"/>
      <c r="GW68" s="1118"/>
      <c r="GX68" s="1118"/>
      <c r="GY68" s="1119"/>
      <c r="GZ68" s="1272"/>
      <c r="HA68" s="1272">
        <v>626</v>
      </c>
      <c r="HB68" s="1051" t="s">
        <v>598</v>
      </c>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22">
    <mergeCell ref="DM68:FH68"/>
    <mergeCell ref="FJ68:FM68"/>
    <mergeCell ref="FP68:FU68"/>
    <mergeCell ref="FV68:GC68"/>
    <mergeCell ref="GD68:GE68"/>
    <mergeCell ref="GU68:GX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GU61:GX61"/>
    <mergeCell ref="GU62:GX62"/>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646</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24時間</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24時間</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513</v>
      </c>
      <c r="GZ1" s="376" t="s">
        <v>364</v>
      </c>
      <c r="HA1" s="376"/>
      <c r="HB1" s="379"/>
      <c r="HC1" s="1276" t="s">
        <v>514</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649</v>
      </c>
      <c r="B3" s="394">
        <v>101</v>
      </c>
      <c r="C3" s="395" t="s">
        <v>650</v>
      </c>
      <c r="D3" s="396" t="s">
        <v>651</v>
      </c>
      <c r="E3" s="396"/>
      <c r="F3" s="396"/>
      <c r="G3" s="396"/>
      <c r="H3" s="396"/>
      <c r="I3" s="396"/>
      <c r="J3" s="397"/>
      <c r="K3" s="398" t="s">
        <v>381</v>
      </c>
      <c r="L3" s="399"/>
      <c r="M3" s="398" t="s">
        <v>377</v>
      </c>
      <c r="N3" s="399"/>
      <c r="O3" s="400" t="s">
        <v>382</v>
      </c>
      <c r="P3" s="401"/>
      <c r="Q3" s="401"/>
      <c r="R3" s="401"/>
      <c r="S3" s="401"/>
      <c r="T3" s="401"/>
      <c r="U3" s="401"/>
      <c r="V3" s="402"/>
      <c r="W3" s="403" t="s">
        <v>383</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384</v>
      </c>
      <c r="BE3" s="394">
        <v>101</v>
      </c>
      <c r="BF3" s="395" t="s">
        <v>373</v>
      </c>
      <c r="BG3" s="407" t="s">
        <v>644</v>
      </c>
      <c r="BH3" s="407"/>
      <c r="BI3" s="407"/>
      <c r="BJ3" s="407"/>
      <c r="BK3" s="407"/>
      <c r="BL3" s="407"/>
      <c r="BM3" s="408"/>
      <c r="BN3" s="398" t="s">
        <v>376</v>
      </c>
      <c r="BO3" s="399"/>
      <c r="BP3" s="398" t="s">
        <v>377</v>
      </c>
      <c r="BQ3" s="399"/>
      <c r="BR3" s="400" t="s">
        <v>382</v>
      </c>
      <c r="BS3" s="401"/>
      <c r="BT3" s="401"/>
      <c r="BU3" s="401"/>
      <c r="BV3" s="401"/>
      <c r="BW3" s="401"/>
      <c r="BX3" s="401"/>
      <c r="BY3" s="402"/>
      <c r="BZ3" s="403" t="s">
        <v>383</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384</v>
      </c>
      <c r="DH3" s="394">
        <v>101</v>
      </c>
      <c r="DI3" s="395" t="s">
        <v>373</v>
      </c>
      <c r="DJ3" s="407" t="s">
        <v>644</v>
      </c>
      <c r="DK3" s="407"/>
      <c r="DL3" s="407"/>
      <c r="DM3" s="407"/>
      <c r="DN3" s="407"/>
      <c r="DO3" s="407"/>
      <c r="DP3" s="408"/>
      <c r="DQ3" s="398" t="s">
        <v>376</v>
      </c>
      <c r="DR3" s="399"/>
      <c r="DS3" s="398" t="s">
        <v>377</v>
      </c>
      <c r="DT3" s="399"/>
      <c r="DU3" s="400" t="s">
        <v>382</v>
      </c>
      <c r="DV3" s="401"/>
      <c r="DW3" s="401"/>
      <c r="DX3" s="401"/>
      <c r="DY3" s="401"/>
      <c r="DZ3" s="401"/>
      <c r="EA3" s="401"/>
      <c r="EB3" s="402"/>
      <c r="EC3" s="403" t="s">
        <v>383</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384</v>
      </c>
      <c r="FK3" s="394">
        <v>101</v>
      </c>
      <c r="FL3" s="395" t="s">
        <v>373</v>
      </c>
      <c r="FM3" s="407" t="s">
        <v>644</v>
      </c>
      <c r="FN3" s="407"/>
      <c r="FO3" s="407"/>
      <c r="FP3" s="407"/>
      <c r="FQ3" s="407"/>
      <c r="FR3" s="407"/>
      <c r="FS3" s="408"/>
      <c r="FT3" s="398" t="s">
        <v>376</v>
      </c>
      <c r="FU3" s="399"/>
      <c r="FV3" s="398" t="s">
        <v>377</v>
      </c>
      <c r="FW3" s="399"/>
      <c r="FX3" s="400" t="s">
        <v>1092</v>
      </c>
      <c r="FY3" s="401"/>
      <c r="FZ3" s="401"/>
      <c r="GA3" s="401"/>
      <c r="GB3" s="401"/>
      <c r="GC3" s="401"/>
      <c r="GD3" s="401"/>
      <c r="GE3" s="402"/>
      <c r="GF3" s="403" t="s">
        <v>383</v>
      </c>
      <c r="GG3" s="404"/>
      <c r="GH3" s="405"/>
      <c r="GI3" s="409"/>
      <c r="GJ3" s="410" t="s">
        <v>683</v>
      </c>
      <c r="GK3" s="411"/>
      <c r="GL3" s="411"/>
      <c r="GM3" s="411"/>
      <c r="GN3" s="411"/>
      <c r="GO3" s="411"/>
      <c r="GP3" s="411"/>
      <c r="GQ3" s="411"/>
      <c r="GR3" s="412"/>
      <c r="GS3" s="413"/>
      <c r="GT3" s="410" t="s">
        <v>684</v>
      </c>
      <c r="GU3" s="411"/>
      <c r="GV3" s="411"/>
      <c r="GW3" s="411"/>
      <c r="GX3" s="411"/>
      <c r="GY3" s="411"/>
      <c r="GZ3" s="411"/>
      <c r="HA3" s="411"/>
      <c r="HB3" s="412"/>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653</v>
      </c>
      <c r="P4" s="425"/>
      <c r="Q4" s="426" t="s">
        <v>388</v>
      </c>
      <c r="R4" s="425"/>
      <c r="S4" s="427" t="s">
        <v>389</v>
      </c>
      <c r="T4" s="428"/>
      <c r="U4" s="429" t="s">
        <v>390</v>
      </c>
      <c r="V4" s="430"/>
      <c r="W4" s="431" t="s">
        <v>654</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653</v>
      </c>
      <c r="BS4" s="425"/>
      <c r="BT4" s="426" t="s">
        <v>391</v>
      </c>
      <c r="BU4" s="425"/>
      <c r="BV4" s="427" t="s">
        <v>389</v>
      </c>
      <c r="BW4" s="428"/>
      <c r="BX4" s="429" t="s">
        <v>393</v>
      </c>
      <c r="BY4" s="430"/>
      <c r="BZ4" s="431" t="s">
        <v>654</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653</v>
      </c>
      <c r="DV4" s="425"/>
      <c r="DW4" s="426" t="s">
        <v>391</v>
      </c>
      <c r="DX4" s="425"/>
      <c r="DY4" s="427" t="s">
        <v>392</v>
      </c>
      <c r="DZ4" s="428"/>
      <c r="EA4" s="429" t="s">
        <v>390</v>
      </c>
      <c r="EB4" s="430"/>
      <c r="EC4" s="431" t="s">
        <v>655</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653</v>
      </c>
      <c r="FY4" s="425"/>
      <c r="FZ4" s="426" t="s">
        <v>388</v>
      </c>
      <c r="GA4" s="425"/>
      <c r="GB4" s="427" t="s">
        <v>389</v>
      </c>
      <c r="GC4" s="428"/>
      <c r="GD4" s="429" t="s">
        <v>390</v>
      </c>
      <c r="GE4" s="430"/>
      <c r="GF4" s="431" t="s">
        <v>645</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c r="MO4" s="392" t="s">
        <v>645</v>
      </c>
    </row>
    <row r="5" spans="1:353" ht="24.95" customHeight="1" thickBot="1">
      <c r="A5" s="438" t="s">
        <v>395</v>
      </c>
      <c r="B5" s="439">
        <v>1</v>
      </c>
      <c r="C5" s="440" t="s">
        <v>656</v>
      </c>
      <c r="D5" s="441">
        <v>194.8</v>
      </c>
      <c r="E5" s="442" t="s">
        <v>398</v>
      </c>
      <c r="F5" s="443">
        <v>3.5</v>
      </c>
      <c r="G5" s="444" t="s">
        <v>404</v>
      </c>
      <c r="H5" s="445"/>
      <c r="I5" s="446">
        <v>681.8</v>
      </c>
      <c r="J5" s="447"/>
      <c r="K5" s="448">
        <v>390</v>
      </c>
      <c r="L5" s="449"/>
      <c r="M5" s="448">
        <v>210</v>
      </c>
      <c r="N5" s="449"/>
      <c r="O5" s="450" t="s">
        <v>657</v>
      </c>
      <c r="P5" s="451"/>
      <c r="Q5" s="452" t="s">
        <v>658</v>
      </c>
      <c r="R5" s="453"/>
      <c r="S5" s="454" t="s">
        <v>659</v>
      </c>
      <c r="T5" s="455"/>
      <c r="U5" s="456" t="s">
        <v>660</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395</v>
      </c>
      <c r="BE5" s="439">
        <v>1</v>
      </c>
      <c r="BF5" s="440" t="s">
        <v>278</v>
      </c>
      <c r="BG5" s="441">
        <v>194.8</v>
      </c>
      <c r="BH5" s="442" t="s">
        <v>398</v>
      </c>
      <c r="BI5" s="443">
        <v>3.5</v>
      </c>
      <c r="BJ5" s="444" t="s">
        <v>399</v>
      </c>
      <c r="BK5" s="445"/>
      <c r="BL5" s="446">
        <v>681.8</v>
      </c>
      <c r="BM5" s="447"/>
      <c r="BN5" s="448">
        <v>390</v>
      </c>
      <c r="BO5" s="449"/>
      <c r="BP5" s="448">
        <v>210</v>
      </c>
      <c r="BQ5" s="449"/>
      <c r="BR5" s="450" t="s">
        <v>661</v>
      </c>
      <c r="BS5" s="451"/>
      <c r="BT5" s="452" t="s">
        <v>658</v>
      </c>
      <c r="BU5" s="453"/>
      <c r="BV5" s="454" t="s">
        <v>662</v>
      </c>
      <c r="BW5" s="455"/>
      <c r="BX5" s="456" t="s">
        <v>660</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395</v>
      </c>
      <c r="DH5" s="439">
        <v>1</v>
      </c>
      <c r="DI5" s="440" t="s">
        <v>278</v>
      </c>
      <c r="DJ5" s="441">
        <v>194.8</v>
      </c>
      <c r="DK5" s="442" t="s">
        <v>398</v>
      </c>
      <c r="DL5" s="443">
        <v>3.5</v>
      </c>
      <c r="DM5" s="444" t="s">
        <v>404</v>
      </c>
      <c r="DN5" s="445"/>
      <c r="DO5" s="446">
        <v>681.8</v>
      </c>
      <c r="DP5" s="447"/>
      <c r="DQ5" s="448">
        <v>390</v>
      </c>
      <c r="DR5" s="449"/>
      <c r="DS5" s="448">
        <v>210</v>
      </c>
      <c r="DT5" s="449"/>
      <c r="DU5" s="450" t="s">
        <v>657</v>
      </c>
      <c r="DV5" s="451"/>
      <c r="DW5" s="452" t="s">
        <v>658</v>
      </c>
      <c r="DX5" s="453"/>
      <c r="DY5" s="454" t="s">
        <v>659</v>
      </c>
      <c r="DZ5" s="455"/>
      <c r="EA5" s="456" t="s">
        <v>663</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408</v>
      </c>
      <c r="FK5" s="439">
        <v>1</v>
      </c>
      <c r="FL5" s="440" t="s">
        <v>278</v>
      </c>
      <c r="FM5" s="441">
        <v>194.8</v>
      </c>
      <c r="FN5" s="442" t="s">
        <v>410</v>
      </c>
      <c r="FO5" s="443">
        <v>3.5</v>
      </c>
      <c r="FP5" s="444" t="s">
        <v>404</v>
      </c>
      <c r="FQ5" s="445"/>
      <c r="FR5" s="446">
        <v>681.8</v>
      </c>
      <c r="FS5" s="447"/>
      <c r="FT5" s="448">
        <v>390</v>
      </c>
      <c r="FU5" s="449"/>
      <c r="FV5" s="448">
        <v>210</v>
      </c>
      <c r="FW5" s="449"/>
      <c r="FX5" s="1430" t="s">
        <v>1088</v>
      </c>
      <c r="FY5" s="451"/>
      <c r="FZ5" s="1431" t="s">
        <v>1089</v>
      </c>
      <c r="GA5" s="453"/>
      <c r="GB5" s="1432" t="s">
        <v>1090</v>
      </c>
      <c r="GC5" s="455"/>
      <c r="GD5" s="1433" t="s">
        <v>1091</v>
      </c>
      <c r="GE5" s="457"/>
      <c r="GF5" s="458"/>
      <c r="GG5" s="459"/>
      <c r="GH5" s="460"/>
      <c r="GI5" s="462"/>
      <c r="GJ5" s="409"/>
      <c r="GK5" s="463" t="s">
        <v>685</v>
      </c>
      <c r="GL5" s="463"/>
      <c r="GM5" s="463"/>
      <c r="GN5" s="409" t="s">
        <v>686</v>
      </c>
      <c r="GO5" s="464"/>
      <c r="GP5" s="464"/>
      <c r="GQ5" s="464"/>
      <c r="GR5" s="409"/>
      <c r="GS5" s="409"/>
      <c r="GT5" s="413"/>
      <c r="GU5" s="463" t="s">
        <v>687</v>
      </c>
      <c r="GV5" s="463"/>
      <c r="GW5" s="463"/>
      <c r="GX5" s="409" t="s">
        <v>518</v>
      </c>
      <c r="GY5" s="464"/>
      <c r="GZ5" s="464"/>
      <c r="HA5" s="464"/>
      <c r="HB5" s="409"/>
      <c r="HC5" s="465"/>
      <c r="HD5" s="437"/>
      <c r="HE5" s="437"/>
      <c r="HF5" s="504"/>
      <c r="HG5" s="386"/>
    </row>
    <row r="6" spans="1:353" ht="20.100000000000001" customHeight="1" thickBot="1">
      <c r="A6" s="466" t="s">
        <v>664</v>
      </c>
      <c r="B6" s="467"/>
      <c r="C6" s="468" t="s">
        <v>416</v>
      </c>
      <c r="D6" s="468"/>
      <c r="E6" s="468"/>
      <c r="F6" s="469">
        <v>0</v>
      </c>
      <c r="G6" s="469"/>
      <c r="H6" s="468" t="s">
        <v>417</v>
      </c>
      <c r="I6" s="468"/>
      <c r="J6" s="468"/>
      <c r="K6" s="468"/>
      <c r="L6" s="468"/>
      <c r="M6" s="470">
        <v>0</v>
      </c>
      <c r="N6" s="470"/>
      <c r="O6" s="471"/>
      <c r="P6" s="472"/>
      <c r="Q6" s="472" t="s">
        <v>665</v>
      </c>
      <c r="R6" s="473">
        <v>0</v>
      </c>
      <c r="S6" s="473"/>
      <c r="T6" s="474"/>
      <c r="U6" s="475" t="s">
        <v>419</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666</v>
      </c>
      <c r="BC6" s="479"/>
      <c r="BD6" s="466" t="s">
        <v>664</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34</v>
      </c>
      <c r="DF6" s="481"/>
      <c r="DG6" s="466" t="s">
        <v>415</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19</v>
      </c>
      <c r="FI6" s="481"/>
      <c r="FJ6" s="466" t="s">
        <v>424</v>
      </c>
      <c r="FK6" s="467"/>
      <c r="FL6" s="468" t="s">
        <v>416</v>
      </c>
      <c r="FM6" s="468"/>
      <c r="FN6" s="468"/>
      <c r="FO6" s="469">
        <v>0</v>
      </c>
      <c r="FP6" s="469"/>
      <c r="FQ6" s="468" t="s">
        <v>417</v>
      </c>
      <c r="FR6" s="468"/>
      <c r="FS6" s="468"/>
      <c r="FT6" s="468"/>
      <c r="FU6" s="468"/>
      <c r="FV6" s="470">
        <v>0</v>
      </c>
      <c r="FW6" s="470"/>
      <c r="FX6" s="471"/>
      <c r="FY6" s="472"/>
      <c r="FZ6" s="472" t="s">
        <v>667</v>
      </c>
      <c r="GA6" s="473">
        <v>0</v>
      </c>
      <c r="GB6" s="473"/>
      <c r="GC6" s="474"/>
      <c r="GD6" s="475" t="s">
        <v>668</v>
      </c>
      <c r="GE6" s="476">
        <v>0</v>
      </c>
      <c r="GF6" s="476"/>
      <c r="GG6" s="477"/>
      <c r="GH6" s="472"/>
      <c r="GI6" s="472"/>
      <c r="GJ6" s="483"/>
      <c r="GK6" s="484" t="s">
        <v>688</v>
      </c>
      <c r="GL6" s="484"/>
      <c r="GM6" s="484"/>
      <c r="GN6" s="485">
        <v>2</v>
      </c>
      <c r="GO6" s="486"/>
      <c r="GP6" s="486"/>
      <c r="GQ6" s="486"/>
      <c r="GR6" s="483"/>
      <c r="GS6" s="483"/>
      <c r="GT6" s="413"/>
      <c r="GU6" s="484" t="s">
        <v>522</v>
      </c>
      <c r="GV6" s="484"/>
      <c r="GW6" s="484"/>
      <c r="GX6" s="485">
        <v>2</v>
      </c>
      <c r="GY6" s="413"/>
      <c r="GZ6" s="413"/>
      <c r="HA6" s="486"/>
      <c r="HB6" s="486"/>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469</v>
      </c>
      <c r="GK8" s="528"/>
      <c r="GL8" s="529"/>
      <c r="GM8" s="530"/>
      <c r="GN8" s="529"/>
      <c r="GO8" s="530"/>
      <c r="GP8" s="529"/>
      <c r="GQ8" s="529"/>
      <c r="GR8" s="529"/>
      <c r="GS8" s="529"/>
      <c r="GT8" s="528" t="s">
        <v>469</v>
      </c>
      <c r="GU8" s="528"/>
      <c r="GV8" s="413"/>
      <c r="GW8" s="483"/>
      <c r="GX8" s="486"/>
      <c r="GY8" s="483"/>
      <c r="GZ8" s="486"/>
      <c r="HA8" s="530"/>
      <c r="HB8" s="530"/>
      <c r="HC8" s="530"/>
      <c r="HD8" s="437"/>
      <c r="HE8" s="437"/>
      <c r="HF8" s="1275"/>
      <c r="HG8" s="1275"/>
    </row>
    <row r="9" spans="1:353" ht="22.5" customHeight="1">
      <c r="A9" s="532" t="s">
        <v>289</v>
      </c>
      <c r="B9" s="533" t="s">
        <v>290</v>
      </c>
      <c r="C9" s="534" t="s">
        <v>291</v>
      </c>
      <c r="D9" s="534" t="s">
        <v>625</v>
      </c>
      <c r="E9" s="535" t="s">
        <v>626</v>
      </c>
      <c r="F9" s="536" t="s">
        <v>294</v>
      </c>
      <c r="G9" s="537" t="s">
        <v>627</v>
      </c>
      <c r="H9" s="538" t="s">
        <v>628</v>
      </c>
      <c r="I9" s="539" t="s">
        <v>297</v>
      </c>
      <c r="J9" s="538" t="s">
        <v>628</v>
      </c>
      <c r="K9" s="539" t="s">
        <v>297</v>
      </c>
      <c r="L9" s="538" t="s">
        <v>628</v>
      </c>
      <c r="M9" s="539" t="s">
        <v>297</v>
      </c>
      <c r="N9" s="538" t="s">
        <v>628</v>
      </c>
      <c r="O9" s="539" t="s">
        <v>297</v>
      </c>
      <c r="P9" s="538" t="s">
        <v>628</v>
      </c>
      <c r="Q9" s="539" t="s">
        <v>297</v>
      </c>
      <c r="R9" s="538" t="s">
        <v>628</v>
      </c>
      <c r="S9" s="539" t="s">
        <v>297</v>
      </c>
      <c r="T9" s="538" t="s">
        <v>628</v>
      </c>
      <c r="U9" s="539" t="s">
        <v>297</v>
      </c>
      <c r="V9" s="538" t="s">
        <v>628</v>
      </c>
      <c r="W9" s="539" t="s">
        <v>297</v>
      </c>
      <c r="X9" s="538" t="s">
        <v>628</v>
      </c>
      <c r="Y9" s="539" t="s">
        <v>297</v>
      </c>
      <c r="Z9" s="538" t="s">
        <v>628</v>
      </c>
      <c r="AA9" s="539" t="s">
        <v>297</v>
      </c>
      <c r="AB9" s="538" t="s">
        <v>628</v>
      </c>
      <c r="AC9" s="539" t="s">
        <v>297</v>
      </c>
      <c r="AD9" s="538" t="s">
        <v>628</v>
      </c>
      <c r="AE9" s="539" t="s">
        <v>297</v>
      </c>
      <c r="AF9" s="538" t="s">
        <v>628</v>
      </c>
      <c r="AG9" s="539" t="s">
        <v>297</v>
      </c>
      <c r="AH9" s="538" t="s">
        <v>628</v>
      </c>
      <c r="AI9" s="539" t="s">
        <v>297</v>
      </c>
      <c r="AJ9" s="538" t="s">
        <v>628</v>
      </c>
      <c r="AK9" s="539" t="s">
        <v>297</v>
      </c>
      <c r="AL9" s="538" t="s">
        <v>628</v>
      </c>
      <c r="AM9" s="539" t="s">
        <v>297</v>
      </c>
      <c r="AN9" s="538" t="s">
        <v>628</v>
      </c>
      <c r="AO9" s="539" t="s">
        <v>297</v>
      </c>
      <c r="AP9" s="538" t="s">
        <v>628</v>
      </c>
      <c r="AQ9" s="539" t="s">
        <v>297</v>
      </c>
      <c r="AR9" s="538" t="s">
        <v>628</v>
      </c>
      <c r="AS9" s="539" t="s">
        <v>297</v>
      </c>
      <c r="AT9" s="538" t="s">
        <v>628</v>
      </c>
      <c r="AU9" s="539" t="s">
        <v>297</v>
      </c>
      <c r="AV9" s="538" t="s">
        <v>628</v>
      </c>
      <c r="AW9" s="539" t="s">
        <v>297</v>
      </c>
      <c r="AX9" s="538" t="s">
        <v>628</v>
      </c>
      <c r="AY9" s="539" t="s">
        <v>297</v>
      </c>
      <c r="AZ9" s="538" t="s">
        <v>628</v>
      </c>
      <c r="BA9" s="539" t="s">
        <v>297</v>
      </c>
      <c r="BB9" s="540" t="s">
        <v>298</v>
      </c>
      <c r="BC9" s="503"/>
      <c r="BD9" s="532" t="s">
        <v>289</v>
      </c>
      <c r="BE9" s="533" t="s">
        <v>290</v>
      </c>
      <c r="BF9" s="534" t="s">
        <v>291</v>
      </c>
      <c r="BG9" s="534" t="s">
        <v>625</v>
      </c>
      <c r="BH9" s="535" t="s">
        <v>626</v>
      </c>
      <c r="BI9" s="536" t="s">
        <v>294</v>
      </c>
      <c r="BJ9" s="537" t="s">
        <v>627</v>
      </c>
      <c r="BK9" s="538" t="s">
        <v>628</v>
      </c>
      <c r="BL9" s="539" t="s">
        <v>297</v>
      </c>
      <c r="BM9" s="538" t="s">
        <v>628</v>
      </c>
      <c r="BN9" s="539" t="s">
        <v>297</v>
      </c>
      <c r="BO9" s="538" t="s">
        <v>628</v>
      </c>
      <c r="BP9" s="539" t="s">
        <v>297</v>
      </c>
      <c r="BQ9" s="538" t="s">
        <v>628</v>
      </c>
      <c r="BR9" s="539" t="s">
        <v>297</v>
      </c>
      <c r="BS9" s="538" t="s">
        <v>628</v>
      </c>
      <c r="BT9" s="539" t="s">
        <v>297</v>
      </c>
      <c r="BU9" s="538" t="s">
        <v>628</v>
      </c>
      <c r="BV9" s="539" t="s">
        <v>297</v>
      </c>
      <c r="BW9" s="538" t="s">
        <v>628</v>
      </c>
      <c r="BX9" s="539" t="s">
        <v>297</v>
      </c>
      <c r="BY9" s="538" t="s">
        <v>628</v>
      </c>
      <c r="BZ9" s="539" t="s">
        <v>297</v>
      </c>
      <c r="CA9" s="538" t="s">
        <v>628</v>
      </c>
      <c r="CB9" s="539" t="s">
        <v>297</v>
      </c>
      <c r="CC9" s="538" t="s">
        <v>628</v>
      </c>
      <c r="CD9" s="539" t="s">
        <v>297</v>
      </c>
      <c r="CE9" s="538" t="s">
        <v>628</v>
      </c>
      <c r="CF9" s="539" t="s">
        <v>297</v>
      </c>
      <c r="CG9" s="538" t="s">
        <v>628</v>
      </c>
      <c r="CH9" s="539" t="s">
        <v>297</v>
      </c>
      <c r="CI9" s="538" t="s">
        <v>628</v>
      </c>
      <c r="CJ9" s="539" t="s">
        <v>297</v>
      </c>
      <c r="CK9" s="538" t="s">
        <v>628</v>
      </c>
      <c r="CL9" s="539" t="s">
        <v>297</v>
      </c>
      <c r="CM9" s="538" t="s">
        <v>628</v>
      </c>
      <c r="CN9" s="539" t="s">
        <v>297</v>
      </c>
      <c r="CO9" s="538" t="s">
        <v>628</v>
      </c>
      <c r="CP9" s="539" t="s">
        <v>297</v>
      </c>
      <c r="CQ9" s="538" t="s">
        <v>628</v>
      </c>
      <c r="CR9" s="539" t="s">
        <v>297</v>
      </c>
      <c r="CS9" s="538" t="s">
        <v>628</v>
      </c>
      <c r="CT9" s="539" t="s">
        <v>297</v>
      </c>
      <c r="CU9" s="538" t="s">
        <v>628</v>
      </c>
      <c r="CV9" s="539" t="s">
        <v>297</v>
      </c>
      <c r="CW9" s="538" t="s">
        <v>628</v>
      </c>
      <c r="CX9" s="539" t="s">
        <v>297</v>
      </c>
      <c r="CY9" s="538" t="s">
        <v>628</v>
      </c>
      <c r="CZ9" s="539" t="s">
        <v>297</v>
      </c>
      <c r="DA9" s="538" t="s">
        <v>628</v>
      </c>
      <c r="DB9" s="539" t="s">
        <v>297</v>
      </c>
      <c r="DC9" s="538" t="s">
        <v>628</v>
      </c>
      <c r="DD9" s="539" t="s">
        <v>297</v>
      </c>
      <c r="DE9" s="540" t="s">
        <v>298</v>
      </c>
      <c r="DF9" s="503"/>
      <c r="DG9" s="532" t="s">
        <v>289</v>
      </c>
      <c r="DH9" s="533" t="s">
        <v>290</v>
      </c>
      <c r="DI9" s="534" t="s">
        <v>291</v>
      </c>
      <c r="DJ9" s="534" t="s">
        <v>625</v>
      </c>
      <c r="DK9" s="535" t="s">
        <v>626</v>
      </c>
      <c r="DL9" s="536" t="s">
        <v>294</v>
      </c>
      <c r="DM9" s="537" t="s">
        <v>627</v>
      </c>
      <c r="DN9" s="538" t="s">
        <v>628</v>
      </c>
      <c r="DO9" s="539" t="s">
        <v>297</v>
      </c>
      <c r="DP9" s="538" t="s">
        <v>628</v>
      </c>
      <c r="DQ9" s="539" t="s">
        <v>297</v>
      </c>
      <c r="DR9" s="538" t="s">
        <v>628</v>
      </c>
      <c r="DS9" s="539" t="s">
        <v>297</v>
      </c>
      <c r="DT9" s="538" t="s">
        <v>628</v>
      </c>
      <c r="DU9" s="539" t="s">
        <v>297</v>
      </c>
      <c r="DV9" s="538" t="s">
        <v>628</v>
      </c>
      <c r="DW9" s="539" t="s">
        <v>297</v>
      </c>
      <c r="DX9" s="538" t="s">
        <v>628</v>
      </c>
      <c r="DY9" s="539" t="s">
        <v>297</v>
      </c>
      <c r="DZ9" s="538" t="s">
        <v>628</v>
      </c>
      <c r="EA9" s="539" t="s">
        <v>297</v>
      </c>
      <c r="EB9" s="538" t="s">
        <v>628</v>
      </c>
      <c r="EC9" s="539" t="s">
        <v>297</v>
      </c>
      <c r="ED9" s="538" t="s">
        <v>628</v>
      </c>
      <c r="EE9" s="539" t="s">
        <v>297</v>
      </c>
      <c r="EF9" s="538" t="s">
        <v>628</v>
      </c>
      <c r="EG9" s="539" t="s">
        <v>297</v>
      </c>
      <c r="EH9" s="538" t="s">
        <v>628</v>
      </c>
      <c r="EI9" s="539" t="s">
        <v>297</v>
      </c>
      <c r="EJ9" s="538" t="s">
        <v>628</v>
      </c>
      <c r="EK9" s="539" t="s">
        <v>297</v>
      </c>
      <c r="EL9" s="538" t="s">
        <v>628</v>
      </c>
      <c r="EM9" s="539" t="s">
        <v>297</v>
      </c>
      <c r="EN9" s="538" t="s">
        <v>628</v>
      </c>
      <c r="EO9" s="539" t="s">
        <v>297</v>
      </c>
      <c r="EP9" s="538" t="s">
        <v>628</v>
      </c>
      <c r="EQ9" s="539" t="s">
        <v>297</v>
      </c>
      <c r="ER9" s="538" t="s">
        <v>628</v>
      </c>
      <c r="ES9" s="539" t="s">
        <v>297</v>
      </c>
      <c r="ET9" s="538" t="s">
        <v>628</v>
      </c>
      <c r="EU9" s="539" t="s">
        <v>297</v>
      </c>
      <c r="EV9" s="538" t="s">
        <v>628</v>
      </c>
      <c r="EW9" s="539" t="s">
        <v>297</v>
      </c>
      <c r="EX9" s="538" t="s">
        <v>628</v>
      </c>
      <c r="EY9" s="539" t="s">
        <v>297</v>
      </c>
      <c r="EZ9" s="538" t="s">
        <v>628</v>
      </c>
      <c r="FA9" s="539" t="s">
        <v>297</v>
      </c>
      <c r="FB9" s="538" t="s">
        <v>628</v>
      </c>
      <c r="FC9" s="539" t="s">
        <v>297</v>
      </c>
      <c r="FD9" s="538" t="s">
        <v>628</v>
      </c>
      <c r="FE9" s="539" t="s">
        <v>297</v>
      </c>
      <c r="FF9" s="538" t="s">
        <v>628</v>
      </c>
      <c r="FG9" s="539" t="s">
        <v>297</v>
      </c>
      <c r="FH9" s="540" t="s">
        <v>298</v>
      </c>
      <c r="FI9" s="541"/>
      <c r="FJ9" s="542" t="s">
        <v>289</v>
      </c>
      <c r="FK9" s="533" t="s">
        <v>290</v>
      </c>
      <c r="FL9" s="534" t="s">
        <v>291</v>
      </c>
      <c r="FM9" s="534" t="s">
        <v>625</v>
      </c>
      <c r="FN9" s="535" t="s">
        <v>626</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689</v>
      </c>
      <c r="GL9" s="529"/>
      <c r="GM9" s="530"/>
      <c r="GN9" s="529"/>
      <c r="GO9" s="549">
        <v>0.92</v>
      </c>
      <c r="GP9" s="529"/>
      <c r="GQ9" s="529"/>
      <c r="GR9" s="529"/>
      <c r="GS9" s="529"/>
      <c r="GT9" s="550"/>
      <c r="GU9" s="483" t="s">
        <v>690</v>
      </c>
      <c r="GV9" s="413"/>
      <c r="GW9" s="483"/>
      <c r="GX9" s="551">
        <v>1</v>
      </c>
      <c r="GY9" s="483"/>
      <c r="GZ9" s="486"/>
      <c r="HA9" s="530"/>
      <c r="HB9" s="530"/>
      <c r="HC9" s="530"/>
      <c r="HD9" s="437"/>
      <c r="HE9" s="437"/>
      <c r="HF9" s="1279"/>
      <c r="HG9" s="1279"/>
    </row>
    <row r="10" spans="1:353" ht="20.100000000000001" customHeight="1">
      <c r="A10" s="552"/>
      <c r="B10" s="553" t="s">
        <v>223</v>
      </c>
      <c r="C10" s="554" t="s">
        <v>72</v>
      </c>
      <c r="D10" s="555">
        <f>ROUND(8.1*0.85,2)</f>
        <v>6.89</v>
      </c>
      <c r="E10" s="553">
        <v>0.97</v>
      </c>
      <c r="F10" s="554"/>
      <c r="G10" s="556">
        <v>0</v>
      </c>
      <c r="H10" s="557">
        <f>ROUND(ROUND(8.1*0.85,2)*0.97*0,0)</f>
        <v>0</v>
      </c>
      <c r="I10" s="558">
        <v>0</v>
      </c>
      <c r="J10" s="559">
        <f>ROUND(ROUND(8.1*0.85,2)*0.97*0,0)</f>
        <v>0</v>
      </c>
      <c r="K10" s="560">
        <v>0</v>
      </c>
      <c r="L10" s="559">
        <f>ROUND(ROUND(8.1*0.85,2)*0.97*0,0)</f>
        <v>0</v>
      </c>
      <c r="M10" s="560">
        <v>0</v>
      </c>
      <c r="N10" s="559">
        <f>ROUND(ROUND(8.1*0.85,2)*0.97*0,0)</f>
        <v>0</v>
      </c>
      <c r="O10" s="560">
        <v>4</v>
      </c>
      <c r="P10" s="559">
        <f>ROUND(ROUND(8.1*0.85,2)*0.97*4,0)</f>
        <v>27</v>
      </c>
      <c r="Q10" s="560">
        <v>31</v>
      </c>
      <c r="R10" s="559">
        <f>ROUND(ROUND(8.1*0.85,2)*0.97*31,0)</f>
        <v>207</v>
      </c>
      <c r="S10" s="560">
        <v>63</v>
      </c>
      <c r="T10" s="559">
        <f>ROUND(ROUND(8.1*0.85,2)*0.97*63,0)</f>
        <v>421</v>
      </c>
      <c r="U10" s="560">
        <v>93</v>
      </c>
      <c r="V10" s="559">
        <f>ROUND(ROUND(8.1*0.85,2)*0.97*93,0)</f>
        <v>622</v>
      </c>
      <c r="W10" s="560">
        <v>116</v>
      </c>
      <c r="X10" s="559">
        <f>ROUND(ROUND(8.1*0.85,2)*0.97*116,0)</f>
        <v>775</v>
      </c>
      <c r="Y10" s="560">
        <v>130</v>
      </c>
      <c r="Z10" s="559">
        <f>ROUND(ROUND(8.1*0.85,2)*0.97*130,0)</f>
        <v>869</v>
      </c>
      <c r="AA10" s="560">
        <v>163</v>
      </c>
      <c r="AB10" s="559">
        <f>ROUND(ROUND(8.1*0.85,2)*0.97*163,0)</f>
        <v>1089</v>
      </c>
      <c r="AC10" s="560">
        <v>229</v>
      </c>
      <c r="AD10" s="559">
        <f>ROUND(ROUND(8.1*0.85,2)*0.97*229,0)</f>
        <v>1530</v>
      </c>
      <c r="AE10" s="560">
        <v>269</v>
      </c>
      <c r="AF10" s="559">
        <f>ROUND(ROUND(8.1*0.85,2)*0.97*269,0)</f>
        <v>1798</v>
      </c>
      <c r="AG10" s="560">
        <v>267</v>
      </c>
      <c r="AH10" s="559">
        <f>ROUND(ROUND(8.1*0.85,2)*0.97*267,0)</f>
        <v>1784</v>
      </c>
      <c r="AI10" s="560">
        <v>224</v>
      </c>
      <c r="AJ10" s="559">
        <f>ROUND(ROUND(8.1*0.85,2)*0.97*224,0)</f>
        <v>1497</v>
      </c>
      <c r="AK10" s="560">
        <v>156</v>
      </c>
      <c r="AL10" s="559">
        <f>ROUND(ROUND(8.1*0.85,2)*0.97*156,0)</f>
        <v>1043</v>
      </c>
      <c r="AM10" s="560">
        <v>84</v>
      </c>
      <c r="AN10" s="559">
        <f>ROUND(ROUND(8.1*0.85,2)*0.97*84,0)</f>
        <v>561</v>
      </c>
      <c r="AO10" s="560">
        <v>16</v>
      </c>
      <c r="AP10" s="559">
        <f>ROUND(ROUND(8.1*0.85,2)*0.97*16,0)</f>
        <v>107</v>
      </c>
      <c r="AQ10" s="560">
        <v>0</v>
      </c>
      <c r="AR10" s="559">
        <f>ROUND(ROUND(8.1*0.85,2)*0.97*0,0)</f>
        <v>0</v>
      </c>
      <c r="AS10" s="560">
        <v>0</v>
      </c>
      <c r="AT10" s="559">
        <f>ROUND(ROUND(8.1*0.85,2)*0.97*0,0)</f>
        <v>0</v>
      </c>
      <c r="AU10" s="560">
        <v>0</v>
      </c>
      <c r="AV10" s="559">
        <f>ROUND(ROUND(8.1*0.85,2)*0.97*0,0)</f>
        <v>0</v>
      </c>
      <c r="AW10" s="560">
        <v>0</v>
      </c>
      <c r="AX10" s="559">
        <f>ROUND(ROUND(8.1*0.85,2)*0.97*0,0)</f>
        <v>0</v>
      </c>
      <c r="AY10" s="560">
        <v>0</v>
      </c>
      <c r="AZ10" s="559">
        <f>ROUND(ROUND(8.1*0.85,2)*0.97*0,0)</f>
        <v>0</v>
      </c>
      <c r="BA10" s="560">
        <v>0</v>
      </c>
      <c r="BB10" s="561">
        <f>ROUND(ROUND(8.1*0.85,2)*0.97*0,0)</f>
        <v>0</v>
      </c>
      <c r="BC10" s="562"/>
      <c r="BD10" s="552"/>
      <c r="BE10" s="553"/>
      <c r="BF10" s="554"/>
      <c r="BG10" s="555"/>
      <c r="BH10" s="553"/>
      <c r="BI10" s="554"/>
      <c r="BJ10" s="556">
        <v>0</v>
      </c>
      <c r="BK10" s="557">
        <f>ROUND(ROUND(8.1*0.85,2)*0.97*0,0)</f>
        <v>0</v>
      </c>
      <c r="BL10" s="558">
        <v>0</v>
      </c>
      <c r="BM10" s="559">
        <f>ROUND(ROUND(8.1*0.85,2)*0.97*0,0)</f>
        <v>0</v>
      </c>
      <c r="BN10" s="560">
        <v>0</v>
      </c>
      <c r="BO10" s="559">
        <f>ROUND(ROUND(8.1*0.85,2)*0.97*0,0)</f>
        <v>0</v>
      </c>
      <c r="BP10" s="560">
        <v>0</v>
      </c>
      <c r="BQ10" s="559">
        <f>ROUND(ROUND(8.1*0.85,2)*0.97*0,0)</f>
        <v>0</v>
      </c>
      <c r="BR10" s="560">
        <v>6</v>
      </c>
      <c r="BS10" s="559">
        <f>ROUND(ROUND(8.1*0.85,2)*0.97*6,0)</f>
        <v>40</v>
      </c>
      <c r="BT10" s="560">
        <v>35</v>
      </c>
      <c r="BU10" s="559">
        <f>ROUND(ROUND(8.1*0.85,2)*0.97*35,0)</f>
        <v>234</v>
      </c>
      <c r="BV10" s="560">
        <v>62</v>
      </c>
      <c r="BW10" s="559">
        <f>ROUND(ROUND(8.1*0.85,2)*0.97*62,0)</f>
        <v>414</v>
      </c>
      <c r="BX10" s="560">
        <v>87</v>
      </c>
      <c r="BY10" s="559">
        <f>ROUND(ROUND(8.1*0.85,2)*0.97*87,0)</f>
        <v>581</v>
      </c>
      <c r="BZ10" s="560">
        <v>103</v>
      </c>
      <c r="CA10" s="559">
        <f>ROUND(ROUND(8.1*0.85,2)*0.97*103,0)</f>
        <v>688</v>
      </c>
      <c r="CB10" s="560">
        <v>110</v>
      </c>
      <c r="CC10" s="559">
        <f>ROUND(ROUND(8.1*0.85,2)*0.97*110,0)</f>
        <v>735</v>
      </c>
      <c r="CD10" s="560">
        <v>155</v>
      </c>
      <c r="CE10" s="559">
        <f>ROUND(ROUND(8.1*0.85,2)*0.97*155,0)</f>
        <v>1036</v>
      </c>
      <c r="CF10" s="560">
        <v>254</v>
      </c>
      <c r="CG10" s="559">
        <f>ROUND(ROUND(8.1*0.85,2)*0.97*254,0)</f>
        <v>1698</v>
      </c>
      <c r="CH10" s="560">
        <v>320</v>
      </c>
      <c r="CI10" s="559">
        <f>ROUND(ROUND(8.1*0.85,2)*0.97*320,0)</f>
        <v>2139</v>
      </c>
      <c r="CJ10" s="560">
        <v>334</v>
      </c>
      <c r="CK10" s="559">
        <f>ROUND(ROUND(8.1*0.85,2)*0.97*334,0)</f>
        <v>2232</v>
      </c>
      <c r="CL10" s="560">
        <v>301</v>
      </c>
      <c r="CM10" s="559">
        <f>ROUND(ROUND(8.1*0.85,2)*0.97*301,0)</f>
        <v>2012</v>
      </c>
      <c r="CN10" s="560">
        <v>222</v>
      </c>
      <c r="CO10" s="559">
        <f>ROUND(ROUND(8.1*0.85,2)*0.97*222,0)</f>
        <v>1484</v>
      </c>
      <c r="CP10" s="560">
        <v>130</v>
      </c>
      <c r="CQ10" s="559">
        <f>ROUND(ROUND(8.1*0.85,2)*0.97*130,0)</f>
        <v>869</v>
      </c>
      <c r="CR10" s="560">
        <v>32</v>
      </c>
      <c r="CS10" s="559">
        <f>ROUND(ROUND(8.1*0.85,2)*0.97*32,0)</f>
        <v>214</v>
      </c>
      <c r="CT10" s="560">
        <v>0</v>
      </c>
      <c r="CU10" s="559">
        <f>ROUND(ROUND(8.1*0.85,2)*0.97*0,0)</f>
        <v>0</v>
      </c>
      <c r="CV10" s="560">
        <v>0</v>
      </c>
      <c r="CW10" s="559">
        <f>ROUND(ROUND(8.1*0.85,2)*0.97*0,0)</f>
        <v>0</v>
      </c>
      <c r="CX10" s="560">
        <v>0</v>
      </c>
      <c r="CY10" s="559">
        <f>ROUND(ROUND(8.1*0.85,2)*0.97*0,0)</f>
        <v>0</v>
      </c>
      <c r="CZ10" s="560">
        <v>0</v>
      </c>
      <c r="DA10" s="559">
        <f>ROUND(ROUND(8.1*0.85,2)*0.97*0,0)</f>
        <v>0</v>
      </c>
      <c r="DB10" s="560">
        <v>0</v>
      </c>
      <c r="DC10" s="559">
        <f>ROUND(ROUND(8.1*0.85,2)*0.97*0,0)</f>
        <v>0</v>
      </c>
      <c r="DD10" s="560">
        <v>0</v>
      </c>
      <c r="DE10" s="561">
        <f>ROUND(ROUND(8.1*0.85,2)*0.97*0,0)</f>
        <v>0</v>
      </c>
      <c r="DF10" s="562"/>
      <c r="DG10" s="552"/>
      <c r="DH10" s="553"/>
      <c r="DI10" s="554"/>
      <c r="DJ10" s="555"/>
      <c r="DK10" s="553"/>
      <c r="DL10" s="554"/>
      <c r="DM10" s="556">
        <v>0</v>
      </c>
      <c r="DN10" s="557">
        <f>ROUND(ROUND(8.1*0.85,2)*0.97*0,0)</f>
        <v>0</v>
      </c>
      <c r="DO10" s="558">
        <v>0</v>
      </c>
      <c r="DP10" s="559">
        <f>ROUND(ROUND(8.1*0.85,2)*0.97*0,0)</f>
        <v>0</v>
      </c>
      <c r="DQ10" s="560">
        <v>0</v>
      </c>
      <c r="DR10" s="559">
        <f>ROUND(ROUND(8.1*0.85,2)*0.97*0,0)</f>
        <v>0</v>
      </c>
      <c r="DS10" s="560">
        <v>0</v>
      </c>
      <c r="DT10" s="559">
        <f>ROUND(ROUND(8.1*0.85,2)*0.97*0,0)</f>
        <v>0</v>
      </c>
      <c r="DU10" s="560">
        <v>0</v>
      </c>
      <c r="DV10" s="559">
        <f>ROUND(ROUND(8.1*0.85,2)*0.97*0,0)</f>
        <v>0</v>
      </c>
      <c r="DW10" s="560">
        <v>19</v>
      </c>
      <c r="DX10" s="559">
        <f>ROUND(ROUND(8.1*0.85,2)*0.97*19,0)</f>
        <v>127</v>
      </c>
      <c r="DY10" s="560">
        <v>47</v>
      </c>
      <c r="DZ10" s="559">
        <f>ROUND(ROUND(8.1*0.85,2)*0.97*47,0)</f>
        <v>314</v>
      </c>
      <c r="EA10" s="560">
        <v>72</v>
      </c>
      <c r="EB10" s="559">
        <f>ROUND(ROUND(8.1*0.85,2)*0.97*72,0)</f>
        <v>481</v>
      </c>
      <c r="EC10" s="560">
        <v>88</v>
      </c>
      <c r="ED10" s="559">
        <f>ROUND(ROUND(8.1*0.85,2)*0.97*88,0)</f>
        <v>588</v>
      </c>
      <c r="EE10" s="560">
        <v>170</v>
      </c>
      <c r="EF10" s="559">
        <f>ROUND(ROUND(8.1*0.85,2)*0.97*170,0)</f>
        <v>1136</v>
      </c>
      <c r="EG10" s="560">
        <v>327</v>
      </c>
      <c r="EH10" s="559">
        <f>ROUND(ROUND(8.1*0.85,2)*0.97*327,0)</f>
        <v>2185</v>
      </c>
      <c r="EI10" s="560">
        <v>436</v>
      </c>
      <c r="EJ10" s="559">
        <f>ROUND(ROUND(8.1*0.85,2)*0.97*436,0)</f>
        <v>2914</v>
      </c>
      <c r="EK10" s="560">
        <v>480</v>
      </c>
      <c r="EL10" s="559">
        <f>ROUND(ROUND(8.1*0.85,2)*0.97*480,0)</f>
        <v>3208</v>
      </c>
      <c r="EM10" s="560">
        <v>473</v>
      </c>
      <c r="EN10" s="559">
        <f>ROUND(ROUND(8.1*0.85,2)*0.97*473,0)</f>
        <v>3161</v>
      </c>
      <c r="EO10" s="560">
        <v>403</v>
      </c>
      <c r="EP10" s="559">
        <f>ROUND(ROUND(8.1*0.85,2)*0.97*403,0)</f>
        <v>2693</v>
      </c>
      <c r="EQ10" s="560">
        <v>276</v>
      </c>
      <c r="ER10" s="559">
        <f>ROUND(ROUND(8.1*0.85,2)*0.97*276,0)</f>
        <v>1845</v>
      </c>
      <c r="ES10" s="560">
        <v>131</v>
      </c>
      <c r="ET10" s="559">
        <f>ROUND(ROUND(8.1*0.85,2)*0.97*131,0)</f>
        <v>876</v>
      </c>
      <c r="EU10" s="560">
        <v>0</v>
      </c>
      <c r="EV10" s="559">
        <f>ROUND(ROUND(8.1*0.85,2)*0.97*0,0)</f>
        <v>0</v>
      </c>
      <c r="EW10" s="560">
        <v>0</v>
      </c>
      <c r="EX10" s="559">
        <f>ROUND(ROUND(8.1*0.85,2)*0.97*0,0)</f>
        <v>0</v>
      </c>
      <c r="EY10" s="560">
        <v>0</v>
      </c>
      <c r="EZ10" s="559">
        <f>ROUND(ROUND(8.1*0.85,2)*0.97*0,0)</f>
        <v>0</v>
      </c>
      <c r="FA10" s="560">
        <v>0</v>
      </c>
      <c r="FB10" s="559">
        <f>ROUND(ROUND(8.1*0.85,2)*0.97*0,0)</f>
        <v>0</v>
      </c>
      <c r="FC10" s="560">
        <v>0</v>
      </c>
      <c r="FD10" s="559">
        <f>ROUND(ROUND(8.1*0.85,2)*0.97*0,0)</f>
        <v>0</v>
      </c>
      <c r="FE10" s="560">
        <v>0</v>
      </c>
      <c r="FF10" s="559">
        <f>ROUND(ROUND(8.1*0.85,2)*0.97*0,0)</f>
        <v>0</v>
      </c>
      <c r="FG10" s="560">
        <v>0</v>
      </c>
      <c r="FH10" s="561">
        <f>ROUND(ROUND(8.1*0.85,2)*0.97*0,0)</f>
        <v>0</v>
      </c>
      <c r="FI10" s="563"/>
      <c r="FJ10" s="564"/>
      <c r="FK10" s="553"/>
      <c r="FL10" s="554"/>
      <c r="FM10" s="555"/>
      <c r="FN10" s="553"/>
      <c r="FO10" s="554"/>
      <c r="FP10" s="565"/>
      <c r="FQ10" s="558"/>
      <c r="FR10" s="557" t="s">
        <v>629</v>
      </c>
      <c r="FS10" s="566"/>
      <c r="FT10" s="558"/>
      <c r="FU10" s="567" t="s">
        <v>629</v>
      </c>
      <c r="FV10" s="568" t="s">
        <v>301</v>
      </c>
      <c r="FW10" s="1280"/>
      <c r="FX10" s="1281" t="s">
        <v>302</v>
      </c>
      <c r="FY10" s="1282"/>
      <c r="FZ10" s="1283" t="s">
        <v>303</v>
      </c>
      <c r="GA10" s="1284"/>
      <c r="GB10" s="1285" t="s">
        <v>647</v>
      </c>
      <c r="GC10" s="1286"/>
      <c r="GD10" s="576" t="s">
        <v>648</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629</v>
      </c>
      <c r="FS11" s="591"/>
      <c r="FT11" s="586"/>
      <c r="FU11" s="592" t="s">
        <v>629</v>
      </c>
      <c r="FV11" s="593"/>
      <c r="FW11" s="594"/>
      <c r="FX11" s="595"/>
      <c r="FY11" s="596"/>
      <c r="FZ11" s="597"/>
      <c r="GA11" s="598"/>
      <c r="GB11" s="599"/>
      <c r="GC11" s="600"/>
      <c r="GD11" s="599"/>
      <c r="GE11" s="601"/>
      <c r="GF11" s="499"/>
      <c r="GG11" s="602"/>
      <c r="GH11" s="602"/>
      <c r="GI11" s="602"/>
      <c r="GJ11" s="529"/>
      <c r="GK11" s="580" t="s">
        <v>525</v>
      </c>
      <c r="GL11" s="413"/>
      <c r="GM11" s="483"/>
      <c r="GN11" s="486"/>
      <c r="GO11" s="483"/>
      <c r="GP11" s="413"/>
      <c r="GQ11" s="529"/>
      <c r="GR11" s="529"/>
      <c r="GS11" s="529"/>
      <c r="GT11" s="548"/>
      <c r="GU11" s="580" t="s">
        <v>691</v>
      </c>
      <c r="GV11" s="413"/>
      <c r="GW11" s="483"/>
      <c r="GX11" s="486"/>
      <c r="GY11" s="483"/>
      <c r="GZ11" s="413"/>
      <c r="HA11" s="530"/>
      <c r="HB11" s="530"/>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629</v>
      </c>
      <c r="FS12" s="591"/>
      <c r="FT12" s="586"/>
      <c r="FU12" s="592" t="s">
        <v>629</v>
      </c>
      <c r="FV12" s="593"/>
      <c r="FW12" s="594"/>
      <c r="FX12" s="595"/>
      <c r="FY12" s="596"/>
      <c r="FZ12" s="597"/>
      <c r="GA12" s="598"/>
      <c r="GB12" s="599"/>
      <c r="GC12" s="600"/>
      <c r="GD12" s="599"/>
      <c r="GE12" s="601"/>
      <c r="GF12" s="499"/>
      <c r="GG12" s="602"/>
      <c r="GH12" s="602"/>
      <c r="GI12" s="602"/>
      <c r="GJ12" s="413"/>
      <c r="GK12" s="603" t="s">
        <v>384</v>
      </c>
      <c r="GL12" s="604"/>
      <c r="GM12" s="605" t="s">
        <v>527</v>
      </c>
      <c r="GN12" s="606" t="s">
        <v>528</v>
      </c>
      <c r="GO12" s="607" t="s">
        <v>529</v>
      </c>
      <c r="GP12" s="608" t="s">
        <v>692</v>
      </c>
      <c r="GQ12" s="607" t="s">
        <v>693</v>
      </c>
      <c r="GR12" s="607" t="s">
        <v>694</v>
      </c>
      <c r="GS12" s="609"/>
      <c r="GT12" s="548"/>
      <c r="GU12" s="603" t="s">
        <v>380</v>
      </c>
      <c r="GV12" s="604"/>
      <c r="GW12" s="605" t="s">
        <v>527</v>
      </c>
      <c r="GX12" s="610" t="s">
        <v>695</v>
      </c>
      <c r="GY12" s="611"/>
      <c r="GZ12" s="612" t="s">
        <v>529</v>
      </c>
      <c r="HA12" s="613" t="s">
        <v>696</v>
      </c>
      <c r="HB12" s="614"/>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630</v>
      </c>
      <c r="FS13" s="626"/>
      <c r="FT13" s="621"/>
      <c r="FU13" s="627" t="s">
        <v>630</v>
      </c>
      <c r="FV13" s="593"/>
      <c r="FW13" s="594"/>
      <c r="FX13" s="595"/>
      <c r="FY13" s="596"/>
      <c r="FZ13" s="597"/>
      <c r="GA13" s="598"/>
      <c r="GB13" s="599"/>
      <c r="GC13" s="600"/>
      <c r="GD13" s="599"/>
      <c r="GE13" s="601"/>
      <c r="GF13" s="499"/>
      <c r="GG13" s="602"/>
      <c r="GH13" s="602"/>
      <c r="GI13" s="602"/>
      <c r="GJ13" s="413"/>
      <c r="GK13" s="628">
        <v>101</v>
      </c>
      <c r="GL13" s="629"/>
      <c r="GM13" s="630" t="s">
        <v>697</v>
      </c>
      <c r="GN13" s="631">
        <v>8.1</v>
      </c>
      <c r="GO13" s="632">
        <v>0</v>
      </c>
      <c r="GP13" s="632">
        <v>1</v>
      </c>
      <c r="GQ13" s="633">
        <v>0</v>
      </c>
      <c r="GR13" s="634">
        <v>8.1</v>
      </c>
      <c r="GS13" s="578"/>
      <c r="GT13" s="413"/>
      <c r="GU13" s="628">
        <v>101</v>
      </c>
      <c r="GV13" s="629"/>
      <c r="GW13" s="635" t="s">
        <v>698</v>
      </c>
      <c r="GX13" s="636">
        <v>8.1</v>
      </c>
      <c r="GY13" s="637"/>
      <c r="GZ13" s="638">
        <v>0.65</v>
      </c>
      <c r="HA13" s="639">
        <v>5.27</v>
      </c>
      <c r="HB13" s="640"/>
      <c r="HC13" s="530"/>
      <c r="HD13" s="799"/>
      <c r="HE13" s="437"/>
      <c r="HF13" s="386"/>
      <c r="HG13" s="386"/>
    </row>
    <row r="14" spans="1:353" ht="20.100000000000001" customHeight="1">
      <c r="A14" s="641"/>
      <c r="B14" s="642"/>
      <c r="C14" s="642"/>
      <c r="D14" s="643" t="s">
        <v>631</v>
      </c>
      <c r="E14" s="642"/>
      <c r="F14" s="642"/>
      <c r="G14" s="644"/>
      <c r="H14" s="645">
        <f>SUM(H10:H13)</f>
        <v>0</v>
      </c>
      <c r="I14" s="735"/>
      <c r="J14" s="645">
        <f>SUM(J10:J13)</f>
        <v>0</v>
      </c>
      <c r="K14" s="735"/>
      <c r="L14" s="645">
        <f>SUM(L10:L13)</f>
        <v>0</v>
      </c>
      <c r="M14" s="735"/>
      <c r="N14" s="645">
        <f>SUM(N10:N13)</f>
        <v>0</v>
      </c>
      <c r="O14" s="735"/>
      <c r="P14" s="645">
        <f>SUM(P10:P13)</f>
        <v>27</v>
      </c>
      <c r="Q14" s="735"/>
      <c r="R14" s="645">
        <f>SUM(R10:R13)</f>
        <v>207</v>
      </c>
      <c r="S14" s="735"/>
      <c r="T14" s="645">
        <f>SUM(T10:T13)</f>
        <v>421</v>
      </c>
      <c r="U14" s="735"/>
      <c r="V14" s="645">
        <f>SUM(V10:V13)</f>
        <v>622</v>
      </c>
      <c r="W14" s="735"/>
      <c r="X14" s="645">
        <f>SUM(X10:X13)</f>
        <v>775</v>
      </c>
      <c r="Y14" s="735"/>
      <c r="Z14" s="645">
        <f>SUM(Z10:Z13)</f>
        <v>869</v>
      </c>
      <c r="AA14" s="735"/>
      <c r="AB14" s="645">
        <f>SUM(AB10:AB13)</f>
        <v>1089</v>
      </c>
      <c r="AC14" s="735"/>
      <c r="AD14" s="645">
        <f>SUM(AD10:AD13)</f>
        <v>1530</v>
      </c>
      <c r="AE14" s="735"/>
      <c r="AF14" s="645">
        <f>SUM(AF10:AF13)</f>
        <v>1798</v>
      </c>
      <c r="AG14" s="735"/>
      <c r="AH14" s="645">
        <f>SUM(AH10:AH13)</f>
        <v>1784</v>
      </c>
      <c r="AI14" s="735"/>
      <c r="AJ14" s="645">
        <f>SUM(AJ10:AJ13)</f>
        <v>1497</v>
      </c>
      <c r="AK14" s="735"/>
      <c r="AL14" s="645">
        <f>SUM(AL10:AL13)</f>
        <v>1043</v>
      </c>
      <c r="AM14" s="735"/>
      <c r="AN14" s="645">
        <f>SUM(AN10:AN13)</f>
        <v>561</v>
      </c>
      <c r="AO14" s="735"/>
      <c r="AP14" s="645">
        <f>SUM(AP10:AP13)</f>
        <v>107</v>
      </c>
      <c r="AQ14" s="735"/>
      <c r="AR14" s="645">
        <f>SUM(AR10:AR13)</f>
        <v>0</v>
      </c>
      <c r="AS14" s="735"/>
      <c r="AT14" s="645">
        <f>SUM(AT10:AT13)</f>
        <v>0</v>
      </c>
      <c r="AU14" s="735"/>
      <c r="AV14" s="645">
        <f>SUM(AV10:AV13)</f>
        <v>0</v>
      </c>
      <c r="AW14" s="735"/>
      <c r="AX14" s="645">
        <f>SUM(AX10:AX13)</f>
        <v>0</v>
      </c>
      <c r="AY14" s="735"/>
      <c r="AZ14" s="645">
        <f>SUM(AZ10:AZ13)</f>
        <v>0</v>
      </c>
      <c r="BA14" s="735"/>
      <c r="BB14" s="647">
        <f>SUM(BB10:BB13)</f>
        <v>0</v>
      </c>
      <c r="BC14" s="648"/>
      <c r="BD14" s="641"/>
      <c r="BE14" s="642"/>
      <c r="BF14" s="642"/>
      <c r="BG14" s="643" t="s">
        <v>306</v>
      </c>
      <c r="BH14" s="642"/>
      <c r="BI14" s="642"/>
      <c r="BJ14" s="644"/>
      <c r="BK14" s="645">
        <f>SUM(BK10:BK13)</f>
        <v>0</v>
      </c>
      <c r="BL14" s="735"/>
      <c r="BM14" s="645">
        <f>SUM(BM10:BM13)</f>
        <v>0</v>
      </c>
      <c r="BN14" s="735"/>
      <c r="BO14" s="645">
        <f>SUM(BO10:BO13)</f>
        <v>0</v>
      </c>
      <c r="BP14" s="735"/>
      <c r="BQ14" s="645">
        <f>SUM(BQ10:BQ13)</f>
        <v>0</v>
      </c>
      <c r="BR14" s="735"/>
      <c r="BS14" s="645">
        <f>SUM(BS10:BS13)</f>
        <v>40</v>
      </c>
      <c r="BT14" s="735"/>
      <c r="BU14" s="645">
        <f>SUM(BU10:BU13)</f>
        <v>234</v>
      </c>
      <c r="BV14" s="735"/>
      <c r="BW14" s="645">
        <f>SUM(BW10:BW13)</f>
        <v>414</v>
      </c>
      <c r="BX14" s="735"/>
      <c r="BY14" s="645">
        <f>SUM(BY10:BY13)</f>
        <v>581</v>
      </c>
      <c r="BZ14" s="735"/>
      <c r="CA14" s="645">
        <f>SUM(CA10:CA13)</f>
        <v>688</v>
      </c>
      <c r="CB14" s="735"/>
      <c r="CC14" s="645">
        <f>SUM(CC10:CC13)</f>
        <v>735</v>
      </c>
      <c r="CD14" s="735"/>
      <c r="CE14" s="645">
        <f>SUM(CE10:CE13)</f>
        <v>1036</v>
      </c>
      <c r="CF14" s="735"/>
      <c r="CG14" s="645">
        <f>SUM(CG10:CG13)</f>
        <v>1698</v>
      </c>
      <c r="CH14" s="735"/>
      <c r="CI14" s="645">
        <f>SUM(CI10:CI13)</f>
        <v>2139</v>
      </c>
      <c r="CJ14" s="735"/>
      <c r="CK14" s="645">
        <f>SUM(CK10:CK13)</f>
        <v>2232</v>
      </c>
      <c r="CL14" s="735"/>
      <c r="CM14" s="645">
        <f>SUM(CM10:CM13)</f>
        <v>2012</v>
      </c>
      <c r="CN14" s="735"/>
      <c r="CO14" s="645">
        <f>SUM(CO10:CO13)</f>
        <v>1484</v>
      </c>
      <c r="CP14" s="735"/>
      <c r="CQ14" s="645">
        <f>SUM(CQ10:CQ13)</f>
        <v>869</v>
      </c>
      <c r="CR14" s="735"/>
      <c r="CS14" s="645">
        <f>SUM(CS10:CS13)</f>
        <v>214</v>
      </c>
      <c r="CT14" s="735"/>
      <c r="CU14" s="645">
        <f>SUM(CU10:CU13)</f>
        <v>0</v>
      </c>
      <c r="CV14" s="735"/>
      <c r="CW14" s="645">
        <f>SUM(CW10:CW13)</f>
        <v>0</v>
      </c>
      <c r="CX14" s="735"/>
      <c r="CY14" s="645">
        <f>SUM(CY10:CY13)</f>
        <v>0</v>
      </c>
      <c r="CZ14" s="735"/>
      <c r="DA14" s="645">
        <f>SUM(DA10:DA13)</f>
        <v>0</v>
      </c>
      <c r="DB14" s="735"/>
      <c r="DC14" s="645">
        <f>SUM(DC10:DC13)</f>
        <v>0</v>
      </c>
      <c r="DD14" s="735"/>
      <c r="DE14" s="647">
        <f>SUM(DE10:DE13)</f>
        <v>0</v>
      </c>
      <c r="DF14" s="648"/>
      <c r="DG14" s="641"/>
      <c r="DH14" s="642"/>
      <c r="DI14" s="642"/>
      <c r="DJ14" s="643" t="s">
        <v>306</v>
      </c>
      <c r="DK14" s="642"/>
      <c r="DL14" s="642"/>
      <c r="DM14" s="644"/>
      <c r="DN14" s="645">
        <f>SUM(DN10:DN13)</f>
        <v>0</v>
      </c>
      <c r="DO14" s="735"/>
      <c r="DP14" s="645">
        <f>SUM(DP10:DP13)</f>
        <v>0</v>
      </c>
      <c r="DQ14" s="735"/>
      <c r="DR14" s="645">
        <f>SUM(DR10:DR13)</f>
        <v>0</v>
      </c>
      <c r="DS14" s="735"/>
      <c r="DT14" s="645">
        <f>SUM(DT10:DT13)</f>
        <v>0</v>
      </c>
      <c r="DU14" s="735"/>
      <c r="DV14" s="645">
        <f>SUM(DV10:DV13)</f>
        <v>0</v>
      </c>
      <c r="DW14" s="735"/>
      <c r="DX14" s="645">
        <f>SUM(DX10:DX13)</f>
        <v>127</v>
      </c>
      <c r="DY14" s="735"/>
      <c r="DZ14" s="645">
        <f>SUM(DZ10:DZ13)</f>
        <v>314</v>
      </c>
      <c r="EA14" s="735"/>
      <c r="EB14" s="645">
        <f>SUM(EB10:EB13)</f>
        <v>481</v>
      </c>
      <c r="EC14" s="735"/>
      <c r="ED14" s="645">
        <f>SUM(ED10:ED13)</f>
        <v>588</v>
      </c>
      <c r="EE14" s="735"/>
      <c r="EF14" s="645">
        <f>SUM(EF10:EF13)</f>
        <v>1136</v>
      </c>
      <c r="EG14" s="735"/>
      <c r="EH14" s="645">
        <f>SUM(EH10:EH13)</f>
        <v>2185</v>
      </c>
      <c r="EI14" s="735"/>
      <c r="EJ14" s="645">
        <f>SUM(EJ10:EJ13)</f>
        <v>2914</v>
      </c>
      <c r="EK14" s="735"/>
      <c r="EL14" s="645">
        <f>SUM(EL10:EL13)</f>
        <v>3208</v>
      </c>
      <c r="EM14" s="735"/>
      <c r="EN14" s="645">
        <f>SUM(EN10:EN13)</f>
        <v>3161</v>
      </c>
      <c r="EO14" s="735"/>
      <c r="EP14" s="645">
        <f>SUM(EP10:EP13)</f>
        <v>2693</v>
      </c>
      <c r="EQ14" s="735"/>
      <c r="ER14" s="645">
        <f>SUM(ER10:ER13)</f>
        <v>1845</v>
      </c>
      <c r="ES14" s="735"/>
      <c r="ET14" s="645">
        <f>SUM(ET10:ET13)</f>
        <v>876</v>
      </c>
      <c r="EU14" s="735"/>
      <c r="EV14" s="645">
        <f>SUM(EV10:EV13)</f>
        <v>0</v>
      </c>
      <c r="EW14" s="735"/>
      <c r="EX14" s="645">
        <f>SUM(EX10:EX13)</f>
        <v>0</v>
      </c>
      <c r="EY14" s="735"/>
      <c r="EZ14" s="645">
        <f>SUM(EZ10:EZ13)</f>
        <v>0</v>
      </c>
      <c r="FA14" s="735"/>
      <c r="FB14" s="645">
        <f>SUM(FB10:FB13)</f>
        <v>0</v>
      </c>
      <c r="FC14" s="735"/>
      <c r="FD14" s="645">
        <f>SUM(FD10:FD13)</f>
        <v>0</v>
      </c>
      <c r="FE14" s="735"/>
      <c r="FF14" s="645">
        <f>SUM(FF10:FF13)</f>
        <v>0</v>
      </c>
      <c r="FG14" s="735"/>
      <c r="FH14" s="647">
        <f>SUM(FH10:FH13)</f>
        <v>0</v>
      </c>
      <c r="FI14" s="649"/>
      <c r="FJ14" s="564"/>
      <c r="FK14" s="642"/>
      <c r="FL14" s="642"/>
      <c r="FM14" s="643" t="s">
        <v>632</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c r="GV14" s="629"/>
      <c r="GW14" s="635"/>
      <c r="GX14" s="636"/>
      <c r="GY14" s="637"/>
      <c r="GZ14" s="638"/>
      <c r="HA14" s="639">
        <v>0</v>
      </c>
      <c r="HB14" s="640"/>
      <c r="HC14" s="530"/>
      <c r="HD14" s="1278"/>
      <c r="HE14" s="415"/>
      <c r="HF14" s="415"/>
      <c r="HG14" s="415"/>
    </row>
    <row r="15" spans="1:353" ht="24" customHeight="1">
      <c r="A15" s="532" t="s">
        <v>307</v>
      </c>
      <c r="B15" s="658" t="s">
        <v>290</v>
      </c>
      <c r="C15" s="659" t="s">
        <v>291</v>
      </c>
      <c r="D15" s="660" t="s">
        <v>633</v>
      </c>
      <c r="E15" s="660" t="s">
        <v>309</v>
      </c>
      <c r="F15" s="661" t="s">
        <v>310</v>
      </c>
      <c r="G15" s="662" t="s">
        <v>634</v>
      </c>
      <c r="H15" s="663" t="s">
        <v>635</v>
      </c>
      <c r="I15" s="664" t="s">
        <v>313</v>
      </c>
      <c r="J15" s="663" t="s">
        <v>635</v>
      </c>
      <c r="K15" s="664" t="s">
        <v>313</v>
      </c>
      <c r="L15" s="663" t="s">
        <v>635</v>
      </c>
      <c r="M15" s="664" t="s">
        <v>313</v>
      </c>
      <c r="N15" s="663" t="s">
        <v>636</v>
      </c>
      <c r="O15" s="664" t="s">
        <v>313</v>
      </c>
      <c r="P15" s="663" t="s">
        <v>637</v>
      </c>
      <c r="Q15" s="664" t="s">
        <v>313</v>
      </c>
      <c r="R15" s="663" t="s">
        <v>635</v>
      </c>
      <c r="S15" s="664" t="s">
        <v>313</v>
      </c>
      <c r="T15" s="663" t="s">
        <v>638</v>
      </c>
      <c r="U15" s="664" t="s">
        <v>313</v>
      </c>
      <c r="V15" s="663" t="s">
        <v>635</v>
      </c>
      <c r="W15" s="664" t="s">
        <v>313</v>
      </c>
      <c r="X15" s="663" t="s">
        <v>635</v>
      </c>
      <c r="Y15" s="664" t="s">
        <v>313</v>
      </c>
      <c r="Z15" s="663" t="s">
        <v>636</v>
      </c>
      <c r="AA15" s="664" t="s">
        <v>313</v>
      </c>
      <c r="AB15" s="663" t="s">
        <v>635</v>
      </c>
      <c r="AC15" s="664" t="s">
        <v>313</v>
      </c>
      <c r="AD15" s="663" t="s">
        <v>638</v>
      </c>
      <c r="AE15" s="664" t="s">
        <v>313</v>
      </c>
      <c r="AF15" s="663" t="s">
        <v>635</v>
      </c>
      <c r="AG15" s="664" t="s">
        <v>313</v>
      </c>
      <c r="AH15" s="663" t="s">
        <v>636</v>
      </c>
      <c r="AI15" s="664" t="s">
        <v>313</v>
      </c>
      <c r="AJ15" s="663" t="s">
        <v>635</v>
      </c>
      <c r="AK15" s="664" t="s">
        <v>313</v>
      </c>
      <c r="AL15" s="663" t="s">
        <v>636</v>
      </c>
      <c r="AM15" s="664" t="s">
        <v>313</v>
      </c>
      <c r="AN15" s="663" t="s">
        <v>635</v>
      </c>
      <c r="AO15" s="664" t="s">
        <v>313</v>
      </c>
      <c r="AP15" s="663" t="s">
        <v>635</v>
      </c>
      <c r="AQ15" s="664" t="s">
        <v>313</v>
      </c>
      <c r="AR15" s="663" t="s">
        <v>636</v>
      </c>
      <c r="AS15" s="664" t="s">
        <v>313</v>
      </c>
      <c r="AT15" s="663" t="s">
        <v>637</v>
      </c>
      <c r="AU15" s="664" t="s">
        <v>313</v>
      </c>
      <c r="AV15" s="663" t="s">
        <v>638</v>
      </c>
      <c r="AW15" s="664" t="s">
        <v>313</v>
      </c>
      <c r="AX15" s="663" t="s">
        <v>638</v>
      </c>
      <c r="AY15" s="664" t="s">
        <v>313</v>
      </c>
      <c r="AZ15" s="663" t="s">
        <v>638</v>
      </c>
      <c r="BA15" s="664" t="s">
        <v>313</v>
      </c>
      <c r="BB15" s="665" t="s">
        <v>316</v>
      </c>
      <c r="BC15" s="666"/>
      <c r="BD15" s="532" t="s">
        <v>307</v>
      </c>
      <c r="BE15" s="658" t="s">
        <v>290</v>
      </c>
      <c r="BF15" s="659" t="s">
        <v>291</v>
      </c>
      <c r="BG15" s="660" t="s">
        <v>639</v>
      </c>
      <c r="BH15" s="660" t="s">
        <v>309</v>
      </c>
      <c r="BI15" s="661" t="s">
        <v>310</v>
      </c>
      <c r="BJ15" s="662" t="s">
        <v>640</v>
      </c>
      <c r="BK15" s="663" t="s">
        <v>635</v>
      </c>
      <c r="BL15" s="664" t="s">
        <v>313</v>
      </c>
      <c r="BM15" s="663" t="s">
        <v>635</v>
      </c>
      <c r="BN15" s="664" t="s">
        <v>313</v>
      </c>
      <c r="BO15" s="663" t="s">
        <v>636</v>
      </c>
      <c r="BP15" s="664" t="s">
        <v>313</v>
      </c>
      <c r="BQ15" s="663" t="s">
        <v>635</v>
      </c>
      <c r="BR15" s="664" t="s">
        <v>313</v>
      </c>
      <c r="BS15" s="663" t="s">
        <v>635</v>
      </c>
      <c r="BT15" s="664" t="s">
        <v>313</v>
      </c>
      <c r="BU15" s="663" t="s">
        <v>635</v>
      </c>
      <c r="BV15" s="664" t="s">
        <v>313</v>
      </c>
      <c r="BW15" s="663" t="s">
        <v>638</v>
      </c>
      <c r="BX15" s="664" t="s">
        <v>313</v>
      </c>
      <c r="BY15" s="663" t="s">
        <v>635</v>
      </c>
      <c r="BZ15" s="664" t="s">
        <v>313</v>
      </c>
      <c r="CA15" s="663" t="s">
        <v>635</v>
      </c>
      <c r="CB15" s="664" t="s">
        <v>313</v>
      </c>
      <c r="CC15" s="663" t="s">
        <v>636</v>
      </c>
      <c r="CD15" s="664" t="s">
        <v>313</v>
      </c>
      <c r="CE15" s="663" t="s">
        <v>636</v>
      </c>
      <c r="CF15" s="664" t="s">
        <v>313</v>
      </c>
      <c r="CG15" s="663" t="s">
        <v>635</v>
      </c>
      <c r="CH15" s="664" t="s">
        <v>313</v>
      </c>
      <c r="CI15" s="663" t="s">
        <v>635</v>
      </c>
      <c r="CJ15" s="664" t="s">
        <v>313</v>
      </c>
      <c r="CK15" s="663" t="s">
        <v>635</v>
      </c>
      <c r="CL15" s="664" t="s">
        <v>313</v>
      </c>
      <c r="CM15" s="663" t="s">
        <v>635</v>
      </c>
      <c r="CN15" s="664" t="s">
        <v>313</v>
      </c>
      <c r="CO15" s="663" t="s">
        <v>635</v>
      </c>
      <c r="CP15" s="664" t="s">
        <v>313</v>
      </c>
      <c r="CQ15" s="663" t="s">
        <v>635</v>
      </c>
      <c r="CR15" s="664" t="s">
        <v>313</v>
      </c>
      <c r="CS15" s="663" t="s">
        <v>635</v>
      </c>
      <c r="CT15" s="664" t="s">
        <v>313</v>
      </c>
      <c r="CU15" s="663" t="s">
        <v>635</v>
      </c>
      <c r="CV15" s="664" t="s">
        <v>313</v>
      </c>
      <c r="CW15" s="663" t="s">
        <v>636</v>
      </c>
      <c r="CX15" s="664" t="s">
        <v>313</v>
      </c>
      <c r="CY15" s="663" t="s">
        <v>635</v>
      </c>
      <c r="CZ15" s="664" t="s">
        <v>313</v>
      </c>
      <c r="DA15" s="663" t="s">
        <v>636</v>
      </c>
      <c r="DB15" s="664" t="s">
        <v>313</v>
      </c>
      <c r="DC15" s="663" t="s">
        <v>638</v>
      </c>
      <c r="DD15" s="664" t="s">
        <v>313</v>
      </c>
      <c r="DE15" s="665" t="s">
        <v>316</v>
      </c>
      <c r="DF15" s="666"/>
      <c r="DG15" s="532" t="s">
        <v>307</v>
      </c>
      <c r="DH15" s="667" t="s">
        <v>290</v>
      </c>
      <c r="DI15" s="668" t="s">
        <v>291</v>
      </c>
      <c r="DJ15" s="669" t="s">
        <v>633</v>
      </c>
      <c r="DK15" s="669" t="s">
        <v>309</v>
      </c>
      <c r="DL15" s="670" t="s">
        <v>310</v>
      </c>
      <c r="DM15" s="662" t="s">
        <v>634</v>
      </c>
      <c r="DN15" s="663" t="s">
        <v>635</v>
      </c>
      <c r="DO15" s="664" t="s">
        <v>313</v>
      </c>
      <c r="DP15" s="663" t="s">
        <v>635</v>
      </c>
      <c r="DQ15" s="664" t="s">
        <v>313</v>
      </c>
      <c r="DR15" s="663" t="s">
        <v>637</v>
      </c>
      <c r="DS15" s="664" t="s">
        <v>313</v>
      </c>
      <c r="DT15" s="663" t="s">
        <v>635</v>
      </c>
      <c r="DU15" s="664" t="s">
        <v>313</v>
      </c>
      <c r="DV15" s="663" t="s">
        <v>635</v>
      </c>
      <c r="DW15" s="664" t="s">
        <v>313</v>
      </c>
      <c r="DX15" s="663" t="s">
        <v>635</v>
      </c>
      <c r="DY15" s="664" t="s">
        <v>313</v>
      </c>
      <c r="DZ15" s="663" t="s">
        <v>635</v>
      </c>
      <c r="EA15" s="664" t="s">
        <v>313</v>
      </c>
      <c r="EB15" s="663" t="s">
        <v>636</v>
      </c>
      <c r="EC15" s="664" t="s">
        <v>313</v>
      </c>
      <c r="ED15" s="663" t="s">
        <v>635</v>
      </c>
      <c r="EE15" s="664" t="s">
        <v>313</v>
      </c>
      <c r="EF15" s="663" t="s">
        <v>635</v>
      </c>
      <c r="EG15" s="664" t="s">
        <v>313</v>
      </c>
      <c r="EH15" s="663" t="s">
        <v>638</v>
      </c>
      <c r="EI15" s="664" t="s">
        <v>313</v>
      </c>
      <c r="EJ15" s="663" t="s">
        <v>635</v>
      </c>
      <c r="EK15" s="664" t="s">
        <v>313</v>
      </c>
      <c r="EL15" s="663" t="s">
        <v>635</v>
      </c>
      <c r="EM15" s="664" t="s">
        <v>313</v>
      </c>
      <c r="EN15" s="663" t="s">
        <v>635</v>
      </c>
      <c r="EO15" s="664" t="s">
        <v>313</v>
      </c>
      <c r="EP15" s="663" t="s">
        <v>636</v>
      </c>
      <c r="EQ15" s="664" t="s">
        <v>313</v>
      </c>
      <c r="ER15" s="663" t="s">
        <v>635</v>
      </c>
      <c r="ES15" s="664" t="s">
        <v>313</v>
      </c>
      <c r="ET15" s="663" t="s">
        <v>636</v>
      </c>
      <c r="EU15" s="664" t="s">
        <v>313</v>
      </c>
      <c r="EV15" s="663" t="s">
        <v>635</v>
      </c>
      <c r="EW15" s="664" t="s">
        <v>313</v>
      </c>
      <c r="EX15" s="663" t="s">
        <v>635</v>
      </c>
      <c r="EY15" s="664" t="s">
        <v>313</v>
      </c>
      <c r="EZ15" s="663" t="s">
        <v>638</v>
      </c>
      <c r="FA15" s="664" t="s">
        <v>313</v>
      </c>
      <c r="FB15" s="663" t="s">
        <v>635</v>
      </c>
      <c r="FC15" s="664" t="s">
        <v>313</v>
      </c>
      <c r="FD15" s="663" t="s">
        <v>635</v>
      </c>
      <c r="FE15" s="664" t="s">
        <v>313</v>
      </c>
      <c r="FF15" s="663" t="s">
        <v>635</v>
      </c>
      <c r="FG15" s="664" t="s">
        <v>313</v>
      </c>
      <c r="FH15" s="665" t="s">
        <v>316</v>
      </c>
      <c r="FI15" s="671"/>
      <c r="FJ15" s="542" t="s">
        <v>307</v>
      </c>
      <c r="FK15" s="658" t="s">
        <v>290</v>
      </c>
      <c r="FL15" s="659" t="s">
        <v>291</v>
      </c>
      <c r="FM15" s="660" t="s">
        <v>633</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353" ht="20.100000000000001" customHeight="1">
      <c r="A16" s="552"/>
      <c r="B16" s="554" t="s">
        <v>204</v>
      </c>
      <c r="C16" s="679" t="s">
        <v>70</v>
      </c>
      <c r="D16" s="555">
        <v>54</v>
      </c>
      <c r="E16" s="680">
        <v>0.67</v>
      </c>
      <c r="F16" s="681"/>
      <c r="G16" s="682">
        <v>3.4</v>
      </c>
      <c r="H16" s="559">
        <f>ROUND(54*0.67*3.4,0)</f>
        <v>123</v>
      </c>
      <c r="I16" s="683">
        <v>3</v>
      </c>
      <c r="J16" s="559">
        <f>ROUND(54*0.67*3,0)</f>
        <v>109</v>
      </c>
      <c r="K16" s="683">
        <v>2.7</v>
      </c>
      <c r="L16" s="559">
        <f>ROUND(54*0.67*2.7,0)</f>
        <v>98</v>
      </c>
      <c r="M16" s="683">
        <v>2.4</v>
      </c>
      <c r="N16" s="559">
        <f>ROUND(54*0.67*2.4,0)</f>
        <v>87</v>
      </c>
      <c r="O16" s="683">
        <v>2.2000000000000002</v>
      </c>
      <c r="P16" s="559">
        <f>ROUND(54*0.67*2.2,0)</f>
        <v>80</v>
      </c>
      <c r="Q16" s="683">
        <v>2.5</v>
      </c>
      <c r="R16" s="559">
        <f>ROUND(54*0.67*2.5,0)</f>
        <v>90</v>
      </c>
      <c r="S16" s="683">
        <v>4.5</v>
      </c>
      <c r="T16" s="559">
        <f>ROUND(54*0.67*4.5,0)</f>
        <v>163</v>
      </c>
      <c r="U16" s="683">
        <v>7.3</v>
      </c>
      <c r="V16" s="559">
        <f>ROUND(54*0.67*7.3,0)</f>
        <v>264</v>
      </c>
      <c r="W16" s="683">
        <v>10.5</v>
      </c>
      <c r="X16" s="559">
        <f>ROUND(54*0.67*10.5,0)</f>
        <v>380</v>
      </c>
      <c r="Y16" s="683">
        <v>13.2</v>
      </c>
      <c r="Z16" s="559">
        <f>ROUND(54*0.67*13.2,0)</f>
        <v>478</v>
      </c>
      <c r="AA16" s="683">
        <v>15</v>
      </c>
      <c r="AB16" s="559">
        <f>ROUND(54*0.67*15,0)</f>
        <v>543</v>
      </c>
      <c r="AC16" s="683">
        <v>15.5</v>
      </c>
      <c r="AD16" s="559">
        <f>ROUND(54*0.67*15.5,0)</f>
        <v>561</v>
      </c>
      <c r="AE16" s="683">
        <v>14.9</v>
      </c>
      <c r="AF16" s="559">
        <f>ROUND(54*0.67*14.9,0)</f>
        <v>539</v>
      </c>
      <c r="AG16" s="683">
        <v>14.2</v>
      </c>
      <c r="AH16" s="559">
        <f>ROUND(54*0.67*14.2,0)</f>
        <v>514</v>
      </c>
      <c r="AI16" s="683">
        <v>13.5</v>
      </c>
      <c r="AJ16" s="559">
        <f>ROUND(54*0.67*13.5,0)</f>
        <v>488</v>
      </c>
      <c r="AK16" s="683">
        <v>12.7</v>
      </c>
      <c r="AL16" s="559">
        <f>ROUND(54*0.67*12.7,0)</f>
        <v>459</v>
      </c>
      <c r="AM16" s="683">
        <v>11.6</v>
      </c>
      <c r="AN16" s="559">
        <f>ROUND(54*0.67*11.6,0)</f>
        <v>420</v>
      </c>
      <c r="AO16" s="683">
        <v>10.199999999999999</v>
      </c>
      <c r="AP16" s="559">
        <f>ROUND(54*0.67*10.2,0)</f>
        <v>369</v>
      </c>
      <c r="AQ16" s="683">
        <v>8.5</v>
      </c>
      <c r="AR16" s="559">
        <f>ROUND(54*0.67*8.5,0)</f>
        <v>308</v>
      </c>
      <c r="AS16" s="683">
        <v>7</v>
      </c>
      <c r="AT16" s="559">
        <f>ROUND(54*0.67*7,0)</f>
        <v>253</v>
      </c>
      <c r="AU16" s="683">
        <v>5.8</v>
      </c>
      <c r="AV16" s="559">
        <f>ROUND(54*0.67*5.8,0)</f>
        <v>210</v>
      </c>
      <c r="AW16" s="683">
        <v>4.9000000000000004</v>
      </c>
      <c r="AX16" s="559">
        <f>ROUND(54*0.67*4.9,0)</f>
        <v>177</v>
      </c>
      <c r="AY16" s="683">
        <v>4.3</v>
      </c>
      <c r="AZ16" s="559">
        <f>ROUND(54*0.67*4.3,0)</f>
        <v>156</v>
      </c>
      <c r="BA16" s="683">
        <v>3.8</v>
      </c>
      <c r="BB16" s="684">
        <f>ROUND(54*0.67*3.8,0)</f>
        <v>137</v>
      </c>
      <c r="BC16" s="562"/>
      <c r="BD16" s="552"/>
      <c r="BE16" s="554" t="s">
        <v>204</v>
      </c>
      <c r="BF16" s="679" t="s">
        <v>70</v>
      </c>
      <c r="BG16" s="555">
        <v>54</v>
      </c>
      <c r="BH16" s="680">
        <v>0.67</v>
      </c>
      <c r="BI16" s="681"/>
      <c r="BJ16" s="682">
        <v>2.7</v>
      </c>
      <c r="BK16" s="559">
        <f>ROUND(54*0.67*2.7,0)</f>
        <v>98</v>
      </c>
      <c r="BL16" s="683">
        <v>2.2999999999999998</v>
      </c>
      <c r="BM16" s="559">
        <f>ROUND(54*0.67*2.3,0)</f>
        <v>83</v>
      </c>
      <c r="BN16" s="683">
        <v>2</v>
      </c>
      <c r="BO16" s="559">
        <f>ROUND(54*0.67*2,0)</f>
        <v>72</v>
      </c>
      <c r="BP16" s="683">
        <v>1.7</v>
      </c>
      <c r="BQ16" s="559">
        <f>ROUND(54*0.67*1.7,0)</f>
        <v>62</v>
      </c>
      <c r="BR16" s="683">
        <v>1.6</v>
      </c>
      <c r="BS16" s="559">
        <f>ROUND(54*0.67*1.6,0)</f>
        <v>58</v>
      </c>
      <c r="BT16" s="683">
        <v>2.8</v>
      </c>
      <c r="BU16" s="559">
        <f>ROUND(54*0.67*2.8,0)</f>
        <v>101</v>
      </c>
      <c r="BV16" s="683">
        <v>6.6</v>
      </c>
      <c r="BW16" s="559">
        <f>ROUND(54*0.67*6.6,0)</f>
        <v>239</v>
      </c>
      <c r="BX16" s="683">
        <v>11.4</v>
      </c>
      <c r="BY16" s="559">
        <f>ROUND(54*0.67*11.4,0)</f>
        <v>412</v>
      </c>
      <c r="BZ16" s="683">
        <v>15.6</v>
      </c>
      <c r="CA16" s="559">
        <f>ROUND(54*0.67*15.6,0)</f>
        <v>564</v>
      </c>
      <c r="CB16" s="683">
        <v>18.5</v>
      </c>
      <c r="CC16" s="559">
        <f>ROUND(54*0.67*18.5,0)</f>
        <v>669</v>
      </c>
      <c r="CD16" s="683">
        <v>19.5</v>
      </c>
      <c r="CE16" s="559">
        <f>ROUND(54*0.67*19.5,0)</f>
        <v>706</v>
      </c>
      <c r="CF16" s="683">
        <v>18.8</v>
      </c>
      <c r="CG16" s="559">
        <f>ROUND(54*0.67*18.8,0)</f>
        <v>680</v>
      </c>
      <c r="CH16" s="683">
        <v>16.8</v>
      </c>
      <c r="CI16" s="559">
        <f>ROUND(54*0.67*16.8,0)</f>
        <v>608</v>
      </c>
      <c r="CJ16" s="683">
        <v>14.9</v>
      </c>
      <c r="CK16" s="559">
        <f>ROUND(54*0.67*14.9,0)</f>
        <v>539</v>
      </c>
      <c r="CL16" s="683">
        <v>13.6</v>
      </c>
      <c r="CM16" s="559">
        <f>ROUND(54*0.67*13.6,0)</f>
        <v>492</v>
      </c>
      <c r="CN16" s="683">
        <v>12.4</v>
      </c>
      <c r="CO16" s="559">
        <f>ROUND(54*0.67*12.4,0)</f>
        <v>449</v>
      </c>
      <c r="CP16" s="683">
        <v>11.2</v>
      </c>
      <c r="CQ16" s="559">
        <f>ROUND(54*0.67*11.2,0)</f>
        <v>405</v>
      </c>
      <c r="CR16" s="683">
        <v>9.9</v>
      </c>
      <c r="CS16" s="559">
        <f>ROUND(54*0.67*9.9,0)</f>
        <v>358</v>
      </c>
      <c r="CT16" s="683">
        <v>8.4</v>
      </c>
      <c r="CU16" s="559">
        <f>ROUND(54*0.67*8.4,0)</f>
        <v>304</v>
      </c>
      <c r="CV16" s="683">
        <v>6.7</v>
      </c>
      <c r="CW16" s="559">
        <f>ROUND(54*0.67*6.7,0)</f>
        <v>242</v>
      </c>
      <c r="CX16" s="683">
        <v>5.4</v>
      </c>
      <c r="CY16" s="559">
        <f>ROUND(54*0.67*5.4,0)</f>
        <v>195</v>
      </c>
      <c r="CZ16" s="683">
        <v>4.4000000000000004</v>
      </c>
      <c r="DA16" s="559">
        <f>ROUND(54*0.67*4.4,0)</f>
        <v>159</v>
      </c>
      <c r="DB16" s="683">
        <v>3.6</v>
      </c>
      <c r="DC16" s="559">
        <f>ROUND(54*0.67*3.6,0)</f>
        <v>130</v>
      </c>
      <c r="DD16" s="683">
        <v>3.1</v>
      </c>
      <c r="DE16" s="684">
        <f>ROUND(54*0.67*3.1,0)</f>
        <v>112</v>
      </c>
      <c r="DF16" s="562"/>
      <c r="DG16" s="552"/>
      <c r="DH16" s="554" t="s">
        <v>204</v>
      </c>
      <c r="DI16" s="679" t="s">
        <v>70</v>
      </c>
      <c r="DJ16" s="555">
        <v>54</v>
      </c>
      <c r="DK16" s="680">
        <v>0.67</v>
      </c>
      <c r="DL16" s="681"/>
      <c r="DM16" s="682">
        <v>0.9</v>
      </c>
      <c r="DN16" s="559">
        <f>ROUND(54*0.67*0.9,0)</f>
        <v>33</v>
      </c>
      <c r="DO16" s="683">
        <v>0.5</v>
      </c>
      <c r="DP16" s="559">
        <f>ROUND(54*0.67*0.5,0)</f>
        <v>18</v>
      </c>
      <c r="DQ16" s="683">
        <v>0.1</v>
      </c>
      <c r="DR16" s="559">
        <f>ROUND(54*0.67*0.1,0)</f>
        <v>4</v>
      </c>
      <c r="DS16" s="683">
        <v>0</v>
      </c>
      <c r="DT16" s="559">
        <f>ROUND(54*0.67*0,0)</f>
        <v>0</v>
      </c>
      <c r="DU16" s="683">
        <v>0</v>
      </c>
      <c r="DV16" s="559">
        <f>ROUND(54*0.67*0,0)</f>
        <v>0</v>
      </c>
      <c r="DW16" s="683">
        <v>0</v>
      </c>
      <c r="DX16" s="559">
        <f>ROUND(54*0.67*0,0)</f>
        <v>0</v>
      </c>
      <c r="DY16" s="683">
        <v>3.6</v>
      </c>
      <c r="DZ16" s="559">
        <f>ROUND(54*0.67*3.6,0)</f>
        <v>130</v>
      </c>
      <c r="EA16" s="683">
        <v>8.6999999999999993</v>
      </c>
      <c r="EB16" s="559">
        <f>ROUND(54*0.67*8.7,0)</f>
        <v>315</v>
      </c>
      <c r="EC16" s="683">
        <v>13.4</v>
      </c>
      <c r="ED16" s="559">
        <f>ROUND(54*0.67*13.4,0)</f>
        <v>485</v>
      </c>
      <c r="EE16" s="683">
        <v>16.600000000000001</v>
      </c>
      <c r="EF16" s="559">
        <f>ROUND(54*0.67*16.6,0)</f>
        <v>601</v>
      </c>
      <c r="EG16" s="683">
        <v>18</v>
      </c>
      <c r="EH16" s="559">
        <f>ROUND(54*0.67*18,0)</f>
        <v>651</v>
      </c>
      <c r="EI16" s="683">
        <v>17.399999999999999</v>
      </c>
      <c r="EJ16" s="559">
        <f>ROUND(54*0.67*17.4,0)</f>
        <v>630</v>
      </c>
      <c r="EK16" s="683">
        <v>15.3</v>
      </c>
      <c r="EL16" s="559">
        <f>ROUND(54*0.67*15.3,0)</f>
        <v>554</v>
      </c>
      <c r="EM16" s="683">
        <v>13.2</v>
      </c>
      <c r="EN16" s="559">
        <f>ROUND(54*0.67*13.2,0)</f>
        <v>478</v>
      </c>
      <c r="EO16" s="683">
        <v>11.6</v>
      </c>
      <c r="EP16" s="559">
        <f>ROUND(54*0.67*11.6,0)</f>
        <v>420</v>
      </c>
      <c r="EQ16" s="683">
        <v>10.199999999999999</v>
      </c>
      <c r="ER16" s="559">
        <f>ROUND(54*0.67*10.2,0)</f>
        <v>369</v>
      </c>
      <c r="ES16" s="683">
        <v>8.8000000000000007</v>
      </c>
      <c r="ET16" s="559">
        <f>ROUND(54*0.67*8.8,0)</f>
        <v>318</v>
      </c>
      <c r="EU16" s="683">
        <v>7.2</v>
      </c>
      <c r="EV16" s="559">
        <f>ROUND(54*0.67*7.2,0)</f>
        <v>260</v>
      </c>
      <c r="EW16" s="683">
        <v>5.6</v>
      </c>
      <c r="EX16" s="559">
        <f>ROUND(54*0.67*5.6,0)</f>
        <v>203</v>
      </c>
      <c r="EY16" s="683">
        <v>4.2</v>
      </c>
      <c r="EZ16" s="559">
        <f>ROUND(54*0.67*4.2,0)</f>
        <v>152</v>
      </c>
      <c r="FA16" s="683">
        <v>3.1</v>
      </c>
      <c r="FB16" s="559">
        <f>ROUND(54*0.67*3.1,0)</f>
        <v>112</v>
      </c>
      <c r="FC16" s="683">
        <v>2.2999999999999998</v>
      </c>
      <c r="FD16" s="559">
        <f>ROUND(54*0.67*2.3,0)</f>
        <v>83</v>
      </c>
      <c r="FE16" s="683">
        <v>1.7</v>
      </c>
      <c r="FF16" s="559">
        <f>ROUND(54*0.67*1.7,0)</f>
        <v>62</v>
      </c>
      <c r="FG16" s="683">
        <v>1.3</v>
      </c>
      <c r="FH16" s="684">
        <f>ROUND(54*0.67*1.3,0)</f>
        <v>47</v>
      </c>
      <c r="FI16" s="563"/>
      <c r="FJ16" s="564"/>
      <c r="FK16" s="554" t="s">
        <v>204</v>
      </c>
      <c r="FL16" s="679" t="s">
        <v>70</v>
      </c>
      <c r="FM16" s="555">
        <v>54</v>
      </c>
      <c r="FN16" s="680">
        <v>0.67</v>
      </c>
      <c r="FO16" s="681"/>
      <c r="FP16" s="685">
        <v>5</v>
      </c>
      <c r="FQ16" s="686">
        <v>19.3</v>
      </c>
      <c r="FR16" s="559">
        <f>ROUND(54*0.67*19.3,0)</f>
        <v>698</v>
      </c>
      <c r="FS16" s="687">
        <v>8</v>
      </c>
      <c r="FT16" s="686">
        <v>17.600000000000001</v>
      </c>
      <c r="FU16" s="567">
        <f>ROUND(54*0.67*17.6,0)</f>
        <v>637</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204</v>
      </c>
      <c r="C17" s="691" t="s">
        <v>72</v>
      </c>
      <c r="D17" s="583">
        <v>45.23</v>
      </c>
      <c r="E17" s="692">
        <v>0.67</v>
      </c>
      <c r="F17" s="693"/>
      <c r="G17" s="694">
        <v>3.5</v>
      </c>
      <c r="H17" s="587">
        <f>ROUND(45.23*0.67*3.5,0)</f>
        <v>106</v>
      </c>
      <c r="I17" s="695">
        <v>3.1</v>
      </c>
      <c r="J17" s="587">
        <f>ROUND(45.23*0.67*3.1,0)</f>
        <v>94</v>
      </c>
      <c r="K17" s="695">
        <v>2.7</v>
      </c>
      <c r="L17" s="587">
        <f>ROUND(45.23*0.67*2.7,0)</f>
        <v>82</v>
      </c>
      <c r="M17" s="695">
        <v>2.4</v>
      </c>
      <c r="N17" s="587">
        <f>ROUND(45.23*0.67*2.4,0)</f>
        <v>73</v>
      </c>
      <c r="O17" s="695">
        <v>2.1</v>
      </c>
      <c r="P17" s="587">
        <f>ROUND(45.23*0.67*2.1,0)</f>
        <v>64</v>
      </c>
      <c r="Q17" s="695">
        <v>2.1</v>
      </c>
      <c r="R17" s="587">
        <f>ROUND(45.23*0.67*2.1,0)</f>
        <v>64</v>
      </c>
      <c r="S17" s="695">
        <v>2.5</v>
      </c>
      <c r="T17" s="587">
        <f>ROUND(45.23*0.67*2.5,0)</f>
        <v>76</v>
      </c>
      <c r="U17" s="695">
        <v>3.6</v>
      </c>
      <c r="V17" s="587">
        <f>ROUND(45.23*0.67*3.6,0)</f>
        <v>109</v>
      </c>
      <c r="W17" s="695">
        <v>5.0999999999999996</v>
      </c>
      <c r="X17" s="587">
        <f>ROUND(45.23*0.67*5.1,0)</f>
        <v>155</v>
      </c>
      <c r="Y17" s="695">
        <v>6.9</v>
      </c>
      <c r="Z17" s="587">
        <f>ROUND(45.23*0.67*6.9,0)</f>
        <v>209</v>
      </c>
      <c r="AA17" s="695">
        <v>9.1</v>
      </c>
      <c r="AB17" s="587">
        <f>ROUND(45.23*0.67*9.1,0)</f>
        <v>276</v>
      </c>
      <c r="AC17" s="695">
        <v>11.5</v>
      </c>
      <c r="AD17" s="587">
        <f>ROUND(45.23*0.67*11.5,0)</f>
        <v>348</v>
      </c>
      <c r="AE17" s="695">
        <v>13.7</v>
      </c>
      <c r="AF17" s="587">
        <f>ROUND(45.23*0.67*13.7,0)</f>
        <v>415</v>
      </c>
      <c r="AG17" s="695">
        <v>15.5</v>
      </c>
      <c r="AH17" s="587">
        <f>ROUND(45.23*0.67*15.5,0)</f>
        <v>470</v>
      </c>
      <c r="AI17" s="695">
        <v>16.3</v>
      </c>
      <c r="AJ17" s="587">
        <f>ROUND(45.23*0.67*16.3,0)</f>
        <v>494</v>
      </c>
      <c r="AK17" s="695">
        <v>16</v>
      </c>
      <c r="AL17" s="587">
        <f>ROUND(45.23*0.67*16,0)</f>
        <v>485</v>
      </c>
      <c r="AM17" s="695">
        <v>14.7</v>
      </c>
      <c r="AN17" s="587">
        <f>ROUND(45.23*0.67*14.7,0)</f>
        <v>445</v>
      </c>
      <c r="AO17" s="695">
        <v>12.6</v>
      </c>
      <c r="AP17" s="587">
        <f>ROUND(45.23*0.67*12.6,0)</f>
        <v>382</v>
      </c>
      <c r="AQ17" s="695">
        <v>10.199999999999999</v>
      </c>
      <c r="AR17" s="587">
        <f>ROUND(45.23*0.67*10.2,0)</f>
        <v>309</v>
      </c>
      <c r="AS17" s="695">
        <v>8</v>
      </c>
      <c r="AT17" s="587">
        <f>ROUND(45.23*0.67*8,0)</f>
        <v>242</v>
      </c>
      <c r="AU17" s="695">
        <v>6.4</v>
      </c>
      <c r="AV17" s="587">
        <f>ROUND(45.23*0.67*6.4,0)</f>
        <v>194</v>
      </c>
      <c r="AW17" s="695">
        <v>5.3</v>
      </c>
      <c r="AX17" s="587">
        <f>ROUND(45.23*0.67*5.3,0)</f>
        <v>161</v>
      </c>
      <c r="AY17" s="695">
        <v>4.5</v>
      </c>
      <c r="AZ17" s="587">
        <f>ROUND(45.23*0.67*4.5,0)</f>
        <v>136</v>
      </c>
      <c r="BA17" s="695">
        <v>3.9</v>
      </c>
      <c r="BB17" s="589">
        <f>ROUND(45.23*0.67*3.9,0)</f>
        <v>118</v>
      </c>
      <c r="BC17" s="562"/>
      <c r="BD17" s="552"/>
      <c r="BE17" s="582" t="s">
        <v>204</v>
      </c>
      <c r="BF17" s="691" t="s">
        <v>72</v>
      </c>
      <c r="BG17" s="583">
        <v>45.23</v>
      </c>
      <c r="BH17" s="692">
        <v>0.67</v>
      </c>
      <c r="BI17" s="693"/>
      <c r="BJ17" s="694">
        <v>2.9</v>
      </c>
      <c r="BK17" s="587">
        <f>ROUND(45.23*0.67*2.9,0)</f>
        <v>88</v>
      </c>
      <c r="BL17" s="695">
        <v>2.4</v>
      </c>
      <c r="BM17" s="587">
        <f>ROUND(45.23*0.67*2.4,0)</f>
        <v>73</v>
      </c>
      <c r="BN17" s="695">
        <v>2.1</v>
      </c>
      <c r="BO17" s="587">
        <f>ROUND(45.23*0.67*2.1,0)</f>
        <v>64</v>
      </c>
      <c r="BP17" s="695">
        <v>1.8</v>
      </c>
      <c r="BQ17" s="587">
        <f>ROUND(45.23*0.67*1.8,0)</f>
        <v>55</v>
      </c>
      <c r="BR17" s="695">
        <v>1.5</v>
      </c>
      <c r="BS17" s="587">
        <f>ROUND(45.23*0.67*1.5,0)</f>
        <v>45</v>
      </c>
      <c r="BT17" s="695">
        <v>1.5</v>
      </c>
      <c r="BU17" s="587">
        <f>ROUND(45.23*0.67*1.5,0)</f>
        <v>45</v>
      </c>
      <c r="BV17" s="695">
        <v>2</v>
      </c>
      <c r="BW17" s="587">
        <f>ROUND(45.23*0.67*2,0)</f>
        <v>61</v>
      </c>
      <c r="BX17" s="695">
        <v>3.1</v>
      </c>
      <c r="BY17" s="587">
        <f>ROUND(45.23*0.67*3.1,0)</f>
        <v>94</v>
      </c>
      <c r="BZ17" s="695">
        <v>4.5999999999999996</v>
      </c>
      <c r="CA17" s="587">
        <f>ROUND(45.23*0.67*4.6,0)</f>
        <v>139</v>
      </c>
      <c r="CB17" s="695">
        <v>6.4</v>
      </c>
      <c r="CC17" s="587">
        <f>ROUND(45.23*0.67*6.4,0)</f>
        <v>194</v>
      </c>
      <c r="CD17" s="695">
        <v>8.6999999999999993</v>
      </c>
      <c r="CE17" s="587">
        <f>ROUND(45.23*0.67*8.7,0)</f>
        <v>264</v>
      </c>
      <c r="CF17" s="695">
        <v>11.5</v>
      </c>
      <c r="CG17" s="587">
        <f>ROUND(45.23*0.67*11.5,0)</f>
        <v>348</v>
      </c>
      <c r="CH17" s="695">
        <v>14.2</v>
      </c>
      <c r="CI17" s="587">
        <f>ROUND(45.23*0.67*14.2,0)</f>
        <v>430</v>
      </c>
      <c r="CJ17" s="695">
        <v>16.5</v>
      </c>
      <c r="CK17" s="587">
        <f>ROUND(45.23*0.67*16.5,0)</f>
        <v>500</v>
      </c>
      <c r="CL17" s="695">
        <v>17.7</v>
      </c>
      <c r="CM17" s="587">
        <f>ROUND(45.23*0.67*17.7,0)</f>
        <v>536</v>
      </c>
      <c r="CN17" s="695">
        <v>17.8</v>
      </c>
      <c r="CO17" s="587">
        <f>ROUND(45.23*0.67*17.8,0)</f>
        <v>539</v>
      </c>
      <c r="CP17" s="695">
        <v>16.600000000000001</v>
      </c>
      <c r="CQ17" s="587">
        <f>ROUND(45.23*0.67*16.6,0)</f>
        <v>503</v>
      </c>
      <c r="CR17" s="695">
        <v>14.4</v>
      </c>
      <c r="CS17" s="587">
        <f>ROUND(45.23*0.67*14.4,0)</f>
        <v>436</v>
      </c>
      <c r="CT17" s="695">
        <v>11.4</v>
      </c>
      <c r="CU17" s="587">
        <f>ROUND(45.23*0.67*11.4,0)</f>
        <v>345</v>
      </c>
      <c r="CV17" s="695">
        <v>8.6999999999999993</v>
      </c>
      <c r="CW17" s="587">
        <f>ROUND(45.23*0.67*8.7,0)</f>
        <v>264</v>
      </c>
      <c r="CX17" s="695">
        <v>6.6</v>
      </c>
      <c r="CY17" s="587">
        <f>ROUND(45.23*0.67*6.6,0)</f>
        <v>200</v>
      </c>
      <c r="CZ17" s="695">
        <v>5.0999999999999996</v>
      </c>
      <c r="DA17" s="587">
        <f>ROUND(45.23*0.67*5.1,0)</f>
        <v>155</v>
      </c>
      <c r="DB17" s="695">
        <v>4.0999999999999996</v>
      </c>
      <c r="DC17" s="587">
        <f>ROUND(45.23*0.67*4.1,0)</f>
        <v>124</v>
      </c>
      <c r="DD17" s="695">
        <v>3.4</v>
      </c>
      <c r="DE17" s="589">
        <f>ROUND(45.23*0.67*3.4,0)</f>
        <v>103</v>
      </c>
      <c r="DF17" s="562"/>
      <c r="DG17" s="552"/>
      <c r="DH17" s="582" t="s">
        <v>204</v>
      </c>
      <c r="DI17" s="691" t="s">
        <v>72</v>
      </c>
      <c r="DJ17" s="583">
        <v>45.23</v>
      </c>
      <c r="DK17" s="692">
        <v>0.67</v>
      </c>
      <c r="DL17" s="693"/>
      <c r="DM17" s="694">
        <v>1.1000000000000001</v>
      </c>
      <c r="DN17" s="587">
        <f>ROUND(45.23*0.67*1.1,0)</f>
        <v>33</v>
      </c>
      <c r="DO17" s="695">
        <v>0.6</v>
      </c>
      <c r="DP17" s="587">
        <f>ROUND(45.23*0.67*0.6,0)</f>
        <v>18</v>
      </c>
      <c r="DQ17" s="695">
        <v>0.2</v>
      </c>
      <c r="DR17" s="587">
        <f>ROUND(45.23*0.67*0.2,0)</f>
        <v>6</v>
      </c>
      <c r="DS17" s="695">
        <v>0</v>
      </c>
      <c r="DT17" s="587">
        <f>ROUND(45.23*0.67*0,0)</f>
        <v>0</v>
      </c>
      <c r="DU17" s="695">
        <v>0</v>
      </c>
      <c r="DV17" s="587">
        <f>ROUND(45.23*0.67*0,0)</f>
        <v>0</v>
      </c>
      <c r="DW17" s="695">
        <v>0</v>
      </c>
      <c r="DX17" s="587">
        <f>ROUND(45.23*0.67*0,0)</f>
        <v>0</v>
      </c>
      <c r="DY17" s="695">
        <v>0</v>
      </c>
      <c r="DZ17" s="587">
        <f>ROUND(45.23*0.67*0,0)</f>
        <v>0</v>
      </c>
      <c r="EA17" s="695">
        <v>0.5</v>
      </c>
      <c r="EB17" s="587">
        <f>ROUND(45.23*0.67*0.5,0)</f>
        <v>15</v>
      </c>
      <c r="EC17" s="695">
        <v>2.2000000000000002</v>
      </c>
      <c r="ED17" s="587">
        <f>ROUND(45.23*0.67*2.2,0)</f>
        <v>67</v>
      </c>
      <c r="EE17" s="695">
        <v>5.0999999999999996</v>
      </c>
      <c r="EF17" s="587">
        <f>ROUND(45.23*0.67*5.1,0)</f>
        <v>155</v>
      </c>
      <c r="EG17" s="695">
        <v>8.9</v>
      </c>
      <c r="EH17" s="587">
        <f>ROUND(45.23*0.67*8.9,0)</f>
        <v>270</v>
      </c>
      <c r="EI17" s="695">
        <v>12.9</v>
      </c>
      <c r="EJ17" s="587">
        <f>ROUND(45.23*0.67*12.9,0)</f>
        <v>391</v>
      </c>
      <c r="EK17" s="695">
        <v>16.399999999999999</v>
      </c>
      <c r="EL17" s="587">
        <f>ROUND(45.23*0.67*16.4,0)</f>
        <v>497</v>
      </c>
      <c r="EM17" s="695">
        <v>18.899999999999999</v>
      </c>
      <c r="EN17" s="587">
        <f>ROUND(45.23*0.67*18.9,0)</f>
        <v>573</v>
      </c>
      <c r="EO17" s="695">
        <v>20.2</v>
      </c>
      <c r="EP17" s="587">
        <f>ROUND(45.23*0.67*20.2,0)</f>
        <v>612</v>
      </c>
      <c r="EQ17" s="695">
        <v>19.8</v>
      </c>
      <c r="ER17" s="587">
        <f>ROUND(45.23*0.67*19.8,0)</f>
        <v>600</v>
      </c>
      <c r="ES17" s="695">
        <v>17.7</v>
      </c>
      <c r="ET17" s="587">
        <f>ROUND(45.23*0.67*17.7,0)</f>
        <v>536</v>
      </c>
      <c r="EU17" s="695">
        <v>14.1</v>
      </c>
      <c r="EV17" s="587">
        <f>ROUND(45.23*0.67*14.1,0)</f>
        <v>427</v>
      </c>
      <c r="EW17" s="695">
        <v>10.1</v>
      </c>
      <c r="EX17" s="587">
        <f>ROUND(45.23*0.67*10.1,0)</f>
        <v>306</v>
      </c>
      <c r="EY17" s="695">
        <v>7</v>
      </c>
      <c r="EZ17" s="587">
        <f>ROUND(45.23*0.67*7,0)</f>
        <v>212</v>
      </c>
      <c r="FA17" s="695">
        <v>4.8</v>
      </c>
      <c r="FB17" s="587">
        <f>ROUND(45.23*0.67*4.8,0)</f>
        <v>145</v>
      </c>
      <c r="FC17" s="695">
        <v>3.4</v>
      </c>
      <c r="FD17" s="587">
        <f>ROUND(45.23*0.67*3.4,0)</f>
        <v>103</v>
      </c>
      <c r="FE17" s="695">
        <v>2.4</v>
      </c>
      <c r="FF17" s="587">
        <f>ROUND(45.23*0.67*2.4,0)</f>
        <v>73</v>
      </c>
      <c r="FG17" s="695">
        <v>1.7</v>
      </c>
      <c r="FH17" s="589">
        <f>ROUND(45.23*0.67*1.7,0)</f>
        <v>52</v>
      </c>
      <c r="FI17" s="563"/>
      <c r="FJ17" s="564"/>
      <c r="FK17" s="582" t="s">
        <v>204</v>
      </c>
      <c r="FL17" s="691" t="s">
        <v>72</v>
      </c>
      <c r="FM17" s="583">
        <v>45.23</v>
      </c>
      <c r="FN17" s="692">
        <v>0.67</v>
      </c>
      <c r="FO17" s="693"/>
      <c r="FP17" s="696">
        <v>5</v>
      </c>
      <c r="FQ17" s="697">
        <v>19.3</v>
      </c>
      <c r="FR17" s="587">
        <f>ROUND(45.23*0.67*19.3,0)</f>
        <v>585</v>
      </c>
      <c r="FS17" s="698">
        <v>8</v>
      </c>
      <c r="FT17" s="697">
        <v>17.600000000000001</v>
      </c>
      <c r="FU17" s="592">
        <f>ROUND(45.23*0.67*17.6,0)</f>
        <v>533</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223</v>
      </c>
      <c r="C18" s="691" t="s">
        <v>72</v>
      </c>
      <c r="D18" s="583">
        <v>8.1</v>
      </c>
      <c r="E18" s="692">
        <v>5.9</v>
      </c>
      <c r="F18" s="693"/>
      <c r="G18" s="694">
        <v>2.5</v>
      </c>
      <c r="H18" s="587">
        <f>ROUND(8.1*5.9*2.5,0)</f>
        <v>119</v>
      </c>
      <c r="I18" s="695">
        <v>2.1</v>
      </c>
      <c r="J18" s="587">
        <f>ROUND(8.1*5.9*2.1,0)</f>
        <v>100</v>
      </c>
      <c r="K18" s="695">
        <v>1.9</v>
      </c>
      <c r="L18" s="587">
        <f>ROUND(8.1*5.9*1.9,0)</f>
        <v>91</v>
      </c>
      <c r="M18" s="695">
        <v>1.7</v>
      </c>
      <c r="N18" s="587">
        <f>ROUND(8.1*5.9*1.7,0)</f>
        <v>81</v>
      </c>
      <c r="O18" s="695">
        <v>1.6</v>
      </c>
      <c r="P18" s="587">
        <f>ROUND(8.1*5.9*1.6,0)</f>
        <v>76</v>
      </c>
      <c r="Q18" s="695">
        <v>1.9</v>
      </c>
      <c r="R18" s="587">
        <f>ROUND(8.1*5.9*1.9,0)</f>
        <v>91</v>
      </c>
      <c r="S18" s="695">
        <v>2.9</v>
      </c>
      <c r="T18" s="587">
        <f>ROUND(8.1*5.9*2.9,0)</f>
        <v>139</v>
      </c>
      <c r="U18" s="695">
        <v>4</v>
      </c>
      <c r="V18" s="587">
        <f>ROUND(8.1*5.9*4,0)</f>
        <v>191</v>
      </c>
      <c r="W18" s="695">
        <v>5.3</v>
      </c>
      <c r="X18" s="587">
        <f>ROUND(8.1*5.9*5.3,0)</f>
        <v>253</v>
      </c>
      <c r="Y18" s="695">
        <v>6.5</v>
      </c>
      <c r="Z18" s="587">
        <f>ROUND(8.1*5.9*6.5,0)</f>
        <v>311</v>
      </c>
      <c r="AA18" s="695">
        <v>7.2</v>
      </c>
      <c r="AB18" s="587">
        <f>ROUND(8.1*5.9*7.2,0)</f>
        <v>344</v>
      </c>
      <c r="AC18" s="695">
        <v>7.7</v>
      </c>
      <c r="AD18" s="587">
        <f>ROUND(8.1*5.9*7.7,0)</f>
        <v>368</v>
      </c>
      <c r="AE18" s="695">
        <v>7.9</v>
      </c>
      <c r="AF18" s="587">
        <f>ROUND(8.1*5.9*7.9,0)</f>
        <v>378</v>
      </c>
      <c r="AG18" s="695">
        <v>7.9</v>
      </c>
      <c r="AH18" s="587">
        <f>ROUND(8.1*5.9*7.9,0)</f>
        <v>378</v>
      </c>
      <c r="AI18" s="695">
        <v>7.4</v>
      </c>
      <c r="AJ18" s="587">
        <f>ROUND(8.1*5.9*7.4,0)</f>
        <v>354</v>
      </c>
      <c r="AK18" s="695">
        <v>6.9</v>
      </c>
      <c r="AL18" s="587">
        <f>ROUND(8.1*5.9*6.9,0)</f>
        <v>330</v>
      </c>
      <c r="AM18" s="695">
        <v>6</v>
      </c>
      <c r="AN18" s="587">
        <f>ROUND(8.1*5.9*6,0)</f>
        <v>287</v>
      </c>
      <c r="AO18" s="695">
        <v>5.3</v>
      </c>
      <c r="AP18" s="587">
        <f>ROUND(8.1*5.9*5.3,0)</f>
        <v>253</v>
      </c>
      <c r="AQ18" s="695">
        <v>4.4000000000000004</v>
      </c>
      <c r="AR18" s="587">
        <f>ROUND(8.1*5.9*4.4,0)</f>
        <v>210</v>
      </c>
      <c r="AS18" s="695">
        <v>3.8</v>
      </c>
      <c r="AT18" s="587">
        <f>ROUND(8.1*5.9*3.8,0)</f>
        <v>182</v>
      </c>
      <c r="AU18" s="695">
        <v>3.5</v>
      </c>
      <c r="AV18" s="587">
        <f>ROUND(8.1*5.9*3.5,0)</f>
        <v>167</v>
      </c>
      <c r="AW18" s="695">
        <v>3.2</v>
      </c>
      <c r="AX18" s="587">
        <f>ROUND(8.1*5.9*3.2,0)</f>
        <v>153</v>
      </c>
      <c r="AY18" s="695">
        <v>2.9</v>
      </c>
      <c r="AZ18" s="587">
        <f>ROUND(8.1*5.9*2.9,0)</f>
        <v>139</v>
      </c>
      <c r="BA18" s="695">
        <v>2.8</v>
      </c>
      <c r="BB18" s="589">
        <f>ROUND(8.1*5.9*2.8,0)</f>
        <v>134</v>
      </c>
      <c r="BC18" s="562"/>
      <c r="BD18" s="552"/>
      <c r="BE18" s="700" t="s">
        <v>223</v>
      </c>
      <c r="BF18" s="691" t="s">
        <v>72</v>
      </c>
      <c r="BG18" s="583">
        <v>8.1</v>
      </c>
      <c r="BH18" s="692">
        <v>5.9</v>
      </c>
      <c r="BI18" s="693"/>
      <c r="BJ18" s="694">
        <v>1.8</v>
      </c>
      <c r="BK18" s="587">
        <f>ROUND(8.1*5.9*1.8,0)</f>
        <v>86</v>
      </c>
      <c r="BL18" s="695">
        <v>1.5</v>
      </c>
      <c r="BM18" s="587">
        <f>ROUND(8.1*5.9*1.5,0)</f>
        <v>72</v>
      </c>
      <c r="BN18" s="695">
        <v>1.3</v>
      </c>
      <c r="BO18" s="587">
        <f>ROUND(8.1*5.9*1.3,0)</f>
        <v>62</v>
      </c>
      <c r="BP18" s="695">
        <v>1.1000000000000001</v>
      </c>
      <c r="BQ18" s="587">
        <f>ROUND(8.1*5.9*1.1,0)</f>
        <v>53</v>
      </c>
      <c r="BR18" s="695">
        <v>1</v>
      </c>
      <c r="BS18" s="587">
        <f>ROUND(8.1*5.9*1,0)</f>
        <v>48</v>
      </c>
      <c r="BT18" s="695">
        <v>1.3</v>
      </c>
      <c r="BU18" s="587">
        <f>ROUND(8.1*5.9*1.3,0)</f>
        <v>62</v>
      </c>
      <c r="BV18" s="695">
        <v>2.4</v>
      </c>
      <c r="BW18" s="587">
        <f>ROUND(8.1*5.9*2.4,0)</f>
        <v>115</v>
      </c>
      <c r="BX18" s="695">
        <v>3.8</v>
      </c>
      <c r="BY18" s="587">
        <f>ROUND(8.1*5.9*3.8,0)</f>
        <v>182</v>
      </c>
      <c r="BZ18" s="695">
        <v>5.0999999999999996</v>
      </c>
      <c r="CA18" s="587">
        <f>ROUND(8.1*5.9*5.1,0)</f>
        <v>244</v>
      </c>
      <c r="CB18" s="695">
        <v>6.1</v>
      </c>
      <c r="CC18" s="587">
        <f>ROUND(8.1*5.9*6.1,0)</f>
        <v>292</v>
      </c>
      <c r="CD18" s="695">
        <v>7</v>
      </c>
      <c r="CE18" s="587">
        <f>ROUND(8.1*5.9*7,0)</f>
        <v>335</v>
      </c>
      <c r="CF18" s="695">
        <v>7.4</v>
      </c>
      <c r="CG18" s="587">
        <f>ROUND(8.1*5.9*7.4,0)</f>
        <v>354</v>
      </c>
      <c r="CH18" s="695">
        <v>7.6</v>
      </c>
      <c r="CI18" s="587">
        <f>ROUND(8.1*5.9*7.6,0)</f>
        <v>363</v>
      </c>
      <c r="CJ18" s="695">
        <v>7.4</v>
      </c>
      <c r="CK18" s="587">
        <f>ROUND(8.1*5.9*7.4,0)</f>
        <v>354</v>
      </c>
      <c r="CL18" s="695">
        <v>6.9</v>
      </c>
      <c r="CM18" s="587">
        <f>ROUND(8.1*5.9*6.9,0)</f>
        <v>330</v>
      </c>
      <c r="CN18" s="695">
        <v>6.5</v>
      </c>
      <c r="CO18" s="587">
        <f>ROUND(8.1*5.9*6.5,0)</f>
        <v>311</v>
      </c>
      <c r="CP18" s="695">
        <v>6</v>
      </c>
      <c r="CQ18" s="587">
        <f>ROUND(8.1*5.9*6,0)</f>
        <v>287</v>
      </c>
      <c r="CR18" s="695">
        <v>5.0999999999999996</v>
      </c>
      <c r="CS18" s="587">
        <f>ROUND(8.1*5.9*5.1,0)</f>
        <v>244</v>
      </c>
      <c r="CT18" s="695">
        <v>3.9</v>
      </c>
      <c r="CU18" s="587">
        <f>ROUND(8.1*5.9*3.9,0)</f>
        <v>186</v>
      </c>
      <c r="CV18" s="695">
        <v>3.1</v>
      </c>
      <c r="CW18" s="587">
        <f>ROUND(8.1*5.9*3.1,0)</f>
        <v>148</v>
      </c>
      <c r="CX18" s="695">
        <v>2.7</v>
      </c>
      <c r="CY18" s="587">
        <f>ROUND(8.1*5.9*2.7,0)</f>
        <v>129</v>
      </c>
      <c r="CZ18" s="695">
        <v>2.4</v>
      </c>
      <c r="DA18" s="587">
        <f>ROUND(8.1*5.9*2.4,0)</f>
        <v>115</v>
      </c>
      <c r="DB18" s="695">
        <v>2.2999999999999998</v>
      </c>
      <c r="DC18" s="587">
        <f>ROUND(8.1*5.9*2.3,0)</f>
        <v>110</v>
      </c>
      <c r="DD18" s="695">
        <v>2</v>
      </c>
      <c r="DE18" s="589">
        <f>ROUND(8.1*5.9*2,0)</f>
        <v>96</v>
      </c>
      <c r="DF18" s="562"/>
      <c r="DG18" s="552"/>
      <c r="DH18" s="700" t="s">
        <v>223</v>
      </c>
      <c r="DI18" s="691" t="s">
        <v>72</v>
      </c>
      <c r="DJ18" s="583">
        <v>8.1</v>
      </c>
      <c r="DK18" s="692">
        <v>5.9</v>
      </c>
      <c r="DL18" s="693"/>
      <c r="DM18" s="694">
        <v>0</v>
      </c>
      <c r="DN18" s="587">
        <f>ROUND(8.1*5.9*0,0)</f>
        <v>0</v>
      </c>
      <c r="DO18" s="695">
        <v>0</v>
      </c>
      <c r="DP18" s="587">
        <f>ROUND(8.1*5.9*0,0)</f>
        <v>0</v>
      </c>
      <c r="DQ18" s="695">
        <v>0</v>
      </c>
      <c r="DR18" s="587">
        <f>ROUND(8.1*5.9*0,0)</f>
        <v>0</v>
      </c>
      <c r="DS18" s="695">
        <v>0</v>
      </c>
      <c r="DT18" s="587">
        <f>ROUND(8.1*5.9*0,0)</f>
        <v>0</v>
      </c>
      <c r="DU18" s="695">
        <v>0</v>
      </c>
      <c r="DV18" s="587">
        <f>ROUND(8.1*5.9*0,0)</f>
        <v>0</v>
      </c>
      <c r="DW18" s="695">
        <v>0</v>
      </c>
      <c r="DX18" s="587">
        <f>ROUND(8.1*5.9*0,0)</f>
        <v>0</v>
      </c>
      <c r="DY18" s="695">
        <v>0</v>
      </c>
      <c r="DZ18" s="587">
        <f>ROUND(8.1*5.9*0,0)</f>
        <v>0</v>
      </c>
      <c r="EA18" s="695">
        <v>1.5</v>
      </c>
      <c r="EB18" s="587">
        <f>ROUND(8.1*5.9*1.5,0)</f>
        <v>72</v>
      </c>
      <c r="EC18" s="695">
        <v>2.8</v>
      </c>
      <c r="ED18" s="587">
        <f>ROUND(8.1*5.9*2.8,0)</f>
        <v>134</v>
      </c>
      <c r="EE18" s="695">
        <v>4.0999999999999996</v>
      </c>
      <c r="EF18" s="587">
        <f>ROUND(8.1*5.9*4.1,0)</f>
        <v>196</v>
      </c>
      <c r="EG18" s="695">
        <v>4.9000000000000004</v>
      </c>
      <c r="EH18" s="587">
        <f>ROUND(8.1*5.9*4.9,0)</f>
        <v>234</v>
      </c>
      <c r="EI18" s="695">
        <v>5.6</v>
      </c>
      <c r="EJ18" s="587">
        <f>ROUND(8.1*5.9*5.6,0)</f>
        <v>268</v>
      </c>
      <c r="EK18" s="695">
        <v>5.8</v>
      </c>
      <c r="EL18" s="587">
        <f>ROUND(8.1*5.9*5.8,0)</f>
        <v>277</v>
      </c>
      <c r="EM18" s="695">
        <v>5.5</v>
      </c>
      <c r="EN18" s="587">
        <f>ROUND(8.1*5.9*5.5,0)</f>
        <v>263</v>
      </c>
      <c r="EO18" s="695">
        <v>5.0999999999999996</v>
      </c>
      <c r="EP18" s="587">
        <f>ROUND(8.1*5.9*5.1,0)</f>
        <v>244</v>
      </c>
      <c r="EQ18" s="695">
        <v>4.7</v>
      </c>
      <c r="ER18" s="587">
        <f>ROUND(8.1*5.9*4.7,0)</f>
        <v>225</v>
      </c>
      <c r="ES18" s="695">
        <v>3.7</v>
      </c>
      <c r="ET18" s="587">
        <f>ROUND(8.1*5.9*3.7,0)</f>
        <v>177</v>
      </c>
      <c r="EU18" s="695">
        <v>2.7</v>
      </c>
      <c r="EV18" s="587">
        <f>ROUND(8.1*5.9*2.7,0)</f>
        <v>129</v>
      </c>
      <c r="EW18" s="695">
        <v>1.9</v>
      </c>
      <c r="EX18" s="587">
        <f>ROUND(8.1*5.9*1.9,0)</f>
        <v>91</v>
      </c>
      <c r="EY18" s="695">
        <v>1.3</v>
      </c>
      <c r="EZ18" s="587">
        <f>ROUND(8.1*5.9*1.3,0)</f>
        <v>62</v>
      </c>
      <c r="FA18" s="695">
        <v>1</v>
      </c>
      <c r="FB18" s="587">
        <f>ROUND(8.1*5.9*1,0)</f>
        <v>48</v>
      </c>
      <c r="FC18" s="695">
        <v>0.80000000000000104</v>
      </c>
      <c r="FD18" s="587">
        <f>ROUND(8.1*5.9*0.800000000000001,0)</f>
        <v>38</v>
      </c>
      <c r="FE18" s="695">
        <v>0.60000000000000098</v>
      </c>
      <c r="FF18" s="587">
        <f>ROUND(8.1*5.9*0.600000000000001,0)</f>
        <v>29</v>
      </c>
      <c r="FG18" s="695">
        <v>0.19999999999999901</v>
      </c>
      <c r="FH18" s="589">
        <f>ROUND(8.1*5.9*0.199999999999999,0)</f>
        <v>10</v>
      </c>
      <c r="FI18" s="563"/>
      <c r="FJ18" s="564"/>
      <c r="FK18" s="700" t="s">
        <v>223</v>
      </c>
      <c r="FL18" s="691" t="s">
        <v>72</v>
      </c>
      <c r="FM18" s="583">
        <v>8.1</v>
      </c>
      <c r="FN18" s="692">
        <v>5.9</v>
      </c>
      <c r="FO18" s="693"/>
      <c r="FP18" s="696">
        <v>5</v>
      </c>
      <c r="FQ18" s="697">
        <v>19.3</v>
      </c>
      <c r="FR18" s="587">
        <f>ROUND(8.1*5.9*19.3,0)</f>
        <v>922</v>
      </c>
      <c r="FS18" s="698">
        <v>8</v>
      </c>
      <c r="FT18" s="697">
        <v>17.600000000000001</v>
      </c>
      <c r="FU18" s="592">
        <f>ROUND(8.1*5.9*17.6,0)</f>
        <v>841</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t="s">
        <v>248</v>
      </c>
      <c r="C19" s="691"/>
      <c r="D19" s="583">
        <v>20.48</v>
      </c>
      <c r="E19" s="692">
        <v>2.0299999999999998</v>
      </c>
      <c r="F19" s="693"/>
      <c r="G19" s="694">
        <v>14</v>
      </c>
      <c r="H19" s="587">
        <f>ROUND(20.48*2.03*14,0)</f>
        <v>582</v>
      </c>
      <c r="I19" s="695">
        <v>14</v>
      </c>
      <c r="J19" s="587">
        <f>ROUND(20.48*2.03*14,0)</f>
        <v>582</v>
      </c>
      <c r="K19" s="695">
        <v>14</v>
      </c>
      <c r="L19" s="587">
        <f>ROUND(20.48*2.03*14,0)</f>
        <v>582</v>
      </c>
      <c r="M19" s="695">
        <v>14</v>
      </c>
      <c r="N19" s="587">
        <f>ROUND(20.48*2.03*14,0)</f>
        <v>582</v>
      </c>
      <c r="O19" s="695">
        <v>14</v>
      </c>
      <c r="P19" s="587">
        <f>ROUND(20.48*2.03*14,0)</f>
        <v>582</v>
      </c>
      <c r="Q19" s="695">
        <v>14</v>
      </c>
      <c r="R19" s="587">
        <f>ROUND(20.48*2.03*14,0)</f>
        <v>582</v>
      </c>
      <c r="S19" s="695">
        <v>14</v>
      </c>
      <c r="T19" s="587">
        <f>ROUND(20.48*2.03*14,0)</f>
        <v>582</v>
      </c>
      <c r="U19" s="695">
        <v>14</v>
      </c>
      <c r="V19" s="587">
        <f>ROUND(20.48*2.03*14,0)</f>
        <v>582</v>
      </c>
      <c r="W19" s="695">
        <v>14</v>
      </c>
      <c r="X19" s="587">
        <f>ROUND(20.48*2.03*14,0)</f>
        <v>582</v>
      </c>
      <c r="Y19" s="695">
        <v>14</v>
      </c>
      <c r="Z19" s="587">
        <f>ROUND(20.48*2.03*14,0)</f>
        <v>582</v>
      </c>
      <c r="AA19" s="695">
        <v>14</v>
      </c>
      <c r="AB19" s="587">
        <f>ROUND(20.48*2.03*14,0)</f>
        <v>582</v>
      </c>
      <c r="AC19" s="695">
        <v>14</v>
      </c>
      <c r="AD19" s="587">
        <f>ROUND(20.48*2.03*14,0)</f>
        <v>582</v>
      </c>
      <c r="AE19" s="695">
        <v>14</v>
      </c>
      <c r="AF19" s="587">
        <f>ROUND(20.48*2.03*14,0)</f>
        <v>582</v>
      </c>
      <c r="AG19" s="695">
        <v>14</v>
      </c>
      <c r="AH19" s="587">
        <f>ROUND(20.48*2.03*14,0)</f>
        <v>582</v>
      </c>
      <c r="AI19" s="695">
        <v>14</v>
      </c>
      <c r="AJ19" s="587">
        <f>ROUND(20.48*2.03*14,0)</f>
        <v>582</v>
      </c>
      <c r="AK19" s="695">
        <v>14</v>
      </c>
      <c r="AL19" s="587">
        <f>ROUND(20.48*2.03*14,0)</f>
        <v>582</v>
      </c>
      <c r="AM19" s="695">
        <v>14</v>
      </c>
      <c r="AN19" s="587">
        <f>ROUND(20.48*2.03*14,0)</f>
        <v>582</v>
      </c>
      <c r="AO19" s="695">
        <v>14</v>
      </c>
      <c r="AP19" s="587">
        <f>ROUND(20.48*2.03*14,0)</f>
        <v>582</v>
      </c>
      <c r="AQ19" s="695">
        <v>14</v>
      </c>
      <c r="AR19" s="587">
        <f>ROUND(20.48*2.03*14,0)</f>
        <v>582</v>
      </c>
      <c r="AS19" s="695">
        <v>14</v>
      </c>
      <c r="AT19" s="587">
        <f>ROUND(20.48*2.03*14,0)</f>
        <v>582</v>
      </c>
      <c r="AU19" s="695">
        <v>14</v>
      </c>
      <c r="AV19" s="587">
        <f>ROUND(20.48*2.03*14,0)</f>
        <v>582</v>
      </c>
      <c r="AW19" s="695">
        <v>14</v>
      </c>
      <c r="AX19" s="587">
        <f>ROUND(20.48*2.03*14,0)</f>
        <v>582</v>
      </c>
      <c r="AY19" s="695">
        <v>14</v>
      </c>
      <c r="AZ19" s="587">
        <f>ROUND(20.48*2.03*14,0)</f>
        <v>582</v>
      </c>
      <c r="BA19" s="695">
        <v>14</v>
      </c>
      <c r="BB19" s="589">
        <f>ROUND(20.48*2.03*14,0)</f>
        <v>582</v>
      </c>
      <c r="BC19" s="562"/>
      <c r="BD19" s="552"/>
      <c r="BE19" s="700" t="s">
        <v>248</v>
      </c>
      <c r="BF19" s="691"/>
      <c r="BG19" s="583">
        <v>20.48</v>
      </c>
      <c r="BH19" s="692">
        <v>2.0299999999999998</v>
      </c>
      <c r="BI19" s="693"/>
      <c r="BJ19" s="694">
        <v>14</v>
      </c>
      <c r="BK19" s="587">
        <f>ROUND(20.48*2.03*14,0)</f>
        <v>582</v>
      </c>
      <c r="BL19" s="695">
        <v>14</v>
      </c>
      <c r="BM19" s="587">
        <f>ROUND(20.48*2.03*14,0)</f>
        <v>582</v>
      </c>
      <c r="BN19" s="695">
        <v>14</v>
      </c>
      <c r="BO19" s="587">
        <f>ROUND(20.48*2.03*14,0)</f>
        <v>582</v>
      </c>
      <c r="BP19" s="695">
        <v>14</v>
      </c>
      <c r="BQ19" s="587">
        <f>ROUND(20.48*2.03*14,0)</f>
        <v>582</v>
      </c>
      <c r="BR19" s="695">
        <v>14</v>
      </c>
      <c r="BS19" s="587">
        <f>ROUND(20.48*2.03*14,0)</f>
        <v>582</v>
      </c>
      <c r="BT19" s="695">
        <v>14</v>
      </c>
      <c r="BU19" s="587">
        <f>ROUND(20.48*2.03*14,0)</f>
        <v>582</v>
      </c>
      <c r="BV19" s="695">
        <v>14</v>
      </c>
      <c r="BW19" s="587">
        <f>ROUND(20.48*2.03*14,0)</f>
        <v>582</v>
      </c>
      <c r="BX19" s="695">
        <v>14</v>
      </c>
      <c r="BY19" s="587">
        <f>ROUND(20.48*2.03*14,0)</f>
        <v>582</v>
      </c>
      <c r="BZ19" s="695">
        <v>14</v>
      </c>
      <c r="CA19" s="587">
        <f>ROUND(20.48*2.03*14,0)</f>
        <v>582</v>
      </c>
      <c r="CB19" s="695">
        <v>14</v>
      </c>
      <c r="CC19" s="587">
        <f>ROUND(20.48*2.03*14,0)</f>
        <v>582</v>
      </c>
      <c r="CD19" s="695">
        <v>14</v>
      </c>
      <c r="CE19" s="587">
        <f>ROUND(20.48*2.03*14,0)</f>
        <v>582</v>
      </c>
      <c r="CF19" s="695">
        <v>14</v>
      </c>
      <c r="CG19" s="587">
        <f>ROUND(20.48*2.03*14,0)</f>
        <v>582</v>
      </c>
      <c r="CH19" s="695">
        <v>14</v>
      </c>
      <c r="CI19" s="587">
        <f>ROUND(20.48*2.03*14,0)</f>
        <v>582</v>
      </c>
      <c r="CJ19" s="695">
        <v>14</v>
      </c>
      <c r="CK19" s="587">
        <f>ROUND(20.48*2.03*14,0)</f>
        <v>582</v>
      </c>
      <c r="CL19" s="695">
        <v>14</v>
      </c>
      <c r="CM19" s="587">
        <f>ROUND(20.48*2.03*14,0)</f>
        <v>582</v>
      </c>
      <c r="CN19" s="695">
        <v>14</v>
      </c>
      <c r="CO19" s="587">
        <f>ROUND(20.48*2.03*14,0)</f>
        <v>582</v>
      </c>
      <c r="CP19" s="695">
        <v>14</v>
      </c>
      <c r="CQ19" s="587">
        <f>ROUND(20.48*2.03*14,0)</f>
        <v>582</v>
      </c>
      <c r="CR19" s="695">
        <v>14</v>
      </c>
      <c r="CS19" s="587">
        <f>ROUND(20.48*2.03*14,0)</f>
        <v>582</v>
      </c>
      <c r="CT19" s="695">
        <v>14</v>
      </c>
      <c r="CU19" s="587">
        <f>ROUND(20.48*2.03*14,0)</f>
        <v>582</v>
      </c>
      <c r="CV19" s="695">
        <v>14</v>
      </c>
      <c r="CW19" s="587">
        <f>ROUND(20.48*2.03*14,0)</f>
        <v>582</v>
      </c>
      <c r="CX19" s="695">
        <v>14</v>
      </c>
      <c r="CY19" s="587">
        <f>ROUND(20.48*2.03*14,0)</f>
        <v>582</v>
      </c>
      <c r="CZ19" s="695">
        <v>14</v>
      </c>
      <c r="DA19" s="587">
        <f>ROUND(20.48*2.03*14,0)</f>
        <v>582</v>
      </c>
      <c r="DB19" s="695">
        <v>14</v>
      </c>
      <c r="DC19" s="587">
        <f>ROUND(20.48*2.03*14,0)</f>
        <v>582</v>
      </c>
      <c r="DD19" s="695">
        <v>14</v>
      </c>
      <c r="DE19" s="589">
        <f>ROUND(20.48*2.03*14,0)</f>
        <v>582</v>
      </c>
      <c r="DF19" s="562"/>
      <c r="DG19" s="552"/>
      <c r="DH19" s="700" t="s">
        <v>248</v>
      </c>
      <c r="DI19" s="691"/>
      <c r="DJ19" s="583">
        <v>20.48</v>
      </c>
      <c r="DK19" s="692">
        <v>2.0299999999999998</v>
      </c>
      <c r="DL19" s="693"/>
      <c r="DM19" s="694">
        <v>14</v>
      </c>
      <c r="DN19" s="587">
        <f>ROUND(20.48*2.03*14,0)</f>
        <v>582</v>
      </c>
      <c r="DO19" s="695">
        <v>14</v>
      </c>
      <c r="DP19" s="587">
        <f>ROUND(20.48*2.03*14,0)</f>
        <v>582</v>
      </c>
      <c r="DQ19" s="695">
        <v>14</v>
      </c>
      <c r="DR19" s="587">
        <f>ROUND(20.48*2.03*14,0)</f>
        <v>582</v>
      </c>
      <c r="DS19" s="695">
        <v>14</v>
      </c>
      <c r="DT19" s="587">
        <f>ROUND(20.48*2.03*14,0)</f>
        <v>582</v>
      </c>
      <c r="DU19" s="695">
        <v>14</v>
      </c>
      <c r="DV19" s="587">
        <f>ROUND(20.48*2.03*14,0)</f>
        <v>582</v>
      </c>
      <c r="DW19" s="695">
        <v>14</v>
      </c>
      <c r="DX19" s="587">
        <f>ROUND(20.48*2.03*14,0)</f>
        <v>582</v>
      </c>
      <c r="DY19" s="695">
        <v>14</v>
      </c>
      <c r="DZ19" s="587">
        <f>ROUND(20.48*2.03*14,0)</f>
        <v>582</v>
      </c>
      <c r="EA19" s="695">
        <v>14</v>
      </c>
      <c r="EB19" s="587">
        <f>ROUND(20.48*2.03*14,0)</f>
        <v>582</v>
      </c>
      <c r="EC19" s="695">
        <v>14</v>
      </c>
      <c r="ED19" s="587">
        <f>ROUND(20.48*2.03*14,0)</f>
        <v>582</v>
      </c>
      <c r="EE19" s="695">
        <v>14</v>
      </c>
      <c r="EF19" s="587">
        <f>ROUND(20.48*2.03*14,0)</f>
        <v>582</v>
      </c>
      <c r="EG19" s="695">
        <v>14</v>
      </c>
      <c r="EH19" s="587">
        <f>ROUND(20.48*2.03*14,0)</f>
        <v>582</v>
      </c>
      <c r="EI19" s="695">
        <v>14</v>
      </c>
      <c r="EJ19" s="587">
        <f>ROUND(20.48*2.03*14,0)</f>
        <v>582</v>
      </c>
      <c r="EK19" s="695">
        <v>14</v>
      </c>
      <c r="EL19" s="587">
        <f>ROUND(20.48*2.03*14,0)</f>
        <v>582</v>
      </c>
      <c r="EM19" s="695">
        <v>14</v>
      </c>
      <c r="EN19" s="587">
        <f>ROUND(20.48*2.03*14,0)</f>
        <v>582</v>
      </c>
      <c r="EO19" s="695">
        <v>14</v>
      </c>
      <c r="EP19" s="587">
        <f>ROUND(20.48*2.03*14,0)</f>
        <v>582</v>
      </c>
      <c r="EQ19" s="695">
        <v>14</v>
      </c>
      <c r="ER19" s="587">
        <f>ROUND(20.48*2.03*14,0)</f>
        <v>582</v>
      </c>
      <c r="ES19" s="695">
        <v>14</v>
      </c>
      <c r="ET19" s="587">
        <f>ROUND(20.48*2.03*14,0)</f>
        <v>582</v>
      </c>
      <c r="EU19" s="695">
        <v>14</v>
      </c>
      <c r="EV19" s="587">
        <f>ROUND(20.48*2.03*14,0)</f>
        <v>582</v>
      </c>
      <c r="EW19" s="695">
        <v>14</v>
      </c>
      <c r="EX19" s="587">
        <f>ROUND(20.48*2.03*14,0)</f>
        <v>582</v>
      </c>
      <c r="EY19" s="695">
        <v>14</v>
      </c>
      <c r="EZ19" s="587">
        <f>ROUND(20.48*2.03*14,0)</f>
        <v>582</v>
      </c>
      <c r="FA19" s="695">
        <v>14</v>
      </c>
      <c r="FB19" s="587">
        <f>ROUND(20.48*2.03*14,0)</f>
        <v>582</v>
      </c>
      <c r="FC19" s="695">
        <v>14</v>
      </c>
      <c r="FD19" s="587">
        <f>ROUND(20.48*2.03*14,0)</f>
        <v>582</v>
      </c>
      <c r="FE19" s="695">
        <v>14</v>
      </c>
      <c r="FF19" s="587">
        <f>ROUND(20.48*2.03*14,0)</f>
        <v>582</v>
      </c>
      <c r="FG19" s="695">
        <v>14</v>
      </c>
      <c r="FH19" s="589">
        <f>ROUND(20.48*2.03*14,0)</f>
        <v>582</v>
      </c>
      <c r="FI19" s="563"/>
      <c r="FJ19" s="564"/>
      <c r="FK19" s="700" t="s">
        <v>248</v>
      </c>
      <c r="FL19" s="691"/>
      <c r="FM19" s="583">
        <v>20.48</v>
      </c>
      <c r="FN19" s="692">
        <v>2.0299999999999998</v>
      </c>
      <c r="FO19" s="693"/>
      <c r="FP19" s="696">
        <v>5</v>
      </c>
      <c r="FQ19" s="697">
        <v>14.3</v>
      </c>
      <c r="FR19" s="587">
        <f>ROUND(20.48*2.03*14.3,0)</f>
        <v>595</v>
      </c>
      <c r="FS19" s="698">
        <v>8</v>
      </c>
      <c r="FT19" s="697">
        <v>12.6</v>
      </c>
      <c r="FU19" s="592">
        <f>ROUND(20.48*2.03*12.6,0)</f>
        <v>524</v>
      </c>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t="s">
        <v>252</v>
      </c>
      <c r="C20" s="691"/>
      <c r="D20" s="583">
        <v>32.549999999999997</v>
      </c>
      <c r="E20" s="692">
        <v>2.1800000000000002</v>
      </c>
      <c r="F20" s="693"/>
      <c r="G20" s="694">
        <v>1</v>
      </c>
      <c r="H20" s="587">
        <f>ROUND(32.55*2.18*1,0)</f>
        <v>71</v>
      </c>
      <c r="I20" s="695">
        <v>0.8</v>
      </c>
      <c r="J20" s="587">
        <f>ROUND(32.55*2.18*0.8,0)</f>
        <v>57</v>
      </c>
      <c r="K20" s="695">
        <v>0.8</v>
      </c>
      <c r="L20" s="587">
        <f>ROUND(32.55*2.18*0.8,0)</f>
        <v>57</v>
      </c>
      <c r="M20" s="695">
        <v>0.7</v>
      </c>
      <c r="N20" s="587">
        <f>ROUND(32.55*2.18*0.7,0)</f>
        <v>50</v>
      </c>
      <c r="O20" s="695">
        <v>0.6</v>
      </c>
      <c r="P20" s="587">
        <f>ROUND(32.55*2.18*0.6,0)</f>
        <v>43</v>
      </c>
      <c r="Q20" s="695">
        <v>0.8</v>
      </c>
      <c r="R20" s="587">
        <f>ROUND(32.55*2.18*0.8,0)</f>
        <v>57</v>
      </c>
      <c r="S20" s="695">
        <v>1.2</v>
      </c>
      <c r="T20" s="587">
        <f>ROUND(32.55*2.18*1.2,0)</f>
        <v>85</v>
      </c>
      <c r="U20" s="695">
        <v>1.6</v>
      </c>
      <c r="V20" s="587">
        <f>ROUND(32.55*2.18*1.6,0)</f>
        <v>114</v>
      </c>
      <c r="W20" s="695">
        <v>2</v>
      </c>
      <c r="X20" s="587">
        <f>ROUND(32.55*2.18*2,0)</f>
        <v>142</v>
      </c>
      <c r="Y20" s="695">
        <v>2</v>
      </c>
      <c r="Z20" s="587">
        <f>ROUND(32.55*2.18*2,0)</f>
        <v>142</v>
      </c>
      <c r="AA20" s="695">
        <v>2</v>
      </c>
      <c r="AB20" s="587">
        <f>ROUND(32.55*2.18*2,0)</f>
        <v>142</v>
      </c>
      <c r="AC20" s="695">
        <v>2</v>
      </c>
      <c r="AD20" s="587">
        <f>ROUND(32.55*2.18*2,0)</f>
        <v>142</v>
      </c>
      <c r="AE20" s="695">
        <v>2</v>
      </c>
      <c r="AF20" s="587">
        <f>ROUND(32.55*2.18*2,0)</f>
        <v>142</v>
      </c>
      <c r="AG20" s="695">
        <v>2</v>
      </c>
      <c r="AH20" s="587">
        <f>ROUND(32.55*2.18*2,0)</f>
        <v>142</v>
      </c>
      <c r="AI20" s="695">
        <v>2</v>
      </c>
      <c r="AJ20" s="587">
        <f>ROUND(32.55*2.18*2,0)</f>
        <v>142</v>
      </c>
      <c r="AK20" s="695">
        <v>2</v>
      </c>
      <c r="AL20" s="587">
        <f>ROUND(32.55*2.18*2,0)</f>
        <v>142</v>
      </c>
      <c r="AM20" s="695">
        <v>2</v>
      </c>
      <c r="AN20" s="587">
        <f>ROUND(32.55*2.18*2,0)</f>
        <v>142</v>
      </c>
      <c r="AO20" s="695">
        <v>2</v>
      </c>
      <c r="AP20" s="587">
        <f>ROUND(32.55*2.18*2,0)</f>
        <v>142</v>
      </c>
      <c r="AQ20" s="695">
        <v>1.8</v>
      </c>
      <c r="AR20" s="587">
        <f>ROUND(32.55*2.18*1.8,0)</f>
        <v>128</v>
      </c>
      <c r="AS20" s="695">
        <v>1.5</v>
      </c>
      <c r="AT20" s="587">
        <f>ROUND(32.55*2.18*1.5,0)</f>
        <v>106</v>
      </c>
      <c r="AU20" s="695">
        <v>1.4</v>
      </c>
      <c r="AV20" s="587">
        <f>ROUND(32.55*2.18*1.4,0)</f>
        <v>99</v>
      </c>
      <c r="AW20" s="695">
        <v>1.3</v>
      </c>
      <c r="AX20" s="587">
        <f>ROUND(32.55*2.18*1.3,0)</f>
        <v>92</v>
      </c>
      <c r="AY20" s="695">
        <v>1.2</v>
      </c>
      <c r="AZ20" s="587">
        <f>ROUND(32.55*2.18*1.2,0)</f>
        <v>85</v>
      </c>
      <c r="BA20" s="695">
        <v>1.1000000000000001</v>
      </c>
      <c r="BB20" s="589">
        <f>ROUND(32.55*2.18*1.1,0)</f>
        <v>78</v>
      </c>
      <c r="BC20" s="562"/>
      <c r="BD20" s="552"/>
      <c r="BE20" s="700" t="s">
        <v>252</v>
      </c>
      <c r="BF20" s="691"/>
      <c r="BG20" s="583">
        <v>32.549999999999997</v>
      </c>
      <c r="BH20" s="692">
        <v>2.1800000000000002</v>
      </c>
      <c r="BI20" s="693"/>
      <c r="BJ20" s="694">
        <v>0.7</v>
      </c>
      <c r="BK20" s="587">
        <f>ROUND(32.55*2.18*0.7,0)</f>
        <v>50</v>
      </c>
      <c r="BL20" s="695">
        <v>0.6</v>
      </c>
      <c r="BM20" s="587">
        <f>ROUND(32.55*2.18*0.6,0)</f>
        <v>43</v>
      </c>
      <c r="BN20" s="695">
        <v>0.5</v>
      </c>
      <c r="BO20" s="587">
        <f>ROUND(32.55*2.18*0.5,0)</f>
        <v>35</v>
      </c>
      <c r="BP20" s="695">
        <v>0.4</v>
      </c>
      <c r="BQ20" s="587">
        <f>ROUND(32.55*2.18*0.4,0)</f>
        <v>28</v>
      </c>
      <c r="BR20" s="695">
        <v>0.4</v>
      </c>
      <c r="BS20" s="587">
        <f>ROUND(32.55*2.18*0.4,0)</f>
        <v>28</v>
      </c>
      <c r="BT20" s="695">
        <v>0.5</v>
      </c>
      <c r="BU20" s="587">
        <f>ROUND(32.55*2.18*0.5,0)</f>
        <v>35</v>
      </c>
      <c r="BV20" s="695">
        <v>1</v>
      </c>
      <c r="BW20" s="587">
        <f>ROUND(32.55*2.18*1,0)</f>
        <v>71</v>
      </c>
      <c r="BX20" s="695">
        <v>1.5</v>
      </c>
      <c r="BY20" s="587">
        <f>ROUND(32.55*2.18*1.5,0)</f>
        <v>106</v>
      </c>
      <c r="BZ20" s="695">
        <v>2</v>
      </c>
      <c r="CA20" s="587">
        <f>ROUND(32.55*2.18*2,0)</f>
        <v>142</v>
      </c>
      <c r="CB20" s="695">
        <v>2</v>
      </c>
      <c r="CC20" s="587">
        <f>ROUND(32.55*2.18*2,0)</f>
        <v>142</v>
      </c>
      <c r="CD20" s="695">
        <v>2</v>
      </c>
      <c r="CE20" s="587">
        <f>ROUND(32.55*2.18*2,0)</f>
        <v>142</v>
      </c>
      <c r="CF20" s="695">
        <v>2</v>
      </c>
      <c r="CG20" s="587">
        <f>ROUND(32.55*2.18*2,0)</f>
        <v>142</v>
      </c>
      <c r="CH20" s="695">
        <v>2</v>
      </c>
      <c r="CI20" s="587">
        <f>ROUND(32.55*2.18*2,0)</f>
        <v>142</v>
      </c>
      <c r="CJ20" s="695">
        <v>2</v>
      </c>
      <c r="CK20" s="587">
        <f>ROUND(32.55*2.18*2,0)</f>
        <v>142</v>
      </c>
      <c r="CL20" s="695">
        <v>2</v>
      </c>
      <c r="CM20" s="587">
        <f>ROUND(32.55*2.18*2,0)</f>
        <v>142</v>
      </c>
      <c r="CN20" s="695">
        <v>2</v>
      </c>
      <c r="CO20" s="587">
        <f>ROUND(32.55*2.18*2,0)</f>
        <v>142</v>
      </c>
      <c r="CP20" s="695">
        <v>2</v>
      </c>
      <c r="CQ20" s="587">
        <f>ROUND(32.55*2.18*2,0)</f>
        <v>142</v>
      </c>
      <c r="CR20" s="695">
        <v>2</v>
      </c>
      <c r="CS20" s="587">
        <f>ROUND(32.55*2.18*2,0)</f>
        <v>142</v>
      </c>
      <c r="CT20" s="695">
        <v>1.6</v>
      </c>
      <c r="CU20" s="587">
        <f>ROUND(32.55*2.18*1.6,0)</f>
        <v>114</v>
      </c>
      <c r="CV20" s="695">
        <v>1.2</v>
      </c>
      <c r="CW20" s="587">
        <f>ROUND(32.55*2.18*1.2,0)</f>
        <v>85</v>
      </c>
      <c r="CX20" s="695">
        <v>1.1000000000000001</v>
      </c>
      <c r="CY20" s="587">
        <f>ROUND(32.55*2.18*1.1,0)</f>
        <v>78</v>
      </c>
      <c r="CZ20" s="695">
        <v>1</v>
      </c>
      <c r="DA20" s="587">
        <f>ROUND(32.55*2.18*1,0)</f>
        <v>71</v>
      </c>
      <c r="DB20" s="695">
        <v>0.9</v>
      </c>
      <c r="DC20" s="587">
        <f>ROUND(32.55*2.18*0.9,0)</f>
        <v>64</v>
      </c>
      <c r="DD20" s="695">
        <v>0.8</v>
      </c>
      <c r="DE20" s="589">
        <f>ROUND(32.55*2.18*0.8,0)</f>
        <v>57</v>
      </c>
      <c r="DF20" s="562"/>
      <c r="DG20" s="552"/>
      <c r="DH20" s="700" t="s">
        <v>252</v>
      </c>
      <c r="DI20" s="691"/>
      <c r="DJ20" s="583">
        <v>32.549999999999997</v>
      </c>
      <c r="DK20" s="692">
        <v>2.1800000000000002</v>
      </c>
      <c r="DL20" s="693"/>
      <c r="DM20" s="694">
        <v>0</v>
      </c>
      <c r="DN20" s="587">
        <f>ROUND(32.55*2.18*0,0)</f>
        <v>0</v>
      </c>
      <c r="DO20" s="695">
        <v>0</v>
      </c>
      <c r="DP20" s="587">
        <f>ROUND(32.55*2.18*0,0)</f>
        <v>0</v>
      </c>
      <c r="DQ20" s="695">
        <v>0</v>
      </c>
      <c r="DR20" s="587">
        <f>ROUND(32.55*2.18*0,0)</f>
        <v>0</v>
      </c>
      <c r="DS20" s="695">
        <v>0</v>
      </c>
      <c r="DT20" s="587">
        <f>ROUND(32.55*2.18*0,0)</f>
        <v>0</v>
      </c>
      <c r="DU20" s="695">
        <v>0</v>
      </c>
      <c r="DV20" s="587">
        <f>ROUND(32.55*2.18*0,0)</f>
        <v>0</v>
      </c>
      <c r="DW20" s="695">
        <v>0</v>
      </c>
      <c r="DX20" s="587">
        <f>ROUND(32.55*2.18*0,0)</f>
        <v>0</v>
      </c>
      <c r="DY20" s="695">
        <v>0</v>
      </c>
      <c r="DZ20" s="587">
        <f>ROUND(32.55*2.18*0,0)</f>
        <v>0</v>
      </c>
      <c r="EA20" s="695">
        <v>0.6</v>
      </c>
      <c r="EB20" s="587">
        <f>ROUND(32.55*2.18*0.6,0)</f>
        <v>43</v>
      </c>
      <c r="EC20" s="695">
        <v>2</v>
      </c>
      <c r="ED20" s="587">
        <f>ROUND(32.55*2.18*2,0)</f>
        <v>142</v>
      </c>
      <c r="EE20" s="695">
        <v>2</v>
      </c>
      <c r="EF20" s="587">
        <f>ROUND(32.55*2.18*2,0)</f>
        <v>142</v>
      </c>
      <c r="EG20" s="695">
        <v>2</v>
      </c>
      <c r="EH20" s="587">
        <f>ROUND(32.55*2.18*2,0)</f>
        <v>142</v>
      </c>
      <c r="EI20" s="695">
        <v>2</v>
      </c>
      <c r="EJ20" s="587">
        <f>ROUND(32.55*2.18*2,0)</f>
        <v>142</v>
      </c>
      <c r="EK20" s="695">
        <v>2</v>
      </c>
      <c r="EL20" s="587">
        <f>ROUND(32.55*2.18*2,0)</f>
        <v>142</v>
      </c>
      <c r="EM20" s="695">
        <v>2</v>
      </c>
      <c r="EN20" s="587">
        <f>ROUND(32.55*2.18*2,0)</f>
        <v>142</v>
      </c>
      <c r="EO20" s="695">
        <v>2</v>
      </c>
      <c r="EP20" s="587">
        <f>ROUND(32.55*2.18*2,0)</f>
        <v>142</v>
      </c>
      <c r="EQ20" s="695">
        <v>2</v>
      </c>
      <c r="ER20" s="587">
        <f>ROUND(32.55*2.18*2,0)</f>
        <v>142</v>
      </c>
      <c r="ES20" s="695">
        <v>2</v>
      </c>
      <c r="ET20" s="587">
        <f>ROUND(32.55*2.18*2,0)</f>
        <v>142</v>
      </c>
      <c r="EU20" s="695">
        <v>2</v>
      </c>
      <c r="EV20" s="587">
        <f>ROUND(32.55*2.18*2,0)</f>
        <v>142</v>
      </c>
      <c r="EW20" s="695">
        <v>0.8</v>
      </c>
      <c r="EX20" s="587">
        <f>ROUND(32.55*2.18*0.8,0)</f>
        <v>57</v>
      </c>
      <c r="EY20" s="695">
        <v>0.5</v>
      </c>
      <c r="EZ20" s="587">
        <f>ROUND(32.55*2.18*0.5,0)</f>
        <v>35</v>
      </c>
      <c r="FA20" s="695">
        <v>0.4</v>
      </c>
      <c r="FB20" s="587">
        <f>ROUND(32.55*2.18*0.4,0)</f>
        <v>28</v>
      </c>
      <c r="FC20" s="695">
        <v>0.3</v>
      </c>
      <c r="FD20" s="587">
        <f>ROUND(32.55*2.18*0.3,0)</f>
        <v>21</v>
      </c>
      <c r="FE20" s="695">
        <v>0.2</v>
      </c>
      <c r="FF20" s="587">
        <f>ROUND(32.55*2.18*0.2,0)</f>
        <v>14</v>
      </c>
      <c r="FG20" s="695">
        <v>0.1</v>
      </c>
      <c r="FH20" s="589">
        <f>ROUND(32.55*2.18*0.1,0)</f>
        <v>7</v>
      </c>
      <c r="FI20" s="563"/>
      <c r="FJ20" s="564"/>
      <c r="FK20" s="700" t="s">
        <v>252</v>
      </c>
      <c r="FL20" s="691"/>
      <c r="FM20" s="583">
        <v>32.549999999999997</v>
      </c>
      <c r="FN20" s="692">
        <v>2.1800000000000002</v>
      </c>
      <c r="FO20" s="693"/>
      <c r="FP20" s="696">
        <v>5</v>
      </c>
      <c r="FQ20" s="697">
        <v>7.7</v>
      </c>
      <c r="FR20" s="587">
        <f>ROUND(32.55*2.18*7.7,0)</f>
        <v>546</v>
      </c>
      <c r="FS20" s="698">
        <v>8</v>
      </c>
      <c r="FT20" s="697">
        <v>7</v>
      </c>
      <c r="FU20" s="592">
        <f>ROUND(32.55*2.18*7,0)</f>
        <v>497</v>
      </c>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t="s">
        <v>248</v>
      </c>
      <c r="C21" s="691"/>
      <c r="D21" s="583">
        <v>10.5</v>
      </c>
      <c r="E21" s="692">
        <v>2.0299999999999998</v>
      </c>
      <c r="F21" s="693"/>
      <c r="G21" s="694">
        <v>2.5</v>
      </c>
      <c r="H21" s="587">
        <f>ROUND(10.5*2.03*2.5,0)</f>
        <v>53</v>
      </c>
      <c r="I21" s="695">
        <v>2.1</v>
      </c>
      <c r="J21" s="587">
        <f>ROUND(10.5*2.03*2.1,0)</f>
        <v>45</v>
      </c>
      <c r="K21" s="695">
        <v>1.9</v>
      </c>
      <c r="L21" s="587">
        <f>ROUND(10.5*2.03*1.9,0)</f>
        <v>40</v>
      </c>
      <c r="M21" s="695">
        <v>1.7</v>
      </c>
      <c r="N21" s="587">
        <f>ROUND(10.5*2.03*1.7,0)</f>
        <v>36</v>
      </c>
      <c r="O21" s="695">
        <v>1.6</v>
      </c>
      <c r="P21" s="587">
        <f>ROUND(10.5*2.03*1.6,0)</f>
        <v>34</v>
      </c>
      <c r="Q21" s="695">
        <v>1.9</v>
      </c>
      <c r="R21" s="587">
        <f>ROUND(10.5*2.03*1.9,0)</f>
        <v>40</v>
      </c>
      <c r="S21" s="695">
        <v>2.9</v>
      </c>
      <c r="T21" s="587">
        <f>ROUND(10.5*2.03*2.9,0)</f>
        <v>62</v>
      </c>
      <c r="U21" s="695">
        <v>4</v>
      </c>
      <c r="V21" s="587">
        <f>ROUND(10.5*2.03*4,0)</f>
        <v>85</v>
      </c>
      <c r="W21" s="695">
        <v>5.3</v>
      </c>
      <c r="X21" s="587">
        <f>ROUND(10.5*2.03*5.3,0)</f>
        <v>113</v>
      </c>
      <c r="Y21" s="695">
        <v>6.5</v>
      </c>
      <c r="Z21" s="587">
        <f>ROUND(10.5*2.03*6.5,0)</f>
        <v>139</v>
      </c>
      <c r="AA21" s="695">
        <v>7.2</v>
      </c>
      <c r="AB21" s="587">
        <f>ROUND(10.5*2.03*7.2,0)</f>
        <v>153</v>
      </c>
      <c r="AC21" s="695">
        <v>7.7</v>
      </c>
      <c r="AD21" s="587">
        <f>ROUND(10.5*2.03*7.7,0)</f>
        <v>164</v>
      </c>
      <c r="AE21" s="695">
        <v>7.9</v>
      </c>
      <c r="AF21" s="587">
        <f>ROUND(10.5*2.03*7.9,0)</f>
        <v>168</v>
      </c>
      <c r="AG21" s="695">
        <v>7.9</v>
      </c>
      <c r="AH21" s="587">
        <f>ROUND(10.5*2.03*7.9,0)</f>
        <v>168</v>
      </c>
      <c r="AI21" s="695">
        <v>7.4</v>
      </c>
      <c r="AJ21" s="587">
        <f>ROUND(10.5*2.03*7.4,0)</f>
        <v>158</v>
      </c>
      <c r="AK21" s="695">
        <v>6.9</v>
      </c>
      <c r="AL21" s="587">
        <f>ROUND(10.5*2.03*6.9,0)</f>
        <v>147</v>
      </c>
      <c r="AM21" s="695">
        <v>6</v>
      </c>
      <c r="AN21" s="587">
        <f>ROUND(10.5*2.03*6,0)</f>
        <v>128</v>
      </c>
      <c r="AO21" s="695">
        <v>5.3</v>
      </c>
      <c r="AP21" s="587">
        <f>ROUND(10.5*2.03*5.3,0)</f>
        <v>113</v>
      </c>
      <c r="AQ21" s="695">
        <v>4.4000000000000004</v>
      </c>
      <c r="AR21" s="587">
        <f>ROUND(10.5*2.03*4.4,0)</f>
        <v>94</v>
      </c>
      <c r="AS21" s="695">
        <v>3.8</v>
      </c>
      <c r="AT21" s="587">
        <f>ROUND(10.5*2.03*3.8,0)</f>
        <v>81</v>
      </c>
      <c r="AU21" s="695">
        <v>3.5</v>
      </c>
      <c r="AV21" s="587">
        <f>ROUND(10.5*2.03*3.5,0)</f>
        <v>75</v>
      </c>
      <c r="AW21" s="695">
        <v>3.2</v>
      </c>
      <c r="AX21" s="587">
        <f>ROUND(10.5*2.03*3.2,0)</f>
        <v>68</v>
      </c>
      <c r="AY21" s="695">
        <v>2.9</v>
      </c>
      <c r="AZ21" s="587">
        <f>ROUND(10.5*2.03*2.9,0)</f>
        <v>62</v>
      </c>
      <c r="BA21" s="695">
        <v>2.8</v>
      </c>
      <c r="BB21" s="589">
        <f>ROUND(10.5*2.03*2.8,0)</f>
        <v>60</v>
      </c>
      <c r="BC21" s="562"/>
      <c r="BD21" s="552"/>
      <c r="BE21" s="700" t="s">
        <v>248</v>
      </c>
      <c r="BF21" s="691"/>
      <c r="BG21" s="583">
        <v>10.5</v>
      </c>
      <c r="BH21" s="692">
        <v>2.0299999999999998</v>
      </c>
      <c r="BI21" s="693"/>
      <c r="BJ21" s="694">
        <v>1.8</v>
      </c>
      <c r="BK21" s="587">
        <f>ROUND(10.5*2.03*1.8,0)</f>
        <v>38</v>
      </c>
      <c r="BL21" s="695">
        <v>1.5</v>
      </c>
      <c r="BM21" s="587">
        <f>ROUND(10.5*2.03*1.5,0)</f>
        <v>32</v>
      </c>
      <c r="BN21" s="695">
        <v>1.3</v>
      </c>
      <c r="BO21" s="587">
        <f>ROUND(10.5*2.03*1.3,0)</f>
        <v>28</v>
      </c>
      <c r="BP21" s="695">
        <v>1.1000000000000001</v>
      </c>
      <c r="BQ21" s="587">
        <f>ROUND(10.5*2.03*1.1,0)</f>
        <v>23</v>
      </c>
      <c r="BR21" s="695">
        <v>1</v>
      </c>
      <c r="BS21" s="587">
        <f>ROUND(10.5*2.03*1,0)</f>
        <v>21</v>
      </c>
      <c r="BT21" s="695">
        <v>1.3</v>
      </c>
      <c r="BU21" s="587">
        <f>ROUND(10.5*2.03*1.3,0)</f>
        <v>28</v>
      </c>
      <c r="BV21" s="695">
        <v>2.4</v>
      </c>
      <c r="BW21" s="587">
        <f>ROUND(10.5*2.03*2.4,0)</f>
        <v>51</v>
      </c>
      <c r="BX21" s="695">
        <v>3.8</v>
      </c>
      <c r="BY21" s="587">
        <f>ROUND(10.5*2.03*3.8,0)</f>
        <v>81</v>
      </c>
      <c r="BZ21" s="695">
        <v>5.0999999999999996</v>
      </c>
      <c r="CA21" s="587">
        <f>ROUND(10.5*2.03*5.1,0)</f>
        <v>109</v>
      </c>
      <c r="CB21" s="695">
        <v>6.1</v>
      </c>
      <c r="CC21" s="587">
        <f>ROUND(10.5*2.03*6.1,0)</f>
        <v>130</v>
      </c>
      <c r="CD21" s="695">
        <v>7</v>
      </c>
      <c r="CE21" s="587">
        <f>ROUND(10.5*2.03*7,0)</f>
        <v>149</v>
      </c>
      <c r="CF21" s="695">
        <v>7.4</v>
      </c>
      <c r="CG21" s="587">
        <f>ROUND(10.5*2.03*7.4,0)</f>
        <v>158</v>
      </c>
      <c r="CH21" s="695">
        <v>7.6</v>
      </c>
      <c r="CI21" s="587">
        <f>ROUND(10.5*2.03*7.6,0)</f>
        <v>162</v>
      </c>
      <c r="CJ21" s="695">
        <v>7.4</v>
      </c>
      <c r="CK21" s="587">
        <f>ROUND(10.5*2.03*7.4,0)</f>
        <v>158</v>
      </c>
      <c r="CL21" s="695">
        <v>6.9</v>
      </c>
      <c r="CM21" s="587">
        <f>ROUND(10.5*2.03*6.9,0)</f>
        <v>147</v>
      </c>
      <c r="CN21" s="695">
        <v>6.5</v>
      </c>
      <c r="CO21" s="587">
        <f>ROUND(10.5*2.03*6.5,0)</f>
        <v>139</v>
      </c>
      <c r="CP21" s="695">
        <v>6</v>
      </c>
      <c r="CQ21" s="587">
        <f>ROUND(10.5*2.03*6,0)</f>
        <v>128</v>
      </c>
      <c r="CR21" s="695">
        <v>5.0999999999999996</v>
      </c>
      <c r="CS21" s="587">
        <f>ROUND(10.5*2.03*5.1,0)</f>
        <v>109</v>
      </c>
      <c r="CT21" s="695">
        <v>3.9</v>
      </c>
      <c r="CU21" s="587">
        <f>ROUND(10.5*2.03*3.9,0)</f>
        <v>83</v>
      </c>
      <c r="CV21" s="695">
        <v>3.1</v>
      </c>
      <c r="CW21" s="587">
        <f>ROUND(10.5*2.03*3.1,0)</f>
        <v>66</v>
      </c>
      <c r="CX21" s="695">
        <v>2.7</v>
      </c>
      <c r="CY21" s="587">
        <f>ROUND(10.5*2.03*2.7,0)</f>
        <v>58</v>
      </c>
      <c r="CZ21" s="695">
        <v>2.4</v>
      </c>
      <c r="DA21" s="587">
        <f>ROUND(10.5*2.03*2.4,0)</f>
        <v>51</v>
      </c>
      <c r="DB21" s="695">
        <v>2.2999999999999998</v>
      </c>
      <c r="DC21" s="587">
        <f>ROUND(10.5*2.03*2.3,0)</f>
        <v>49</v>
      </c>
      <c r="DD21" s="695">
        <v>2</v>
      </c>
      <c r="DE21" s="589">
        <f>ROUND(10.5*2.03*2,0)</f>
        <v>43</v>
      </c>
      <c r="DF21" s="562"/>
      <c r="DG21" s="552"/>
      <c r="DH21" s="700" t="s">
        <v>248</v>
      </c>
      <c r="DI21" s="691"/>
      <c r="DJ21" s="583">
        <v>10.5</v>
      </c>
      <c r="DK21" s="692">
        <v>2.0299999999999998</v>
      </c>
      <c r="DL21" s="693"/>
      <c r="DM21" s="694">
        <v>0</v>
      </c>
      <c r="DN21" s="587">
        <f>ROUND(10.5*2.03*0,0)</f>
        <v>0</v>
      </c>
      <c r="DO21" s="695">
        <v>0</v>
      </c>
      <c r="DP21" s="587">
        <f>ROUND(10.5*2.03*0,0)</f>
        <v>0</v>
      </c>
      <c r="DQ21" s="695">
        <v>0</v>
      </c>
      <c r="DR21" s="587">
        <f>ROUND(10.5*2.03*0,0)</f>
        <v>0</v>
      </c>
      <c r="DS21" s="695">
        <v>0</v>
      </c>
      <c r="DT21" s="587">
        <f>ROUND(10.5*2.03*0,0)</f>
        <v>0</v>
      </c>
      <c r="DU21" s="695">
        <v>0</v>
      </c>
      <c r="DV21" s="587">
        <f>ROUND(10.5*2.03*0,0)</f>
        <v>0</v>
      </c>
      <c r="DW21" s="695">
        <v>0</v>
      </c>
      <c r="DX21" s="587">
        <f>ROUND(10.5*2.03*0,0)</f>
        <v>0</v>
      </c>
      <c r="DY21" s="695">
        <v>0</v>
      </c>
      <c r="DZ21" s="587">
        <f>ROUND(10.5*2.03*0,0)</f>
        <v>0</v>
      </c>
      <c r="EA21" s="695">
        <v>1.5</v>
      </c>
      <c r="EB21" s="587">
        <f>ROUND(10.5*2.03*1.5,0)</f>
        <v>32</v>
      </c>
      <c r="EC21" s="695">
        <v>2.8</v>
      </c>
      <c r="ED21" s="587">
        <f>ROUND(10.5*2.03*2.8,0)</f>
        <v>60</v>
      </c>
      <c r="EE21" s="695">
        <v>4.0999999999999996</v>
      </c>
      <c r="EF21" s="587">
        <f>ROUND(10.5*2.03*4.1,0)</f>
        <v>87</v>
      </c>
      <c r="EG21" s="695">
        <v>4.9000000000000004</v>
      </c>
      <c r="EH21" s="587">
        <f>ROUND(10.5*2.03*4.9,0)</f>
        <v>104</v>
      </c>
      <c r="EI21" s="695">
        <v>5.6</v>
      </c>
      <c r="EJ21" s="587">
        <f>ROUND(10.5*2.03*5.6,0)</f>
        <v>119</v>
      </c>
      <c r="EK21" s="695">
        <v>5.8</v>
      </c>
      <c r="EL21" s="587">
        <f>ROUND(10.5*2.03*5.8,0)</f>
        <v>124</v>
      </c>
      <c r="EM21" s="695">
        <v>5.5</v>
      </c>
      <c r="EN21" s="587">
        <f>ROUND(10.5*2.03*5.5,0)</f>
        <v>117</v>
      </c>
      <c r="EO21" s="695">
        <v>5.0999999999999996</v>
      </c>
      <c r="EP21" s="587">
        <f>ROUND(10.5*2.03*5.1,0)</f>
        <v>109</v>
      </c>
      <c r="EQ21" s="695">
        <v>4.7</v>
      </c>
      <c r="ER21" s="587">
        <f>ROUND(10.5*2.03*4.7,0)</f>
        <v>100</v>
      </c>
      <c r="ES21" s="695">
        <v>3.7</v>
      </c>
      <c r="ET21" s="587">
        <f>ROUND(10.5*2.03*3.7,0)</f>
        <v>79</v>
      </c>
      <c r="EU21" s="695">
        <v>2.7</v>
      </c>
      <c r="EV21" s="587">
        <f>ROUND(10.5*2.03*2.7,0)</f>
        <v>58</v>
      </c>
      <c r="EW21" s="695">
        <v>1.9</v>
      </c>
      <c r="EX21" s="587">
        <f>ROUND(10.5*2.03*1.9,0)</f>
        <v>40</v>
      </c>
      <c r="EY21" s="695">
        <v>1.3</v>
      </c>
      <c r="EZ21" s="587">
        <f>ROUND(10.5*2.03*1.3,0)</f>
        <v>28</v>
      </c>
      <c r="FA21" s="695">
        <v>1</v>
      </c>
      <c r="FB21" s="587">
        <f>ROUND(10.5*2.03*1,0)</f>
        <v>21</v>
      </c>
      <c r="FC21" s="695">
        <v>0.8</v>
      </c>
      <c r="FD21" s="587">
        <f>ROUND(10.5*2.03*0.8,0)</f>
        <v>17</v>
      </c>
      <c r="FE21" s="695">
        <v>0.6</v>
      </c>
      <c r="FF21" s="587">
        <f>ROUND(10.5*2.03*0.6,0)</f>
        <v>13</v>
      </c>
      <c r="FG21" s="695">
        <v>0.2</v>
      </c>
      <c r="FH21" s="589">
        <f>ROUND(10.5*2.03*0.2,0)</f>
        <v>4</v>
      </c>
      <c r="FI21" s="563"/>
      <c r="FJ21" s="564"/>
      <c r="FK21" s="700" t="s">
        <v>248</v>
      </c>
      <c r="FL21" s="691"/>
      <c r="FM21" s="583">
        <v>10.5</v>
      </c>
      <c r="FN21" s="692">
        <v>2.0299999999999998</v>
      </c>
      <c r="FO21" s="693"/>
      <c r="FP21" s="696">
        <v>5</v>
      </c>
      <c r="FQ21" s="697">
        <v>19.3</v>
      </c>
      <c r="FR21" s="587">
        <f>ROUND(10.5*2.03*19.3,0)</f>
        <v>411</v>
      </c>
      <c r="FS21" s="698">
        <v>8</v>
      </c>
      <c r="FT21" s="697">
        <v>17.600000000000001</v>
      </c>
      <c r="FU21" s="592">
        <f>ROUND(10.5*2.03*17.6,0)</f>
        <v>375</v>
      </c>
      <c r="FV21" s="593"/>
      <c r="FW21" s="594"/>
      <c r="FX21" s="595"/>
      <c r="FY21" s="596"/>
      <c r="FZ21" s="597"/>
      <c r="GA21" s="598"/>
      <c r="GB21" s="599"/>
      <c r="GC21" s="600"/>
      <c r="GD21" s="599"/>
      <c r="GE21" s="601"/>
      <c r="GF21" s="688"/>
      <c r="GG21" s="602"/>
      <c r="GH21" s="602"/>
      <c r="GI21" s="602"/>
      <c r="GJ21" s="409"/>
      <c r="GK21" s="701" t="s">
        <v>536</v>
      </c>
      <c r="GL21" s="702"/>
      <c r="GM21" s="703"/>
      <c r="GN21" s="638">
        <v>8.1</v>
      </c>
      <c r="GO21" s="704"/>
      <c r="GP21" s="705"/>
      <c r="GQ21" s="633">
        <v>0</v>
      </c>
      <c r="GR21" s="634">
        <v>8.1</v>
      </c>
      <c r="GS21" s="578"/>
      <c r="GT21" s="677"/>
      <c r="GU21" s="701" t="s">
        <v>699</v>
      </c>
      <c r="GV21" s="702"/>
      <c r="GW21" s="703"/>
      <c r="GX21" s="706">
        <v>8.1</v>
      </c>
      <c r="GY21" s="707"/>
      <c r="GZ21" s="704"/>
      <c r="HA21" s="708">
        <v>5.27</v>
      </c>
      <c r="HB21" s="709"/>
      <c r="HC21" s="710"/>
      <c r="HD21" s="562"/>
      <c r="HE21" s="615"/>
      <c r="HF21" s="615"/>
      <c r="HG21" s="415"/>
    </row>
    <row r="22" spans="1:218" ht="20.100000000000001" customHeight="1">
      <c r="A22" s="552"/>
      <c r="B22" s="700" t="s">
        <v>248</v>
      </c>
      <c r="C22" s="691"/>
      <c r="D22" s="583">
        <v>22.05</v>
      </c>
      <c r="E22" s="692">
        <v>2.0299999999999998</v>
      </c>
      <c r="F22" s="693"/>
      <c r="G22" s="694">
        <v>1</v>
      </c>
      <c r="H22" s="587">
        <f>ROUND(22.05*2.03*1,0)</f>
        <v>45</v>
      </c>
      <c r="I22" s="695">
        <v>0.8</v>
      </c>
      <c r="J22" s="587">
        <f>ROUND(22.05*2.03*0.8,0)</f>
        <v>36</v>
      </c>
      <c r="K22" s="695">
        <v>0.8</v>
      </c>
      <c r="L22" s="587">
        <f>ROUND(22.05*2.03*0.8,0)</f>
        <v>36</v>
      </c>
      <c r="M22" s="695">
        <v>0.7</v>
      </c>
      <c r="N22" s="587">
        <f>ROUND(22.05*2.03*0.7,0)</f>
        <v>31</v>
      </c>
      <c r="O22" s="695">
        <v>0.6</v>
      </c>
      <c r="P22" s="587">
        <f>ROUND(22.05*2.03*0.6,0)</f>
        <v>27</v>
      </c>
      <c r="Q22" s="695">
        <v>0.8</v>
      </c>
      <c r="R22" s="587">
        <f>ROUND(22.05*2.03*0.8,0)</f>
        <v>36</v>
      </c>
      <c r="S22" s="695">
        <v>1.2</v>
      </c>
      <c r="T22" s="587">
        <f>ROUND(22.05*2.03*1.2,0)</f>
        <v>54</v>
      </c>
      <c r="U22" s="695">
        <v>1.6</v>
      </c>
      <c r="V22" s="587">
        <f>ROUND(22.05*2.03*1.6,0)</f>
        <v>72</v>
      </c>
      <c r="W22" s="695">
        <v>2.1</v>
      </c>
      <c r="X22" s="587">
        <f>ROUND(22.05*2.03*2.1,0)</f>
        <v>94</v>
      </c>
      <c r="Y22" s="695">
        <v>2.6</v>
      </c>
      <c r="Z22" s="587">
        <f>ROUND(22.05*2.03*2.6,0)</f>
        <v>116</v>
      </c>
      <c r="AA22" s="695">
        <v>2.9</v>
      </c>
      <c r="AB22" s="587">
        <f>ROUND(22.05*2.03*2.9,0)</f>
        <v>130</v>
      </c>
      <c r="AC22" s="695">
        <v>3.1</v>
      </c>
      <c r="AD22" s="587">
        <f>ROUND(22.05*2.03*3.1,0)</f>
        <v>139</v>
      </c>
      <c r="AE22" s="695">
        <v>3.2</v>
      </c>
      <c r="AF22" s="587">
        <f>ROUND(22.05*2.03*3.2,0)</f>
        <v>143</v>
      </c>
      <c r="AG22" s="695">
        <v>3.2</v>
      </c>
      <c r="AH22" s="587">
        <f>ROUND(22.05*2.03*3.2,0)</f>
        <v>143</v>
      </c>
      <c r="AI22" s="695">
        <v>3</v>
      </c>
      <c r="AJ22" s="587">
        <f>ROUND(22.05*2.03*3,0)</f>
        <v>134</v>
      </c>
      <c r="AK22" s="695">
        <v>2.8</v>
      </c>
      <c r="AL22" s="587">
        <f>ROUND(22.05*2.03*2.8,0)</f>
        <v>125</v>
      </c>
      <c r="AM22" s="695">
        <v>2.4</v>
      </c>
      <c r="AN22" s="587">
        <f>ROUND(22.05*2.03*2.4,0)</f>
        <v>107</v>
      </c>
      <c r="AO22" s="695">
        <v>2.1</v>
      </c>
      <c r="AP22" s="587">
        <f>ROUND(22.05*2.03*2.1,0)</f>
        <v>94</v>
      </c>
      <c r="AQ22" s="695">
        <v>1.8</v>
      </c>
      <c r="AR22" s="587">
        <f>ROUND(22.05*2.03*1.8,0)</f>
        <v>81</v>
      </c>
      <c r="AS22" s="695">
        <v>1.5</v>
      </c>
      <c r="AT22" s="587">
        <f>ROUND(22.05*2.03*1.5,0)</f>
        <v>67</v>
      </c>
      <c r="AU22" s="695">
        <v>1.4</v>
      </c>
      <c r="AV22" s="587">
        <f>ROUND(22.05*2.03*1.4,0)</f>
        <v>63</v>
      </c>
      <c r="AW22" s="695">
        <v>1.3</v>
      </c>
      <c r="AX22" s="587">
        <f>ROUND(22.05*2.03*1.3,0)</f>
        <v>58</v>
      </c>
      <c r="AY22" s="695">
        <v>1.2</v>
      </c>
      <c r="AZ22" s="587">
        <f>ROUND(22.05*2.03*1.2,0)</f>
        <v>54</v>
      </c>
      <c r="BA22" s="695">
        <v>1.1000000000000001</v>
      </c>
      <c r="BB22" s="589">
        <f>ROUND(22.05*2.03*1.1,0)</f>
        <v>49</v>
      </c>
      <c r="BC22" s="562"/>
      <c r="BD22" s="552"/>
      <c r="BE22" s="700" t="s">
        <v>248</v>
      </c>
      <c r="BF22" s="691"/>
      <c r="BG22" s="583">
        <v>22.05</v>
      </c>
      <c r="BH22" s="692">
        <v>2.0299999999999998</v>
      </c>
      <c r="BI22" s="693"/>
      <c r="BJ22" s="694">
        <v>0.7</v>
      </c>
      <c r="BK22" s="587">
        <f>ROUND(22.05*2.03*0.7,0)</f>
        <v>31</v>
      </c>
      <c r="BL22" s="695">
        <v>0.6</v>
      </c>
      <c r="BM22" s="587">
        <f>ROUND(22.05*2.03*0.6,0)</f>
        <v>27</v>
      </c>
      <c r="BN22" s="695">
        <v>0.5</v>
      </c>
      <c r="BO22" s="587">
        <f>ROUND(22.05*2.03*0.5,0)</f>
        <v>22</v>
      </c>
      <c r="BP22" s="695">
        <v>0.4</v>
      </c>
      <c r="BQ22" s="587">
        <f>ROUND(22.05*2.03*0.4,0)</f>
        <v>18</v>
      </c>
      <c r="BR22" s="695">
        <v>0.4</v>
      </c>
      <c r="BS22" s="587">
        <f>ROUND(22.05*2.03*0.4,0)</f>
        <v>18</v>
      </c>
      <c r="BT22" s="695">
        <v>0.5</v>
      </c>
      <c r="BU22" s="587">
        <f>ROUND(22.05*2.03*0.5,0)</f>
        <v>22</v>
      </c>
      <c r="BV22" s="695">
        <v>1</v>
      </c>
      <c r="BW22" s="587">
        <f>ROUND(22.05*2.03*1,0)</f>
        <v>45</v>
      </c>
      <c r="BX22" s="695">
        <v>1.5</v>
      </c>
      <c r="BY22" s="587">
        <f>ROUND(22.05*2.03*1.5,0)</f>
        <v>67</v>
      </c>
      <c r="BZ22" s="695">
        <v>2</v>
      </c>
      <c r="CA22" s="587">
        <f>ROUND(22.05*2.03*2,0)</f>
        <v>90</v>
      </c>
      <c r="CB22" s="695">
        <v>2.4</v>
      </c>
      <c r="CC22" s="587">
        <f>ROUND(22.05*2.03*2.4,0)</f>
        <v>107</v>
      </c>
      <c r="CD22" s="695">
        <v>2.8</v>
      </c>
      <c r="CE22" s="587">
        <f>ROUND(22.05*2.03*2.8,0)</f>
        <v>125</v>
      </c>
      <c r="CF22" s="695">
        <v>3</v>
      </c>
      <c r="CG22" s="587">
        <f>ROUND(22.05*2.03*3,0)</f>
        <v>134</v>
      </c>
      <c r="CH22" s="695">
        <v>3</v>
      </c>
      <c r="CI22" s="587">
        <f>ROUND(22.05*2.03*3,0)</f>
        <v>134</v>
      </c>
      <c r="CJ22" s="695">
        <v>3</v>
      </c>
      <c r="CK22" s="587">
        <f>ROUND(22.05*2.03*3,0)</f>
        <v>134</v>
      </c>
      <c r="CL22" s="695">
        <v>2.8</v>
      </c>
      <c r="CM22" s="587">
        <f>ROUND(22.05*2.03*2.8,0)</f>
        <v>125</v>
      </c>
      <c r="CN22" s="695">
        <v>2.6</v>
      </c>
      <c r="CO22" s="587">
        <f>ROUND(22.05*2.03*2.6,0)</f>
        <v>116</v>
      </c>
      <c r="CP22" s="695">
        <v>2.4</v>
      </c>
      <c r="CQ22" s="587">
        <f>ROUND(22.05*2.03*2.4,0)</f>
        <v>107</v>
      </c>
      <c r="CR22" s="695">
        <v>2</v>
      </c>
      <c r="CS22" s="587">
        <f>ROUND(22.05*2.03*2,0)</f>
        <v>90</v>
      </c>
      <c r="CT22" s="695">
        <v>1.6</v>
      </c>
      <c r="CU22" s="587">
        <f>ROUND(22.05*2.03*1.6,0)</f>
        <v>72</v>
      </c>
      <c r="CV22" s="695">
        <v>1.2</v>
      </c>
      <c r="CW22" s="587">
        <f>ROUND(22.05*2.03*1.2,0)</f>
        <v>54</v>
      </c>
      <c r="CX22" s="695">
        <v>1.1000000000000001</v>
      </c>
      <c r="CY22" s="587">
        <f>ROUND(22.05*2.03*1.1,0)</f>
        <v>49</v>
      </c>
      <c r="CZ22" s="695">
        <v>1</v>
      </c>
      <c r="DA22" s="587">
        <f>ROUND(22.05*2.03*1,0)</f>
        <v>45</v>
      </c>
      <c r="DB22" s="695">
        <v>0.9</v>
      </c>
      <c r="DC22" s="587">
        <f>ROUND(22.05*2.03*0.9,0)</f>
        <v>40</v>
      </c>
      <c r="DD22" s="695">
        <v>0.8</v>
      </c>
      <c r="DE22" s="589">
        <f>ROUND(22.05*2.03*0.8,0)</f>
        <v>36</v>
      </c>
      <c r="DF22" s="562"/>
      <c r="DG22" s="552"/>
      <c r="DH22" s="700" t="s">
        <v>248</v>
      </c>
      <c r="DI22" s="691"/>
      <c r="DJ22" s="583">
        <v>22.05</v>
      </c>
      <c r="DK22" s="692">
        <v>2.0299999999999998</v>
      </c>
      <c r="DL22" s="693"/>
      <c r="DM22" s="694">
        <v>0</v>
      </c>
      <c r="DN22" s="587">
        <f>ROUND(22.05*2.03*0,0)</f>
        <v>0</v>
      </c>
      <c r="DO22" s="695">
        <v>0</v>
      </c>
      <c r="DP22" s="587">
        <f>ROUND(22.05*2.03*0,0)</f>
        <v>0</v>
      </c>
      <c r="DQ22" s="695">
        <v>0</v>
      </c>
      <c r="DR22" s="587">
        <f>ROUND(22.05*2.03*0,0)</f>
        <v>0</v>
      </c>
      <c r="DS22" s="695">
        <v>0</v>
      </c>
      <c r="DT22" s="587">
        <f>ROUND(22.05*2.03*0,0)</f>
        <v>0</v>
      </c>
      <c r="DU22" s="695">
        <v>0</v>
      </c>
      <c r="DV22" s="587">
        <f>ROUND(22.05*2.03*0,0)</f>
        <v>0</v>
      </c>
      <c r="DW22" s="695">
        <v>0</v>
      </c>
      <c r="DX22" s="587">
        <f>ROUND(22.05*2.03*0,0)</f>
        <v>0</v>
      </c>
      <c r="DY22" s="695">
        <v>0</v>
      </c>
      <c r="DZ22" s="587">
        <f>ROUND(22.05*2.03*0,0)</f>
        <v>0</v>
      </c>
      <c r="EA22" s="695">
        <v>0.6</v>
      </c>
      <c r="EB22" s="587">
        <f>ROUND(22.05*2.03*0.6,0)</f>
        <v>27</v>
      </c>
      <c r="EC22" s="695">
        <v>1.1000000000000001</v>
      </c>
      <c r="ED22" s="587">
        <f>ROUND(22.05*2.03*1.1,0)</f>
        <v>49</v>
      </c>
      <c r="EE22" s="695">
        <v>1.6</v>
      </c>
      <c r="EF22" s="587">
        <f>ROUND(22.05*2.03*1.6,0)</f>
        <v>72</v>
      </c>
      <c r="EG22" s="695">
        <v>2</v>
      </c>
      <c r="EH22" s="587">
        <f>ROUND(22.05*2.03*2,0)</f>
        <v>90</v>
      </c>
      <c r="EI22" s="695">
        <v>2.2000000000000002</v>
      </c>
      <c r="EJ22" s="587">
        <f>ROUND(22.05*2.03*2.2,0)</f>
        <v>98</v>
      </c>
      <c r="EK22" s="695">
        <v>2.2999999999999998</v>
      </c>
      <c r="EL22" s="587">
        <f>ROUND(22.05*2.03*2.3,0)</f>
        <v>103</v>
      </c>
      <c r="EM22" s="695">
        <v>2.2000000000000002</v>
      </c>
      <c r="EN22" s="587">
        <f>ROUND(22.05*2.03*2.2,0)</f>
        <v>98</v>
      </c>
      <c r="EO22" s="695">
        <v>2</v>
      </c>
      <c r="EP22" s="587">
        <f>ROUND(22.05*2.03*2,0)</f>
        <v>90</v>
      </c>
      <c r="EQ22" s="695">
        <v>1.9</v>
      </c>
      <c r="ER22" s="587">
        <f>ROUND(22.05*2.03*1.9,0)</f>
        <v>85</v>
      </c>
      <c r="ES22" s="695">
        <v>1.5</v>
      </c>
      <c r="ET22" s="587">
        <f>ROUND(22.05*2.03*1.5,0)</f>
        <v>67</v>
      </c>
      <c r="EU22" s="695">
        <v>1.1000000000000001</v>
      </c>
      <c r="EV22" s="587">
        <f>ROUND(22.05*2.03*1.1,0)</f>
        <v>49</v>
      </c>
      <c r="EW22" s="695">
        <v>0.8</v>
      </c>
      <c r="EX22" s="587">
        <f>ROUND(22.05*2.03*0.8,0)</f>
        <v>36</v>
      </c>
      <c r="EY22" s="695">
        <v>0.5</v>
      </c>
      <c r="EZ22" s="587">
        <f>ROUND(22.05*2.03*0.5,0)</f>
        <v>22</v>
      </c>
      <c r="FA22" s="695">
        <v>0.4</v>
      </c>
      <c r="FB22" s="587">
        <f>ROUND(22.05*2.03*0.4,0)</f>
        <v>18</v>
      </c>
      <c r="FC22" s="695">
        <v>0.3</v>
      </c>
      <c r="FD22" s="587">
        <f>ROUND(22.05*2.03*0.3,0)</f>
        <v>13</v>
      </c>
      <c r="FE22" s="695">
        <v>0.2</v>
      </c>
      <c r="FF22" s="587">
        <f>ROUND(22.05*2.03*0.2,0)</f>
        <v>9</v>
      </c>
      <c r="FG22" s="695">
        <v>0.1</v>
      </c>
      <c r="FH22" s="589">
        <f>ROUND(22.05*2.03*0.1,0)</f>
        <v>4</v>
      </c>
      <c r="FI22" s="563"/>
      <c r="FJ22" s="564"/>
      <c r="FK22" s="700" t="s">
        <v>248</v>
      </c>
      <c r="FL22" s="691"/>
      <c r="FM22" s="583">
        <v>22.05</v>
      </c>
      <c r="FN22" s="692">
        <v>2.0299999999999998</v>
      </c>
      <c r="FO22" s="693"/>
      <c r="FP22" s="696">
        <v>5</v>
      </c>
      <c r="FQ22" s="697">
        <v>7.7</v>
      </c>
      <c r="FR22" s="587">
        <f>ROUND(22.05*2.03*7.7,0)</f>
        <v>345</v>
      </c>
      <c r="FS22" s="698">
        <v>8</v>
      </c>
      <c r="FT22" s="697">
        <v>7</v>
      </c>
      <c r="FU22" s="592">
        <f>ROUND(22.05*2.03*7,0)</f>
        <v>313</v>
      </c>
      <c r="FV22" s="593"/>
      <c r="FW22" s="594"/>
      <c r="FX22" s="595"/>
      <c r="FY22" s="596"/>
      <c r="FZ22" s="597"/>
      <c r="GA22" s="598"/>
      <c r="GB22" s="599"/>
      <c r="GC22" s="600"/>
      <c r="GD22" s="599"/>
      <c r="GE22" s="601"/>
      <c r="GF22" s="688"/>
      <c r="GG22" s="602"/>
      <c r="GH22" s="602"/>
      <c r="GI22" s="602"/>
      <c r="GJ22" s="530"/>
      <c r="GK22" s="711" t="s">
        <v>700</v>
      </c>
      <c r="GL22" s="712"/>
      <c r="GM22" s="712"/>
      <c r="GN22" s="713"/>
      <c r="GO22" s="633">
        <v>0</v>
      </c>
      <c r="GP22" s="633">
        <v>1</v>
      </c>
      <c r="GQ22" s="714"/>
      <c r="GR22" s="715"/>
      <c r="GS22" s="578"/>
      <c r="GT22" s="677"/>
      <c r="GU22" s="711" t="s">
        <v>700</v>
      </c>
      <c r="GV22" s="712"/>
      <c r="GW22" s="712"/>
      <c r="GX22" s="712"/>
      <c r="GY22" s="713"/>
      <c r="GZ22" s="633">
        <v>0.65</v>
      </c>
      <c r="HA22" s="716"/>
      <c r="HB22" s="717"/>
      <c r="HC22" s="413"/>
      <c r="HD22" s="562"/>
      <c r="HE22" s="415"/>
      <c r="HF22" s="415"/>
      <c r="HG22" s="415"/>
    </row>
    <row r="23" spans="1:218" ht="20.100000000000001" customHeight="1">
      <c r="A23" s="552"/>
      <c r="B23" s="700" t="s">
        <v>259</v>
      </c>
      <c r="C23" s="691"/>
      <c r="D23" s="583">
        <v>194.8</v>
      </c>
      <c r="E23" s="692">
        <v>3.36</v>
      </c>
      <c r="F23" s="693"/>
      <c r="G23" s="694">
        <v>1</v>
      </c>
      <c r="H23" s="587">
        <f>ROUND(194.8*3.36*1,0)</f>
        <v>655</v>
      </c>
      <c r="I23" s="695">
        <v>0.8</v>
      </c>
      <c r="J23" s="587">
        <f>ROUND(194.8*3.36*0.8,0)</f>
        <v>524</v>
      </c>
      <c r="K23" s="695">
        <v>0.8</v>
      </c>
      <c r="L23" s="587">
        <f>ROUND(194.8*3.36*0.8,0)</f>
        <v>524</v>
      </c>
      <c r="M23" s="695">
        <v>0.7</v>
      </c>
      <c r="N23" s="587">
        <f>ROUND(194.8*3.36*0.7,0)</f>
        <v>458</v>
      </c>
      <c r="O23" s="695">
        <v>0.6</v>
      </c>
      <c r="P23" s="587">
        <f>ROUND(194.8*3.36*0.6,0)</f>
        <v>393</v>
      </c>
      <c r="Q23" s="695">
        <v>0.8</v>
      </c>
      <c r="R23" s="587">
        <f>ROUND(194.8*3.36*0.8,0)</f>
        <v>524</v>
      </c>
      <c r="S23" s="695">
        <v>1.2</v>
      </c>
      <c r="T23" s="587">
        <f>ROUND(194.8*3.36*1.2,0)</f>
        <v>785</v>
      </c>
      <c r="U23" s="695">
        <v>1.6</v>
      </c>
      <c r="V23" s="587">
        <f>ROUND(194.8*3.36*1.6,0)</f>
        <v>1047</v>
      </c>
      <c r="W23" s="695">
        <v>2.1</v>
      </c>
      <c r="X23" s="587">
        <f>ROUND(194.8*3.36*2.1,0)</f>
        <v>1375</v>
      </c>
      <c r="Y23" s="695">
        <v>2.6</v>
      </c>
      <c r="Z23" s="587">
        <f>ROUND(194.8*3.36*2.6,0)</f>
        <v>1702</v>
      </c>
      <c r="AA23" s="695">
        <v>2.9</v>
      </c>
      <c r="AB23" s="587">
        <f>ROUND(194.8*3.36*2.9,0)</f>
        <v>1898</v>
      </c>
      <c r="AC23" s="695">
        <v>3.1</v>
      </c>
      <c r="AD23" s="587">
        <f>ROUND(194.8*3.36*3.1,0)</f>
        <v>2029</v>
      </c>
      <c r="AE23" s="695">
        <v>3.2</v>
      </c>
      <c r="AF23" s="587">
        <f>ROUND(194.8*3.36*3.2,0)</f>
        <v>2094</v>
      </c>
      <c r="AG23" s="695">
        <v>3.2</v>
      </c>
      <c r="AH23" s="587">
        <f>ROUND(194.8*3.36*3.2,0)</f>
        <v>2094</v>
      </c>
      <c r="AI23" s="695">
        <v>3</v>
      </c>
      <c r="AJ23" s="587">
        <f>ROUND(194.8*3.36*3,0)</f>
        <v>1964</v>
      </c>
      <c r="AK23" s="695">
        <v>2.8</v>
      </c>
      <c r="AL23" s="587">
        <f>ROUND(194.8*3.36*2.8,0)</f>
        <v>1833</v>
      </c>
      <c r="AM23" s="695">
        <v>2.4</v>
      </c>
      <c r="AN23" s="587">
        <f>ROUND(194.8*3.36*2.4,0)</f>
        <v>1571</v>
      </c>
      <c r="AO23" s="695">
        <v>2.1</v>
      </c>
      <c r="AP23" s="587">
        <f>ROUND(194.8*3.36*2.1,0)</f>
        <v>1375</v>
      </c>
      <c r="AQ23" s="695">
        <v>1.8</v>
      </c>
      <c r="AR23" s="587">
        <f>ROUND(194.8*3.36*1.8,0)</f>
        <v>1178</v>
      </c>
      <c r="AS23" s="695">
        <v>1.5</v>
      </c>
      <c r="AT23" s="587">
        <f>ROUND(194.8*3.36*1.5,0)</f>
        <v>982</v>
      </c>
      <c r="AU23" s="695">
        <v>1.4</v>
      </c>
      <c r="AV23" s="587">
        <f>ROUND(194.8*3.36*1.4,0)</f>
        <v>916</v>
      </c>
      <c r="AW23" s="695">
        <v>1.3</v>
      </c>
      <c r="AX23" s="587">
        <f>ROUND(194.8*3.36*1.3,0)</f>
        <v>851</v>
      </c>
      <c r="AY23" s="695">
        <v>1.2</v>
      </c>
      <c r="AZ23" s="587">
        <f>ROUND(194.8*3.36*1.2,0)</f>
        <v>785</v>
      </c>
      <c r="BA23" s="695">
        <v>1.1000000000000001</v>
      </c>
      <c r="BB23" s="589">
        <f>ROUND(194.8*3.36*1.1,0)</f>
        <v>720</v>
      </c>
      <c r="BC23" s="562"/>
      <c r="BD23" s="552"/>
      <c r="BE23" s="700" t="s">
        <v>259</v>
      </c>
      <c r="BF23" s="691"/>
      <c r="BG23" s="583">
        <v>194.8</v>
      </c>
      <c r="BH23" s="692">
        <v>3.36</v>
      </c>
      <c r="BI23" s="693"/>
      <c r="BJ23" s="694">
        <v>0.7</v>
      </c>
      <c r="BK23" s="587">
        <f>ROUND(194.8*3.36*0.7,0)</f>
        <v>458</v>
      </c>
      <c r="BL23" s="695">
        <v>0.6</v>
      </c>
      <c r="BM23" s="587">
        <f>ROUND(194.8*3.36*0.6,0)</f>
        <v>393</v>
      </c>
      <c r="BN23" s="695">
        <v>0.5</v>
      </c>
      <c r="BO23" s="587">
        <f>ROUND(194.8*3.36*0.5,0)</f>
        <v>327</v>
      </c>
      <c r="BP23" s="695">
        <v>0.4</v>
      </c>
      <c r="BQ23" s="587">
        <f>ROUND(194.8*3.36*0.4,0)</f>
        <v>262</v>
      </c>
      <c r="BR23" s="695">
        <v>0.4</v>
      </c>
      <c r="BS23" s="587">
        <f>ROUND(194.8*3.36*0.4,0)</f>
        <v>262</v>
      </c>
      <c r="BT23" s="695">
        <v>0.5</v>
      </c>
      <c r="BU23" s="587">
        <f>ROUND(194.8*3.36*0.5,0)</f>
        <v>327</v>
      </c>
      <c r="BV23" s="695">
        <v>1</v>
      </c>
      <c r="BW23" s="587">
        <f>ROUND(194.8*3.36*1,0)</f>
        <v>655</v>
      </c>
      <c r="BX23" s="695">
        <v>1.5</v>
      </c>
      <c r="BY23" s="587">
        <f>ROUND(194.8*3.36*1.5,0)</f>
        <v>982</v>
      </c>
      <c r="BZ23" s="695">
        <v>2</v>
      </c>
      <c r="CA23" s="587">
        <f>ROUND(194.8*3.36*2,0)</f>
        <v>1309</v>
      </c>
      <c r="CB23" s="695">
        <v>2.4</v>
      </c>
      <c r="CC23" s="587">
        <f>ROUND(194.8*3.36*2.4,0)</f>
        <v>1571</v>
      </c>
      <c r="CD23" s="695">
        <v>2.8</v>
      </c>
      <c r="CE23" s="587">
        <f>ROUND(194.8*3.36*2.8,0)</f>
        <v>1833</v>
      </c>
      <c r="CF23" s="695">
        <v>3</v>
      </c>
      <c r="CG23" s="587">
        <f>ROUND(194.8*3.36*3,0)</f>
        <v>1964</v>
      </c>
      <c r="CH23" s="695">
        <v>3</v>
      </c>
      <c r="CI23" s="587">
        <f>ROUND(194.8*3.36*3,0)</f>
        <v>1964</v>
      </c>
      <c r="CJ23" s="695">
        <v>3</v>
      </c>
      <c r="CK23" s="587">
        <f>ROUND(194.8*3.36*3,0)</f>
        <v>1964</v>
      </c>
      <c r="CL23" s="695">
        <v>2.8</v>
      </c>
      <c r="CM23" s="587">
        <f>ROUND(194.8*3.36*2.8,0)</f>
        <v>1833</v>
      </c>
      <c r="CN23" s="695">
        <v>2.6</v>
      </c>
      <c r="CO23" s="587">
        <f>ROUND(194.8*3.36*2.6,0)</f>
        <v>1702</v>
      </c>
      <c r="CP23" s="695">
        <v>2.4</v>
      </c>
      <c r="CQ23" s="587">
        <f>ROUND(194.8*3.36*2.4,0)</f>
        <v>1571</v>
      </c>
      <c r="CR23" s="695">
        <v>2</v>
      </c>
      <c r="CS23" s="587">
        <f>ROUND(194.8*3.36*2,0)</f>
        <v>1309</v>
      </c>
      <c r="CT23" s="695">
        <v>1.6</v>
      </c>
      <c r="CU23" s="587">
        <f>ROUND(194.8*3.36*1.6,0)</f>
        <v>1047</v>
      </c>
      <c r="CV23" s="695">
        <v>1.2</v>
      </c>
      <c r="CW23" s="587">
        <f>ROUND(194.8*3.36*1.2,0)</f>
        <v>785</v>
      </c>
      <c r="CX23" s="695">
        <v>1.1000000000000001</v>
      </c>
      <c r="CY23" s="587">
        <f>ROUND(194.8*3.36*1.1,0)</f>
        <v>720</v>
      </c>
      <c r="CZ23" s="695">
        <v>1</v>
      </c>
      <c r="DA23" s="587">
        <f>ROUND(194.8*3.36*1,0)</f>
        <v>655</v>
      </c>
      <c r="DB23" s="695">
        <v>0.9</v>
      </c>
      <c r="DC23" s="587">
        <f>ROUND(194.8*3.36*0.9,0)</f>
        <v>589</v>
      </c>
      <c r="DD23" s="695">
        <v>0.8</v>
      </c>
      <c r="DE23" s="589">
        <f>ROUND(194.8*3.36*0.8,0)</f>
        <v>524</v>
      </c>
      <c r="DF23" s="562"/>
      <c r="DG23" s="552"/>
      <c r="DH23" s="700" t="s">
        <v>259</v>
      </c>
      <c r="DI23" s="691"/>
      <c r="DJ23" s="583">
        <v>194.8</v>
      </c>
      <c r="DK23" s="692">
        <v>3.36</v>
      </c>
      <c r="DL23" s="693"/>
      <c r="DM23" s="694">
        <v>0</v>
      </c>
      <c r="DN23" s="587">
        <f>ROUND(194.8*3.36*0,0)</f>
        <v>0</v>
      </c>
      <c r="DO23" s="695">
        <v>0</v>
      </c>
      <c r="DP23" s="587">
        <f>ROUND(194.8*3.36*0,0)</f>
        <v>0</v>
      </c>
      <c r="DQ23" s="695">
        <v>0</v>
      </c>
      <c r="DR23" s="587">
        <f>ROUND(194.8*3.36*0,0)</f>
        <v>0</v>
      </c>
      <c r="DS23" s="695">
        <v>0</v>
      </c>
      <c r="DT23" s="587">
        <f>ROUND(194.8*3.36*0,0)</f>
        <v>0</v>
      </c>
      <c r="DU23" s="695">
        <v>0</v>
      </c>
      <c r="DV23" s="587">
        <f>ROUND(194.8*3.36*0,0)</f>
        <v>0</v>
      </c>
      <c r="DW23" s="695">
        <v>0</v>
      </c>
      <c r="DX23" s="587">
        <f>ROUND(194.8*3.36*0,0)</f>
        <v>0</v>
      </c>
      <c r="DY23" s="695">
        <v>0</v>
      </c>
      <c r="DZ23" s="587">
        <f>ROUND(194.8*3.36*0,0)</f>
        <v>0</v>
      </c>
      <c r="EA23" s="695">
        <v>0.6</v>
      </c>
      <c r="EB23" s="587">
        <f>ROUND(194.8*3.36*0.6,0)</f>
        <v>393</v>
      </c>
      <c r="EC23" s="695">
        <v>1.1000000000000001</v>
      </c>
      <c r="ED23" s="587">
        <f>ROUND(194.8*3.36*1.1,0)</f>
        <v>720</v>
      </c>
      <c r="EE23" s="695">
        <v>1.6</v>
      </c>
      <c r="EF23" s="587">
        <f>ROUND(194.8*3.36*1.6,0)</f>
        <v>1047</v>
      </c>
      <c r="EG23" s="695">
        <v>2</v>
      </c>
      <c r="EH23" s="587">
        <f>ROUND(194.8*3.36*2,0)</f>
        <v>1309</v>
      </c>
      <c r="EI23" s="695">
        <v>2.2000000000000002</v>
      </c>
      <c r="EJ23" s="587">
        <f>ROUND(194.8*3.36*2.2,0)</f>
        <v>1440</v>
      </c>
      <c r="EK23" s="695">
        <v>2.2999999999999998</v>
      </c>
      <c r="EL23" s="587">
        <f>ROUND(194.8*3.36*2.3,0)</f>
        <v>1505</v>
      </c>
      <c r="EM23" s="695">
        <v>2.2000000000000002</v>
      </c>
      <c r="EN23" s="587">
        <f>ROUND(194.8*3.36*2.2,0)</f>
        <v>1440</v>
      </c>
      <c r="EO23" s="695">
        <v>2</v>
      </c>
      <c r="EP23" s="587">
        <f>ROUND(194.8*3.36*2,0)</f>
        <v>1309</v>
      </c>
      <c r="EQ23" s="695">
        <v>1.9</v>
      </c>
      <c r="ER23" s="587">
        <f>ROUND(194.8*3.36*1.9,0)</f>
        <v>1244</v>
      </c>
      <c r="ES23" s="695">
        <v>1.5</v>
      </c>
      <c r="ET23" s="587">
        <f>ROUND(194.8*3.36*1.5,0)</f>
        <v>982</v>
      </c>
      <c r="EU23" s="695">
        <v>1.1000000000000001</v>
      </c>
      <c r="EV23" s="587">
        <f>ROUND(194.8*3.36*1.1,0)</f>
        <v>720</v>
      </c>
      <c r="EW23" s="695">
        <v>0.8</v>
      </c>
      <c r="EX23" s="587">
        <f>ROUND(194.8*3.36*0.8,0)</f>
        <v>524</v>
      </c>
      <c r="EY23" s="695">
        <v>0.5</v>
      </c>
      <c r="EZ23" s="587">
        <f>ROUND(194.8*3.36*0.5,0)</f>
        <v>327</v>
      </c>
      <c r="FA23" s="695">
        <v>0.4</v>
      </c>
      <c r="FB23" s="587">
        <f>ROUND(194.8*3.36*0.4,0)</f>
        <v>262</v>
      </c>
      <c r="FC23" s="695">
        <v>0.3</v>
      </c>
      <c r="FD23" s="587">
        <f>ROUND(194.8*3.36*0.3,0)</f>
        <v>196</v>
      </c>
      <c r="FE23" s="695">
        <v>0.2</v>
      </c>
      <c r="FF23" s="587">
        <f>ROUND(194.8*3.36*0.2,0)</f>
        <v>131</v>
      </c>
      <c r="FG23" s="695">
        <v>0.1</v>
      </c>
      <c r="FH23" s="589">
        <f>ROUND(194.8*3.36*0.1,0)</f>
        <v>65</v>
      </c>
      <c r="FI23" s="563"/>
      <c r="FJ23" s="564"/>
      <c r="FK23" s="700" t="s">
        <v>259</v>
      </c>
      <c r="FL23" s="691"/>
      <c r="FM23" s="583">
        <v>194.8</v>
      </c>
      <c r="FN23" s="692">
        <v>3.36</v>
      </c>
      <c r="FO23" s="693"/>
      <c r="FP23" s="696">
        <v>5</v>
      </c>
      <c r="FQ23" s="697">
        <v>7.7</v>
      </c>
      <c r="FR23" s="587">
        <f>ROUND(194.8*3.36*7.7,0)</f>
        <v>5040</v>
      </c>
      <c r="FS23" s="698">
        <v>8</v>
      </c>
      <c r="FT23" s="697">
        <v>7</v>
      </c>
      <c r="FU23" s="592">
        <f>ROUND(194.8*3.36*7,0)</f>
        <v>4582</v>
      </c>
      <c r="FV23" s="593"/>
      <c r="FW23" s="594"/>
      <c r="FX23" s="595"/>
      <c r="FY23" s="596"/>
      <c r="FZ23" s="597"/>
      <c r="GA23" s="598"/>
      <c r="GB23" s="599"/>
      <c r="GC23" s="600"/>
      <c r="GD23" s="599"/>
      <c r="GE23" s="601"/>
      <c r="GF23" s="688"/>
      <c r="GG23" s="602"/>
      <c r="GH23" s="602"/>
      <c r="GI23" s="602"/>
      <c r="GJ23" s="615"/>
      <c r="GK23" s="580" t="s">
        <v>701</v>
      </c>
      <c r="GL23" s="609"/>
      <c r="GM23" s="718"/>
      <c r="GN23" s="719">
        <v>194.8</v>
      </c>
      <c r="GO23" s="500" t="s">
        <v>318</v>
      </c>
      <c r="GP23" s="719"/>
      <c r="GQ23" s="609"/>
      <c r="GR23" s="615"/>
      <c r="GS23" s="578"/>
      <c r="GT23" s="677"/>
      <c r="GU23" s="609"/>
      <c r="GV23" s="530"/>
      <c r="GW23" s="609"/>
      <c r="GX23" s="609"/>
      <c r="GY23" s="720"/>
      <c r="GZ23" s="721"/>
      <c r="HA23" s="413"/>
      <c r="HB23" s="721" t="s">
        <v>702</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703</v>
      </c>
      <c r="GL24" s="609"/>
      <c r="GM24" s="718"/>
      <c r="GN24" s="719">
        <v>0.04</v>
      </c>
      <c r="GO24" s="719"/>
      <c r="GP24" s="719"/>
      <c r="GQ24" s="609"/>
      <c r="GR24" s="615"/>
      <c r="GS24" s="609"/>
      <c r="GT24" s="677"/>
      <c r="GU24" s="580" t="s">
        <v>704</v>
      </c>
      <c r="GV24" s="609"/>
      <c r="GW24" s="609"/>
      <c r="GX24" s="413"/>
      <c r="GY24" s="722">
        <v>614</v>
      </c>
      <c r="GZ24" s="580" t="s">
        <v>705</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544</v>
      </c>
      <c r="GV25" s="609"/>
      <c r="GW25" s="609"/>
      <c r="GX25" s="413"/>
      <c r="GY25" s="733">
        <v>1</v>
      </c>
      <c r="GZ25" s="580"/>
      <c r="HA25" s="530"/>
      <c r="HB25" s="530"/>
      <c r="HC25" s="530"/>
      <c r="HD25" s="562"/>
      <c r="HE25" s="562"/>
      <c r="HF25" s="415"/>
      <c r="HG25" s="415"/>
    </row>
    <row r="26" spans="1:218" ht="20.100000000000001" customHeight="1">
      <c r="A26" s="641"/>
      <c r="B26" s="642"/>
      <c r="C26" s="642"/>
      <c r="D26" s="642" t="s">
        <v>641</v>
      </c>
      <c r="E26" s="642"/>
      <c r="F26" s="642"/>
      <c r="G26" s="644"/>
      <c r="H26" s="645">
        <f>SUM(H16:H25)</f>
        <v>1754</v>
      </c>
      <c r="I26" s="734"/>
      <c r="J26" s="645">
        <f>SUM(J16:J25)</f>
        <v>1547</v>
      </c>
      <c r="K26" s="735"/>
      <c r="L26" s="645">
        <f>SUM(L16:L25)</f>
        <v>1510</v>
      </c>
      <c r="M26" s="735"/>
      <c r="N26" s="645">
        <f>SUM(N16:N25)</f>
        <v>1398</v>
      </c>
      <c r="O26" s="735"/>
      <c r="P26" s="645">
        <f>SUM(P16:P25)</f>
        <v>1299</v>
      </c>
      <c r="Q26" s="735"/>
      <c r="R26" s="645">
        <f>SUM(R16:R25)</f>
        <v>1484</v>
      </c>
      <c r="S26" s="735"/>
      <c r="T26" s="645">
        <f>SUM(T16:T25)</f>
        <v>1946</v>
      </c>
      <c r="U26" s="735"/>
      <c r="V26" s="645">
        <f>SUM(V16:V25)</f>
        <v>2464</v>
      </c>
      <c r="W26" s="735"/>
      <c r="X26" s="645">
        <f>SUM(X16:X25)</f>
        <v>3094</v>
      </c>
      <c r="Y26" s="735"/>
      <c r="Z26" s="645">
        <f>SUM(Z16:Z25)</f>
        <v>3679</v>
      </c>
      <c r="AA26" s="735"/>
      <c r="AB26" s="645">
        <f>SUM(AB16:AB25)</f>
        <v>4068</v>
      </c>
      <c r="AC26" s="735"/>
      <c r="AD26" s="645">
        <f>SUM(AD16:AD25)</f>
        <v>4333</v>
      </c>
      <c r="AE26" s="735"/>
      <c r="AF26" s="645">
        <f>SUM(AF16:AF25)</f>
        <v>4461</v>
      </c>
      <c r="AG26" s="735"/>
      <c r="AH26" s="645">
        <f>SUM(AH16:AH25)</f>
        <v>4491</v>
      </c>
      <c r="AI26" s="735"/>
      <c r="AJ26" s="645">
        <f>SUM(AJ16:AJ25)</f>
        <v>4316</v>
      </c>
      <c r="AK26" s="735"/>
      <c r="AL26" s="645">
        <f>SUM(AL16:AL25)</f>
        <v>4103</v>
      </c>
      <c r="AM26" s="735"/>
      <c r="AN26" s="645">
        <f>SUM(AN16:AN25)</f>
        <v>3682</v>
      </c>
      <c r="AO26" s="735"/>
      <c r="AP26" s="645">
        <f>SUM(AP16:AP25)</f>
        <v>3310</v>
      </c>
      <c r="AQ26" s="735"/>
      <c r="AR26" s="645">
        <f>SUM(AR16:AR25)</f>
        <v>2890</v>
      </c>
      <c r="AS26" s="735"/>
      <c r="AT26" s="645">
        <f>SUM(AT16:AT25)</f>
        <v>2495</v>
      </c>
      <c r="AU26" s="735"/>
      <c r="AV26" s="645">
        <f>SUM(AV16:AV25)</f>
        <v>2306</v>
      </c>
      <c r="AW26" s="735"/>
      <c r="AX26" s="645">
        <f>SUM(AX16:AX25)</f>
        <v>2142</v>
      </c>
      <c r="AY26" s="735"/>
      <c r="AZ26" s="645">
        <f>SUM(AZ16:AZ25)</f>
        <v>1999</v>
      </c>
      <c r="BA26" s="735"/>
      <c r="BB26" s="647">
        <f>SUM(BB16:BB25)</f>
        <v>1878</v>
      </c>
      <c r="BC26" s="648"/>
      <c r="BD26" s="641"/>
      <c r="BE26" s="642"/>
      <c r="BF26" s="642"/>
      <c r="BG26" s="642" t="s">
        <v>641</v>
      </c>
      <c r="BH26" s="642"/>
      <c r="BI26" s="642"/>
      <c r="BJ26" s="644"/>
      <c r="BK26" s="645">
        <f>SUM(BK16:BK25)</f>
        <v>1431</v>
      </c>
      <c r="BL26" s="734"/>
      <c r="BM26" s="645">
        <f>SUM(BM16:BM25)</f>
        <v>1305</v>
      </c>
      <c r="BN26" s="735"/>
      <c r="BO26" s="645">
        <f>SUM(BO16:BO25)</f>
        <v>1192</v>
      </c>
      <c r="BP26" s="735"/>
      <c r="BQ26" s="645">
        <f>SUM(BQ16:BQ25)</f>
        <v>1083</v>
      </c>
      <c r="BR26" s="735"/>
      <c r="BS26" s="645">
        <f>SUM(BS16:BS25)</f>
        <v>1062</v>
      </c>
      <c r="BT26" s="735"/>
      <c r="BU26" s="645">
        <f>SUM(BU16:BU25)</f>
        <v>1202</v>
      </c>
      <c r="BV26" s="735"/>
      <c r="BW26" s="645">
        <f>SUM(BW16:BW25)</f>
        <v>1819</v>
      </c>
      <c r="BX26" s="735"/>
      <c r="BY26" s="645">
        <f>SUM(BY16:BY25)</f>
        <v>2506</v>
      </c>
      <c r="BZ26" s="735"/>
      <c r="CA26" s="645">
        <f>SUM(CA16:CA25)</f>
        <v>3179</v>
      </c>
      <c r="CB26" s="735"/>
      <c r="CC26" s="645">
        <f>SUM(CC16:CC25)</f>
        <v>3687</v>
      </c>
      <c r="CD26" s="735"/>
      <c r="CE26" s="645">
        <f>SUM(CE16:CE25)</f>
        <v>4136</v>
      </c>
      <c r="CF26" s="735"/>
      <c r="CG26" s="645">
        <f>SUM(CG16:CG25)</f>
        <v>4362</v>
      </c>
      <c r="CH26" s="735"/>
      <c r="CI26" s="645">
        <f>SUM(CI16:CI25)</f>
        <v>4385</v>
      </c>
      <c r="CJ26" s="735"/>
      <c r="CK26" s="645">
        <f>SUM(CK16:CK25)</f>
        <v>4373</v>
      </c>
      <c r="CL26" s="735"/>
      <c r="CM26" s="645">
        <f>SUM(CM16:CM25)</f>
        <v>4187</v>
      </c>
      <c r="CN26" s="735"/>
      <c r="CO26" s="645">
        <f>SUM(CO16:CO25)</f>
        <v>3980</v>
      </c>
      <c r="CP26" s="735"/>
      <c r="CQ26" s="645">
        <f>SUM(CQ16:CQ25)</f>
        <v>3725</v>
      </c>
      <c r="CR26" s="735"/>
      <c r="CS26" s="645">
        <f>SUM(CS16:CS25)</f>
        <v>3270</v>
      </c>
      <c r="CT26" s="735"/>
      <c r="CU26" s="645">
        <f>SUM(CU16:CU25)</f>
        <v>2733</v>
      </c>
      <c r="CV26" s="735"/>
      <c r="CW26" s="645">
        <f>SUM(CW16:CW25)</f>
        <v>2226</v>
      </c>
      <c r="CX26" s="735"/>
      <c r="CY26" s="645">
        <f>SUM(CY16:CY25)</f>
        <v>2011</v>
      </c>
      <c r="CZ26" s="735"/>
      <c r="DA26" s="645">
        <f>SUM(DA16:DA25)</f>
        <v>1833</v>
      </c>
      <c r="DB26" s="735"/>
      <c r="DC26" s="645">
        <f>SUM(DC16:DC25)</f>
        <v>1688</v>
      </c>
      <c r="DD26" s="735"/>
      <c r="DE26" s="647">
        <f>SUM(DE16:DE25)</f>
        <v>1553</v>
      </c>
      <c r="DF26" s="648"/>
      <c r="DG26" s="641"/>
      <c r="DH26" s="642"/>
      <c r="DI26" s="642"/>
      <c r="DJ26" s="642" t="s">
        <v>642</v>
      </c>
      <c r="DK26" s="642"/>
      <c r="DL26" s="642"/>
      <c r="DM26" s="644"/>
      <c r="DN26" s="645">
        <f>SUM(DN16:DN25)</f>
        <v>648</v>
      </c>
      <c r="DO26" s="734"/>
      <c r="DP26" s="645">
        <f>SUM(DP16:DP25)</f>
        <v>618</v>
      </c>
      <c r="DQ26" s="735"/>
      <c r="DR26" s="645">
        <f>SUM(DR16:DR25)</f>
        <v>592</v>
      </c>
      <c r="DS26" s="735"/>
      <c r="DT26" s="645">
        <f>SUM(DT16:DT25)</f>
        <v>582</v>
      </c>
      <c r="DU26" s="735"/>
      <c r="DV26" s="645">
        <f>SUM(DV16:DV25)</f>
        <v>582</v>
      </c>
      <c r="DW26" s="735"/>
      <c r="DX26" s="645">
        <f>SUM(DX16:DX25)</f>
        <v>582</v>
      </c>
      <c r="DY26" s="735"/>
      <c r="DZ26" s="645">
        <f>SUM(DZ16:DZ25)</f>
        <v>712</v>
      </c>
      <c r="EA26" s="735"/>
      <c r="EB26" s="645">
        <f>SUM(EB16:EB25)</f>
        <v>1479</v>
      </c>
      <c r="EC26" s="735"/>
      <c r="ED26" s="645">
        <f>SUM(ED16:ED25)</f>
        <v>2239</v>
      </c>
      <c r="EE26" s="735"/>
      <c r="EF26" s="645">
        <f>SUM(EF16:EF25)</f>
        <v>2882</v>
      </c>
      <c r="EG26" s="735"/>
      <c r="EH26" s="645">
        <f>SUM(EH16:EH25)</f>
        <v>3382</v>
      </c>
      <c r="EI26" s="735"/>
      <c r="EJ26" s="645">
        <f>SUM(EJ16:EJ25)</f>
        <v>3670</v>
      </c>
      <c r="EK26" s="735"/>
      <c r="EL26" s="645">
        <f>SUM(EL16:EL25)</f>
        <v>3784</v>
      </c>
      <c r="EM26" s="735"/>
      <c r="EN26" s="645">
        <f>SUM(EN16:EN25)</f>
        <v>3693</v>
      </c>
      <c r="EO26" s="735"/>
      <c r="EP26" s="645">
        <f>SUM(EP16:EP25)</f>
        <v>3508</v>
      </c>
      <c r="EQ26" s="735"/>
      <c r="ER26" s="645">
        <f>SUM(ER16:ER25)</f>
        <v>3347</v>
      </c>
      <c r="ES26" s="735"/>
      <c r="ET26" s="645">
        <f>SUM(ET16:ET25)</f>
        <v>2883</v>
      </c>
      <c r="EU26" s="735"/>
      <c r="EV26" s="645">
        <f>SUM(EV16:EV25)</f>
        <v>2367</v>
      </c>
      <c r="EW26" s="735"/>
      <c r="EX26" s="645">
        <f>SUM(EX16:EX25)</f>
        <v>1839</v>
      </c>
      <c r="EY26" s="735"/>
      <c r="EZ26" s="645">
        <f>SUM(EZ16:EZ25)</f>
        <v>1420</v>
      </c>
      <c r="FA26" s="735"/>
      <c r="FB26" s="645">
        <f>SUM(FB16:FB25)</f>
        <v>1216</v>
      </c>
      <c r="FC26" s="735"/>
      <c r="FD26" s="645">
        <f>SUM(FD16:FD25)</f>
        <v>1053</v>
      </c>
      <c r="FE26" s="735"/>
      <c r="FF26" s="645">
        <f>SUM(FF16:FF25)</f>
        <v>913</v>
      </c>
      <c r="FG26" s="735"/>
      <c r="FH26" s="647">
        <f>SUM(FH16:FH25)</f>
        <v>771</v>
      </c>
      <c r="FI26" s="649"/>
      <c r="FJ26" s="564"/>
      <c r="FK26" s="642"/>
      <c r="FL26" s="642"/>
      <c r="FM26" s="642" t="s">
        <v>641</v>
      </c>
      <c r="FN26" s="642"/>
      <c r="FO26" s="642"/>
      <c r="FP26" s="650"/>
      <c r="FQ26" s="651"/>
      <c r="FR26" s="645">
        <f>SUM(FR16:FR25)</f>
        <v>9142</v>
      </c>
      <c r="FS26" s="736"/>
      <c r="FT26" s="651"/>
      <c r="FU26" s="653">
        <f>SUM(FU16:FU25)</f>
        <v>8302</v>
      </c>
      <c r="FV26" s="593"/>
      <c r="FW26" s="594"/>
      <c r="FX26" s="595"/>
      <c r="FY26" s="596"/>
      <c r="FZ26" s="597"/>
      <c r="GA26" s="598"/>
      <c r="GB26" s="599"/>
      <c r="GC26" s="600"/>
      <c r="GD26" s="599"/>
      <c r="GE26" s="601"/>
      <c r="GF26" s="654"/>
      <c r="GG26" s="655"/>
      <c r="GH26" s="655"/>
      <c r="GI26" s="655"/>
      <c r="GJ26" s="615"/>
      <c r="GK26" s="530" t="s">
        <v>545</v>
      </c>
      <c r="GL26" s="615"/>
      <c r="GM26" s="530"/>
      <c r="GN26" s="615"/>
      <c r="GO26" s="530"/>
      <c r="GP26" s="615"/>
      <c r="GQ26" s="615"/>
      <c r="GR26" s="615"/>
      <c r="GS26" s="579"/>
      <c r="GT26" s="677"/>
      <c r="GU26" s="580" t="s">
        <v>706</v>
      </c>
      <c r="GV26" s="609"/>
      <c r="GW26" s="609"/>
      <c r="GX26" s="413"/>
      <c r="GY26" s="733">
        <v>0.65</v>
      </c>
      <c r="GZ26" s="580"/>
      <c r="HA26" s="530"/>
      <c r="HB26" s="530"/>
      <c r="HC26" s="530"/>
      <c r="HD26" s="648"/>
      <c r="HE26" s="415"/>
      <c r="HF26" s="415"/>
      <c r="HG26" s="580"/>
      <c r="HH26" s="648"/>
      <c r="HI26" s="415"/>
      <c r="HJ26" s="415"/>
    </row>
    <row r="27" spans="1:218" ht="20.100000000000001" customHeight="1">
      <c r="A27" s="737" t="s">
        <v>431</v>
      </c>
      <c r="B27" s="738"/>
      <c r="C27" s="739"/>
      <c r="D27" s="663"/>
      <c r="E27" s="739"/>
      <c r="F27" s="739"/>
      <c r="G27" s="740" t="s">
        <v>429</v>
      </c>
      <c r="H27" s="663" t="s">
        <v>430</v>
      </c>
      <c r="I27" s="741" t="s">
        <v>322</v>
      </c>
      <c r="J27" s="663" t="s">
        <v>428</v>
      </c>
      <c r="K27" s="742" t="s">
        <v>429</v>
      </c>
      <c r="L27" s="663" t="s">
        <v>430</v>
      </c>
      <c r="M27" s="742" t="s">
        <v>322</v>
      </c>
      <c r="N27" s="663" t="s">
        <v>428</v>
      </c>
      <c r="O27" s="742" t="s">
        <v>322</v>
      </c>
      <c r="P27" s="663" t="s">
        <v>428</v>
      </c>
      <c r="Q27" s="742" t="s">
        <v>429</v>
      </c>
      <c r="R27" s="663" t="s">
        <v>428</v>
      </c>
      <c r="S27" s="742" t="s">
        <v>429</v>
      </c>
      <c r="T27" s="663" t="s">
        <v>430</v>
      </c>
      <c r="U27" s="742" t="s">
        <v>322</v>
      </c>
      <c r="V27" s="663" t="s">
        <v>428</v>
      </c>
      <c r="W27" s="742" t="s">
        <v>429</v>
      </c>
      <c r="X27" s="663" t="s">
        <v>430</v>
      </c>
      <c r="Y27" s="742" t="s">
        <v>429</v>
      </c>
      <c r="Z27" s="663" t="s">
        <v>430</v>
      </c>
      <c r="AA27" s="742" t="s">
        <v>429</v>
      </c>
      <c r="AB27" s="663" t="s">
        <v>430</v>
      </c>
      <c r="AC27" s="742" t="s">
        <v>322</v>
      </c>
      <c r="AD27" s="663" t="s">
        <v>430</v>
      </c>
      <c r="AE27" s="742" t="s">
        <v>322</v>
      </c>
      <c r="AF27" s="663" t="s">
        <v>430</v>
      </c>
      <c r="AG27" s="742" t="s">
        <v>322</v>
      </c>
      <c r="AH27" s="663" t="s">
        <v>428</v>
      </c>
      <c r="AI27" s="742" t="s">
        <v>429</v>
      </c>
      <c r="AJ27" s="663" t="s">
        <v>430</v>
      </c>
      <c r="AK27" s="742" t="s">
        <v>322</v>
      </c>
      <c r="AL27" s="663" t="s">
        <v>430</v>
      </c>
      <c r="AM27" s="742" t="s">
        <v>322</v>
      </c>
      <c r="AN27" s="663" t="s">
        <v>430</v>
      </c>
      <c r="AO27" s="742" t="s">
        <v>322</v>
      </c>
      <c r="AP27" s="663" t="s">
        <v>428</v>
      </c>
      <c r="AQ27" s="742" t="s">
        <v>429</v>
      </c>
      <c r="AR27" s="663" t="s">
        <v>428</v>
      </c>
      <c r="AS27" s="742" t="s">
        <v>322</v>
      </c>
      <c r="AT27" s="663" t="s">
        <v>428</v>
      </c>
      <c r="AU27" s="742" t="s">
        <v>429</v>
      </c>
      <c r="AV27" s="663" t="s">
        <v>428</v>
      </c>
      <c r="AW27" s="742" t="s">
        <v>322</v>
      </c>
      <c r="AX27" s="663" t="s">
        <v>428</v>
      </c>
      <c r="AY27" s="742" t="s">
        <v>322</v>
      </c>
      <c r="AZ27" s="663" t="s">
        <v>430</v>
      </c>
      <c r="BA27" s="742" t="s">
        <v>322</v>
      </c>
      <c r="BB27" s="665" t="s">
        <v>428</v>
      </c>
      <c r="BC27" s="723"/>
      <c r="BD27" s="737" t="s">
        <v>432</v>
      </c>
      <c r="BE27" s="738"/>
      <c r="BF27" s="739"/>
      <c r="BG27" s="663"/>
      <c r="BH27" s="739"/>
      <c r="BI27" s="739"/>
      <c r="BJ27" s="740" t="s">
        <v>322</v>
      </c>
      <c r="BK27" s="663" t="s">
        <v>428</v>
      </c>
      <c r="BL27" s="741" t="s">
        <v>429</v>
      </c>
      <c r="BM27" s="663" t="s">
        <v>430</v>
      </c>
      <c r="BN27" s="742" t="s">
        <v>322</v>
      </c>
      <c r="BO27" s="663" t="s">
        <v>430</v>
      </c>
      <c r="BP27" s="742" t="s">
        <v>322</v>
      </c>
      <c r="BQ27" s="663" t="s">
        <v>430</v>
      </c>
      <c r="BR27" s="742" t="s">
        <v>322</v>
      </c>
      <c r="BS27" s="663" t="s">
        <v>430</v>
      </c>
      <c r="BT27" s="742" t="s">
        <v>429</v>
      </c>
      <c r="BU27" s="663" t="s">
        <v>428</v>
      </c>
      <c r="BV27" s="742" t="s">
        <v>429</v>
      </c>
      <c r="BW27" s="663" t="s">
        <v>428</v>
      </c>
      <c r="BX27" s="742" t="s">
        <v>429</v>
      </c>
      <c r="BY27" s="663" t="s">
        <v>428</v>
      </c>
      <c r="BZ27" s="742" t="s">
        <v>429</v>
      </c>
      <c r="CA27" s="663" t="s">
        <v>428</v>
      </c>
      <c r="CB27" s="742" t="s">
        <v>429</v>
      </c>
      <c r="CC27" s="663" t="s">
        <v>428</v>
      </c>
      <c r="CD27" s="742" t="s">
        <v>429</v>
      </c>
      <c r="CE27" s="663" t="s">
        <v>428</v>
      </c>
      <c r="CF27" s="742" t="s">
        <v>429</v>
      </c>
      <c r="CG27" s="663" t="s">
        <v>428</v>
      </c>
      <c r="CH27" s="742" t="s">
        <v>322</v>
      </c>
      <c r="CI27" s="663" t="s">
        <v>428</v>
      </c>
      <c r="CJ27" s="742" t="s">
        <v>429</v>
      </c>
      <c r="CK27" s="663" t="s">
        <v>428</v>
      </c>
      <c r="CL27" s="742" t="s">
        <v>322</v>
      </c>
      <c r="CM27" s="663" t="s">
        <v>430</v>
      </c>
      <c r="CN27" s="742" t="s">
        <v>429</v>
      </c>
      <c r="CO27" s="663" t="s">
        <v>430</v>
      </c>
      <c r="CP27" s="742" t="s">
        <v>429</v>
      </c>
      <c r="CQ27" s="663" t="s">
        <v>428</v>
      </c>
      <c r="CR27" s="742" t="s">
        <v>429</v>
      </c>
      <c r="CS27" s="663" t="s">
        <v>428</v>
      </c>
      <c r="CT27" s="742" t="s">
        <v>322</v>
      </c>
      <c r="CU27" s="663" t="s">
        <v>430</v>
      </c>
      <c r="CV27" s="742" t="s">
        <v>429</v>
      </c>
      <c r="CW27" s="663" t="s">
        <v>428</v>
      </c>
      <c r="CX27" s="742" t="s">
        <v>322</v>
      </c>
      <c r="CY27" s="663" t="s">
        <v>428</v>
      </c>
      <c r="CZ27" s="742" t="s">
        <v>322</v>
      </c>
      <c r="DA27" s="663" t="s">
        <v>428</v>
      </c>
      <c r="DB27" s="742" t="s">
        <v>322</v>
      </c>
      <c r="DC27" s="663" t="s">
        <v>430</v>
      </c>
      <c r="DD27" s="742" t="s">
        <v>322</v>
      </c>
      <c r="DE27" s="665" t="s">
        <v>430</v>
      </c>
      <c r="DF27" s="723"/>
      <c r="DG27" s="737" t="s">
        <v>431</v>
      </c>
      <c r="DH27" s="743"/>
      <c r="DI27" s="744"/>
      <c r="DJ27" s="745"/>
      <c r="DK27" s="744"/>
      <c r="DL27" s="744"/>
      <c r="DM27" s="740" t="s">
        <v>322</v>
      </c>
      <c r="DN27" s="663" t="s">
        <v>430</v>
      </c>
      <c r="DO27" s="741" t="s">
        <v>322</v>
      </c>
      <c r="DP27" s="663" t="s">
        <v>430</v>
      </c>
      <c r="DQ27" s="742" t="s">
        <v>322</v>
      </c>
      <c r="DR27" s="663" t="s">
        <v>430</v>
      </c>
      <c r="DS27" s="742" t="s">
        <v>322</v>
      </c>
      <c r="DT27" s="663" t="s">
        <v>430</v>
      </c>
      <c r="DU27" s="742" t="s">
        <v>322</v>
      </c>
      <c r="DV27" s="663" t="s">
        <v>428</v>
      </c>
      <c r="DW27" s="742" t="s">
        <v>429</v>
      </c>
      <c r="DX27" s="663" t="s">
        <v>430</v>
      </c>
      <c r="DY27" s="742" t="s">
        <v>322</v>
      </c>
      <c r="DZ27" s="663" t="s">
        <v>430</v>
      </c>
      <c r="EA27" s="742" t="s">
        <v>322</v>
      </c>
      <c r="EB27" s="663" t="s">
        <v>430</v>
      </c>
      <c r="EC27" s="742" t="s">
        <v>322</v>
      </c>
      <c r="ED27" s="663" t="s">
        <v>428</v>
      </c>
      <c r="EE27" s="742" t="s">
        <v>429</v>
      </c>
      <c r="EF27" s="663" t="s">
        <v>428</v>
      </c>
      <c r="EG27" s="742" t="s">
        <v>322</v>
      </c>
      <c r="EH27" s="663" t="s">
        <v>428</v>
      </c>
      <c r="EI27" s="742" t="s">
        <v>429</v>
      </c>
      <c r="EJ27" s="663" t="s">
        <v>428</v>
      </c>
      <c r="EK27" s="742" t="s">
        <v>322</v>
      </c>
      <c r="EL27" s="663" t="s">
        <v>428</v>
      </c>
      <c r="EM27" s="742" t="s">
        <v>322</v>
      </c>
      <c r="EN27" s="663" t="s">
        <v>430</v>
      </c>
      <c r="EO27" s="742" t="s">
        <v>322</v>
      </c>
      <c r="EP27" s="663" t="s">
        <v>428</v>
      </c>
      <c r="EQ27" s="742" t="s">
        <v>322</v>
      </c>
      <c r="ER27" s="663" t="s">
        <v>430</v>
      </c>
      <c r="ES27" s="742" t="s">
        <v>322</v>
      </c>
      <c r="ET27" s="663" t="s">
        <v>428</v>
      </c>
      <c r="EU27" s="742" t="s">
        <v>429</v>
      </c>
      <c r="EV27" s="663" t="s">
        <v>428</v>
      </c>
      <c r="EW27" s="742" t="s">
        <v>429</v>
      </c>
      <c r="EX27" s="663" t="s">
        <v>428</v>
      </c>
      <c r="EY27" s="742" t="s">
        <v>429</v>
      </c>
      <c r="EZ27" s="663" t="s">
        <v>428</v>
      </c>
      <c r="FA27" s="742" t="s">
        <v>429</v>
      </c>
      <c r="FB27" s="663" t="s">
        <v>428</v>
      </c>
      <c r="FC27" s="742" t="s">
        <v>429</v>
      </c>
      <c r="FD27" s="663" t="s">
        <v>428</v>
      </c>
      <c r="FE27" s="742" t="s">
        <v>429</v>
      </c>
      <c r="FF27" s="663" t="s">
        <v>428</v>
      </c>
      <c r="FG27" s="742" t="s">
        <v>429</v>
      </c>
      <c r="FH27" s="665" t="s">
        <v>430</v>
      </c>
      <c r="FI27" s="746"/>
      <c r="FJ27" s="542" t="s">
        <v>431</v>
      </c>
      <c r="FK27" s="743"/>
      <c r="FL27" s="744"/>
      <c r="FM27" s="745"/>
      <c r="FN27" s="744"/>
      <c r="FO27" s="744"/>
      <c r="FP27" s="747" t="s">
        <v>433</v>
      </c>
      <c r="FQ27" s="673" t="s">
        <v>322</v>
      </c>
      <c r="FR27" s="663" t="s">
        <v>451</v>
      </c>
      <c r="FS27" s="748" t="s">
        <v>433</v>
      </c>
      <c r="FT27" s="673" t="s">
        <v>429</v>
      </c>
      <c r="FU27" s="675" t="s">
        <v>434</v>
      </c>
      <c r="FV27" s="593"/>
      <c r="FW27" s="594"/>
      <c r="FX27" s="595"/>
      <c r="FY27" s="596"/>
      <c r="FZ27" s="597"/>
      <c r="GA27" s="598"/>
      <c r="GB27" s="599"/>
      <c r="GC27" s="600"/>
      <c r="GD27" s="599"/>
      <c r="GE27" s="601"/>
      <c r="GF27" s="749"/>
      <c r="GG27" s="750"/>
      <c r="GH27" s="750"/>
      <c r="GI27" s="750"/>
      <c r="GJ27" s="615"/>
      <c r="GK27" s="530" t="s">
        <v>547</v>
      </c>
      <c r="GL27" s="615"/>
      <c r="GM27" s="615"/>
      <c r="GN27" s="615"/>
      <c r="GO27" s="413"/>
      <c r="GP27" s="751">
        <v>27.3</v>
      </c>
      <c r="GQ27" s="413" t="s">
        <v>707</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435</v>
      </c>
      <c r="C28" s="753"/>
      <c r="D28" s="754">
        <v>71</v>
      </c>
      <c r="E28" s="755">
        <v>2</v>
      </c>
      <c r="F28" s="756" t="s">
        <v>436</v>
      </c>
      <c r="G28" s="757">
        <v>1</v>
      </c>
      <c r="H28" s="559">
        <v>142</v>
      </c>
      <c r="I28" s="758">
        <v>1</v>
      </c>
      <c r="J28" s="559">
        <v>142</v>
      </c>
      <c r="K28" s="758">
        <v>1</v>
      </c>
      <c r="L28" s="559">
        <v>142</v>
      </c>
      <c r="M28" s="758">
        <v>1</v>
      </c>
      <c r="N28" s="559">
        <v>142</v>
      </c>
      <c r="O28" s="758">
        <v>1</v>
      </c>
      <c r="P28" s="559">
        <v>142</v>
      </c>
      <c r="Q28" s="758">
        <v>1</v>
      </c>
      <c r="R28" s="559">
        <v>142</v>
      </c>
      <c r="S28" s="758">
        <v>1</v>
      </c>
      <c r="T28" s="559">
        <v>142</v>
      </c>
      <c r="U28" s="758">
        <v>1</v>
      </c>
      <c r="V28" s="559">
        <v>142</v>
      </c>
      <c r="W28" s="758">
        <v>1</v>
      </c>
      <c r="X28" s="559">
        <v>142</v>
      </c>
      <c r="Y28" s="758">
        <v>1</v>
      </c>
      <c r="Z28" s="559">
        <v>142</v>
      </c>
      <c r="AA28" s="758">
        <v>1</v>
      </c>
      <c r="AB28" s="559">
        <v>142</v>
      </c>
      <c r="AC28" s="758">
        <v>1</v>
      </c>
      <c r="AD28" s="559">
        <v>142</v>
      </c>
      <c r="AE28" s="758">
        <v>1</v>
      </c>
      <c r="AF28" s="559">
        <v>142</v>
      </c>
      <c r="AG28" s="758">
        <v>1</v>
      </c>
      <c r="AH28" s="559">
        <v>142</v>
      </c>
      <c r="AI28" s="758">
        <v>1</v>
      </c>
      <c r="AJ28" s="559">
        <v>142</v>
      </c>
      <c r="AK28" s="758">
        <v>1</v>
      </c>
      <c r="AL28" s="559">
        <v>142</v>
      </c>
      <c r="AM28" s="758">
        <v>1</v>
      </c>
      <c r="AN28" s="559">
        <v>142</v>
      </c>
      <c r="AO28" s="758">
        <v>1</v>
      </c>
      <c r="AP28" s="559">
        <v>142</v>
      </c>
      <c r="AQ28" s="758">
        <v>1</v>
      </c>
      <c r="AR28" s="559">
        <v>142</v>
      </c>
      <c r="AS28" s="758">
        <v>1</v>
      </c>
      <c r="AT28" s="559">
        <v>142</v>
      </c>
      <c r="AU28" s="758">
        <v>1</v>
      </c>
      <c r="AV28" s="559">
        <v>142</v>
      </c>
      <c r="AW28" s="758">
        <v>1</v>
      </c>
      <c r="AX28" s="559">
        <v>142</v>
      </c>
      <c r="AY28" s="758">
        <v>1</v>
      </c>
      <c r="AZ28" s="559">
        <v>142</v>
      </c>
      <c r="BA28" s="758">
        <v>1</v>
      </c>
      <c r="BB28" s="684">
        <v>142</v>
      </c>
      <c r="BC28" s="562"/>
      <c r="BD28" s="552"/>
      <c r="BE28" s="752" t="s">
        <v>435</v>
      </c>
      <c r="BF28" s="753"/>
      <c r="BG28" s="754">
        <v>71</v>
      </c>
      <c r="BH28" s="755">
        <v>2</v>
      </c>
      <c r="BI28" s="756" t="s">
        <v>436</v>
      </c>
      <c r="BJ28" s="757">
        <v>1</v>
      </c>
      <c r="BK28" s="559">
        <v>142</v>
      </c>
      <c r="BL28" s="758">
        <v>1</v>
      </c>
      <c r="BM28" s="559">
        <v>142</v>
      </c>
      <c r="BN28" s="758">
        <v>1</v>
      </c>
      <c r="BO28" s="559">
        <v>142</v>
      </c>
      <c r="BP28" s="758">
        <v>1</v>
      </c>
      <c r="BQ28" s="559">
        <v>142</v>
      </c>
      <c r="BR28" s="758">
        <v>1</v>
      </c>
      <c r="BS28" s="559">
        <v>142</v>
      </c>
      <c r="BT28" s="758">
        <v>1</v>
      </c>
      <c r="BU28" s="559">
        <v>142</v>
      </c>
      <c r="BV28" s="758">
        <v>1</v>
      </c>
      <c r="BW28" s="559">
        <v>142</v>
      </c>
      <c r="BX28" s="758">
        <v>1</v>
      </c>
      <c r="BY28" s="559">
        <v>142</v>
      </c>
      <c r="BZ28" s="758">
        <v>1</v>
      </c>
      <c r="CA28" s="559">
        <v>142</v>
      </c>
      <c r="CB28" s="758">
        <v>1</v>
      </c>
      <c r="CC28" s="559">
        <v>142</v>
      </c>
      <c r="CD28" s="758">
        <v>1</v>
      </c>
      <c r="CE28" s="559">
        <v>142</v>
      </c>
      <c r="CF28" s="758">
        <v>1</v>
      </c>
      <c r="CG28" s="559">
        <v>142</v>
      </c>
      <c r="CH28" s="758">
        <v>1</v>
      </c>
      <c r="CI28" s="559">
        <v>142</v>
      </c>
      <c r="CJ28" s="758">
        <v>1</v>
      </c>
      <c r="CK28" s="559">
        <v>142</v>
      </c>
      <c r="CL28" s="758">
        <v>1</v>
      </c>
      <c r="CM28" s="559">
        <v>142</v>
      </c>
      <c r="CN28" s="758">
        <v>1</v>
      </c>
      <c r="CO28" s="559">
        <v>142</v>
      </c>
      <c r="CP28" s="758">
        <v>1</v>
      </c>
      <c r="CQ28" s="559">
        <v>142</v>
      </c>
      <c r="CR28" s="758">
        <v>1</v>
      </c>
      <c r="CS28" s="559">
        <v>142</v>
      </c>
      <c r="CT28" s="758">
        <v>1</v>
      </c>
      <c r="CU28" s="559">
        <v>142</v>
      </c>
      <c r="CV28" s="758">
        <v>1</v>
      </c>
      <c r="CW28" s="559">
        <v>142</v>
      </c>
      <c r="CX28" s="758">
        <v>1</v>
      </c>
      <c r="CY28" s="559">
        <v>142</v>
      </c>
      <c r="CZ28" s="758">
        <v>1</v>
      </c>
      <c r="DA28" s="559">
        <v>142</v>
      </c>
      <c r="DB28" s="758">
        <v>1</v>
      </c>
      <c r="DC28" s="559">
        <v>142</v>
      </c>
      <c r="DD28" s="758">
        <v>1</v>
      </c>
      <c r="DE28" s="684">
        <v>142</v>
      </c>
      <c r="DF28" s="562"/>
      <c r="DG28" s="552"/>
      <c r="DH28" s="752" t="s">
        <v>435</v>
      </c>
      <c r="DI28" s="753"/>
      <c r="DJ28" s="754">
        <v>71</v>
      </c>
      <c r="DK28" s="755">
        <v>2</v>
      </c>
      <c r="DL28" s="756" t="s">
        <v>436</v>
      </c>
      <c r="DM28" s="757">
        <v>1</v>
      </c>
      <c r="DN28" s="559">
        <v>142</v>
      </c>
      <c r="DO28" s="758">
        <v>1</v>
      </c>
      <c r="DP28" s="559">
        <v>142</v>
      </c>
      <c r="DQ28" s="758">
        <v>1</v>
      </c>
      <c r="DR28" s="559">
        <v>142</v>
      </c>
      <c r="DS28" s="758">
        <v>1</v>
      </c>
      <c r="DT28" s="559">
        <v>142</v>
      </c>
      <c r="DU28" s="758">
        <v>1</v>
      </c>
      <c r="DV28" s="559">
        <v>142</v>
      </c>
      <c r="DW28" s="758">
        <v>1</v>
      </c>
      <c r="DX28" s="559">
        <v>142</v>
      </c>
      <c r="DY28" s="758">
        <v>1</v>
      </c>
      <c r="DZ28" s="559">
        <v>142</v>
      </c>
      <c r="EA28" s="758">
        <v>1</v>
      </c>
      <c r="EB28" s="559">
        <v>142</v>
      </c>
      <c r="EC28" s="758">
        <v>1</v>
      </c>
      <c r="ED28" s="559">
        <v>142</v>
      </c>
      <c r="EE28" s="758">
        <v>1</v>
      </c>
      <c r="EF28" s="559">
        <v>142</v>
      </c>
      <c r="EG28" s="758">
        <v>1</v>
      </c>
      <c r="EH28" s="559">
        <v>142</v>
      </c>
      <c r="EI28" s="758">
        <v>1</v>
      </c>
      <c r="EJ28" s="559">
        <v>142</v>
      </c>
      <c r="EK28" s="758">
        <v>1</v>
      </c>
      <c r="EL28" s="559">
        <v>142</v>
      </c>
      <c r="EM28" s="758">
        <v>1</v>
      </c>
      <c r="EN28" s="559">
        <v>142</v>
      </c>
      <c r="EO28" s="758">
        <v>1</v>
      </c>
      <c r="EP28" s="559">
        <v>142</v>
      </c>
      <c r="EQ28" s="758">
        <v>1</v>
      </c>
      <c r="ER28" s="559">
        <v>142</v>
      </c>
      <c r="ES28" s="758">
        <v>1</v>
      </c>
      <c r="ET28" s="559">
        <v>142</v>
      </c>
      <c r="EU28" s="758">
        <v>1</v>
      </c>
      <c r="EV28" s="559">
        <v>142</v>
      </c>
      <c r="EW28" s="758">
        <v>1</v>
      </c>
      <c r="EX28" s="559">
        <v>142</v>
      </c>
      <c r="EY28" s="758">
        <v>1</v>
      </c>
      <c r="EZ28" s="559">
        <v>142</v>
      </c>
      <c r="FA28" s="758">
        <v>1</v>
      </c>
      <c r="FB28" s="559">
        <v>142</v>
      </c>
      <c r="FC28" s="758">
        <v>1</v>
      </c>
      <c r="FD28" s="559">
        <v>142</v>
      </c>
      <c r="FE28" s="758">
        <v>1</v>
      </c>
      <c r="FF28" s="559">
        <v>142</v>
      </c>
      <c r="FG28" s="758">
        <v>1</v>
      </c>
      <c r="FH28" s="684">
        <v>142</v>
      </c>
      <c r="FI28" s="563"/>
      <c r="FJ28" s="564"/>
      <c r="FK28" s="752" t="s">
        <v>435</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708</v>
      </c>
      <c r="GL28" s="413"/>
      <c r="GM28" s="413"/>
      <c r="GN28" s="413"/>
      <c r="GO28" s="530"/>
      <c r="GP28" s="751">
        <v>26</v>
      </c>
      <c r="GQ28" s="413" t="s">
        <v>707</v>
      </c>
      <c r="GR28" s="733"/>
      <c r="GS28" s="530"/>
      <c r="GT28" s="763"/>
      <c r="GU28" s="580" t="s">
        <v>709</v>
      </c>
      <c r="GV28" s="609"/>
      <c r="GW28" s="530"/>
      <c r="GX28" s="529"/>
      <c r="GY28" s="409"/>
      <c r="GZ28" s="615"/>
      <c r="HA28" s="530"/>
      <c r="HB28" s="530"/>
      <c r="HC28" s="530"/>
      <c r="HD28" s="530"/>
      <c r="HE28" s="415"/>
      <c r="HF28" s="415"/>
      <c r="HG28" s="415"/>
      <c r="HH28" s="415"/>
    </row>
    <row r="29" spans="1:218" ht="20.100000000000001" customHeight="1" thickBot="1">
      <c r="A29" s="552"/>
      <c r="B29" s="764" t="s">
        <v>439</v>
      </c>
      <c r="C29" s="765"/>
      <c r="D29" s="766">
        <v>12</v>
      </c>
      <c r="E29" s="767">
        <v>194.8</v>
      </c>
      <c r="F29" s="768" t="s">
        <v>436</v>
      </c>
      <c r="G29" s="769">
        <v>1</v>
      </c>
      <c r="H29" s="587">
        <v>2338</v>
      </c>
      <c r="I29" s="770">
        <v>1</v>
      </c>
      <c r="J29" s="587">
        <v>2338</v>
      </c>
      <c r="K29" s="770">
        <v>1</v>
      </c>
      <c r="L29" s="587">
        <v>2338</v>
      </c>
      <c r="M29" s="770">
        <v>1</v>
      </c>
      <c r="N29" s="587">
        <v>2338</v>
      </c>
      <c r="O29" s="770">
        <v>1</v>
      </c>
      <c r="P29" s="587">
        <v>2338</v>
      </c>
      <c r="Q29" s="770">
        <v>1</v>
      </c>
      <c r="R29" s="587">
        <v>2338</v>
      </c>
      <c r="S29" s="770">
        <v>1</v>
      </c>
      <c r="T29" s="587">
        <v>2338</v>
      </c>
      <c r="U29" s="770">
        <v>1</v>
      </c>
      <c r="V29" s="587">
        <v>2338</v>
      </c>
      <c r="W29" s="770">
        <v>1</v>
      </c>
      <c r="X29" s="587">
        <v>2338</v>
      </c>
      <c r="Y29" s="770">
        <v>1</v>
      </c>
      <c r="Z29" s="587">
        <v>2338</v>
      </c>
      <c r="AA29" s="770">
        <v>1</v>
      </c>
      <c r="AB29" s="587">
        <v>2338</v>
      </c>
      <c r="AC29" s="770">
        <v>1</v>
      </c>
      <c r="AD29" s="587">
        <v>2338</v>
      </c>
      <c r="AE29" s="770">
        <v>1</v>
      </c>
      <c r="AF29" s="587">
        <v>2338</v>
      </c>
      <c r="AG29" s="770">
        <v>1</v>
      </c>
      <c r="AH29" s="587">
        <v>2338</v>
      </c>
      <c r="AI29" s="770">
        <v>1</v>
      </c>
      <c r="AJ29" s="587">
        <v>2338</v>
      </c>
      <c r="AK29" s="770">
        <v>1</v>
      </c>
      <c r="AL29" s="587">
        <v>2338</v>
      </c>
      <c r="AM29" s="770">
        <v>1</v>
      </c>
      <c r="AN29" s="587">
        <v>2338</v>
      </c>
      <c r="AO29" s="770">
        <v>1</v>
      </c>
      <c r="AP29" s="587">
        <v>2338</v>
      </c>
      <c r="AQ29" s="770">
        <v>1</v>
      </c>
      <c r="AR29" s="587">
        <v>2338</v>
      </c>
      <c r="AS29" s="770">
        <v>1</v>
      </c>
      <c r="AT29" s="587">
        <v>2338</v>
      </c>
      <c r="AU29" s="770">
        <v>1</v>
      </c>
      <c r="AV29" s="587">
        <v>2338</v>
      </c>
      <c r="AW29" s="770">
        <v>1</v>
      </c>
      <c r="AX29" s="587">
        <v>2338</v>
      </c>
      <c r="AY29" s="770">
        <v>1</v>
      </c>
      <c r="AZ29" s="587">
        <v>2338</v>
      </c>
      <c r="BA29" s="770">
        <v>1</v>
      </c>
      <c r="BB29" s="589">
        <v>2338</v>
      </c>
      <c r="BC29" s="562"/>
      <c r="BD29" s="552"/>
      <c r="BE29" s="764" t="s">
        <v>439</v>
      </c>
      <c r="BF29" s="765"/>
      <c r="BG29" s="766">
        <v>12</v>
      </c>
      <c r="BH29" s="767">
        <v>194.8</v>
      </c>
      <c r="BI29" s="768" t="s">
        <v>436</v>
      </c>
      <c r="BJ29" s="769">
        <v>1</v>
      </c>
      <c r="BK29" s="587">
        <v>2338</v>
      </c>
      <c r="BL29" s="770">
        <v>1</v>
      </c>
      <c r="BM29" s="587">
        <v>2338</v>
      </c>
      <c r="BN29" s="770">
        <v>1</v>
      </c>
      <c r="BO29" s="587">
        <v>2338</v>
      </c>
      <c r="BP29" s="770">
        <v>1</v>
      </c>
      <c r="BQ29" s="587">
        <v>2338</v>
      </c>
      <c r="BR29" s="770">
        <v>1</v>
      </c>
      <c r="BS29" s="587">
        <v>2338</v>
      </c>
      <c r="BT29" s="770">
        <v>1</v>
      </c>
      <c r="BU29" s="587">
        <v>2338</v>
      </c>
      <c r="BV29" s="770">
        <v>1</v>
      </c>
      <c r="BW29" s="587">
        <v>2338</v>
      </c>
      <c r="BX29" s="770">
        <v>1</v>
      </c>
      <c r="BY29" s="587">
        <v>2338</v>
      </c>
      <c r="BZ29" s="770">
        <v>1</v>
      </c>
      <c r="CA29" s="587">
        <v>2338</v>
      </c>
      <c r="CB29" s="770">
        <v>1</v>
      </c>
      <c r="CC29" s="587">
        <v>2338</v>
      </c>
      <c r="CD29" s="770">
        <v>1</v>
      </c>
      <c r="CE29" s="587">
        <v>2338</v>
      </c>
      <c r="CF29" s="770">
        <v>1</v>
      </c>
      <c r="CG29" s="587">
        <v>2338</v>
      </c>
      <c r="CH29" s="770">
        <v>1</v>
      </c>
      <c r="CI29" s="587">
        <v>2338</v>
      </c>
      <c r="CJ29" s="770">
        <v>1</v>
      </c>
      <c r="CK29" s="587">
        <v>2338</v>
      </c>
      <c r="CL29" s="770">
        <v>1</v>
      </c>
      <c r="CM29" s="587">
        <v>2338</v>
      </c>
      <c r="CN29" s="770">
        <v>1</v>
      </c>
      <c r="CO29" s="587">
        <v>2338</v>
      </c>
      <c r="CP29" s="770">
        <v>1</v>
      </c>
      <c r="CQ29" s="587">
        <v>2338</v>
      </c>
      <c r="CR29" s="770">
        <v>1</v>
      </c>
      <c r="CS29" s="587">
        <v>2338</v>
      </c>
      <c r="CT29" s="770">
        <v>1</v>
      </c>
      <c r="CU29" s="587">
        <v>2338</v>
      </c>
      <c r="CV29" s="770">
        <v>1</v>
      </c>
      <c r="CW29" s="587">
        <v>2338</v>
      </c>
      <c r="CX29" s="770">
        <v>1</v>
      </c>
      <c r="CY29" s="587">
        <v>2338</v>
      </c>
      <c r="CZ29" s="770">
        <v>1</v>
      </c>
      <c r="DA29" s="587">
        <v>2338</v>
      </c>
      <c r="DB29" s="770">
        <v>1</v>
      </c>
      <c r="DC29" s="587">
        <v>2338</v>
      </c>
      <c r="DD29" s="770">
        <v>1</v>
      </c>
      <c r="DE29" s="589">
        <v>2338</v>
      </c>
      <c r="DF29" s="562"/>
      <c r="DG29" s="552"/>
      <c r="DH29" s="764" t="s">
        <v>439</v>
      </c>
      <c r="DI29" s="765"/>
      <c r="DJ29" s="766">
        <v>12</v>
      </c>
      <c r="DK29" s="767">
        <v>194.8</v>
      </c>
      <c r="DL29" s="768" t="s">
        <v>436</v>
      </c>
      <c r="DM29" s="769">
        <v>1</v>
      </c>
      <c r="DN29" s="587">
        <v>2338</v>
      </c>
      <c r="DO29" s="770">
        <v>1</v>
      </c>
      <c r="DP29" s="587">
        <v>2338</v>
      </c>
      <c r="DQ29" s="770">
        <v>1</v>
      </c>
      <c r="DR29" s="587">
        <v>2338</v>
      </c>
      <c r="DS29" s="770">
        <v>1</v>
      </c>
      <c r="DT29" s="587">
        <v>2338</v>
      </c>
      <c r="DU29" s="770">
        <v>1</v>
      </c>
      <c r="DV29" s="587">
        <v>2338</v>
      </c>
      <c r="DW29" s="770">
        <v>1</v>
      </c>
      <c r="DX29" s="587">
        <v>2338</v>
      </c>
      <c r="DY29" s="770">
        <v>1</v>
      </c>
      <c r="DZ29" s="587">
        <v>2338</v>
      </c>
      <c r="EA29" s="770">
        <v>1</v>
      </c>
      <c r="EB29" s="587">
        <v>2338</v>
      </c>
      <c r="EC29" s="770">
        <v>1</v>
      </c>
      <c r="ED29" s="587">
        <v>2338</v>
      </c>
      <c r="EE29" s="770">
        <v>1</v>
      </c>
      <c r="EF29" s="587">
        <v>2338</v>
      </c>
      <c r="EG29" s="770">
        <v>1</v>
      </c>
      <c r="EH29" s="587">
        <v>2338</v>
      </c>
      <c r="EI29" s="770">
        <v>1</v>
      </c>
      <c r="EJ29" s="587">
        <v>2338</v>
      </c>
      <c r="EK29" s="770">
        <v>1</v>
      </c>
      <c r="EL29" s="587">
        <v>2338</v>
      </c>
      <c r="EM29" s="770">
        <v>1</v>
      </c>
      <c r="EN29" s="587">
        <v>2338</v>
      </c>
      <c r="EO29" s="770">
        <v>1</v>
      </c>
      <c r="EP29" s="587">
        <v>2338</v>
      </c>
      <c r="EQ29" s="770">
        <v>1</v>
      </c>
      <c r="ER29" s="587">
        <v>2338</v>
      </c>
      <c r="ES29" s="770">
        <v>1</v>
      </c>
      <c r="ET29" s="587">
        <v>2338</v>
      </c>
      <c r="EU29" s="770">
        <v>1</v>
      </c>
      <c r="EV29" s="587">
        <v>2338</v>
      </c>
      <c r="EW29" s="770">
        <v>1</v>
      </c>
      <c r="EX29" s="587">
        <v>2338</v>
      </c>
      <c r="EY29" s="770">
        <v>1</v>
      </c>
      <c r="EZ29" s="587">
        <v>2338</v>
      </c>
      <c r="FA29" s="770">
        <v>1</v>
      </c>
      <c r="FB29" s="587">
        <v>2338</v>
      </c>
      <c r="FC29" s="770">
        <v>1</v>
      </c>
      <c r="FD29" s="587">
        <v>2338</v>
      </c>
      <c r="FE29" s="770">
        <v>1</v>
      </c>
      <c r="FF29" s="587">
        <v>2338</v>
      </c>
      <c r="FG29" s="770">
        <v>1</v>
      </c>
      <c r="FH29" s="589">
        <v>2338</v>
      </c>
      <c r="FI29" s="563"/>
      <c r="FJ29" s="564"/>
      <c r="FK29" s="764" t="s">
        <v>439</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710</v>
      </c>
      <c r="GL29" s="774"/>
      <c r="GM29" s="774"/>
      <c r="GN29" s="774"/>
      <c r="GO29" s="615"/>
      <c r="GP29" s="751">
        <v>1.3000000000000007</v>
      </c>
      <c r="GQ29" s="413" t="s">
        <v>550</v>
      </c>
      <c r="GR29" s="775"/>
      <c r="GS29" s="530"/>
      <c r="GT29" s="763"/>
      <c r="GU29" s="580" t="s">
        <v>553</v>
      </c>
      <c r="GV29" s="609"/>
      <c r="GW29" s="530"/>
      <c r="GX29" s="529"/>
      <c r="GY29" s="409"/>
      <c r="GZ29" s="530"/>
      <c r="HA29" s="580"/>
      <c r="HB29" s="580"/>
      <c r="HC29" s="579"/>
      <c r="HD29" s="530"/>
      <c r="HE29" s="415"/>
      <c r="HF29" s="415"/>
    </row>
    <row r="30" spans="1:218" ht="20.100000000000001" customHeight="1">
      <c r="A30" s="552"/>
      <c r="B30" s="764" t="s">
        <v>441</v>
      </c>
      <c r="C30" s="766"/>
      <c r="D30" s="767">
        <v>0</v>
      </c>
      <c r="E30" s="776"/>
      <c r="F30" s="777"/>
      <c r="G30" s="769"/>
      <c r="H30" s="587">
        <v>0</v>
      </c>
      <c r="I30" s="770"/>
      <c r="J30" s="587">
        <v>0</v>
      </c>
      <c r="K30" s="770"/>
      <c r="L30" s="587">
        <v>0</v>
      </c>
      <c r="M30" s="770"/>
      <c r="N30" s="587">
        <v>0</v>
      </c>
      <c r="O30" s="770"/>
      <c r="P30" s="587">
        <v>0</v>
      </c>
      <c r="Q30" s="770"/>
      <c r="R30" s="587">
        <v>0</v>
      </c>
      <c r="S30" s="770"/>
      <c r="T30" s="587">
        <v>0</v>
      </c>
      <c r="U30" s="770"/>
      <c r="V30" s="587">
        <v>0</v>
      </c>
      <c r="W30" s="770"/>
      <c r="X30" s="587">
        <v>0</v>
      </c>
      <c r="Y30" s="770"/>
      <c r="Z30" s="587">
        <v>0</v>
      </c>
      <c r="AA30" s="770"/>
      <c r="AB30" s="587">
        <v>0</v>
      </c>
      <c r="AC30" s="770"/>
      <c r="AD30" s="587">
        <v>0</v>
      </c>
      <c r="AE30" s="770"/>
      <c r="AF30" s="587">
        <v>0</v>
      </c>
      <c r="AG30" s="770"/>
      <c r="AH30" s="587">
        <v>0</v>
      </c>
      <c r="AI30" s="770"/>
      <c r="AJ30" s="587">
        <v>0</v>
      </c>
      <c r="AK30" s="770"/>
      <c r="AL30" s="587">
        <v>0</v>
      </c>
      <c r="AM30" s="770"/>
      <c r="AN30" s="587">
        <v>0</v>
      </c>
      <c r="AO30" s="770"/>
      <c r="AP30" s="587">
        <v>0</v>
      </c>
      <c r="AQ30" s="770"/>
      <c r="AR30" s="587">
        <v>0</v>
      </c>
      <c r="AS30" s="770"/>
      <c r="AT30" s="587">
        <v>0</v>
      </c>
      <c r="AU30" s="770"/>
      <c r="AV30" s="587">
        <v>0</v>
      </c>
      <c r="AW30" s="770"/>
      <c r="AX30" s="587">
        <v>0</v>
      </c>
      <c r="AY30" s="770"/>
      <c r="AZ30" s="587">
        <v>0</v>
      </c>
      <c r="BA30" s="770"/>
      <c r="BB30" s="589">
        <v>0</v>
      </c>
      <c r="BC30" s="562"/>
      <c r="BD30" s="552"/>
      <c r="BE30" s="764" t="s">
        <v>440</v>
      </c>
      <c r="BF30" s="766">
        <v>0</v>
      </c>
      <c r="BG30" s="767">
        <v>0</v>
      </c>
      <c r="BH30" s="776">
        <v>0</v>
      </c>
      <c r="BI30" s="777"/>
      <c r="BJ30" s="769"/>
      <c r="BK30" s="587">
        <v>0</v>
      </c>
      <c r="BL30" s="770"/>
      <c r="BM30" s="587">
        <v>0</v>
      </c>
      <c r="BN30" s="770"/>
      <c r="BO30" s="587">
        <v>0</v>
      </c>
      <c r="BP30" s="770"/>
      <c r="BQ30" s="587">
        <v>0</v>
      </c>
      <c r="BR30" s="770"/>
      <c r="BS30" s="587">
        <v>0</v>
      </c>
      <c r="BT30" s="770"/>
      <c r="BU30" s="587">
        <v>0</v>
      </c>
      <c r="BV30" s="770"/>
      <c r="BW30" s="587">
        <v>0</v>
      </c>
      <c r="BX30" s="770"/>
      <c r="BY30" s="587">
        <v>0</v>
      </c>
      <c r="BZ30" s="770"/>
      <c r="CA30" s="587">
        <v>0</v>
      </c>
      <c r="CB30" s="770"/>
      <c r="CC30" s="587">
        <v>0</v>
      </c>
      <c r="CD30" s="770"/>
      <c r="CE30" s="587">
        <v>0</v>
      </c>
      <c r="CF30" s="770"/>
      <c r="CG30" s="587">
        <v>0</v>
      </c>
      <c r="CH30" s="770"/>
      <c r="CI30" s="587">
        <v>0</v>
      </c>
      <c r="CJ30" s="770"/>
      <c r="CK30" s="587">
        <v>0</v>
      </c>
      <c r="CL30" s="770"/>
      <c r="CM30" s="587">
        <v>0</v>
      </c>
      <c r="CN30" s="770"/>
      <c r="CO30" s="587">
        <v>0</v>
      </c>
      <c r="CP30" s="770"/>
      <c r="CQ30" s="587">
        <v>0</v>
      </c>
      <c r="CR30" s="770"/>
      <c r="CS30" s="587">
        <v>0</v>
      </c>
      <c r="CT30" s="770"/>
      <c r="CU30" s="587">
        <v>0</v>
      </c>
      <c r="CV30" s="770"/>
      <c r="CW30" s="587">
        <v>0</v>
      </c>
      <c r="CX30" s="770"/>
      <c r="CY30" s="587">
        <v>0</v>
      </c>
      <c r="CZ30" s="770"/>
      <c r="DA30" s="587">
        <v>0</v>
      </c>
      <c r="DB30" s="770"/>
      <c r="DC30" s="587">
        <v>0</v>
      </c>
      <c r="DD30" s="770"/>
      <c r="DE30" s="589">
        <v>0</v>
      </c>
      <c r="DF30" s="562"/>
      <c r="DG30" s="552"/>
      <c r="DH30" s="764" t="s">
        <v>441</v>
      </c>
      <c r="DI30" s="766">
        <v>0</v>
      </c>
      <c r="DJ30" s="767">
        <v>0</v>
      </c>
      <c r="DK30" s="776">
        <v>0</v>
      </c>
      <c r="DL30" s="777"/>
      <c r="DM30" s="769"/>
      <c r="DN30" s="587">
        <v>0</v>
      </c>
      <c r="DO30" s="770"/>
      <c r="DP30" s="587">
        <v>0</v>
      </c>
      <c r="DQ30" s="770"/>
      <c r="DR30" s="587">
        <v>0</v>
      </c>
      <c r="DS30" s="770"/>
      <c r="DT30" s="587">
        <v>0</v>
      </c>
      <c r="DU30" s="770"/>
      <c r="DV30" s="587">
        <v>0</v>
      </c>
      <c r="DW30" s="770"/>
      <c r="DX30" s="587">
        <v>0</v>
      </c>
      <c r="DY30" s="770"/>
      <c r="DZ30" s="587">
        <v>0</v>
      </c>
      <c r="EA30" s="770"/>
      <c r="EB30" s="587">
        <v>0</v>
      </c>
      <c r="EC30" s="770"/>
      <c r="ED30" s="587">
        <v>0</v>
      </c>
      <c r="EE30" s="770"/>
      <c r="EF30" s="587">
        <v>0</v>
      </c>
      <c r="EG30" s="770"/>
      <c r="EH30" s="587">
        <v>0</v>
      </c>
      <c r="EI30" s="770"/>
      <c r="EJ30" s="587">
        <v>0</v>
      </c>
      <c r="EK30" s="770"/>
      <c r="EL30" s="587">
        <v>0</v>
      </c>
      <c r="EM30" s="770"/>
      <c r="EN30" s="587">
        <v>0</v>
      </c>
      <c r="EO30" s="770"/>
      <c r="EP30" s="587">
        <v>0</v>
      </c>
      <c r="EQ30" s="770"/>
      <c r="ER30" s="587">
        <v>0</v>
      </c>
      <c r="ES30" s="770"/>
      <c r="ET30" s="587">
        <v>0</v>
      </c>
      <c r="EU30" s="770"/>
      <c r="EV30" s="587">
        <v>0</v>
      </c>
      <c r="EW30" s="770"/>
      <c r="EX30" s="587">
        <v>0</v>
      </c>
      <c r="EY30" s="770"/>
      <c r="EZ30" s="587">
        <v>0</v>
      </c>
      <c r="FA30" s="770"/>
      <c r="FB30" s="587">
        <v>0</v>
      </c>
      <c r="FC30" s="770"/>
      <c r="FD30" s="587">
        <v>0</v>
      </c>
      <c r="FE30" s="770"/>
      <c r="FF30" s="587">
        <v>0</v>
      </c>
      <c r="FG30" s="770"/>
      <c r="FH30" s="589">
        <v>0</v>
      </c>
      <c r="FI30" s="563"/>
      <c r="FJ30" s="564"/>
      <c r="FK30" s="764" t="s">
        <v>440</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711</v>
      </c>
      <c r="GL30" s="774"/>
      <c r="GM30" s="774"/>
      <c r="GN30" s="774"/>
      <c r="GO30" s="530"/>
      <c r="GP30" s="778">
        <v>0</v>
      </c>
      <c r="GQ30" s="413"/>
      <c r="GR30" s="413"/>
      <c r="GS30" s="530"/>
      <c r="GT30" s="763"/>
      <c r="GU30" s="779" t="s">
        <v>380</v>
      </c>
      <c r="GV30" s="780"/>
      <c r="GW30" s="781" t="s">
        <v>712</v>
      </c>
      <c r="GX30" s="781"/>
      <c r="GY30" s="781"/>
      <c r="GZ30" s="781"/>
      <c r="HA30" s="782"/>
      <c r="HB30" s="783" t="s">
        <v>713</v>
      </c>
      <c r="HC30" s="579"/>
      <c r="HD30" s="562"/>
      <c r="HE30" s="415"/>
      <c r="HF30" s="415"/>
    </row>
    <row r="31" spans="1:218" ht="20.100000000000001" customHeight="1">
      <c r="A31" s="552"/>
      <c r="B31" s="784" t="s">
        <v>442</v>
      </c>
      <c r="C31" s="784"/>
      <c r="D31" s="785">
        <v>30000</v>
      </c>
      <c r="E31" s="786">
        <v>0.5</v>
      </c>
      <c r="F31" s="787" t="s">
        <v>436</v>
      </c>
      <c r="G31" s="769">
        <v>0.5</v>
      </c>
      <c r="H31" s="587">
        <v>7500</v>
      </c>
      <c r="I31" s="770">
        <v>0.5</v>
      </c>
      <c r="J31" s="587">
        <v>7500</v>
      </c>
      <c r="K31" s="770">
        <v>0.5</v>
      </c>
      <c r="L31" s="587">
        <v>7500</v>
      </c>
      <c r="M31" s="770">
        <v>0.5</v>
      </c>
      <c r="N31" s="587">
        <v>7500</v>
      </c>
      <c r="O31" s="770">
        <v>0.5</v>
      </c>
      <c r="P31" s="587">
        <v>7500</v>
      </c>
      <c r="Q31" s="770">
        <v>0.5</v>
      </c>
      <c r="R31" s="587">
        <v>7500</v>
      </c>
      <c r="S31" s="770">
        <v>0.5</v>
      </c>
      <c r="T31" s="587">
        <v>7500</v>
      </c>
      <c r="U31" s="770">
        <v>0.5</v>
      </c>
      <c r="V31" s="587">
        <v>7500</v>
      </c>
      <c r="W31" s="770">
        <v>1</v>
      </c>
      <c r="X31" s="587">
        <v>15000</v>
      </c>
      <c r="Y31" s="770">
        <v>1</v>
      </c>
      <c r="Z31" s="587">
        <v>15000</v>
      </c>
      <c r="AA31" s="770">
        <v>1</v>
      </c>
      <c r="AB31" s="587">
        <v>15000</v>
      </c>
      <c r="AC31" s="770">
        <v>1</v>
      </c>
      <c r="AD31" s="587">
        <v>15000</v>
      </c>
      <c r="AE31" s="770">
        <v>1</v>
      </c>
      <c r="AF31" s="587">
        <v>15000</v>
      </c>
      <c r="AG31" s="770">
        <v>1</v>
      </c>
      <c r="AH31" s="587">
        <v>15000</v>
      </c>
      <c r="AI31" s="770">
        <v>1</v>
      </c>
      <c r="AJ31" s="587">
        <v>15000</v>
      </c>
      <c r="AK31" s="770">
        <v>1</v>
      </c>
      <c r="AL31" s="587">
        <v>15000</v>
      </c>
      <c r="AM31" s="770">
        <v>1</v>
      </c>
      <c r="AN31" s="587">
        <v>15000</v>
      </c>
      <c r="AO31" s="770">
        <v>1</v>
      </c>
      <c r="AP31" s="587">
        <v>15000</v>
      </c>
      <c r="AQ31" s="770">
        <v>1</v>
      </c>
      <c r="AR31" s="587">
        <v>15000</v>
      </c>
      <c r="AS31" s="770">
        <v>1</v>
      </c>
      <c r="AT31" s="587">
        <v>15000</v>
      </c>
      <c r="AU31" s="770">
        <v>1</v>
      </c>
      <c r="AV31" s="587">
        <v>15000</v>
      </c>
      <c r="AW31" s="770">
        <v>1</v>
      </c>
      <c r="AX31" s="587">
        <v>15000</v>
      </c>
      <c r="AY31" s="770">
        <v>0.5</v>
      </c>
      <c r="AZ31" s="587">
        <v>7500</v>
      </c>
      <c r="BA31" s="770">
        <v>0.5</v>
      </c>
      <c r="BB31" s="589">
        <v>7500</v>
      </c>
      <c r="BC31" s="562"/>
      <c r="BD31" s="552"/>
      <c r="BE31" s="784" t="s">
        <v>443</v>
      </c>
      <c r="BF31" s="784"/>
      <c r="BG31" s="785">
        <v>30000</v>
      </c>
      <c r="BH31" s="786">
        <v>0.5</v>
      </c>
      <c r="BI31" s="787" t="s">
        <v>436</v>
      </c>
      <c r="BJ31" s="769">
        <v>0.5</v>
      </c>
      <c r="BK31" s="587">
        <v>7500</v>
      </c>
      <c r="BL31" s="770">
        <v>0.5</v>
      </c>
      <c r="BM31" s="587">
        <v>7500</v>
      </c>
      <c r="BN31" s="770">
        <v>0.5</v>
      </c>
      <c r="BO31" s="587">
        <v>7500</v>
      </c>
      <c r="BP31" s="770">
        <v>0.5</v>
      </c>
      <c r="BQ31" s="587">
        <v>7500</v>
      </c>
      <c r="BR31" s="770">
        <v>0.5</v>
      </c>
      <c r="BS31" s="587">
        <v>7500</v>
      </c>
      <c r="BT31" s="770">
        <v>0.5</v>
      </c>
      <c r="BU31" s="587">
        <v>7500</v>
      </c>
      <c r="BV31" s="770">
        <v>0.5</v>
      </c>
      <c r="BW31" s="587">
        <v>7500</v>
      </c>
      <c r="BX31" s="770">
        <v>0.5</v>
      </c>
      <c r="BY31" s="587">
        <v>7500</v>
      </c>
      <c r="BZ31" s="770">
        <v>1</v>
      </c>
      <c r="CA31" s="587">
        <v>15000</v>
      </c>
      <c r="CB31" s="770">
        <v>1</v>
      </c>
      <c r="CC31" s="587">
        <v>15000</v>
      </c>
      <c r="CD31" s="770">
        <v>1</v>
      </c>
      <c r="CE31" s="587">
        <v>15000</v>
      </c>
      <c r="CF31" s="770">
        <v>1</v>
      </c>
      <c r="CG31" s="587">
        <v>15000</v>
      </c>
      <c r="CH31" s="770">
        <v>1</v>
      </c>
      <c r="CI31" s="587">
        <v>15000</v>
      </c>
      <c r="CJ31" s="770">
        <v>1</v>
      </c>
      <c r="CK31" s="587">
        <v>15000</v>
      </c>
      <c r="CL31" s="770">
        <v>1</v>
      </c>
      <c r="CM31" s="587">
        <v>15000</v>
      </c>
      <c r="CN31" s="770">
        <v>1</v>
      </c>
      <c r="CO31" s="587">
        <v>15000</v>
      </c>
      <c r="CP31" s="770">
        <v>1</v>
      </c>
      <c r="CQ31" s="587">
        <v>15000</v>
      </c>
      <c r="CR31" s="770">
        <v>1</v>
      </c>
      <c r="CS31" s="587">
        <v>15000</v>
      </c>
      <c r="CT31" s="770">
        <v>1</v>
      </c>
      <c r="CU31" s="587">
        <v>15000</v>
      </c>
      <c r="CV31" s="770">
        <v>1</v>
      </c>
      <c r="CW31" s="587">
        <v>15000</v>
      </c>
      <c r="CX31" s="770">
        <v>1</v>
      </c>
      <c r="CY31" s="587">
        <v>15000</v>
      </c>
      <c r="CZ31" s="770">
        <v>1</v>
      </c>
      <c r="DA31" s="587">
        <v>15000</v>
      </c>
      <c r="DB31" s="770">
        <v>0.5</v>
      </c>
      <c r="DC31" s="587">
        <v>7500</v>
      </c>
      <c r="DD31" s="770">
        <v>0.5</v>
      </c>
      <c r="DE31" s="589">
        <v>7500</v>
      </c>
      <c r="DF31" s="562"/>
      <c r="DG31" s="552"/>
      <c r="DH31" s="784" t="s">
        <v>442</v>
      </c>
      <c r="DI31" s="784"/>
      <c r="DJ31" s="785">
        <v>30000</v>
      </c>
      <c r="DK31" s="786">
        <v>0.5</v>
      </c>
      <c r="DL31" s="787" t="s">
        <v>436</v>
      </c>
      <c r="DM31" s="769">
        <v>0.5</v>
      </c>
      <c r="DN31" s="587">
        <v>7500</v>
      </c>
      <c r="DO31" s="770">
        <v>0.5</v>
      </c>
      <c r="DP31" s="587">
        <v>7500</v>
      </c>
      <c r="DQ31" s="770">
        <v>0.5</v>
      </c>
      <c r="DR31" s="587">
        <v>7500</v>
      </c>
      <c r="DS31" s="770">
        <v>0.5</v>
      </c>
      <c r="DT31" s="587">
        <v>7500</v>
      </c>
      <c r="DU31" s="770">
        <v>0.5</v>
      </c>
      <c r="DV31" s="587">
        <v>7500</v>
      </c>
      <c r="DW31" s="770">
        <v>0.5</v>
      </c>
      <c r="DX31" s="587">
        <v>7500</v>
      </c>
      <c r="DY31" s="770">
        <v>0.5</v>
      </c>
      <c r="DZ31" s="587">
        <v>7500</v>
      </c>
      <c r="EA31" s="770">
        <v>0.5</v>
      </c>
      <c r="EB31" s="587">
        <v>7500</v>
      </c>
      <c r="EC31" s="770">
        <v>1</v>
      </c>
      <c r="ED31" s="587">
        <v>15000</v>
      </c>
      <c r="EE31" s="770">
        <v>1</v>
      </c>
      <c r="EF31" s="587">
        <v>15000</v>
      </c>
      <c r="EG31" s="770">
        <v>1</v>
      </c>
      <c r="EH31" s="587">
        <v>15000</v>
      </c>
      <c r="EI31" s="770">
        <v>1</v>
      </c>
      <c r="EJ31" s="587">
        <v>15000</v>
      </c>
      <c r="EK31" s="770">
        <v>1</v>
      </c>
      <c r="EL31" s="587">
        <v>15000</v>
      </c>
      <c r="EM31" s="770">
        <v>1</v>
      </c>
      <c r="EN31" s="587">
        <v>15000</v>
      </c>
      <c r="EO31" s="770">
        <v>1</v>
      </c>
      <c r="EP31" s="587">
        <v>15000</v>
      </c>
      <c r="EQ31" s="770">
        <v>1</v>
      </c>
      <c r="ER31" s="587">
        <v>15000</v>
      </c>
      <c r="ES31" s="770">
        <v>1</v>
      </c>
      <c r="ET31" s="587">
        <v>15000</v>
      </c>
      <c r="EU31" s="770">
        <v>1</v>
      </c>
      <c r="EV31" s="587">
        <v>15000</v>
      </c>
      <c r="EW31" s="770">
        <v>1</v>
      </c>
      <c r="EX31" s="587">
        <v>15000</v>
      </c>
      <c r="EY31" s="770">
        <v>1</v>
      </c>
      <c r="EZ31" s="587">
        <v>15000</v>
      </c>
      <c r="FA31" s="770">
        <v>1</v>
      </c>
      <c r="FB31" s="587">
        <v>15000</v>
      </c>
      <c r="FC31" s="770">
        <v>1</v>
      </c>
      <c r="FD31" s="587">
        <v>15000</v>
      </c>
      <c r="FE31" s="770">
        <v>0.5</v>
      </c>
      <c r="FF31" s="587">
        <v>7500</v>
      </c>
      <c r="FG31" s="770">
        <v>0.5</v>
      </c>
      <c r="FH31" s="589">
        <v>7500</v>
      </c>
      <c r="FI31" s="563"/>
      <c r="FJ31" s="564"/>
      <c r="FK31" s="784" t="s">
        <v>443</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v>
      </c>
      <c r="GQ31" s="413"/>
      <c r="GR31" s="413"/>
      <c r="GS31" s="580"/>
      <c r="GT31" s="763"/>
      <c r="GU31" s="779"/>
      <c r="GV31" s="780"/>
      <c r="GW31" s="789" t="s">
        <v>714</v>
      </c>
      <c r="GX31" s="790" t="s">
        <v>715</v>
      </c>
      <c r="GY31" s="791" t="s">
        <v>716</v>
      </c>
      <c r="GZ31" s="792" t="s">
        <v>717</v>
      </c>
      <c r="HA31" s="792" t="s">
        <v>699</v>
      </c>
      <c r="HB31" s="793"/>
      <c r="HC31" s="579"/>
      <c r="HD31" s="562"/>
      <c r="HE31" s="415"/>
      <c r="HF31" s="415"/>
    </row>
    <row r="32" spans="1:218" ht="20.100000000000001" customHeight="1">
      <c r="A32" s="552"/>
      <c r="B32" s="794" t="s">
        <v>444</v>
      </c>
      <c r="C32" s="795"/>
      <c r="D32" s="785"/>
      <c r="E32" s="796"/>
      <c r="F32" s="797"/>
      <c r="G32" s="798"/>
      <c r="H32" s="799">
        <v>0</v>
      </c>
      <c r="I32" s="800"/>
      <c r="J32" s="799">
        <v>0</v>
      </c>
      <c r="K32" s="800"/>
      <c r="L32" s="799">
        <v>0</v>
      </c>
      <c r="M32" s="800"/>
      <c r="N32" s="799">
        <v>0</v>
      </c>
      <c r="O32" s="800"/>
      <c r="P32" s="799">
        <v>0</v>
      </c>
      <c r="Q32" s="800"/>
      <c r="R32" s="799">
        <v>0</v>
      </c>
      <c r="S32" s="800"/>
      <c r="T32" s="799">
        <v>0</v>
      </c>
      <c r="U32" s="800"/>
      <c r="V32" s="799">
        <v>0</v>
      </c>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v>0</v>
      </c>
      <c r="AS32" s="800"/>
      <c r="AT32" s="799">
        <v>0</v>
      </c>
      <c r="AU32" s="800"/>
      <c r="AV32" s="799">
        <v>0</v>
      </c>
      <c r="AW32" s="800"/>
      <c r="AX32" s="799">
        <v>0</v>
      </c>
      <c r="AY32" s="800"/>
      <c r="AZ32" s="799">
        <v>0</v>
      </c>
      <c r="BA32" s="800"/>
      <c r="BB32" s="801">
        <v>0</v>
      </c>
      <c r="BC32" s="562"/>
      <c r="BD32" s="552"/>
      <c r="BE32" s="794" t="s">
        <v>669</v>
      </c>
      <c r="BF32" s="795"/>
      <c r="BG32" s="785">
        <v>0</v>
      </c>
      <c r="BH32" s="796">
        <v>0</v>
      </c>
      <c r="BI32" s="797"/>
      <c r="BJ32" s="798"/>
      <c r="BK32" s="799">
        <v>0</v>
      </c>
      <c r="BL32" s="800"/>
      <c r="BM32" s="799">
        <v>0</v>
      </c>
      <c r="BN32" s="800"/>
      <c r="BO32" s="799">
        <v>0</v>
      </c>
      <c r="BP32" s="800"/>
      <c r="BQ32" s="799">
        <v>0</v>
      </c>
      <c r="BR32" s="800"/>
      <c r="BS32" s="799">
        <v>0</v>
      </c>
      <c r="BT32" s="800"/>
      <c r="BU32" s="799">
        <v>0</v>
      </c>
      <c r="BV32" s="800"/>
      <c r="BW32" s="799">
        <v>0</v>
      </c>
      <c r="BX32" s="800"/>
      <c r="BY32" s="799">
        <v>0</v>
      </c>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v>0</v>
      </c>
      <c r="CV32" s="800"/>
      <c r="CW32" s="799">
        <v>0</v>
      </c>
      <c r="CX32" s="800"/>
      <c r="CY32" s="799">
        <v>0</v>
      </c>
      <c r="CZ32" s="800"/>
      <c r="DA32" s="799">
        <v>0</v>
      </c>
      <c r="DB32" s="800"/>
      <c r="DC32" s="799">
        <v>0</v>
      </c>
      <c r="DD32" s="800"/>
      <c r="DE32" s="801">
        <v>0</v>
      </c>
      <c r="DF32" s="562"/>
      <c r="DG32" s="552"/>
      <c r="DH32" s="794" t="s">
        <v>669</v>
      </c>
      <c r="DI32" s="795"/>
      <c r="DJ32" s="785">
        <v>0</v>
      </c>
      <c r="DK32" s="796">
        <v>0</v>
      </c>
      <c r="DL32" s="797"/>
      <c r="DM32" s="798"/>
      <c r="DN32" s="799">
        <v>0</v>
      </c>
      <c r="DO32" s="800"/>
      <c r="DP32" s="799">
        <v>0</v>
      </c>
      <c r="DQ32" s="800"/>
      <c r="DR32" s="799">
        <v>0</v>
      </c>
      <c r="DS32" s="800"/>
      <c r="DT32" s="799">
        <v>0</v>
      </c>
      <c r="DU32" s="800"/>
      <c r="DV32" s="799">
        <v>0</v>
      </c>
      <c r="DW32" s="800"/>
      <c r="DX32" s="799">
        <v>0</v>
      </c>
      <c r="DY32" s="800"/>
      <c r="DZ32" s="799">
        <v>0</v>
      </c>
      <c r="EA32" s="800"/>
      <c r="EB32" s="799">
        <v>0</v>
      </c>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v>0</v>
      </c>
      <c r="EY32" s="800"/>
      <c r="EZ32" s="799">
        <v>0</v>
      </c>
      <c r="FA32" s="800"/>
      <c r="FB32" s="799">
        <v>0</v>
      </c>
      <c r="FC32" s="800"/>
      <c r="FD32" s="799">
        <v>0</v>
      </c>
      <c r="FE32" s="800"/>
      <c r="FF32" s="799">
        <v>0</v>
      </c>
      <c r="FG32" s="800"/>
      <c r="FH32" s="801">
        <v>0</v>
      </c>
      <c r="FI32" s="563"/>
      <c r="FJ32" s="564"/>
      <c r="FK32" s="794" t="s">
        <v>669</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325</v>
      </c>
      <c r="E33" s="642"/>
      <c r="F33" s="642"/>
      <c r="G33" s="644"/>
      <c r="H33" s="645">
        <v>9980</v>
      </c>
      <c r="I33" s="646"/>
      <c r="J33" s="645">
        <v>9980</v>
      </c>
      <c r="K33" s="646"/>
      <c r="L33" s="645">
        <v>9980</v>
      </c>
      <c r="M33" s="646"/>
      <c r="N33" s="645">
        <v>9980</v>
      </c>
      <c r="O33" s="646"/>
      <c r="P33" s="645">
        <v>9980</v>
      </c>
      <c r="Q33" s="646"/>
      <c r="R33" s="645">
        <v>9980</v>
      </c>
      <c r="S33" s="646"/>
      <c r="T33" s="645">
        <v>9980</v>
      </c>
      <c r="U33" s="646"/>
      <c r="V33" s="645">
        <v>9980</v>
      </c>
      <c r="W33" s="646"/>
      <c r="X33" s="645">
        <v>17480</v>
      </c>
      <c r="Y33" s="646"/>
      <c r="Z33" s="645">
        <v>17480</v>
      </c>
      <c r="AA33" s="646"/>
      <c r="AB33" s="645">
        <v>17480</v>
      </c>
      <c r="AC33" s="646"/>
      <c r="AD33" s="645">
        <v>17480</v>
      </c>
      <c r="AE33" s="646"/>
      <c r="AF33" s="645">
        <v>17480</v>
      </c>
      <c r="AG33" s="646"/>
      <c r="AH33" s="645">
        <v>17480</v>
      </c>
      <c r="AI33" s="646"/>
      <c r="AJ33" s="645">
        <v>17480</v>
      </c>
      <c r="AK33" s="646"/>
      <c r="AL33" s="645">
        <v>17480</v>
      </c>
      <c r="AM33" s="646"/>
      <c r="AN33" s="645">
        <v>17480</v>
      </c>
      <c r="AO33" s="646"/>
      <c r="AP33" s="645">
        <v>17480</v>
      </c>
      <c r="AQ33" s="646"/>
      <c r="AR33" s="645">
        <v>17480</v>
      </c>
      <c r="AS33" s="646"/>
      <c r="AT33" s="645">
        <v>17480</v>
      </c>
      <c r="AU33" s="646"/>
      <c r="AV33" s="645">
        <v>17480</v>
      </c>
      <c r="AW33" s="646"/>
      <c r="AX33" s="645">
        <v>17480</v>
      </c>
      <c r="AY33" s="646"/>
      <c r="AZ33" s="645">
        <v>9980</v>
      </c>
      <c r="BA33" s="646"/>
      <c r="BB33" s="647">
        <v>9980</v>
      </c>
      <c r="BC33" s="648"/>
      <c r="BD33" s="641"/>
      <c r="BE33" s="642"/>
      <c r="BF33" s="642"/>
      <c r="BG33" s="643" t="s">
        <v>445</v>
      </c>
      <c r="BH33" s="642"/>
      <c r="BI33" s="642"/>
      <c r="BJ33" s="644"/>
      <c r="BK33" s="645">
        <v>9980</v>
      </c>
      <c r="BL33" s="646"/>
      <c r="BM33" s="645">
        <v>9980</v>
      </c>
      <c r="BN33" s="646"/>
      <c r="BO33" s="645">
        <v>9980</v>
      </c>
      <c r="BP33" s="646"/>
      <c r="BQ33" s="645">
        <v>9980</v>
      </c>
      <c r="BR33" s="646"/>
      <c r="BS33" s="645">
        <v>9980</v>
      </c>
      <c r="BT33" s="646"/>
      <c r="BU33" s="645">
        <v>9980</v>
      </c>
      <c r="BV33" s="646"/>
      <c r="BW33" s="645">
        <v>9980</v>
      </c>
      <c r="BX33" s="646"/>
      <c r="BY33" s="645">
        <v>9980</v>
      </c>
      <c r="BZ33" s="646"/>
      <c r="CA33" s="645">
        <v>17480</v>
      </c>
      <c r="CB33" s="646"/>
      <c r="CC33" s="645">
        <v>17480</v>
      </c>
      <c r="CD33" s="646"/>
      <c r="CE33" s="645">
        <v>17480</v>
      </c>
      <c r="CF33" s="646"/>
      <c r="CG33" s="645">
        <v>17480</v>
      </c>
      <c r="CH33" s="646"/>
      <c r="CI33" s="645">
        <v>17480</v>
      </c>
      <c r="CJ33" s="646"/>
      <c r="CK33" s="645">
        <v>17480</v>
      </c>
      <c r="CL33" s="646"/>
      <c r="CM33" s="645">
        <v>17480</v>
      </c>
      <c r="CN33" s="646"/>
      <c r="CO33" s="645">
        <v>17480</v>
      </c>
      <c r="CP33" s="646"/>
      <c r="CQ33" s="645">
        <v>17480</v>
      </c>
      <c r="CR33" s="646"/>
      <c r="CS33" s="645">
        <v>17480</v>
      </c>
      <c r="CT33" s="646"/>
      <c r="CU33" s="645">
        <v>17480</v>
      </c>
      <c r="CV33" s="646"/>
      <c r="CW33" s="645">
        <v>17480</v>
      </c>
      <c r="CX33" s="646"/>
      <c r="CY33" s="645">
        <v>17480</v>
      </c>
      <c r="CZ33" s="646"/>
      <c r="DA33" s="645">
        <v>17480</v>
      </c>
      <c r="DB33" s="646"/>
      <c r="DC33" s="645">
        <v>9980</v>
      </c>
      <c r="DD33" s="646"/>
      <c r="DE33" s="647">
        <v>9980</v>
      </c>
      <c r="DF33" s="648"/>
      <c r="DG33" s="641"/>
      <c r="DH33" s="642"/>
      <c r="DI33" s="642"/>
      <c r="DJ33" s="643" t="s">
        <v>445</v>
      </c>
      <c r="DK33" s="642"/>
      <c r="DL33" s="642"/>
      <c r="DM33" s="644"/>
      <c r="DN33" s="645">
        <v>9980</v>
      </c>
      <c r="DO33" s="646"/>
      <c r="DP33" s="645">
        <v>9980</v>
      </c>
      <c r="DQ33" s="646"/>
      <c r="DR33" s="645">
        <v>9980</v>
      </c>
      <c r="DS33" s="646"/>
      <c r="DT33" s="645">
        <v>9980</v>
      </c>
      <c r="DU33" s="646"/>
      <c r="DV33" s="645">
        <v>9980</v>
      </c>
      <c r="DW33" s="646"/>
      <c r="DX33" s="645">
        <v>9980</v>
      </c>
      <c r="DY33" s="646"/>
      <c r="DZ33" s="645">
        <v>9980</v>
      </c>
      <c r="EA33" s="646"/>
      <c r="EB33" s="645">
        <v>9980</v>
      </c>
      <c r="EC33" s="646"/>
      <c r="ED33" s="645">
        <v>17480</v>
      </c>
      <c r="EE33" s="646"/>
      <c r="EF33" s="645">
        <v>17480</v>
      </c>
      <c r="EG33" s="646"/>
      <c r="EH33" s="645">
        <v>17480</v>
      </c>
      <c r="EI33" s="646"/>
      <c r="EJ33" s="645">
        <v>17480</v>
      </c>
      <c r="EK33" s="646"/>
      <c r="EL33" s="645">
        <v>17480</v>
      </c>
      <c r="EM33" s="646"/>
      <c r="EN33" s="645">
        <v>17480</v>
      </c>
      <c r="EO33" s="646"/>
      <c r="EP33" s="645">
        <v>17480</v>
      </c>
      <c r="EQ33" s="646"/>
      <c r="ER33" s="645">
        <v>17480</v>
      </c>
      <c r="ES33" s="646"/>
      <c r="ET33" s="645">
        <v>17480</v>
      </c>
      <c r="EU33" s="646"/>
      <c r="EV33" s="645">
        <v>17480</v>
      </c>
      <c r="EW33" s="646"/>
      <c r="EX33" s="645">
        <v>17480</v>
      </c>
      <c r="EY33" s="646"/>
      <c r="EZ33" s="645">
        <v>17480</v>
      </c>
      <c r="FA33" s="646"/>
      <c r="FB33" s="645">
        <v>17480</v>
      </c>
      <c r="FC33" s="646"/>
      <c r="FD33" s="645">
        <v>17480</v>
      </c>
      <c r="FE33" s="646"/>
      <c r="FF33" s="645">
        <v>9980</v>
      </c>
      <c r="FG33" s="646"/>
      <c r="FH33" s="647">
        <v>9980</v>
      </c>
      <c r="FI33" s="649"/>
      <c r="FJ33" s="564"/>
      <c r="FK33" s="642"/>
      <c r="FL33" s="642"/>
      <c r="FM33" s="643" t="s">
        <v>325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562</v>
      </c>
      <c r="GL33" s="579"/>
      <c r="GM33" s="530"/>
      <c r="GN33" s="579"/>
      <c r="GO33" s="530"/>
      <c r="GP33" s="530"/>
      <c r="GQ33" s="530"/>
      <c r="GR33" s="579"/>
      <c r="GS33" s="530"/>
      <c r="GT33" s="763"/>
      <c r="GU33" s="811">
        <v>101</v>
      </c>
      <c r="GV33" s="812"/>
      <c r="GW33" s="813">
        <v>47.79</v>
      </c>
      <c r="GX33" s="814">
        <v>66.48</v>
      </c>
      <c r="GY33" s="814">
        <v>359.34000000000003</v>
      </c>
      <c r="GZ33" s="814">
        <v>0</v>
      </c>
      <c r="HA33" s="814">
        <v>473.61</v>
      </c>
      <c r="HB33" s="815">
        <v>194.8</v>
      </c>
      <c r="HC33" s="413"/>
      <c r="HD33" s="648"/>
      <c r="HE33" s="415"/>
      <c r="HF33" s="415"/>
    </row>
    <row r="34" spans="1:219" ht="20.100000000000001" customHeight="1">
      <c r="A34" s="816" t="s">
        <v>449</v>
      </c>
      <c r="B34" s="743"/>
      <c r="C34" s="817"/>
      <c r="D34" s="818"/>
      <c r="E34" s="817"/>
      <c r="F34" s="819"/>
      <c r="G34" s="740" t="s">
        <v>448</v>
      </c>
      <c r="H34" s="663" t="s">
        <v>430</v>
      </c>
      <c r="I34" s="741" t="s">
        <v>447</v>
      </c>
      <c r="J34" s="663" t="s">
        <v>428</v>
      </c>
      <c r="K34" s="742" t="s">
        <v>447</v>
      </c>
      <c r="L34" s="663" t="s">
        <v>430</v>
      </c>
      <c r="M34" s="742" t="s">
        <v>448</v>
      </c>
      <c r="N34" s="663" t="s">
        <v>430</v>
      </c>
      <c r="O34" s="742" t="s">
        <v>447</v>
      </c>
      <c r="P34" s="663" t="s">
        <v>428</v>
      </c>
      <c r="Q34" s="742" t="s">
        <v>447</v>
      </c>
      <c r="R34" s="663" t="s">
        <v>430</v>
      </c>
      <c r="S34" s="742" t="s">
        <v>447</v>
      </c>
      <c r="T34" s="663" t="s">
        <v>430</v>
      </c>
      <c r="U34" s="742" t="s">
        <v>447</v>
      </c>
      <c r="V34" s="663" t="s">
        <v>430</v>
      </c>
      <c r="W34" s="742" t="s">
        <v>447</v>
      </c>
      <c r="X34" s="663" t="s">
        <v>428</v>
      </c>
      <c r="Y34" s="742" t="s">
        <v>448</v>
      </c>
      <c r="Z34" s="663" t="s">
        <v>428</v>
      </c>
      <c r="AA34" s="742" t="s">
        <v>448</v>
      </c>
      <c r="AB34" s="663" t="s">
        <v>428</v>
      </c>
      <c r="AC34" s="742" t="s">
        <v>448</v>
      </c>
      <c r="AD34" s="663" t="s">
        <v>428</v>
      </c>
      <c r="AE34" s="742" t="s">
        <v>448</v>
      </c>
      <c r="AF34" s="663" t="s">
        <v>428</v>
      </c>
      <c r="AG34" s="742" t="s">
        <v>448</v>
      </c>
      <c r="AH34" s="663" t="s">
        <v>428</v>
      </c>
      <c r="AI34" s="742" t="s">
        <v>448</v>
      </c>
      <c r="AJ34" s="663" t="s">
        <v>428</v>
      </c>
      <c r="AK34" s="742" t="s">
        <v>448</v>
      </c>
      <c r="AL34" s="663" t="s">
        <v>430</v>
      </c>
      <c r="AM34" s="742" t="s">
        <v>448</v>
      </c>
      <c r="AN34" s="663" t="s">
        <v>428</v>
      </c>
      <c r="AO34" s="742" t="s">
        <v>448</v>
      </c>
      <c r="AP34" s="663" t="s">
        <v>430</v>
      </c>
      <c r="AQ34" s="742" t="s">
        <v>447</v>
      </c>
      <c r="AR34" s="663" t="s">
        <v>428</v>
      </c>
      <c r="AS34" s="742" t="s">
        <v>447</v>
      </c>
      <c r="AT34" s="663" t="s">
        <v>428</v>
      </c>
      <c r="AU34" s="742" t="s">
        <v>448</v>
      </c>
      <c r="AV34" s="663" t="s">
        <v>428</v>
      </c>
      <c r="AW34" s="742" t="s">
        <v>448</v>
      </c>
      <c r="AX34" s="663" t="s">
        <v>430</v>
      </c>
      <c r="AY34" s="742" t="s">
        <v>448</v>
      </c>
      <c r="AZ34" s="663" t="s">
        <v>428</v>
      </c>
      <c r="BA34" s="742" t="s">
        <v>448</v>
      </c>
      <c r="BB34" s="665" t="s">
        <v>430</v>
      </c>
      <c r="BC34" s="723"/>
      <c r="BD34" s="816" t="s">
        <v>449</v>
      </c>
      <c r="BE34" s="820"/>
      <c r="BF34" s="821"/>
      <c r="BG34" s="822"/>
      <c r="BH34" s="821"/>
      <c r="BI34" s="823"/>
      <c r="BJ34" s="740" t="s">
        <v>448</v>
      </c>
      <c r="BK34" s="663" t="s">
        <v>428</v>
      </c>
      <c r="BL34" s="741" t="s">
        <v>447</v>
      </c>
      <c r="BM34" s="663" t="s">
        <v>428</v>
      </c>
      <c r="BN34" s="742" t="s">
        <v>448</v>
      </c>
      <c r="BO34" s="663" t="s">
        <v>428</v>
      </c>
      <c r="BP34" s="742" t="s">
        <v>447</v>
      </c>
      <c r="BQ34" s="663" t="s">
        <v>428</v>
      </c>
      <c r="BR34" s="742" t="s">
        <v>447</v>
      </c>
      <c r="BS34" s="663" t="s">
        <v>428</v>
      </c>
      <c r="BT34" s="742" t="s">
        <v>447</v>
      </c>
      <c r="BU34" s="663" t="s">
        <v>430</v>
      </c>
      <c r="BV34" s="742" t="s">
        <v>447</v>
      </c>
      <c r="BW34" s="663" t="s">
        <v>430</v>
      </c>
      <c r="BX34" s="742" t="s">
        <v>447</v>
      </c>
      <c r="BY34" s="663" t="s">
        <v>430</v>
      </c>
      <c r="BZ34" s="742" t="s">
        <v>448</v>
      </c>
      <c r="CA34" s="663" t="s">
        <v>428</v>
      </c>
      <c r="CB34" s="742" t="s">
        <v>447</v>
      </c>
      <c r="CC34" s="663" t="s">
        <v>430</v>
      </c>
      <c r="CD34" s="742" t="s">
        <v>447</v>
      </c>
      <c r="CE34" s="663" t="s">
        <v>430</v>
      </c>
      <c r="CF34" s="742" t="s">
        <v>447</v>
      </c>
      <c r="CG34" s="663" t="s">
        <v>430</v>
      </c>
      <c r="CH34" s="742" t="s">
        <v>448</v>
      </c>
      <c r="CI34" s="663" t="s">
        <v>428</v>
      </c>
      <c r="CJ34" s="742" t="s">
        <v>448</v>
      </c>
      <c r="CK34" s="663" t="s">
        <v>430</v>
      </c>
      <c r="CL34" s="742" t="s">
        <v>448</v>
      </c>
      <c r="CM34" s="663" t="s">
        <v>428</v>
      </c>
      <c r="CN34" s="742" t="s">
        <v>448</v>
      </c>
      <c r="CO34" s="663" t="s">
        <v>430</v>
      </c>
      <c r="CP34" s="742" t="s">
        <v>448</v>
      </c>
      <c r="CQ34" s="663" t="s">
        <v>430</v>
      </c>
      <c r="CR34" s="742" t="s">
        <v>447</v>
      </c>
      <c r="CS34" s="663" t="s">
        <v>430</v>
      </c>
      <c r="CT34" s="742" t="s">
        <v>448</v>
      </c>
      <c r="CU34" s="663" t="s">
        <v>430</v>
      </c>
      <c r="CV34" s="742" t="s">
        <v>447</v>
      </c>
      <c r="CW34" s="663" t="s">
        <v>430</v>
      </c>
      <c r="CX34" s="742" t="s">
        <v>448</v>
      </c>
      <c r="CY34" s="663" t="s">
        <v>428</v>
      </c>
      <c r="CZ34" s="742" t="s">
        <v>448</v>
      </c>
      <c r="DA34" s="663" t="s">
        <v>428</v>
      </c>
      <c r="DB34" s="742" t="s">
        <v>448</v>
      </c>
      <c r="DC34" s="663" t="s">
        <v>428</v>
      </c>
      <c r="DD34" s="742" t="s">
        <v>448</v>
      </c>
      <c r="DE34" s="665" t="s">
        <v>428</v>
      </c>
      <c r="DF34" s="723"/>
      <c r="DG34" s="816" t="s">
        <v>446</v>
      </c>
      <c r="DH34" s="738"/>
      <c r="DI34" s="824"/>
      <c r="DJ34" s="825"/>
      <c r="DK34" s="824"/>
      <c r="DL34" s="826"/>
      <c r="DM34" s="740" t="s">
        <v>448</v>
      </c>
      <c r="DN34" s="663" t="s">
        <v>428</v>
      </c>
      <c r="DO34" s="741" t="s">
        <v>448</v>
      </c>
      <c r="DP34" s="663" t="s">
        <v>428</v>
      </c>
      <c r="DQ34" s="742" t="s">
        <v>448</v>
      </c>
      <c r="DR34" s="663" t="s">
        <v>428</v>
      </c>
      <c r="DS34" s="742" t="s">
        <v>448</v>
      </c>
      <c r="DT34" s="663" t="s">
        <v>428</v>
      </c>
      <c r="DU34" s="742" t="s">
        <v>448</v>
      </c>
      <c r="DV34" s="663" t="s">
        <v>428</v>
      </c>
      <c r="DW34" s="742" t="s">
        <v>448</v>
      </c>
      <c r="DX34" s="663" t="s">
        <v>428</v>
      </c>
      <c r="DY34" s="742" t="s">
        <v>448</v>
      </c>
      <c r="DZ34" s="663" t="s">
        <v>430</v>
      </c>
      <c r="EA34" s="742" t="s">
        <v>448</v>
      </c>
      <c r="EB34" s="663" t="s">
        <v>428</v>
      </c>
      <c r="EC34" s="742" t="s">
        <v>448</v>
      </c>
      <c r="ED34" s="663" t="s">
        <v>430</v>
      </c>
      <c r="EE34" s="742" t="s">
        <v>447</v>
      </c>
      <c r="EF34" s="663" t="s">
        <v>428</v>
      </c>
      <c r="EG34" s="742" t="s">
        <v>447</v>
      </c>
      <c r="EH34" s="663" t="s">
        <v>428</v>
      </c>
      <c r="EI34" s="742" t="s">
        <v>448</v>
      </c>
      <c r="EJ34" s="663" t="s">
        <v>428</v>
      </c>
      <c r="EK34" s="742" t="s">
        <v>448</v>
      </c>
      <c r="EL34" s="663" t="s">
        <v>430</v>
      </c>
      <c r="EM34" s="742" t="s">
        <v>447</v>
      </c>
      <c r="EN34" s="663" t="s">
        <v>428</v>
      </c>
      <c r="EO34" s="742" t="s">
        <v>448</v>
      </c>
      <c r="EP34" s="663" t="s">
        <v>430</v>
      </c>
      <c r="EQ34" s="742" t="s">
        <v>448</v>
      </c>
      <c r="ER34" s="663" t="s">
        <v>430</v>
      </c>
      <c r="ES34" s="742" t="s">
        <v>448</v>
      </c>
      <c r="ET34" s="663" t="s">
        <v>430</v>
      </c>
      <c r="EU34" s="742" t="s">
        <v>447</v>
      </c>
      <c r="EV34" s="663" t="s">
        <v>430</v>
      </c>
      <c r="EW34" s="742" t="s">
        <v>447</v>
      </c>
      <c r="EX34" s="663" t="s">
        <v>430</v>
      </c>
      <c r="EY34" s="742" t="s">
        <v>447</v>
      </c>
      <c r="EZ34" s="663" t="s">
        <v>428</v>
      </c>
      <c r="FA34" s="742" t="s">
        <v>448</v>
      </c>
      <c r="FB34" s="663" t="s">
        <v>430</v>
      </c>
      <c r="FC34" s="742" t="s">
        <v>447</v>
      </c>
      <c r="FD34" s="663" t="s">
        <v>430</v>
      </c>
      <c r="FE34" s="742" t="s">
        <v>447</v>
      </c>
      <c r="FF34" s="663" t="s">
        <v>430</v>
      </c>
      <c r="FG34" s="742" t="s">
        <v>447</v>
      </c>
      <c r="FH34" s="665" t="s">
        <v>428</v>
      </c>
      <c r="FI34" s="746"/>
      <c r="FJ34" s="827" t="s">
        <v>449</v>
      </c>
      <c r="FK34" s="738"/>
      <c r="FL34" s="824"/>
      <c r="FM34" s="825"/>
      <c r="FN34" s="824"/>
      <c r="FO34" s="826"/>
      <c r="FP34" s="747" t="s">
        <v>450</v>
      </c>
      <c r="FQ34" s="673" t="s">
        <v>447</v>
      </c>
      <c r="FR34" s="663" t="s">
        <v>434</v>
      </c>
      <c r="FS34" s="748" t="s">
        <v>433</v>
      </c>
      <c r="FT34" s="673" t="s">
        <v>448</v>
      </c>
      <c r="FU34" s="675" t="s">
        <v>451</v>
      </c>
      <c r="FV34" s="593"/>
      <c r="FW34" s="594"/>
      <c r="FX34" s="806"/>
      <c r="FY34" s="596"/>
      <c r="FZ34" s="807"/>
      <c r="GA34" s="598"/>
      <c r="GB34" s="808"/>
      <c r="GC34" s="600"/>
      <c r="GD34" s="808"/>
      <c r="GE34" s="601"/>
      <c r="GF34" s="749"/>
      <c r="GG34" s="750"/>
      <c r="GH34" s="750"/>
      <c r="GI34" s="750"/>
      <c r="GJ34" s="579"/>
      <c r="GK34" s="828" t="s">
        <v>564</v>
      </c>
      <c r="GL34" s="828"/>
      <c r="GM34" s="828"/>
      <c r="GN34" s="828"/>
      <c r="GO34" s="828"/>
      <c r="GP34" s="828"/>
      <c r="GQ34" s="615">
        <v>0</v>
      </c>
      <c r="GR34" s="579" t="s">
        <v>319</v>
      </c>
      <c r="GS34" s="580"/>
      <c r="GT34" s="763"/>
      <c r="GU34" s="829"/>
      <c r="GV34" s="830"/>
      <c r="GW34" s="831"/>
      <c r="GX34" s="633"/>
      <c r="GY34" s="633"/>
      <c r="GZ34" s="633"/>
      <c r="HA34" s="633"/>
      <c r="HB34" s="634"/>
      <c r="HC34" s="530"/>
      <c r="HD34" s="723"/>
      <c r="HE34" s="415"/>
      <c r="HF34" s="415"/>
    </row>
    <row r="35" spans="1:219" ht="20.100000000000001" customHeight="1">
      <c r="A35" s="832"/>
      <c r="B35" s="466" t="s">
        <v>452</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566</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327</v>
      </c>
      <c r="E36" s="642"/>
      <c r="F36" s="642"/>
      <c r="G36" s="845"/>
      <c r="H36" s="846">
        <v>0</v>
      </c>
      <c r="I36" s="847"/>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850">
        <v>0</v>
      </c>
      <c r="BC36" s="648"/>
      <c r="BD36" s="832"/>
      <c r="BE36" s="642"/>
      <c r="BF36" s="642"/>
      <c r="BG36" s="643" t="s">
        <v>327</v>
      </c>
      <c r="BH36" s="642"/>
      <c r="BI36" s="642"/>
      <c r="BJ36" s="845"/>
      <c r="BK36" s="846">
        <v>0</v>
      </c>
      <c r="BL36" s="847"/>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850">
        <v>0</v>
      </c>
      <c r="DF36" s="648"/>
      <c r="DG36" s="832"/>
      <c r="DH36" s="642"/>
      <c r="DI36" s="642"/>
      <c r="DJ36" s="643" t="s">
        <v>453</v>
      </c>
      <c r="DK36" s="642"/>
      <c r="DL36" s="642"/>
      <c r="DM36" s="845"/>
      <c r="DN36" s="846">
        <v>0</v>
      </c>
      <c r="DO36" s="847"/>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850">
        <v>0</v>
      </c>
      <c r="FI36" s="649"/>
      <c r="FJ36" s="841"/>
      <c r="FK36" s="642"/>
      <c r="FL36" s="642"/>
      <c r="FM36" s="643" t="s">
        <v>327</v>
      </c>
      <c r="FN36" s="642"/>
      <c r="FO36" s="642"/>
      <c r="FP36" s="650"/>
      <c r="FQ36" s="847"/>
      <c r="FR36" s="846">
        <v>0</v>
      </c>
      <c r="FS36" s="851"/>
      <c r="FT36" s="847"/>
      <c r="FU36" s="852">
        <v>0</v>
      </c>
      <c r="FV36" s="593"/>
      <c r="FW36" s="594"/>
      <c r="FX36" s="806"/>
      <c r="FY36" s="596"/>
      <c r="FZ36" s="807"/>
      <c r="GA36" s="598"/>
      <c r="GB36" s="808"/>
      <c r="GC36" s="600"/>
      <c r="GD36" s="808"/>
      <c r="GE36" s="601"/>
      <c r="GF36" s="654"/>
      <c r="GG36" s="655"/>
      <c r="GH36" s="655"/>
      <c r="GI36" s="655"/>
      <c r="GJ36" s="530"/>
      <c r="GK36" s="828" t="s">
        <v>718</v>
      </c>
      <c r="GL36" s="828"/>
      <c r="GM36" s="828"/>
      <c r="GN36" s="828"/>
      <c r="GO36" s="828"/>
      <c r="GP36" s="828"/>
      <c r="GQ36" s="615">
        <v>11.9</v>
      </c>
      <c r="GR36" s="579" t="s">
        <v>319</v>
      </c>
      <c r="GS36" s="530"/>
      <c r="GT36" s="763"/>
      <c r="GU36" s="829"/>
      <c r="GV36" s="830"/>
      <c r="GW36" s="831"/>
      <c r="GX36" s="633"/>
      <c r="GY36" s="633"/>
      <c r="GZ36" s="633"/>
      <c r="HA36" s="633"/>
      <c r="HB36" s="634"/>
      <c r="HC36" s="530"/>
      <c r="HD36" s="648"/>
      <c r="HE36" s="415"/>
      <c r="HF36" s="415"/>
    </row>
    <row r="37" spans="1:219" ht="24" customHeight="1">
      <c r="A37" s="853" t="s">
        <v>454</v>
      </c>
      <c r="B37" s="854"/>
      <c r="C37" s="855" t="s">
        <v>455</v>
      </c>
      <c r="D37" s="856"/>
      <c r="E37" s="857" t="s">
        <v>456</v>
      </c>
      <c r="F37" s="858"/>
      <c r="G37" s="662" t="s">
        <v>448</v>
      </c>
      <c r="H37" s="663" t="s">
        <v>457</v>
      </c>
      <c r="I37" s="664" t="s">
        <v>448</v>
      </c>
      <c r="J37" s="663" t="s">
        <v>458</v>
      </c>
      <c r="K37" s="664" t="s">
        <v>447</v>
      </c>
      <c r="L37" s="663" t="s">
        <v>458</v>
      </c>
      <c r="M37" s="664" t="s">
        <v>448</v>
      </c>
      <c r="N37" s="663" t="s">
        <v>458</v>
      </c>
      <c r="O37" s="664" t="s">
        <v>448</v>
      </c>
      <c r="P37" s="663" t="s">
        <v>458</v>
      </c>
      <c r="Q37" s="664" t="s">
        <v>448</v>
      </c>
      <c r="R37" s="663" t="s">
        <v>459</v>
      </c>
      <c r="S37" s="664" t="s">
        <v>447</v>
      </c>
      <c r="T37" s="663" t="s">
        <v>459</v>
      </c>
      <c r="U37" s="664" t="s">
        <v>447</v>
      </c>
      <c r="V37" s="663" t="s">
        <v>459</v>
      </c>
      <c r="W37" s="664" t="s">
        <v>447</v>
      </c>
      <c r="X37" s="663" t="s">
        <v>458</v>
      </c>
      <c r="Y37" s="664" t="s">
        <v>447</v>
      </c>
      <c r="Z37" s="663" t="s">
        <v>458</v>
      </c>
      <c r="AA37" s="664" t="s">
        <v>448</v>
      </c>
      <c r="AB37" s="663" t="s">
        <v>459</v>
      </c>
      <c r="AC37" s="664" t="s">
        <v>447</v>
      </c>
      <c r="AD37" s="663" t="s">
        <v>458</v>
      </c>
      <c r="AE37" s="664" t="s">
        <v>447</v>
      </c>
      <c r="AF37" s="663" t="s">
        <v>458</v>
      </c>
      <c r="AG37" s="664" t="s">
        <v>448</v>
      </c>
      <c r="AH37" s="663" t="s">
        <v>459</v>
      </c>
      <c r="AI37" s="664" t="s">
        <v>447</v>
      </c>
      <c r="AJ37" s="663" t="s">
        <v>458</v>
      </c>
      <c r="AK37" s="664" t="s">
        <v>447</v>
      </c>
      <c r="AL37" s="663" t="s">
        <v>459</v>
      </c>
      <c r="AM37" s="664" t="s">
        <v>447</v>
      </c>
      <c r="AN37" s="663" t="s">
        <v>458</v>
      </c>
      <c r="AO37" s="664" t="s">
        <v>448</v>
      </c>
      <c r="AP37" s="663" t="s">
        <v>459</v>
      </c>
      <c r="AQ37" s="664" t="s">
        <v>448</v>
      </c>
      <c r="AR37" s="663" t="s">
        <v>459</v>
      </c>
      <c r="AS37" s="664" t="s">
        <v>448</v>
      </c>
      <c r="AT37" s="663" t="s">
        <v>458</v>
      </c>
      <c r="AU37" s="664" t="s">
        <v>447</v>
      </c>
      <c r="AV37" s="663" t="s">
        <v>458</v>
      </c>
      <c r="AW37" s="664" t="s">
        <v>448</v>
      </c>
      <c r="AX37" s="663" t="s">
        <v>458</v>
      </c>
      <c r="AY37" s="664" t="s">
        <v>447</v>
      </c>
      <c r="AZ37" s="663" t="s">
        <v>458</v>
      </c>
      <c r="BA37" s="664" t="s">
        <v>448</v>
      </c>
      <c r="BB37" s="665" t="s">
        <v>458</v>
      </c>
      <c r="BC37" s="723"/>
      <c r="BD37" s="853" t="s">
        <v>454</v>
      </c>
      <c r="BE37" s="854"/>
      <c r="BF37" s="855" t="s">
        <v>460</v>
      </c>
      <c r="BG37" s="856"/>
      <c r="BH37" s="857" t="s">
        <v>456</v>
      </c>
      <c r="BI37" s="858"/>
      <c r="BJ37" s="662" t="s">
        <v>448</v>
      </c>
      <c r="BK37" s="663" t="s">
        <v>457</v>
      </c>
      <c r="BL37" s="664" t="s">
        <v>448</v>
      </c>
      <c r="BM37" s="663" t="s">
        <v>459</v>
      </c>
      <c r="BN37" s="664" t="s">
        <v>448</v>
      </c>
      <c r="BO37" s="663" t="s">
        <v>458</v>
      </c>
      <c r="BP37" s="664" t="s">
        <v>448</v>
      </c>
      <c r="BQ37" s="663" t="s">
        <v>458</v>
      </c>
      <c r="BR37" s="664" t="s">
        <v>448</v>
      </c>
      <c r="BS37" s="663" t="s">
        <v>459</v>
      </c>
      <c r="BT37" s="664" t="s">
        <v>447</v>
      </c>
      <c r="BU37" s="663" t="s">
        <v>459</v>
      </c>
      <c r="BV37" s="664" t="s">
        <v>447</v>
      </c>
      <c r="BW37" s="663" t="s">
        <v>459</v>
      </c>
      <c r="BX37" s="664" t="s">
        <v>448</v>
      </c>
      <c r="BY37" s="663" t="s">
        <v>459</v>
      </c>
      <c r="BZ37" s="664" t="s">
        <v>448</v>
      </c>
      <c r="CA37" s="663" t="s">
        <v>458</v>
      </c>
      <c r="CB37" s="664" t="s">
        <v>447</v>
      </c>
      <c r="CC37" s="663" t="s">
        <v>459</v>
      </c>
      <c r="CD37" s="664" t="s">
        <v>448</v>
      </c>
      <c r="CE37" s="663" t="s">
        <v>459</v>
      </c>
      <c r="CF37" s="664" t="s">
        <v>448</v>
      </c>
      <c r="CG37" s="663" t="s">
        <v>458</v>
      </c>
      <c r="CH37" s="664" t="s">
        <v>447</v>
      </c>
      <c r="CI37" s="663" t="s">
        <v>459</v>
      </c>
      <c r="CJ37" s="664" t="s">
        <v>448</v>
      </c>
      <c r="CK37" s="663" t="s">
        <v>458</v>
      </c>
      <c r="CL37" s="664" t="s">
        <v>447</v>
      </c>
      <c r="CM37" s="663" t="s">
        <v>459</v>
      </c>
      <c r="CN37" s="664" t="s">
        <v>448</v>
      </c>
      <c r="CO37" s="663" t="s">
        <v>458</v>
      </c>
      <c r="CP37" s="664" t="s">
        <v>447</v>
      </c>
      <c r="CQ37" s="663" t="s">
        <v>458</v>
      </c>
      <c r="CR37" s="664" t="s">
        <v>447</v>
      </c>
      <c r="CS37" s="663" t="s">
        <v>458</v>
      </c>
      <c r="CT37" s="664" t="s">
        <v>448</v>
      </c>
      <c r="CU37" s="663" t="s">
        <v>459</v>
      </c>
      <c r="CV37" s="664" t="s">
        <v>448</v>
      </c>
      <c r="CW37" s="663" t="s">
        <v>458</v>
      </c>
      <c r="CX37" s="664" t="s">
        <v>448</v>
      </c>
      <c r="CY37" s="663" t="s">
        <v>459</v>
      </c>
      <c r="CZ37" s="664" t="s">
        <v>448</v>
      </c>
      <c r="DA37" s="663" t="s">
        <v>458</v>
      </c>
      <c r="DB37" s="664" t="s">
        <v>448</v>
      </c>
      <c r="DC37" s="663" t="s">
        <v>459</v>
      </c>
      <c r="DD37" s="664" t="s">
        <v>448</v>
      </c>
      <c r="DE37" s="665" t="s">
        <v>458</v>
      </c>
      <c r="DF37" s="723"/>
      <c r="DG37" s="853" t="s">
        <v>454</v>
      </c>
      <c r="DH37" s="854"/>
      <c r="DI37" s="855" t="s">
        <v>455</v>
      </c>
      <c r="DJ37" s="856"/>
      <c r="DK37" s="857" t="s">
        <v>456</v>
      </c>
      <c r="DL37" s="858"/>
      <c r="DM37" s="662" t="s">
        <v>447</v>
      </c>
      <c r="DN37" s="663" t="s">
        <v>328</v>
      </c>
      <c r="DO37" s="664" t="s">
        <v>448</v>
      </c>
      <c r="DP37" s="663" t="s">
        <v>458</v>
      </c>
      <c r="DQ37" s="664" t="s">
        <v>448</v>
      </c>
      <c r="DR37" s="663" t="s">
        <v>459</v>
      </c>
      <c r="DS37" s="664" t="s">
        <v>447</v>
      </c>
      <c r="DT37" s="663" t="s">
        <v>459</v>
      </c>
      <c r="DU37" s="664" t="s">
        <v>447</v>
      </c>
      <c r="DV37" s="663" t="s">
        <v>459</v>
      </c>
      <c r="DW37" s="664" t="s">
        <v>447</v>
      </c>
      <c r="DX37" s="663" t="s">
        <v>458</v>
      </c>
      <c r="DY37" s="664" t="s">
        <v>447</v>
      </c>
      <c r="DZ37" s="663" t="s">
        <v>458</v>
      </c>
      <c r="EA37" s="664" t="s">
        <v>448</v>
      </c>
      <c r="EB37" s="663" t="s">
        <v>459</v>
      </c>
      <c r="EC37" s="664" t="s">
        <v>447</v>
      </c>
      <c r="ED37" s="663" t="s">
        <v>458</v>
      </c>
      <c r="EE37" s="664" t="s">
        <v>447</v>
      </c>
      <c r="EF37" s="663" t="s">
        <v>458</v>
      </c>
      <c r="EG37" s="664" t="s">
        <v>448</v>
      </c>
      <c r="EH37" s="663" t="s">
        <v>459</v>
      </c>
      <c r="EI37" s="664" t="s">
        <v>447</v>
      </c>
      <c r="EJ37" s="663" t="s">
        <v>458</v>
      </c>
      <c r="EK37" s="664" t="s">
        <v>448</v>
      </c>
      <c r="EL37" s="663" t="s">
        <v>459</v>
      </c>
      <c r="EM37" s="664" t="s">
        <v>447</v>
      </c>
      <c r="EN37" s="663" t="s">
        <v>458</v>
      </c>
      <c r="EO37" s="664" t="s">
        <v>448</v>
      </c>
      <c r="EP37" s="663" t="s">
        <v>459</v>
      </c>
      <c r="EQ37" s="664" t="s">
        <v>448</v>
      </c>
      <c r="ER37" s="663" t="s">
        <v>459</v>
      </c>
      <c r="ES37" s="664" t="s">
        <v>448</v>
      </c>
      <c r="ET37" s="663" t="s">
        <v>458</v>
      </c>
      <c r="EU37" s="664" t="s">
        <v>447</v>
      </c>
      <c r="EV37" s="663" t="s">
        <v>458</v>
      </c>
      <c r="EW37" s="664" t="s">
        <v>448</v>
      </c>
      <c r="EX37" s="663" t="s">
        <v>458</v>
      </c>
      <c r="EY37" s="664" t="s">
        <v>447</v>
      </c>
      <c r="EZ37" s="663" t="s">
        <v>458</v>
      </c>
      <c r="FA37" s="664" t="s">
        <v>448</v>
      </c>
      <c r="FB37" s="663" t="s">
        <v>458</v>
      </c>
      <c r="FC37" s="664" t="s">
        <v>447</v>
      </c>
      <c r="FD37" s="663" t="s">
        <v>458</v>
      </c>
      <c r="FE37" s="664" t="s">
        <v>448</v>
      </c>
      <c r="FF37" s="663" t="s">
        <v>458</v>
      </c>
      <c r="FG37" s="664" t="s">
        <v>448</v>
      </c>
      <c r="FH37" s="665" t="s">
        <v>458</v>
      </c>
      <c r="FI37" s="746"/>
      <c r="FJ37" s="827" t="s">
        <v>454</v>
      </c>
      <c r="FK37" s="854"/>
      <c r="FL37" s="855" t="s">
        <v>455</v>
      </c>
      <c r="FM37" s="856"/>
      <c r="FN37" s="857" t="s">
        <v>456</v>
      </c>
      <c r="FO37" s="858"/>
      <c r="FP37" s="672"/>
      <c r="FQ37" s="859" t="s">
        <v>463</v>
      </c>
      <c r="FR37" s="663" t="s">
        <v>458</v>
      </c>
      <c r="FS37" s="674"/>
      <c r="FT37" s="859" t="s">
        <v>463</v>
      </c>
      <c r="FU37" s="675" t="s">
        <v>458</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670</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v>20.2</v>
      </c>
      <c r="FM38" s="865"/>
      <c r="FN38" s="866">
        <v>1.1000000000000001</v>
      </c>
      <c r="FO38" s="867"/>
      <c r="FP38" s="685"/>
      <c r="FQ38" s="686">
        <v>15.9</v>
      </c>
      <c r="FR38" s="559">
        <v>353</v>
      </c>
      <c r="FS38" s="687"/>
      <c r="FT38" s="686">
        <v>15.9</v>
      </c>
      <c r="FU38" s="567">
        <v>353</v>
      </c>
      <c r="FV38" s="593"/>
      <c r="FW38" s="594"/>
      <c r="FX38" s="806"/>
      <c r="FY38" s="596"/>
      <c r="FZ38" s="807"/>
      <c r="GA38" s="598"/>
      <c r="GB38" s="808"/>
      <c r="GC38" s="600"/>
      <c r="GD38" s="808"/>
      <c r="GE38" s="601"/>
      <c r="GF38" s="688"/>
      <c r="GG38" s="602"/>
      <c r="GH38" s="602"/>
      <c r="GI38" s="602"/>
      <c r="GJ38" s="580"/>
      <c r="GK38" s="413" t="s">
        <v>719</v>
      </c>
      <c r="GL38" s="409"/>
      <c r="GM38" s="413"/>
      <c r="GN38" s="409"/>
      <c r="GO38" s="413"/>
      <c r="GP38" s="413"/>
      <c r="GQ38" s="413"/>
      <c r="GR38" s="413"/>
      <c r="GS38" s="580"/>
      <c r="GT38" s="861"/>
      <c r="GU38" s="872" t="s">
        <v>536</v>
      </c>
      <c r="GV38" s="873"/>
      <c r="GW38" s="873"/>
      <c r="GX38" s="873"/>
      <c r="GY38" s="873"/>
      <c r="GZ38" s="874"/>
      <c r="HA38" s="633">
        <v>473.61</v>
      </c>
      <c r="HB38" s="875">
        <v>194.8</v>
      </c>
      <c r="HC38" s="530"/>
      <c r="HD38" s="530"/>
      <c r="HE38" s="387"/>
      <c r="HF38" s="387"/>
      <c r="HK38" s="415"/>
    </row>
    <row r="39" spans="1:219" ht="20.100000000000001" customHeight="1">
      <c r="A39" s="832"/>
      <c r="B39" s="876" t="s">
        <v>671</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409"/>
      <c r="GK39" s="885"/>
      <c r="GL39" s="886"/>
      <c r="GM39" s="887" t="s">
        <v>570</v>
      </c>
      <c r="GN39" s="886"/>
      <c r="GO39" s="887" t="s">
        <v>592</v>
      </c>
      <c r="GP39" s="886"/>
      <c r="GQ39" s="887" t="s">
        <v>572</v>
      </c>
      <c r="GR39" s="888"/>
      <c r="GS39" s="413"/>
      <c r="GT39" s="689"/>
      <c r="GU39" s="530" t="s">
        <v>573</v>
      </c>
      <c r="GV39" s="530"/>
      <c r="GW39" s="530"/>
      <c r="GX39" s="530"/>
      <c r="GY39" s="530"/>
      <c r="GZ39" s="530"/>
      <c r="HA39" s="690">
        <v>2.4300000000000002</v>
      </c>
      <c r="HB39" s="579"/>
      <c r="HC39" s="530"/>
      <c r="HD39" s="562"/>
    </row>
    <row r="40" spans="1:219" ht="20.100000000000001" customHeight="1">
      <c r="A40" s="889"/>
      <c r="B40" s="642"/>
      <c r="C40" s="642"/>
      <c r="D40" s="643" t="s">
        <v>329</v>
      </c>
      <c r="E40" s="642"/>
      <c r="F40" s="642"/>
      <c r="G40" s="845"/>
      <c r="H40" s="846">
        <v>0</v>
      </c>
      <c r="I40" s="847"/>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850">
        <v>0</v>
      </c>
      <c r="BC40" s="648"/>
      <c r="BD40" s="889"/>
      <c r="BE40" s="642"/>
      <c r="BF40" s="642"/>
      <c r="BG40" s="643" t="s">
        <v>466</v>
      </c>
      <c r="BH40" s="642"/>
      <c r="BI40" s="642"/>
      <c r="BJ40" s="845"/>
      <c r="BK40" s="846">
        <v>0</v>
      </c>
      <c r="BL40" s="847"/>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850">
        <v>0</v>
      </c>
      <c r="DF40" s="648"/>
      <c r="DG40" s="889"/>
      <c r="DH40" s="642"/>
      <c r="DI40" s="642"/>
      <c r="DJ40" s="643" t="s">
        <v>466</v>
      </c>
      <c r="DK40" s="642"/>
      <c r="DL40" s="642"/>
      <c r="DM40" s="845"/>
      <c r="DN40" s="846">
        <v>0</v>
      </c>
      <c r="DO40" s="847"/>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850">
        <v>0</v>
      </c>
      <c r="FI40" s="649"/>
      <c r="FJ40" s="841"/>
      <c r="FK40" s="642"/>
      <c r="FL40" s="642"/>
      <c r="FM40" s="643" t="s">
        <v>329</v>
      </c>
      <c r="FN40" s="642"/>
      <c r="FO40" s="642"/>
      <c r="FP40" s="650"/>
      <c r="FQ40" s="847"/>
      <c r="FR40" s="846">
        <v>353</v>
      </c>
      <c r="FS40" s="851"/>
      <c r="FT40" s="847"/>
      <c r="FU40" s="852">
        <v>353</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610</v>
      </c>
      <c r="GV40" s="530"/>
      <c r="GW40" s="530"/>
      <c r="GX40" s="530"/>
      <c r="GY40" s="530"/>
      <c r="GZ40" s="530"/>
      <c r="HA40" s="894">
        <v>47.6</v>
      </c>
      <c r="HB40" s="413"/>
      <c r="HC40" s="530"/>
      <c r="HD40" s="580"/>
      <c r="HK40" s="415"/>
    </row>
    <row r="41" spans="1:219" ht="20.100000000000001" customHeight="1">
      <c r="A41" s="862" t="s">
        <v>467</v>
      </c>
      <c r="B41" s="738"/>
      <c r="C41" s="895"/>
      <c r="D41" s="895"/>
      <c r="E41" s="895"/>
      <c r="F41" s="896"/>
      <c r="G41" s="740"/>
      <c r="H41" s="663" t="s">
        <v>428</v>
      </c>
      <c r="I41" s="741"/>
      <c r="J41" s="663" t="s">
        <v>430</v>
      </c>
      <c r="K41" s="742"/>
      <c r="L41" s="663" t="s">
        <v>430</v>
      </c>
      <c r="M41" s="742"/>
      <c r="N41" s="663" t="s">
        <v>430</v>
      </c>
      <c r="O41" s="742"/>
      <c r="P41" s="663" t="s">
        <v>430</v>
      </c>
      <c r="Q41" s="742"/>
      <c r="R41" s="663" t="s">
        <v>428</v>
      </c>
      <c r="S41" s="742"/>
      <c r="T41" s="663" t="s">
        <v>430</v>
      </c>
      <c r="U41" s="742"/>
      <c r="V41" s="663" t="s">
        <v>428</v>
      </c>
      <c r="W41" s="742"/>
      <c r="X41" s="663" t="s">
        <v>428</v>
      </c>
      <c r="Y41" s="742" t="s">
        <v>447</v>
      </c>
      <c r="Z41" s="663" t="s">
        <v>428</v>
      </c>
      <c r="AA41" s="742" t="s">
        <v>448</v>
      </c>
      <c r="AB41" s="663" t="s">
        <v>430</v>
      </c>
      <c r="AC41" s="742"/>
      <c r="AD41" s="663" t="s">
        <v>430</v>
      </c>
      <c r="AE41" s="742"/>
      <c r="AF41" s="663" t="s">
        <v>430</v>
      </c>
      <c r="AG41" s="742"/>
      <c r="AH41" s="663" t="s">
        <v>430</v>
      </c>
      <c r="AI41" s="742"/>
      <c r="AJ41" s="663" t="s">
        <v>428</v>
      </c>
      <c r="AK41" s="742"/>
      <c r="AL41" s="663" t="s">
        <v>428</v>
      </c>
      <c r="AM41" s="742"/>
      <c r="AN41" s="663" t="s">
        <v>428</v>
      </c>
      <c r="AO41" s="742"/>
      <c r="AP41" s="663" t="s">
        <v>430</v>
      </c>
      <c r="AQ41" s="742"/>
      <c r="AR41" s="663" t="s">
        <v>430</v>
      </c>
      <c r="AS41" s="742"/>
      <c r="AT41" s="663" t="s">
        <v>428</v>
      </c>
      <c r="AU41" s="742"/>
      <c r="AV41" s="663" t="s">
        <v>430</v>
      </c>
      <c r="AW41" s="742"/>
      <c r="AX41" s="663" t="s">
        <v>428</v>
      </c>
      <c r="AY41" s="742"/>
      <c r="AZ41" s="663" t="s">
        <v>428</v>
      </c>
      <c r="BA41" s="742"/>
      <c r="BB41" s="665" t="s">
        <v>430</v>
      </c>
      <c r="BC41" s="723"/>
      <c r="BD41" s="862" t="s">
        <v>468</v>
      </c>
      <c r="BE41" s="738"/>
      <c r="BF41" s="895"/>
      <c r="BG41" s="895"/>
      <c r="BH41" s="895"/>
      <c r="BI41" s="896"/>
      <c r="BJ41" s="740"/>
      <c r="BK41" s="663" t="s">
        <v>430</v>
      </c>
      <c r="BL41" s="741"/>
      <c r="BM41" s="663" t="s">
        <v>428</v>
      </c>
      <c r="BN41" s="742"/>
      <c r="BO41" s="663" t="s">
        <v>430</v>
      </c>
      <c r="BP41" s="742"/>
      <c r="BQ41" s="663" t="s">
        <v>430</v>
      </c>
      <c r="BR41" s="742"/>
      <c r="BS41" s="663" t="s">
        <v>430</v>
      </c>
      <c r="BT41" s="742"/>
      <c r="BU41" s="663" t="s">
        <v>430</v>
      </c>
      <c r="BV41" s="742"/>
      <c r="BW41" s="663" t="s">
        <v>428</v>
      </c>
      <c r="BX41" s="742"/>
      <c r="BY41" s="663" t="s">
        <v>430</v>
      </c>
      <c r="BZ41" s="742"/>
      <c r="CA41" s="663" t="s">
        <v>428</v>
      </c>
      <c r="CB41" s="742" t="s">
        <v>448</v>
      </c>
      <c r="CC41" s="663" t="s">
        <v>428</v>
      </c>
      <c r="CD41" s="742" t="s">
        <v>447</v>
      </c>
      <c r="CE41" s="663" t="s">
        <v>430</v>
      </c>
      <c r="CF41" s="742"/>
      <c r="CG41" s="663" t="s">
        <v>430</v>
      </c>
      <c r="CH41" s="742"/>
      <c r="CI41" s="663" t="s">
        <v>430</v>
      </c>
      <c r="CJ41" s="742"/>
      <c r="CK41" s="663" t="s">
        <v>430</v>
      </c>
      <c r="CL41" s="742"/>
      <c r="CM41" s="663" t="s">
        <v>430</v>
      </c>
      <c r="CN41" s="742"/>
      <c r="CO41" s="663" t="s">
        <v>428</v>
      </c>
      <c r="CP41" s="742"/>
      <c r="CQ41" s="663" t="s">
        <v>428</v>
      </c>
      <c r="CR41" s="742"/>
      <c r="CS41" s="663" t="s">
        <v>428</v>
      </c>
      <c r="CT41" s="742"/>
      <c r="CU41" s="663" t="s">
        <v>430</v>
      </c>
      <c r="CV41" s="742"/>
      <c r="CW41" s="663" t="s">
        <v>430</v>
      </c>
      <c r="CX41" s="742"/>
      <c r="CY41" s="663" t="s">
        <v>428</v>
      </c>
      <c r="CZ41" s="742"/>
      <c r="DA41" s="663" t="s">
        <v>430</v>
      </c>
      <c r="DB41" s="742"/>
      <c r="DC41" s="663" t="s">
        <v>428</v>
      </c>
      <c r="DD41" s="742"/>
      <c r="DE41" s="665" t="s">
        <v>428</v>
      </c>
      <c r="DF41" s="723"/>
      <c r="DG41" s="862" t="s">
        <v>468</v>
      </c>
      <c r="DH41" s="738"/>
      <c r="DI41" s="895"/>
      <c r="DJ41" s="895"/>
      <c r="DK41" s="895"/>
      <c r="DL41" s="896"/>
      <c r="DM41" s="740"/>
      <c r="DN41" s="663" t="s">
        <v>430</v>
      </c>
      <c r="DO41" s="741"/>
      <c r="DP41" s="663" t="s">
        <v>430</v>
      </c>
      <c r="DQ41" s="742"/>
      <c r="DR41" s="663" t="s">
        <v>430</v>
      </c>
      <c r="DS41" s="742"/>
      <c r="DT41" s="663" t="s">
        <v>428</v>
      </c>
      <c r="DU41" s="742"/>
      <c r="DV41" s="663" t="s">
        <v>428</v>
      </c>
      <c r="DW41" s="742"/>
      <c r="DX41" s="663" t="s">
        <v>430</v>
      </c>
      <c r="DY41" s="742"/>
      <c r="DZ41" s="663" t="s">
        <v>430</v>
      </c>
      <c r="EA41" s="742"/>
      <c r="EB41" s="663" t="s">
        <v>428</v>
      </c>
      <c r="EC41" s="742"/>
      <c r="ED41" s="663" t="s">
        <v>430</v>
      </c>
      <c r="EE41" s="742" t="s">
        <v>447</v>
      </c>
      <c r="EF41" s="663" t="s">
        <v>430</v>
      </c>
      <c r="EG41" s="742" t="s">
        <v>447</v>
      </c>
      <c r="EH41" s="663" t="s">
        <v>430</v>
      </c>
      <c r="EI41" s="742"/>
      <c r="EJ41" s="663" t="s">
        <v>430</v>
      </c>
      <c r="EK41" s="742"/>
      <c r="EL41" s="663" t="s">
        <v>430</v>
      </c>
      <c r="EM41" s="742"/>
      <c r="EN41" s="663" t="s">
        <v>430</v>
      </c>
      <c r="EO41" s="742"/>
      <c r="EP41" s="663" t="s">
        <v>430</v>
      </c>
      <c r="EQ41" s="742"/>
      <c r="ER41" s="663" t="s">
        <v>430</v>
      </c>
      <c r="ES41" s="742"/>
      <c r="ET41" s="663" t="s">
        <v>430</v>
      </c>
      <c r="EU41" s="742"/>
      <c r="EV41" s="663" t="s">
        <v>428</v>
      </c>
      <c r="EW41" s="742"/>
      <c r="EX41" s="663" t="s">
        <v>428</v>
      </c>
      <c r="EY41" s="742"/>
      <c r="EZ41" s="663" t="s">
        <v>430</v>
      </c>
      <c r="FA41" s="742"/>
      <c r="FB41" s="663" t="s">
        <v>430</v>
      </c>
      <c r="FC41" s="742"/>
      <c r="FD41" s="663" t="s">
        <v>428</v>
      </c>
      <c r="FE41" s="742"/>
      <c r="FF41" s="663" t="s">
        <v>430</v>
      </c>
      <c r="FG41" s="742"/>
      <c r="FH41" s="665" t="s">
        <v>428</v>
      </c>
      <c r="FI41" s="746"/>
      <c r="FJ41" s="827" t="s">
        <v>467</v>
      </c>
      <c r="FK41" s="743"/>
      <c r="FL41" s="897"/>
      <c r="FM41" s="897"/>
      <c r="FN41" s="897"/>
      <c r="FO41" s="898"/>
      <c r="FP41" s="747"/>
      <c r="FQ41" s="673"/>
      <c r="FR41" s="663" t="s">
        <v>451</v>
      </c>
      <c r="FS41" s="748"/>
      <c r="FT41" s="673"/>
      <c r="FU41" s="675" t="s">
        <v>434</v>
      </c>
      <c r="FV41" s="593"/>
      <c r="FW41" s="594"/>
      <c r="FX41" s="806"/>
      <c r="FY41" s="596"/>
      <c r="FZ41" s="807"/>
      <c r="GA41" s="598"/>
      <c r="GB41" s="808"/>
      <c r="GC41" s="600"/>
      <c r="GD41" s="808"/>
      <c r="GE41" s="601"/>
      <c r="GF41" s="749"/>
      <c r="GG41" s="750"/>
      <c r="GH41" s="750"/>
      <c r="GI41" s="750"/>
      <c r="GJ41" s="580"/>
      <c r="GK41" s="899" t="s">
        <v>720</v>
      </c>
      <c r="GL41" s="900"/>
      <c r="GM41" s="901" t="s">
        <v>575</v>
      </c>
      <c r="GN41" s="901"/>
      <c r="GO41" s="901" t="s">
        <v>576</v>
      </c>
      <c r="GP41" s="901"/>
      <c r="GQ41" s="901"/>
      <c r="GR41" s="902"/>
      <c r="GS41" s="861"/>
      <c r="GT41" s="689"/>
      <c r="GU41" s="530" t="s">
        <v>736</v>
      </c>
      <c r="GV41" s="530"/>
      <c r="GW41" s="530"/>
      <c r="GX41" s="530"/>
      <c r="GY41" s="530"/>
      <c r="GZ41" s="530"/>
      <c r="HA41" s="894">
        <v>35.200000000000003</v>
      </c>
      <c r="HB41" s="413"/>
      <c r="HC41" s="530"/>
      <c r="HD41" s="409"/>
    </row>
    <row r="42" spans="1:219" ht="20.100000000000001" customHeight="1">
      <c r="A42" s="832"/>
      <c r="B42" s="903" t="s">
        <v>469</v>
      </c>
      <c r="C42" s="904"/>
      <c r="D42" s="904"/>
      <c r="E42" s="905"/>
      <c r="F42" s="906"/>
      <c r="G42" s="836"/>
      <c r="H42" s="837"/>
      <c r="I42" s="838"/>
      <c r="J42" s="799"/>
      <c r="K42" s="839"/>
      <c r="L42" s="799"/>
      <c r="M42" s="839"/>
      <c r="N42" s="799"/>
      <c r="O42" s="839"/>
      <c r="P42" s="799"/>
      <c r="Q42" s="839"/>
      <c r="R42" s="799"/>
      <c r="S42" s="839"/>
      <c r="T42" s="799"/>
      <c r="U42" s="839"/>
      <c r="V42" s="799"/>
      <c r="W42" s="839"/>
      <c r="X42" s="799">
        <v>2318</v>
      </c>
      <c r="Y42" s="839"/>
      <c r="Z42" s="799">
        <v>1558</v>
      </c>
      <c r="AA42" s="839"/>
      <c r="AB42" s="799">
        <v>1558</v>
      </c>
      <c r="AC42" s="839"/>
      <c r="AD42" s="799">
        <v>1558</v>
      </c>
      <c r="AE42" s="839"/>
      <c r="AF42" s="799">
        <v>1558</v>
      </c>
      <c r="AG42" s="839"/>
      <c r="AH42" s="799">
        <v>1558</v>
      </c>
      <c r="AI42" s="839"/>
      <c r="AJ42" s="799">
        <v>1558</v>
      </c>
      <c r="AK42" s="839"/>
      <c r="AL42" s="799">
        <v>1558</v>
      </c>
      <c r="AM42" s="839"/>
      <c r="AN42" s="799">
        <v>1558</v>
      </c>
      <c r="AO42" s="839"/>
      <c r="AP42" s="799">
        <v>1558</v>
      </c>
      <c r="AQ42" s="839"/>
      <c r="AR42" s="799"/>
      <c r="AS42" s="839"/>
      <c r="AT42" s="799"/>
      <c r="AU42" s="839"/>
      <c r="AV42" s="799"/>
      <c r="AW42" s="839"/>
      <c r="AX42" s="799"/>
      <c r="AY42" s="839"/>
      <c r="AZ42" s="799"/>
      <c r="BA42" s="839"/>
      <c r="BB42" s="840"/>
      <c r="BC42" s="562"/>
      <c r="BD42" s="832"/>
      <c r="BE42" s="907" t="s">
        <v>470</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2318</v>
      </c>
      <c r="CB42" s="839"/>
      <c r="CC42" s="799">
        <v>1558</v>
      </c>
      <c r="CD42" s="839"/>
      <c r="CE42" s="799">
        <v>1558</v>
      </c>
      <c r="CF42" s="839"/>
      <c r="CG42" s="799">
        <v>1558</v>
      </c>
      <c r="CH42" s="839"/>
      <c r="CI42" s="799">
        <v>1558</v>
      </c>
      <c r="CJ42" s="839"/>
      <c r="CK42" s="799">
        <v>1558</v>
      </c>
      <c r="CL42" s="839"/>
      <c r="CM42" s="799">
        <v>1558</v>
      </c>
      <c r="CN42" s="839"/>
      <c r="CO42" s="799">
        <v>1558</v>
      </c>
      <c r="CP42" s="839"/>
      <c r="CQ42" s="799">
        <v>1558</v>
      </c>
      <c r="CR42" s="839"/>
      <c r="CS42" s="799">
        <v>1558</v>
      </c>
      <c r="CT42" s="839"/>
      <c r="CU42" s="799"/>
      <c r="CV42" s="839"/>
      <c r="CW42" s="799"/>
      <c r="CX42" s="839"/>
      <c r="CY42" s="799"/>
      <c r="CZ42" s="839"/>
      <c r="DA42" s="799"/>
      <c r="DB42" s="839"/>
      <c r="DC42" s="799"/>
      <c r="DD42" s="839"/>
      <c r="DE42" s="840"/>
      <c r="DF42" s="562"/>
      <c r="DG42" s="832"/>
      <c r="DH42" s="907" t="s">
        <v>470</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2318</v>
      </c>
      <c r="EE42" s="839"/>
      <c r="EF42" s="799">
        <v>1558</v>
      </c>
      <c r="EG42" s="839"/>
      <c r="EH42" s="799">
        <v>1558</v>
      </c>
      <c r="EI42" s="839"/>
      <c r="EJ42" s="799">
        <v>1558</v>
      </c>
      <c r="EK42" s="839"/>
      <c r="EL42" s="799">
        <v>1558</v>
      </c>
      <c r="EM42" s="839"/>
      <c r="EN42" s="799">
        <v>1558</v>
      </c>
      <c r="EO42" s="839"/>
      <c r="EP42" s="799">
        <v>1558</v>
      </c>
      <c r="EQ42" s="839"/>
      <c r="ER42" s="799">
        <v>1558</v>
      </c>
      <c r="ES42" s="839"/>
      <c r="ET42" s="799">
        <v>1558</v>
      </c>
      <c r="EU42" s="839"/>
      <c r="EV42" s="799">
        <v>1558</v>
      </c>
      <c r="EW42" s="839"/>
      <c r="EX42" s="799"/>
      <c r="EY42" s="839"/>
      <c r="EZ42" s="799"/>
      <c r="FA42" s="839"/>
      <c r="FB42" s="799"/>
      <c r="FC42" s="839"/>
      <c r="FD42" s="799"/>
      <c r="FE42" s="839"/>
      <c r="FF42" s="799"/>
      <c r="FG42" s="839"/>
      <c r="FH42" s="840"/>
      <c r="FI42" s="563"/>
      <c r="FJ42" s="841"/>
      <c r="FK42" s="907" t="s">
        <v>470</v>
      </c>
      <c r="FL42" s="904"/>
      <c r="FM42" s="904"/>
      <c r="FN42" s="905"/>
      <c r="FO42" s="906"/>
      <c r="FP42" s="842"/>
      <c r="FQ42" s="838"/>
      <c r="FR42" s="837">
        <v>545</v>
      </c>
      <c r="FS42" s="843"/>
      <c r="FT42" s="838"/>
      <c r="FU42" s="805">
        <v>545</v>
      </c>
      <c r="FV42" s="593"/>
      <c r="FW42" s="594"/>
      <c r="FX42" s="806"/>
      <c r="FY42" s="596"/>
      <c r="FZ42" s="807"/>
      <c r="GA42" s="598"/>
      <c r="GB42" s="808"/>
      <c r="GC42" s="600"/>
      <c r="GD42" s="808"/>
      <c r="GE42" s="601"/>
      <c r="GF42" s="844"/>
      <c r="GG42" s="602"/>
      <c r="GH42" s="602"/>
      <c r="GI42" s="602"/>
      <c r="GJ42" s="409"/>
      <c r="GK42" s="908"/>
      <c r="GL42" s="909"/>
      <c r="GM42" s="910">
        <v>0</v>
      </c>
      <c r="GN42" s="910"/>
      <c r="GO42" s="910">
        <v>11.9</v>
      </c>
      <c r="GP42" s="910"/>
      <c r="GQ42" s="910">
        <v>11.9</v>
      </c>
      <c r="GR42" s="911"/>
      <c r="GS42" s="580"/>
      <c r="GT42" s="500"/>
      <c r="GU42" s="500"/>
      <c r="GV42" s="500"/>
      <c r="GW42" s="579"/>
      <c r="GX42" s="579"/>
      <c r="GY42" s="579"/>
      <c r="GZ42" s="578"/>
      <c r="HA42" s="500"/>
      <c r="HB42" s="500"/>
      <c r="HC42" s="530"/>
      <c r="HD42" s="530"/>
    </row>
    <row r="43" spans="1:219" ht="20.100000000000001" customHeight="1">
      <c r="A43" s="832"/>
      <c r="B43" s="912" t="s">
        <v>471</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472</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472</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471</v>
      </c>
      <c r="FL43" s="913"/>
      <c r="FM43" s="913"/>
      <c r="FN43" s="913"/>
      <c r="FO43" s="914"/>
      <c r="FP43" s="696"/>
      <c r="FQ43" s="697"/>
      <c r="FR43" s="587">
        <v>953</v>
      </c>
      <c r="FS43" s="698"/>
      <c r="FT43" s="697"/>
      <c r="FU43" s="592">
        <v>953</v>
      </c>
      <c r="FV43" s="918"/>
      <c r="FW43" s="919"/>
      <c r="FX43" s="920"/>
      <c r="FY43" s="921"/>
      <c r="FZ43" s="922"/>
      <c r="GA43" s="923"/>
      <c r="GB43" s="924"/>
      <c r="GC43" s="925"/>
      <c r="GD43" s="924"/>
      <c r="GE43" s="926"/>
      <c r="GF43" s="688"/>
      <c r="GG43" s="602"/>
      <c r="GH43" s="602"/>
      <c r="GI43" s="602"/>
      <c r="GJ43" s="927"/>
      <c r="GK43" s="928" t="s">
        <v>721</v>
      </c>
      <c r="GL43" s="929"/>
      <c r="GM43" s="930" t="s">
        <v>575</v>
      </c>
      <c r="GN43" s="930"/>
      <c r="GO43" s="930" t="s">
        <v>578</v>
      </c>
      <c r="GP43" s="930"/>
      <c r="GQ43" s="930"/>
      <c r="GR43" s="931"/>
      <c r="GS43" s="580"/>
      <c r="GT43" s="609"/>
      <c r="GU43" s="530" t="s">
        <v>722</v>
      </c>
      <c r="GV43" s="413"/>
      <c r="GW43" s="409"/>
      <c r="GX43" s="413"/>
      <c r="GY43" s="413"/>
      <c r="GZ43" s="413"/>
      <c r="HA43" s="409"/>
      <c r="HB43" s="413"/>
      <c r="HC43" s="932"/>
      <c r="HD43" s="415"/>
    </row>
    <row r="44" spans="1:219" ht="20.100000000000001" customHeight="1" thickBot="1">
      <c r="A44" s="933"/>
      <c r="B44" s="642"/>
      <c r="C44" s="642"/>
      <c r="D44" s="643" t="s">
        <v>330</v>
      </c>
      <c r="E44" s="642"/>
      <c r="F44" s="642"/>
      <c r="G44" s="845"/>
      <c r="H44" s="846">
        <v>0</v>
      </c>
      <c r="I44" s="847"/>
      <c r="J44" s="848">
        <v>0</v>
      </c>
      <c r="K44" s="849"/>
      <c r="L44" s="848">
        <v>0</v>
      </c>
      <c r="M44" s="849"/>
      <c r="N44" s="848">
        <v>0</v>
      </c>
      <c r="O44" s="849"/>
      <c r="P44" s="848">
        <v>0</v>
      </c>
      <c r="Q44" s="849"/>
      <c r="R44" s="848">
        <v>0</v>
      </c>
      <c r="S44" s="849"/>
      <c r="T44" s="848">
        <v>0</v>
      </c>
      <c r="U44" s="849"/>
      <c r="V44" s="848">
        <v>0</v>
      </c>
      <c r="W44" s="849"/>
      <c r="X44" s="848">
        <v>2318</v>
      </c>
      <c r="Y44" s="849"/>
      <c r="Z44" s="848">
        <v>1558</v>
      </c>
      <c r="AA44" s="849"/>
      <c r="AB44" s="848">
        <v>1558</v>
      </c>
      <c r="AC44" s="849"/>
      <c r="AD44" s="848">
        <v>1558</v>
      </c>
      <c r="AE44" s="849"/>
      <c r="AF44" s="848">
        <v>1558</v>
      </c>
      <c r="AG44" s="849"/>
      <c r="AH44" s="848">
        <v>1558</v>
      </c>
      <c r="AI44" s="849"/>
      <c r="AJ44" s="848">
        <v>1558</v>
      </c>
      <c r="AK44" s="849"/>
      <c r="AL44" s="848">
        <v>1558</v>
      </c>
      <c r="AM44" s="849"/>
      <c r="AN44" s="848">
        <v>1558</v>
      </c>
      <c r="AO44" s="849"/>
      <c r="AP44" s="848">
        <v>1558</v>
      </c>
      <c r="AQ44" s="849"/>
      <c r="AR44" s="848">
        <v>0</v>
      </c>
      <c r="AS44" s="849"/>
      <c r="AT44" s="848">
        <v>0</v>
      </c>
      <c r="AU44" s="849"/>
      <c r="AV44" s="848">
        <v>0</v>
      </c>
      <c r="AW44" s="849"/>
      <c r="AX44" s="848">
        <v>0</v>
      </c>
      <c r="AY44" s="849"/>
      <c r="AZ44" s="848">
        <v>0</v>
      </c>
      <c r="BA44" s="849"/>
      <c r="BB44" s="850">
        <v>0</v>
      </c>
      <c r="BC44" s="648"/>
      <c r="BD44" s="933"/>
      <c r="BE44" s="642"/>
      <c r="BF44" s="642"/>
      <c r="BG44" s="643" t="s">
        <v>672</v>
      </c>
      <c r="BH44" s="642"/>
      <c r="BI44" s="642"/>
      <c r="BJ44" s="845"/>
      <c r="BK44" s="846">
        <v>0</v>
      </c>
      <c r="BL44" s="847"/>
      <c r="BM44" s="848">
        <v>0</v>
      </c>
      <c r="BN44" s="849"/>
      <c r="BO44" s="848">
        <v>0</v>
      </c>
      <c r="BP44" s="849"/>
      <c r="BQ44" s="848">
        <v>0</v>
      </c>
      <c r="BR44" s="849"/>
      <c r="BS44" s="848">
        <v>0</v>
      </c>
      <c r="BT44" s="849"/>
      <c r="BU44" s="848">
        <v>0</v>
      </c>
      <c r="BV44" s="849"/>
      <c r="BW44" s="848">
        <v>0</v>
      </c>
      <c r="BX44" s="849"/>
      <c r="BY44" s="848">
        <v>0</v>
      </c>
      <c r="BZ44" s="849"/>
      <c r="CA44" s="848">
        <v>2318</v>
      </c>
      <c r="CB44" s="849"/>
      <c r="CC44" s="848">
        <v>1558</v>
      </c>
      <c r="CD44" s="849"/>
      <c r="CE44" s="848">
        <v>1558</v>
      </c>
      <c r="CF44" s="849"/>
      <c r="CG44" s="848">
        <v>1558</v>
      </c>
      <c r="CH44" s="849"/>
      <c r="CI44" s="848">
        <v>1558</v>
      </c>
      <c r="CJ44" s="849"/>
      <c r="CK44" s="848">
        <v>1558</v>
      </c>
      <c r="CL44" s="849"/>
      <c r="CM44" s="848">
        <v>1558</v>
      </c>
      <c r="CN44" s="849"/>
      <c r="CO44" s="848">
        <v>1558</v>
      </c>
      <c r="CP44" s="849"/>
      <c r="CQ44" s="848">
        <v>1558</v>
      </c>
      <c r="CR44" s="849"/>
      <c r="CS44" s="848">
        <v>1558</v>
      </c>
      <c r="CT44" s="849"/>
      <c r="CU44" s="848">
        <v>0</v>
      </c>
      <c r="CV44" s="849"/>
      <c r="CW44" s="848">
        <v>0</v>
      </c>
      <c r="CX44" s="849"/>
      <c r="CY44" s="848">
        <v>0</v>
      </c>
      <c r="CZ44" s="849"/>
      <c r="DA44" s="848">
        <v>0</v>
      </c>
      <c r="DB44" s="849"/>
      <c r="DC44" s="848">
        <v>0</v>
      </c>
      <c r="DD44" s="849"/>
      <c r="DE44" s="850">
        <v>0</v>
      </c>
      <c r="DF44" s="648"/>
      <c r="DG44" s="933"/>
      <c r="DH44" s="642"/>
      <c r="DI44" s="642"/>
      <c r="DJ44" s="643" t="s">
        <v>330</v>
      </c>
      <c r="DK44" s="642"/>
      <c r="DL44" s="642"/>
      <c r="DM44" s="845"/>
      <c r="DN44" s="846">
        <v>0</v>
      </c>
      <c r="DO44" s="847"/>
      <c r="DP44" s="848">
        <v>0</v>
      </c>
      <c r="DQ44" s="849"/>
      <c r="DR44" s="848">
        <v>0</v>
      </c>
      <c r="DS44" s="849"/>
      <c r="DT44" s="848">
        <v>0</v>
      </c>
      <c r="DU44" s="849"/>
      <c r="DV44" s="848">
        <v>0</v>
      </c>
      <c r="DW44" s="849"/>
      <c r="DX44" s="848">
        <v>0</v>
      </c>
      <c r="DY44" s="849"/>
      <c r="DZ44" s="848">
        <v>0</v>
      </c>
      <c r="EA44" s="849"/>
      <c r="EB44" s="848">
        <v>0</v>
      </c>
      <c r="EC44" s="849"/>
      <c r="ED44" s="848">
        <v>2318</v>
      </c>
      <c r="EE44" s="849"/>
      <c r="EF44" s="848">
        <v>1558</v>
      </c>
      <c r="EG44" s="849"/>
      <c r="EH44" s="848">
        <v>1558</v>
      </c>
      <c r="EI44" s="849"/>
      <c r="EJ44" s="848">
        <v>1558</v>
      </c>
      <c r="EK44" s="849"/>
      <c r="EL44" s="848">
        <v>1558</v>
      </c>
      <c r="EM44" s="849"/>
      <c r="EN44" s="848">
        <v>1558</v>
      </c>
      <c r="EO44" s="849"/>
      <c r="EP44" s="848">
        <v>1558</v>
      </c>
      <c r="EQ44" s="849"/>
      <c r="ER44" s="848">
        <v>1558</v>
      </c>
      <c r="ES44" s="849"/>
      <c r="ET44" s="848">
        <v>1558</v>
      </c>
      <c r="EU44" s="849"/>
      <c r="EV44" s="848">
        <v>1558</v>
      </c>
      <c r="EW44" s="849"/>
      <c r="EX44" s="848">
        <v>0</v>
      </c>
      <c r="EY44" s="849"/>
      <c r="EZ44" s="848">
        <v>0</v>
      </c>
      <c r="FA44" s="849"/>
      <c r="FB44" s="848">
        <v>0</v>
      </c>
      <c r="FC44" s="849"/>
      <c r="FD44" s="848">
        <v>0</v>
      </c>
      <c r="FE44" s="849"/>
      <c r="FF44" s="848">
        <v>0</v>
      </c>
      <c r="FG44" s="849"/>
      <c r="FH44" s="850">
        <v>0</v>
      </c>
      <c r="FI44" s="649"/>
      <c r="FJ44" s="934"/>
      <c r="FK44" s="642"/>
      <c r="FL44" s="642"/>
      <c r="FM44" s="643" t="s">
        <v>330</v>
      </c>
      <c r="FN44" s="642"/>
      <c r="FO44" s="642"/>
      <c r="FP44" s="650"/>
      <c r="FQ44" s="847"/>
      <c r="FR44" s="846">
        <v>1498</v>
      </c>
      <c r="FS44" s="851"/>
      <c r="FT44" s="847"/>
      <c r="FU44" s="852">
        <v>1498</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0</v>
      </c>
      <c r="GN44" s="935"/>
      <c r="GO44" s="935">
        <v>8</v>
      </c>
      <c r="GP44" s="935"/>
      <c r="GQ44" s="910">
        <v>8</v>
      </c>
      <c r="GR44" s="911"/>
      <c r="GS44" s="936"/>
      <c r="GT44" s="937"/>
      <c r="GU44" s="530" t="s">
        <v>723</v>
      </c>
      <c r="GV44" s="615"/>
      <c r="GW44" s="615"/>
      <c r="GX44" s="615"/>
      <c r="GY44" s="413"/>
      <c r="GZ44" s="413"/>
      <c r="HA44" s="751">
        <v>1.5</v>
      </c>
      <c r="HB44" s="413" t="s">
        <v>550</v>
      </c>
      <c r="HC44" s="938"/>
      <c r="HD44" s="415"/>
    </row>
    <row r="45" spans="1:219" ht="20.100000000000001" customHeight="1" thickTop="1">
      <c r="A45" s="939" t="s">
        <v>476</v>
      </c>
      <c r="B45" s="940"/>
      <c r="C45" s="940"/>
      <c r="D45" s="940"/>
      <c r="E45" s="940"/>
      <c r="F45" s="941"/>
      <c r="G45" s="942"/>
      <c r="H45" s="943">
        <v>11734</v>
      </c>
      <c r="I45" s="944"/>
      <c r="J45" s="943">
        <v>11527</v>
      </c>
      <c r="K45" s="944"/>
      <c r="L45" s="943">
        <v>11490</v>
      </c>
      <c r="M45" s="944"/>
      <c r="N45" s="943">
        <v>11378</v>
      </c>
      <c r="O45" s="944"/>
      <c r="P45" s="943">
        <v>11306</v>
      </c>
      <c r="Q45" s="944"/>
      <c r="R45" s="943">
        <v>11671</v>
      </c>
      <c r="S45" s="944"/>
      <c r="T45" s="943">
        <v>12347</v>
      </c>
      <c r="U45" s="944"/>
      <c r="V45" s="943">
        <v>13066</v>
      </c>
      <c r="W45" s="944"/>
      <c r="X45" s="943">
        <v>23667</v>
      </c>
      <c r="Y45" s="944"/>
      <c r="Z45" s="943">
        <v>23586</v>
      </c>
      <c r="AA45" s="944"/>
      <c r="AB45" s="943">
        <v>24195</v>
      </c>
      <c r="AC45" s="944"/>
      <c r="AD45" s="943">
        <v>24901</v>
      </c>
      <c r="AE45" s="944"/>
      <c r="AF45" s="943">
        <v>25297</v>
      </c>
      <c r="AG45" s="944"/>
      <c r="AH45" s="943">
        <v>25313</v>
      </c>
      <c r="AI45" s="944"/>
      <c r="AJ45" s="943">
        <v>24851</v>
      </c>
      <c r="AK45" s="944"/>
      <c r="AL45" s="943">
        <v>24184</v>
      </c>
      <c r="AM45" s="944"/>
      <c r="AN45" s="943">
        <v>23281</v>
      </c>
      <c r="AO45" s="944"/>
      <c r="AP45" s="943">
        <v>22455</v>
      </c>
      <c r="AQ45" s="944"/>
      <c r="AR45" s="943">
        <v>20370</v>
      </c>
      <c r="AS45" s="944"/>
      <c r="AT45" s="943">
        <v>19975</v>
      </c>
      <c r="AU45" s="944"/>
      <c r="AV45" s="943">
        <v>19786</v>
      </c>
      <c r="AW45" s="944"/>
      <c r="AX45" s="943">
        <v>19622</v>
      </c>
      <c r="AY45" s="944"/>
      <c r="AZ45" s="943">
        <v>11979</v>
      </c>
      <c r="BA45" s="944"/>
      <c r="BB45" s="945">
        <v>11858</v>
      </c>
      <c r="BC45" s="648"/>
      <c r="BD45" s="939" t="s">
        <v>673</v>
      </c>
      <c r="BE45" s="940"/>
      <c r="BF45" s="940"/>
      <c r="BG45" s="940"/>
      <c r="BH45" s="940"/>
      <c r="BI45" s="941"/>
      <c r="BJ45" s="942"/>
      <c r="BK45" s="943">
        <v>11411</v>
      </c>
      <c r="BL45" s="944"/>
      <c r="BM45" s="943">
        <v>11285</v>
      </c>
      <c r="BN45" s="944"/>
      <c r="BO45" s="943">
        <v>11172</v>
      </c>
      <c r="BP45" s="944"/>
      <c r="BQ45" s="943">
        <v>11063</v>
      </c>
      <c r="BR45" s="944"/>
      <c r="BS45" s="943">
        <v>11082</v>
      </c>
      <c r="BT45" s="944"/>
      <c r="BU45" s="943">
        <v>11416</v>
      </c>
      <c r="BV45" s="944"/>
      <c r="BW45" s="943">
        <v>12213</v>
      </c>
      <c r="BX45" s="944"/>
      <c r="BY45" s="943">
        <v>13067</v>
      </c>
      <c r="BZ45" s="944"/>
      <c r="CA45" s="943">
        <v>23665</v>
      </c>
      <c r="CB45" s="944"/>
      <c r="CC45" s="943">
        <v>23460</v>
      </c>
      <c r="CD45" s="944"/>
      <c r="CE45" s="943">
        <v>24210</v>
      </c>
      <c r="CF45" s="944"/>
      <c r="CG45" s="943">
        <v>25098</v>
      </c>
      <c r="CH45" s="944"/>
      <c r="CI45" s="943">
        <v>25562</v>
      </c>
      <c r="CJ45" s="944"/>
      <c r="CK45" s="943">
        <v>25643</v>
      </c>
      <c r="CL45" s="944"/>
      <c r="CM45" s="943">
        <v>25237</v>
      </c>
      <c r="CN45" s="944"/>
      <c r="CO45" s="943">
        <v>24502</v>
      </c>
      <c r="CP45" s="944"/>
      <c r="CQ45" s="943">
        <v>23632</v>
      </c>
      <c r="CR45" s="944"/>
      <c r="CS45" s="943">
        <v>22522</v>
      </c>
      <c r="CT45" s="944"/>
      <c r="CU45" s="943">
        <v>20213</v>
      </c>
      <c r="CV45" s="944"/>
      <c r="CW45" s="943">
        <v>19706</v>
      </c>
      <c r="CX45" s="944"/>
      <c r="CY45" s="943">
        <v>19491</v>
      </c>
      <c r="CZ45" s="944"/>
      <c r="DA45" s="943">
        <v>19313</v>
      </c>
      <c r="DB45" s="944"/>
      <c r="DC45" s="943">
        <v>11668</v>
      </c>
      <c r="DD45" s="944"/>
      <c r="DE45" s="945">
        <v>11533</v>
      </c>
      <c r="DF45" s="648"/>
      <c r="DG45" s="939" t="s">
        <v>673</v>
      </c>
      <c r="DH45" s="940"/>
      <c r="DI45" s="940"/>
      <c r="DJ45" s="940"/>
      <c r="DK45" s="940"/>
      <c r="DL45" s="941"/>
      <c r="DM45" s="942"/>
      <c r="DN45" s="943">
        <v>10628</v>
      </c>
      <c r="DO45" s="944"/>
      <c r="DP45" s="943">
        <v>10598</v>
      </c>
      <c r="DQ45" s="944"/>
      <c r="DR45" s="943">
        <v>10572</v>
      </c>
      <c r="DS45" s="944"/>
      <c r="DT45" s="943">
        <v>10562</v>
      </c>
      <c r="DU45" s="944"/>
      <c r="DV45" s="943">
        <v>10562</v>
      </c>
      <c r="DW45" s="944"/>
      <c r="DX45" s="943">
        <v>10689</v>
      </c>
      <c r="DY45" s="944"/>
      <c r="DZ45" s="943">
        <v>11006</v>
      </c>
      <c r="EA45" s="944"/>
      <c r="EB45" s="943">
        <v>11940</v>
      </c>
      <c r="EC45" s="944"/>
      <c r="ED45" s="943">
        <v>22625</v>
      </c>
      <c r="EE45" s="944"/>
      <c r="EF45" s="943">
        <v>23056</v>
      </c>
      <c r="EG45" s="944"/>
      <c r="EH45" s="943">
        <v>24605</v>
      </c>
      <c r="EI45" s="944"/>
      <c r="EJ45" s="943">
        <v>25622</v>
      </c>
      <c r="EK45" s="944"/>
      <c r="EL45" s="943">
        <v>26030</v>
      </c>
      <c r="EM45" s="944"/>
      <c r="EN45" s="943">
        <v>25892</v>
      </c>
      <c r="EO45" s="944"/>
      <c r="EP45" s="943">
        <v>25239</v>
      </c>
      <c r="EQ45" s="944"/>
      <c r="ER45" s="943">
        <v>24230</v>
      </c>
      <c r="ES45" s="944"/>
      <c r="ET45" s="943">
        <v>22797</v>
      </c>
      <c r="EU45" s="944"/>
      <c r="EV45" s="943">
        <v>21405</v>
      </c>
      <c r="EW45" s="944"/>
      <c r="EX45" s="943">
        <v>19319</v>
      </c>
      <c r="EY45" s="944"/>
      <c r="EZ45" s="943">
        <v>18900</v>
      </c>
      <c r="FA45" s="944"/>
      <c r="FB45" s="943">
        <v>18696</v>
      </c>
      <c r="FC45" s="944"/>
      <c r="FD45" s="943">
        <v>18533</v>
      </c>
      <c r="FE45" s="944"/>
      <c r="FF45" s="943">
        <v>10893</v>
      </c>
      <c r="FG45" s="944"/>
      <c r="FH45" s="945">
        <v>10751</v>
      </c>
      <c r="FI45" s="648"/>
      <c r="FJ45" s="939" t="s">
        <v>476</v>
      </c>
      <c r="FK45" s="940"/>
      <c r="FL45" s="940"/>
      <c r="FM45" s="940"/>
      <c r="FN45" s="940"/>
      <c r="FO45" s="941"/>
      <c r="FP45" s="946"/>
      <c r="FQ45" s="947"/>
      <c r="FR45" s="943">
        <v>10993</v>
      </c>
      <c r="FS45" s="948"/>
      <c r="FT45" s="947"/>
      <c r="FU45" s="949">
        <v>10153</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724</v>
      </c>
      <c r="GV45" s="413"/>
      <c r="GW45" s="413"/>
      <c r="GX45" s="413"/>
      <c r="GY45" s="530"/>
      <c r="GZ45" s="733"/>
      <c r="HA45" s="751">
        <v>19</v>
      </c>
      <c r="HB45" s="413" t="s">
        <v>550</v>
      </c>
      <c r="HC45" s="938"/>
      <c r="HD45" s="415"/>
    </row>
    <row r="46" spans="1:219" ht="20.100000000000001" customHeight="1">
      <c r="A46" s="954" t="s">
        <v>674</v>
      </c>
      <c r="B46" s="955"/>
      <c r="C46" s="955"/>
      <c r="D46" s="955"/>
      <c r="E46" s="955"/>
      <c r="F46" s="956"/>
      <c r="G46" s="957" t="s">
        <v>477</v>
      </c>
      <c r="H46" s="958"/>
      <c r="I46" s="1287" t="s">
        <v>477</v>
      </c>
      <c r="J46" s="958"/>
      <c r="K46" s="1287" t="s">
        <v>477</v>
      </c>
      <c r="L46" s="958"/>
      <c r="M46" s="1287" t="s">
        <v>477</v>
      </c>
      <c r="N46" s="958"/>
      <c r="O46" s="1287" t="s">
        <v>477</v>
      </c>
      <c r="P46" s="958"/>
      <c r="Q46" s="1287" t="s">
        <v>477</v>
      </c>
      <c r="R46" s="958"/>
      <c r="S46" s="1287" t="s">
        <v>477</v>
      </c>
      <c r="T46" s="958"/>
      <c r="U46" s="1287" t="s">
        <v>477</v>
      </c>
      <c r="V46" s="958"/>
      <c r="W46" s="1287" t="s">
        <v>477</v>
      </c>
      <c r="X46" s="958"/>
      <c r="Y46" s="1287" t="s">
        <v>477</v>
      </c>
      <c r="Z46" s="958"/>
      <c r="AA46" s="1287" t="s">
        <v>477</v>
      </c>
      <c r="AB46" s="958"/>
      <c r="AC46" s="1287" t="s">
        <v>477</v>
      </c>
      <c r="AD46" s="958"/>
      <c r="AE46" s="1287" t="s">
        <v>477</v>
      </c>
      <c r="AF46" s="958"/>
      <c r="AG46" s="1287" t="s">
        <v>477</v>
      </c>
      <c r="AH46" s="958"/>
      <c r="AI46" s="1287" t="s">
        <v>477</v>
      </c>
      <c r="AJ46" s="958"/>
      <c r="AK46" s="1287" t="s">
        <v>477</v>
      </c>
      <c r="AL46" s="958"/>
      <c r="AM46" s="1287" t="s">
        <v>477</v>
      </c>
      <c r="AN46" s="958"/>
      <c r="AO46" s="1287" t="s">
        <v>477</v>
      </c>
      <c r="AP46" s="958"/>
      <c r="AQ46" s="1287" t="s">
        <v>477</v>
      </c>
      <c r="AR46" s="958"/>
      <c r="AS46" s="1287" t="s">
        <v>477</v>
      </c>
      <c r="AT46" s="958"/>
      <c r="AU46" s="1287" t="s">
        <v>477</v>
      </c>
      <c r="AV46" s="958"/>
      <c r="AW46" s="1287" t="s">
        <v>477</v>
      </c>
      <c r="AX46" s="958"/>
      <c r="AY46" s="1287" t="s">
        <v>477</v>
      </c>
      <c r="AZ46" s="960"/>
      <c r="BA46" s="961" t="s">
        <v>477</v>
      </c>
      <c r="BB46" s="962"/>
      <c r="BC46" s="963"/>
      <c r="BD46" s="954" t="s">
        <v>336</v>
      </c>
      <c r="BE46" s="955"/>
      <c r="BF46" s="955"/>
      <c r="BG46" s="955"/>
      <c r="BH46" s="955"/>
      <c r="BI46" s="956"/>
      <c r="BJ46" s="957" t="s">
        <v>477</v>
      </c>
      <c r="BK46" s="958"/>
      <c r="BL46" s="1287" t="s">
        <v>477</v>
      </c>
      <c r="BM46" s="958"/>
      <c r="BN46" s="1287" t="s">
        <v>477</v>
      </c>
      <c r="BO46" s="958"/>
      <c r="BP46" s="1287" t="s">
        <v>477</v>
      </c>
      <c r="BQ46" s="958"/>
      <c r="BR46" s="1287" t="s">
        <v>477</v>
      </c>
      <c r="BS46" s="958"/>
      <c r="BT46" s="1287" t="s">
        <v>477</v>
      </c>
      <c r="BU46" s="958"/>
      <c r="BV46" s="1287" t="s">
        <v>477</v>
      </c>
      <c r="BW46" s="958"/>
      <c r="BX46" s="1287" t="s">
        <v>477</v>
      </c>
      <c r="BY46" s="958"/>
      <c r="BZ46" s="1287" t="s">
        <v>477</v>
      </c>
      <c r="CA46" s="958"/>
      <c r="CB46" s="1287" t="s">
        <v>477</v>
      </c>
      <c r="CC46" s="958"/>
      <c r="CD46" s="1287" t="s">
        <v>477</v>
      </c>
      <c r="CE46" s="958"/>
      <c r="CF46" s="1287" t="s">
        <v>477</v>
      </c>
      <c r="CG46" s="958"/>
      <c r="CH46" s="1287" t="s">
        <v>477</v>
      </c>
      <c r="CI46" s="958"/>
      <c r="CJ46" s="1287" t="s">
        <v>477</v>
      </c>
      <c r="CK46" s="958"/>
      <c r="CL46" s="1287" t="s">
        <v>477</v>
      </c>
      <c r="CM46" s="958"/>
      <c r="CN46" s="1287" t="s">
        <v>477</v>
      </c>
      <c r="CO46" s="958"/>
      <c r="CP46" s="1287" t="s">
        <v>477</v>
      </c>
      <c r="CQ46" s="958"/>
      <c r="CR46" s="1287" t="s">
        <v>477</v>
      </c>
      <c r="CS46" s="958"/>
      <c r="CT46" s="1287" t="s">
        <v>477</v>
      </c>
      <c r="CU46" s="958"/>
      <c r="CV46" s="1287" t="s">
        <v>477</v>
      </c>
      <c r="CW46" s="958"/>
      <c r="CX46" s="1287" t="s">
        <v>477</v>
      </c>
      <c r="CY46" s="958"/>
      <c r="CZ46" s="1287" t="s">
        <v>477</v>
      </c>
      <c r="DA46" s="958"/>
      <c r="DB46" s="1287" t="s">
        <v>477</v>
      </c>
      <c r="DC46" s="960"/>
      <c r="DD46" s="961" t="s">
        <v>477</v>
      </c>
      <c r="DE46" s="962"/>
      <c r="DF46" s="963"/>
      <c r="DG46" s="954" t="s">
        <v>674</v>
      </c>
      <c r="DH46" s="955"/>
      <c r="DI46" s="955"/>
      <c r="DJ46" s="955"/>
      <c r="DK46" s="955"/>
      <c r="DL46" s="956"/>
      <c r="DM46" s="957" t="s">
        <v>477</v>
      </c>
      <c r="DN46" s="958"/>
      <c r="DO46" s="1287" t="s">
        <v>477</v>
      </c>
      <c r="DP46" s="958"/>
      <c r="DQ46" s="1287" t="s">
        <v>477</v>
      </c>
      <c r="DR46" s="958"/>
      <c r="DS46" s="1287" t="s">
        <v>477</v>
      </c>
      <c r="DT46" s="958"/>
      <c r="DU46" s="1287" t="s">
        <v>477</v>
      </c>
      <c r="DV46" s="958"/>
      <c r="DW46" s="1287" t="s">
        <v>477</v>
      </c>
      <c r="DX46" s="958"/>
      <c r="DY46" s="1287" t="s">
        <v>477</v>
      </c>
      <c r="DZ46" s="958"/>
      <c r="EA46" s="1287" t="s">
        <v>477</v>
      </c>
      <c r="EB46" s="958"/>
      <c r="EC46" s="1287" t="s">
        <v>477</v>
      </c>
      <c r="ED46" s="958"/>
      <c r="EE46" s="1287" t="s">
        <v>477</v>
      </c>
      <c r="EF46" s="958"/>
      <c r="EG46" s="1287" t="s">
        <v>477</v>
      </c>
      <c r="EH46" s="958"/>
      <c r="EI46" s="1287" t="s">
        <v>477</v>
      </c>
      <c r="EJ46" s="958"/>
      <c r="EK46" s="1287" t="s">
        <v>477</v>
      </c>
      <c r="EL46" s="958"/>
      <c r="EM46" s="1287" t="s">
        <v>477</v>
      </c>
      <c r="EN46" s="958"/>
      <c r="EO46" s="1287" t="s">
        <v>477</v>
      </c>
      <c r="EP46" s="958"/>
      <c r="EQ46" s="1287" t="s">
        <v>477</v>
      </c>
      <c r="ER46" s="958"/>
      <c r="ES46" s="1287" t="s">
        <v>477</v>
      </c>
      <c r="ET46" s="958"/>
      <c r="EU46" s="1287" t="s">
        <v>477</v>
      </c>
      <c r="EV46" s="958"/>
      <c r="EW46" s="1287" t="s">
        <v>477</v>
      </c>
      <c r="EX46" s="958"/>
      <c r="EY46" s="1287" t="s">
        <v>477</v>
      </c>
      <c r="EZ46" s="958"/>
      <c r="FA46" s="1287" t="s">
        <v>477</v>
      </c>
      <c r="FB46" s="958"/>
      <c r="FC46" s="1287" t="s">
        <v>477</v>
      </c>
      <c r="FD46" s="958"/>
      <c r="FE46" s="1287" t="s">
        <v>477</v>
      </c>
      <c r="FF46" s="960"/>
      <c r="FG46" s="961" t="s">
        <v>477</v>
      </c>
      <c r="FH46" s="962"/>
      <c r="FI46" s="963"/>
      <c r="FJ46" s="954" t="s">
        <v>675</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c r="GL46" s="413"/>
      <c r="GM46" s="750"/>
      <c r="GN46" s="750"/>
      <c r="GO46" s="750"/>
      <c r="GP46" s="750"/>
      <c r="GQ46" s="750"/>
      <c r="GR46" s="861"/>
      <c r="GS46" s="580"/>
      <c r="GT46" s="763"/>
      <c r="GU46" s="774" t="s">
        <v>582</v>
      </c>
      <c r="GV46" s="774"/>
      <c r="GW46" s="774"/>
      <c r="GX46" s="774"/>
      <c r="GY46" s="615"/>
      <c r="GZ46" s="775"/>
      <c r="HA46" s="751">
        <v>17.5</v>
      </c>
      <c r="HB46" s="413" t="s">
        <v>707</v>
      </c>
      <c r="HC46" s="938"/>
      <c r="HD46" s="415"/>
    </row>
    <row r="47" spans="1:219" ht="20.100000000000001" customHeight="1" thickBot="1">
      <c r="A47" s="970" t="s">
        <v>337</v>
      </c>
      <c r="B47" s="971"/>
      <c r="C47" s="971"/>
      <c r="D47" s="972"/>
      <c r="E47" s="973"/>
      <c r="F47" s="973"/>
      <c r="G47" s="974"/>
      <c r="H47" s="975">
        <v>12321</v>
      </c>
      <c r="I47" s="976"/>
      <c r="J47" s="975">
        <v>12103</v>
      </c>
      <c r="K47" s="976"/>
      <c r="L47" s="975">
        <v>12065</v>
      </c>
      <c r="M47" s="976"/>
      <c r="N47" s="975">
        <v>11947</v>
      </c>
      <c r="O47" s="976"/>
      <c r="P47" s="975">
        <v>11871</v>
      </c>
      <c r="Q47" s="976"/>
      <c r="R47" s="975">
        <v>12255</v>
      </c>
      <c r="S47" s="976"/>
      <c r="T47" s="975">
        <v>12964</v>
      </c>
      <c r="U47" s="976"/>
      <c r="V47" s="975">
        <v>13719</v>
      </c>
      <c r="W47" s="976"/>
      <c r="X47" s="975">
        <v>24850</v>
      </c>
      <c r="Y47" s="976"/>
      <c r="Z47" s="975">
        <v>24765</v>
      </c>
      <c r="AA47" s="976"/>
      <c r="AB47" s="975">
        <v>25405</v>
      </c>
      <c r="AC47" s="976"/>
      <c r="AD47" s="975">
        <v>26146</v>
      </c>
      <c r="AE47" s="976"/>
      <c r="AF47" s="975">
        <v>26562</v>
      </c>
      <c r="AG47" s="976"/>
      <c r="AH47" s="975">
        <v>26579</v>
      </c>
      <c r="AI47" s="976"/>
      <c r="AJ47" s="975">
        <v>26094</v>
      </c>
      <c r="AK47" s="976"/>
      <c r="AL47" s="975">
        <v>25393</v>
      </c>
      <c r="AM47" s="976"/>
      <c r="AN47" s="975">
        <v>24445</v>
      </c>
      <c r="AO47" s="976"/>
      <c r="AP47" s="975">
        <v>23578</v>
      </c>
      <c r="AQ47" s="976"/>
      <c r="AR47" s="975">
        <v>21389</v>
      </c>
      <c r="AS47" s="976"/>
      <c r="AT47" s="975">
        <v>20974</v>
      </c>
      <c r="AU47" s="976"/>
      <c r="AV47" s="975">
        <v>20775</v>
      </c>
      <c r="AW47" s="976"/>
      <c r="AX47" s="975">
        <v>20603</v>
      </c>
      <c r="AY47" s="977"/>
      <c r="AZ47" s="978">
        <v>12578</v>
      </c>
      <c r="BA47" s="979"/>
      <c r="BB47" s="980">
        <v>12451</v>
      </c>
      <c r="BC47" s="981"/>
      <c r="BD47" s="970" t="s">
        <v>337</v>
      </c>
      <c r="BE47" s="971"/>
      <c r="BF47" s="971"/>
      <c r="BG47" s="972"/>
      <c r="BH47" s="973"/>
      <c r="BI47" s="973"/>
      <c r="BJ47" s="974"/>
      <c r="BK47" s="975">
        <v>11982</v>
      </c>
      <c r="BL47" s="976"/>
      <c r="BM47" s="975">
        <v>11849</v>
      </c>
      <c r="BN47" s="976"/>
      <c r="BO47" s="975">
        <v>11731</v>
      </c>
      <c r="BP47" s="976"/>
      <c r="BQ47" s="975">
        <v>11616</v>
      </c>
      <c r="BR47" s="976"/>
      <c r="BS47" s="975">
        <v>11636</v>
      </c>
      <c r="BT47" s="976"/>
      <c r="BU47" s="975">
        <v>11987</v>
      </c>
      <c r="BV47" s="976"/>
      <c r="BW47" s="975">
        <v>12824</v>
      </c>
      <c r="BX47" s="976"/>
      <c r="BY47" s="975">
        <v>13720</v>
      </c>
      <c r="BZ47" s="976"/>
      <c r="CA47" s="975">
        <v>24848</v>
      </c>
      <c r="CB47" s="976"/>
      <c r="CC47" s="975">
        <v>24633</v>
      </c>
      <c r="CD47" s="976"/>
      <c r="CE47" s="975">
        <v>25421</v>
      </c>
      <c r="CF47" s="976"/>
      <c r="CG47" s="975">
        <v>26353</v>
      </c>
      <c r="CH47" s="976"/>
      <c r="CI47" s="975">
        <v>26840</v>
      </c>
      <c r="CJ47" s="976"/>
      <c r="CK47" s="975">
        <v>26925</v>
      </c>
      <c r="CL47" s="976"/>
      <c r="CM47" s="975">
        <v>26499</v>
      </c>
      <c r="CN47" s="976"/>
      <c r="CO47" s="975">
        <v>25727</v>
      </c>
      <c r="CP47" s="976"/>
      <c r="CQ47" s="975">
        <v>24814</v>
      </c>
      <c r="CR47" s="976"/>
      <c r="CS47" s="975">
        <v>23648</v>
      </c>
      <c r="CT47" s="976"/>
      <c r="CU47" s="975">
        <v>21224</v>
      </c>
      <c r="CV47" s="976"/>
      <c r="CW47" s="975">
        <v>20691</v>
      </c>
      <c r="CX47" s="976"/>
      <c r="CY47" s="975">
        <v>20466</v>
      </c>
      <c r="CZ47" s="976"/>
      <c r="DA47" s="975">
        <v>20279</v>
      </c>
      <c r="DB47" s="977"/>
      <c r="DC47" s="978">
        <v>12251</v>
      </c>
      <c r="DD47" s="979"/>
      <c r="DE47" s="980">
        <v>12110</v>
      </c>
      <c r="DF47" s="981"/>
      <c r="DG47" s="970" t="s">
        <v>337</v>
      </c>
      <c r="DH47" s="971"/>
      <c r="DI47" s="971"/>
      <c r="DJ47" s="972"/>
      <c r="DK47" s="973"/>
      <c r="DL47" s="973"/>
      <c r="DM47" s="974"/>
      <c r="DN47" s="975">
        <v>11159</v>
      </c>
      <c r="DO47" s="976"/>
      <c r="DP47" s="975">
        <v>11128</v>
      </c>
      <c r="DQ47" s="976"/>
      <c r="DR47" s="975">
        <v>11101</v>
      </c>
      <c r="DS47" s="976"/>
      <c r="DT47" s="975">
        <v>11090</v>
      </c>
      <c r="DU47" s="976"/>
      <c r="DV47" s="975">
        <v>11090</v>
      </c>
      <c r="DW47" s="976"/>
      <c r="DX47" s="975">
        <v>11223</v>
      </c>
      <c r="DY47" s="976"/>
      <c r="DZ47" s="975">
        <v>11556</v>
      </c>
      <c r="EA47" s="976"/>
      <c r="EB47" s="975">
        <v>12537</v>
      </c>
      <c r="EC47" s="976"/>
      <c r="ED47" s="975">
        <v>23756</v>
      </c>
      <c r="EE47" s="976"/>
      <c r="EF47" s="975">
        <v>24209</v>
      </c>
      <c r="EG47" s="976"/>
      <c r="EH47" s="975">
        <v>25835</v>
      </c>
      <c r="EI47" s="976"/>
      <c r="EJ47" s="975">
        <v>26903</v>
      </c>
      <c r="EK47" s="976"/>
      <c r="EL47" s="975">
        <v>27332</v>
      </c>
      <c r="EM47" s="976"/>
      <c r="EN47" s="975">
        <v>27187</v>
      </c>
      <c r="EO47" s="976"/>
      <c r="EP47" s="975">
        <v>26501</v>
      </c>
      <c r="EQ47" s="976"/>
      <c r="ER47" s="975">
        <v>25442</v>
      </c>
      <c r="ES47" s="976"/>
      <c r="ET47" s="975">
        <v>23937</v>
      </c>
      <c r="EU47" s="976"/>
      <c r="EV47" s="975">
        <v>22475</v>
      </c>
      <c r="EW47" s="976"/>
      <c r="EX47" s="975">
        <v>20285</v>
      </c>
      <c r="EY47" s="976"/>
      <c r="EZ47" s="975">
        <v>19845</v>
      </c>
      <c r="FA47" s="976"/>
      <c r="FB47" s="975">
        <v>19631</v>
      </c>
      <c r="FC47" s="976"/>
      <c r="FD47" s="975">
        <v>19460</v>
      </c>
      <c r="FE47" s="977"/>
      <c r="FF47" s="978">
        <v>11438</v>
      </c>
      <c r="FG47" s="979"/>
      <c r="FH47" s="980">
        <v>11289</v>
      </c>
      <c r="FI47" s="981"/>
      <c r="FJ47" s="970" t="s">
        <v>337</v>
      </c>
      <c r="FK47" s="971"/>
      <c r="FL47" s="971"/>
      <c r="FM47" s="972"/>
      <c r="FN47" s="973"/>
      <c r="FO47" s="973"/>
      <c r="FP47" s="982"/>
      <c r="FQ47" s="983"/>
      <c r="FR47" s="975">
        <v>10993</v>
      </c>
      <c r="FS47" s="984"/>
      <c r="FT47" s="983"/>
      <c r="FU47" s="985">
        <v>10153</v>
      </c>
      <c r="FV47" s="986">
        <v>13</v>
      </c>
      <c r="FW47" s="975">
        <v>26562</v>
      </c>
      <c r="FX47" s="987">
        <v>13</v>
      </c>
      <c r="FY47" s="975">
        <v>26840</v>
      </c>
      <c r="FZ47" s="987">
        <v>13</v>
      </c>
      <c r="GA47" s="975">
        <v>27332</v>
      </c>
      <c r="GB47" s="988" t="s">
        <v>366</v>
      </c>
      <c r="GC47" s="975">
        <v>26562</v>
      </c>
      <c r="GD47" s="988" t="s">
        <v>368</v>
      </c>
      <c r="GE47" s="989">
        <v>10993</v>
      </c>
      <c r="GF47" s="688"/>
      <c r="GG47" s="990"/>
      <c r="GH47" s="990"/>
      <c r="GI47" s="990"/>
      <c r="GJ47" s="893"/>
      <c r="GK47" s="413" t="s">
        <v>584</v>
      </c>
      <c r="GL47" s="893"/>
      <c r="GM47" s="530"/>
      <c r="GN47" s="893"/>
      <c r="GO47" s="530"/>
      <c r="GP47" s="530"/>
      <c r="GQ47" s="530"/>
      <c r="GR47" s="893"/>
      <c r="GS47" s="530"/>
      <c r="GT47" s="763"/>
      <c r="GU47" s="774" t="s">
        <v>585</v>
      </c>
      <c r="GV47" s="774"/>
      <c r="GW47" s="774"/>
      <c r="GX47" s="774"/>
      <c r="GY47" s="530"/>
      <c r="GZ47" s="413"/>
      <c r="HA47" s="778">
        <v>-0.15</v>
      </c>
      <c r="HB47" s="413"/>
      <c r="HC47" s="981"/>
      <c r="HD47" s="415"/>
    </row>
    <row r="48" spans="1:219" ht="20.100000000000001" customHeight="1">
      <c r="A48" s="991" t="s">
        <v>676</v>
      </c>
      <c r="B48" s="992" t="s">
        <v>677</v>
      </c>
      <c r="C48" s="895"/>
      <c r="D48" s="825"/>
      <c r="E48" s="825"/>
      <c r="F48" s="826"/>
      <c r="G48" s="740" t="s">
        <v>484</v>
      </c>
      <c r="H48" s="663" t="s">
        <v>430</v>
      </c>
      <c r="I48" s="742" t="s">
        <v>484</v>
      </c>
      <c r="J48" s="993" t="s">
        <v>428</v>
      </c>
      <c r="K48" s="742" t="s">
        <v>484</v>
      </c>
      <c r="L48" s="993" t="s">
        <v>428</v>
      </c>
      <c r="M48" s="742" t="s">
        <v>484</v>
      </c>
      <c r="N48" s="993" t="s">
        <v>428</v>
      </c>
      <c r="O48" s="742" t="s">
        <v>678</v>
      </c>
      <c r="P48" s="993" t="s">
        <v>430</v>
      </c>
      <c r="Q48" s="742" t="s">
        <v>678</v>
      </c>
      <c r="R48" s="993" t="s">
        <v>428</v>
      </c>
      <c r="S48" s="742" t="s">
        <v>484</v>
      </c>
      <c r="T48" s="993" t="s">
        <v>428</v>
      </c>
      <c r="U48" s="742" t="s">
        <v>484</v>
      </c>
      <c r="V48" s="993" t="s">
        <v>430</v>
      </c>
      <c r="W48" s="742" t="s">
        <v>484</v>
      </c>
      <c r="X48" s="993" t="s">
        <v>430</v>
      </c>
      <c r="Y48" s="742" t="s">
        <v>678</v>
      </c>
      <c r="Z48" s="993" t="s">
        <v>428</v>
      </c>
      <c r="AA48" s="742" t="s">
        <v>678</v>
      </c>
      <c r="AB48" s="993" t="s">
        <v>430</v>
      </c>
      <c r="AC48" s="742" t="s">
        <v>678</v>
      </c>
      <c r="AD48" s="993" t="s">
        <v>428</v>
      </c>
      <c r="AE48" s="742" t="s">
        <v>678</v>
      </c>
      <c r="AF48" s="993" t="s">
        <v>428</v>
      </c>
      <c r="AG48" s="742" t="s">
        <v>484</v>
      </c>
      <c r="AH48" s="993" t="s">
        <v>428</v>
      </c>
      <c r="AI48" s="742" t="s">
        <v>678</v>
      </c>
      <c r="AJ48" s="993" t="s">
        <v>430</v>
      </c>
      <c r="AK48" s="742" t="s">
        <v>678</v>
      </c>
      <c r="AL48" s="993" t="s">
        <v>430</v>
      </c>
      <c r="AM48" s="742" t="s">
        <v>678</v>
      </c>
      <c r="AN48" s="993" t="s">
        <v>428</v>
      </c>
      <c r="AO48" s="742" t="s">
        <v>678</v>
      </c>
      <c r="AP48" s="993" t="s">
        <v>430</v>
      </c>
      <c r="AQ48" s="742" t="s">
        <v>484</v>
      </c>
      <c r="AR48" s="993" t="s">
        <v>430</v>
      </c>
      <c r="AS48" s="742" t="s">
        <v>678</v>
      </c>
      <c r="AT48" s="993" t="s">
        <v>430</v>
      </c>
      <c r="AU48" s="742" t="s">
        <v>678</v>
      </c>
      <c r="AV48" s="993" t="s">
        <v>430</v>
      </c>
      <c r="AW48" s="742" t="s">
        <v>484</v>
      </c>
      <c r="AX48" s="993" t="s">
        <v>428</v>
      </c>
      <c r="AY48" s="742" t="s">
        <v>484</v>
      </c>
      <c r="AZ48" s="994" t="s">
        <v>428</v>
      </c>
      <c r="BA48" s="995" t="s">
        <v>484</v>
      </c>
      <c r="BB48" s="996" t="s">
        <v>430</v>
      </c>
      <c r="BC48" s="932"/>
      <c r="BD48" s="991" t="s">
        <v>676</v>
      </c>
      <c r="BE48" s="992" t="s">
        <v>483</v>
      </c>
      <c r="BF48" s="895"/>
      <c r="BG48" s="825"/>
      <c r="BH48" s="825"/>
      <c r="BI48" s="826"/>
      <c r="BJ48" s="740" t="s">
        <v>678</v>
      </c>
      <c r="BK48" s="663" t="s">
        <v>430</v>
      </c>
      <c r="BL48" s="742" t="s">
        <v>484</v>
      </c>
      <c r="BM48" s="993" t="s">
        <v>428</v>
      </c>
      <c r="BN48" s="742" t="s">
        <v>484</v>
      </c>
      <c r="BO48" s="993" t="s">
        <v>430</v>
      </c>
      <c r="BP48" s="742" t="s">
        <v>484</v>
      </c>
      <c r="BQ48" s="993" t="s">
        <v>430</v>
      </c>
      <c r="BR48" s="742" t="s">
        <v>678</v>
      </c>
      <c r="BS48" s="993" t="s">
        <v>428</v>
      </c>
      <c r="BT48" s="742" t="s">
        <v>678</v>
      </c>
      <c r="BU48" s="993" t="s">
        <v>428</v>
      </c>
      <c r="BV48" s="742" t="s">
        <v>678</v>
      </c>
      <c r="BW48" s="993" t="s">
        <v>430</v>
      </c>
      <c r="BX48" s="742" t="s">
        <v>678</v>
      </c>
      <c r="BY48" s="993" t="s">
        <v>428</v>
      </c>
      <c r="BZ48" s="742" t="s">
        <v>484</v>
      </c>
      <c r="CA48" s="993" t="s">
        <v>430</v>
      </c>
      <c r="CB48" s="742" t="s">
        <v>678</v>
      </c>
      <c r="CC48" s="993" t="s">
        <v>430</v>
      </c>
      <c r="CD48" s="742" t="s">
        <v>678</v>
      </c>
      <c r="CE48" s="993" t="s">
        <v>428</v>
      </c>
      <c r="CF48" s="742" t="s">
        <v>484</v>
      </c>
      <c r="CG48" s="993" t="s">
        <v>428</v>
      </c>
      <c r="CH48" s="742" t="s">
        <v>484</v>
      </c>
      <c r="CI48" s="993" t="s">
        <v>430</v>
      </c>
      <c r="CJ48" s="742" t="s">
        <v>484</v>
      </c>
      <c r="CK48" s="993" t="s">
        <v>430</v>
      </c>
      <c r="CL48" s="742" t="s">
        <v>678</v>
      </c>
      <c r="CM48" s="993" t="s">
        <v>428</v>
      </c>
      <c r="CN48" s="742" t="s">
        <v>678</v>
      </c>
      <c r="CO48" s="993" t="s">
        <v>430</v>
      </c>
      <c r="CP48" s="742" t="s">
        <v>678</v>
      </c>
      <c r="CQ48" s="993" t="s">
        <v>428</v>
      </c>
      <c r="CR48" s="742" t="s">
        <v>678</v>
      </c>
      <c r="CS48" s="993" t="s">
        <v>428</v>
      </c>
      <c r="CT48" s="742" t="s">
        <v>484</v>
      </c>
      <c r="CU48" s="993" t="s">
        <v>428</v>
      </c>
      <c r="CV48" s="742" t="s">
        <v>678</v>
      </c>
      <c r="CW48" s="993" t="s">
        <v>430</v>
      </c>
      <c r="CX48" s="742" t="s">
        <v>678</v>
      </c>
      <c r="CY48" s="993" t="s">
        <v>430</v>
      </c>
      <c r="CZ48" s="742" t="s">
        <v>678</v>
      </c>
      <c r="DA48" s="993" t="s">
        <v>428</v>
      </c>
      <c r="DB48" s="742" t="s">
        <v>678</v>
      </c>
      <c r="DC48" s="994" t="s">
        <v>430</v>
      </c>
      <c r="DD48" s="995" t="s">
        <v>484</v>
      </c>
      <c r="DE48" s="996" t="s">
        <v>430</v>
      </c>
      <c r="DF48" s="932"/>
      <c r="DG48" s="991" t="s">
        <v>482</v>
      </c>
      <c r="DH48" s="992" t="s">
        <v>677</v>
      </c>
      <c r="DI48" s="895"/>
      <c r="DJ48" s="825"/>
      <c r="DK48" s="825"/>
      <c r="DL48" s="826"/>
      <c r="DM48" s="740" t="s">
        <v>484</v>
      </c>
      <c r="DN48" s="663" t="s">
        <v>428</v>
      </c>
      <c r="DO48" s="742" t="s">
        <v>484</v>
      </c>
      <c r="DP48" s="993" t="s">
        <v>430</v>
      </c>
      <c r="DQ48" s="742" t="s">
        <v>678</v>
      </c>
      <c r="DR48" s="993" t="s">
        <v>428</v>
      </c>
      <c r="DS48" s="742" t="s">
        <v>678</v>
      </c>
      <c r="DT48" s="993" t="s">
        <v>430</v>
      </c>
      <c r="DU48" s="742" t="s">
        <v>484</v>
      </c>
      <c r="DV48" s="993" t="s">
        <v>428</v>
      </c>
      <c r="DW48" s="742" t="s">
        <v>484</v>
      </c>
      <c r="DX48" s="993" t="s">
        <v>430</v>
      </c>
      <c r="DY48" s="742" t="s">
        <v>678</v>
      </c>
      <c r="DZ48" s="993" t="s">
        <v>428</v>
      </c>
      <c r="EA48" s="742" t="s">
        <v>484</v>
      </c>
      <c r="EB48" s="993" t="s">
        <v>430</v>
      </c>
      <c r="EC48" s="742" t="s">
        <v>484</v>
      </c>
      <c r="ED48" s="993" t="s">
        <v>430</v>
      </c>
      <c r="EE48" s="742" t="s">
        <v>678</v>
      </c>
      <c r="EF48" s="993" t="s">
        <v>428</v>
      </c>
      <c r="EG48" s="742" t="s">
        <v>678</v>
      </c>
      <c r="EH48" s="993" t="s">
        <v>428</v>
      </c>
      <c r="EI48" s="742" t="s">
        <v>678</v>
      </c>
      <c r="EJ48" s="993" t="s">
        <v>430</v>
      </c>
      <c r="EK48" s="742" t="s">
        <v>678</v>
      </c>
      <c r="EL48" s="993" t="s">
        <v>428</v>
      </c>
      <c r="EM48" s="742" t="s">
        <v>484</v>
      </c>
      <c r="EN48" s="993" t="s">
        <v>430</v>
      </c>
      <c r="EO48" s="742" t="s">
        <v>678</v>
      </c>
      <c r="EP48" s="993" t="s">
        <v>430</v>
      </c>
      <c r="EQ48" s="742" t="s">
        <v>678</v>
      </c>
      <c r="ER48" s="993" t="s">
        <v>428</v>
      </c>
      <c r="ES48" s="742" t="s">
        <v>484</v>
      </c>
      <c r="ET48" s="993" t="s">
        <v>428</v>
      </c>
      <c r="EU48" s="742" t="s">
        <v>484</v>
      </c>
      <c r="EV48" s="993" t="s">
        <v>430</v>
      </c>
      <c r="EW48" s="742" t="s">
        <v>484</v>
      </c>
      <c r="EX48" s="993" t="s">
        <v>430</v>
      </c>
      <c r="EY48" s="742" t="s">
        <v>678</v>
      </c>
      <c r="EZ48" s="993" t="s">
        <v>428</v>
      </c>
      <c r="FA48" s="742" t="s">
        <v>678</v>
      </c>
      <c r="FB48" s="993" t="s">
        <v>430</v>
      </c>
      <c r="FC48" s="742" t="s">
        <v>678</v>
      </c>
      <c r="FD48" s="993" t="s">
        <v>428</v>
      </c>
      <c r="FE48" s="742" t="s">
        <v>678</v>
      </c>
      <c r="FF48" s="994" t="s">
        <v>428</v>
      </c>
      <c r="FG48" s="995" t="s">
        <v>484</v>
      </c>
      <c r="FH48" s="996" t="s">
        <v>428</v>
      </c>
      <c r="FI48" s="932"/>
      <c r="FJ48" s="991" t="s">
        <v>482</v>
      </c>
      <c r="FK48" s="738" t="s">
        <v>677</v>
      </c>
      <c r="FL48" s="895"/>
      <c r="FM48" s="825"/>
      <c r="FN48" s="825"/>
      <c r="FO48" s="826"/>
      <c r="FP48" s="747" t="s">
        <v>450</v>
      </c>
      <c r="FQ48" s="673" t="s">
        <v>678</v>
      </c>
      <c r="FR48" s="663" t="s">
        <v>434</v>
      </c>
      <c r="FS48" s="997" t="s">
        <v>450</v>
      </c>
      <c r="FT48" s="673" t="s">
        <v>678</v>
      </c>
      <c r="FU48" s="998" t="s">
        <v>451</v>
      </c>
      <c r="FV48" s="999"/>
      <c r="FW48" s="993" t="s">
        <v>323</v>
      </c>
      <c r="FX48" s="997"/>
      <c r="FY48" s="993" t="s">
        <v>323</v>
      </c>
      <c r="FZ48" s="997"/>
      <c r="GA48" s="993" t="s">
        <v>323</v>
      </c>
      <c r="GB48" s="997"/>
      <c r="GC48" s="993" t="s">
        <v>323</v>
      </c>
      <c r="GD48" s="997"/>
      <c r="GE48" s="1000" t="s">
        <v>324</v>
      </c>
      <c r="GF48" s="688"/>
      <c r="GG48" s="655"/>
      <c r="GH48" s="655"/>
      <c r="GI48" s="655"/>
      <c r="GJ48" s="530"/>
      <c r="GK48" s="615" t="s">
        <v>586</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437</v>
      </c>
      <c r="C49" s="1002"/>
      <c r="D49" s="754">
        <v>68</v>
      </c>
      <c r="E49" s="755">
        <v>2</v>
      </c>
      <c r="F49" s="1003" t="s">
        <v>436</v>
      </c>
      <c r="G49" s="757">
        <v>1</v>
      </c>
      <c r="H49" s="559">
        <v>136</v>
      </c>
      <c r="I49" s="758">
        <v>1</v>
      </c>
      <c r="J49" s="559">
        <v>136</v>
      </c>
      <c r="K49" s="758">
        <v>1</v>
      </c>
      <c r="L49" s="559">
        <v>136</v>
      </c>
      <c r="M49" s="758">
        <v>1</v>
      </c>
      <c r="N49" s="559">
        <v>136</v>
      </c>
      <c r="O49" s="758">
        <v>1</v>
      </c>
      <c r="P49" s="559">
        <v>136</v>
      </c>
      <c r="Q49" s="758">
        <v>1</v>
      </c>
      <c r="R49" s="559">
        <v>136</v>
      </c>
      <c r="S49" s="758">
        <v>1</v>
      </c>
      <c r="T49" s="559">
        <v>136</v>
      </c>
      <c r="U49" s="758">
        <v>1</v>
      </c>
      <c r="V49" s="559">
        <v>136</v>
      </c>
      <c r="W49" s="758">
        <v>1</v>
      </c>
      <c r="X49" s="559">
        <v>136</v>
      </c>
      <c r="Y49" s="758">
        <v>1</v>
      </c>
      <c r="Z49" s="559">
        <v>136</v>
      </c>
      <c r="AA49" s="758">
        <v>1</v>
      </c>
      <c r="AB49" s="559">
        <v>136</v>
      </c>
      <c r="AC49" s="758">
        <v>1</v>
      </c>
      <c r="AD49" s="559">
        <v>136</v>
      </c>
      <c r="AE49" s="758">
        <v>1</v>
      </c>
      <c r="AF49" s="559">
        <v>136</v>
      </c>
      <c r="AG49" s="758">
        <v>1</v>
      </c>
      <c r="AH49" s="559">
        <v>136</v>
      </c>
      <c r="AI49" s="758">
        <v>1</v>
      </c>
      <c r="AJ49" s="559">
        <v>136</v>
      </c>
      <c r="AK49" s="758">
        <v>1</v>
      </c>
      <c r="AL49" s="559">
        <v>136</v>
      </c>
      <c r="AM49" s="758">
        <v>1</v>
      </c>
      <c r="AN49" s="559">
        <v>136</v>
      </c>
      <c r="AO49" s="758">
        <v>1</v>
      </c>
      <c r="AP49" s="559">
        <v>136</v>
      </c>
      <c r="AQ49" s="758">
        <v>1</v>
      </c>
      <c r="AR49" s="559">
        <v>136</v>
      </c>
      <c r="AS49" s="758">
        <v>1</v>
      </c>
      <c r="AT49" s="559">
        <v>136</v>
      </c>
      <c r="AU49" s="758">
        <v>1</v>
      </c>
      <c r="AV49" s="559">
        <v>136</v>
      </c>
      <c r="AW49" s="758">
        <v>1</v>
      </c>
      <c r="AX49" s="559">
        <v>136</v>
      </c>
      <c r="AY49" s="1004">
        <v>1</v>
      </c>
      <c r="AZ49" s="1005">
        <v>136</v>
      </c>
      <c r="BA49" s="1006">
        <v>1</v>
      </c>
      <c r="BB49" s="1007">
        <v>136</v>
      </c>
      <c r="BC49" s="938"/>
      <c r="BD49" s="1001"/>
      <c r="BE49" s="752" t="s">
        <v>437</v>
      </c>
      <c r="BF49" s="1002"/>
      <c r="BG49" s="754"/>
      <c r="BH49" s="755">
        <v>2</v>
      </c>
      <c r="BI49" s="1003" t="s">
        <v>436</v>
      </c>
      <c r="BJ49" s="757">
        <v>1</v>
      </c>
      <c r="BK49" s="559">
        <v>136</v>
      </c>
      <c r="BL49" s="758">
        <v>1</v>
      </c>
      <c r="BM49" s="559">
        <v>136</v>
      </c>
      <c r="BN49" s="758">
        <v>1</v>
      </c>
      <c r="BO49" s="559">
        <v>136</v>
      </c>
      <c r="BP49" s="758">
        <v>1</v>
      </c>
      <c r="BQ49" s="559">
        <v>136</v>
      </c>
      <c r="BR49" s="758">
        <v>1</v>
      </c>
      <c r="BS49" s="559">
        <v>136</v>
      </c>
      <c r="BT49" s="758">
        <v>1</v>
      </c>
      <c r="BU49" s="559">
        <v>136</v>
      </c>
      <c r="BV49" s="758">
        <v>1</v>
      </c>
      <c r="BW49" s="559">
        <v>136</v>
      </c>
      <c r="BX49" s="758">
        <v>1</v>
      </c>
      <c r="BY49" s="559">
        <v>136</v>
      </c>
      <c r="BZ49" s="758">
        <v>1</v>
      </c>
      <c r="CA49" s="559">
        <v>136</v>
      </c>
      <c r="CB49" s="758">
        <v>1</v>
      </c>
      <c r="CC49" s="559">
        <v>136</v>
      </c>
      <c r="CD49" s="758">
        <v>1</v>
      </c>
      <c r="CE49" s="559">
        <v>136</v>
      </c>
      <c r="CF49" s="758">
        <v>1</v>
      </c>
      <c r="CG49" s="559">
        <v>136</v>
      </c>
      <c r="CH49" s="758">
        <v>1</v>
      </c>
      <c r="CI49" s="559">
        <v>136</v>
      </c>
      <c r="CJ49" s="758">
        <v>1</v>
      </c>
      <c r="CK49" s="559">
        <v>136</v>
      </c>
      <c r="CL49" s="758">
        <v>1</v>
      </c>
      <c r="CM49" s="559">
        <v>136</v>
      </c>
      <c r="CN49" s="758">
        <v>1</v>
      </c>
      <c r="CO49" s="559">
        <v>136</v>
      </c>
      <c r="CP49" s="758">
        <v>1</v>
      </c>
      <c r="CQ49" s="559">
        <v>136</v>
      </c>
      <c r="CR49" s="758">
        <v>1</v>
      </c>
      <c r="CS49" s="559">
        <v>136</v>
      </c>
      <c r="CT49" s="758">
        <v>1</v>
      </c>
      <c r="CU49" s="559">
        <v>136</v>
      </c>
      <c r="CV49" s="758">
        <v>1</v>
      </c>
      <c r="CW49" s="559">
        <v>136</v>
      </c>
      <c r="CX49" s="758">
        <v>1</v>
      </c>
      <c r="CY49" s="559">
        <v>136</v>
      </c>
      <c r="CZ49" s="758">
        <v>1</v>
      </c>
      <c r="DA49" s="559">
        <v>136</v>
      </c>
      <c r="DB49" s="1004">
        <v>1</v>
      </c>
      <c r="DC49" s="1005">
        <v>136</v>
      </c>
      <c r="DD49" s="1006">
        <v>1</v>
      </c>
      <c r="DE49" s="1007">
        <v>136</v>
      </c>
      <c r="DF49" s="938"/>
      <c r="DG49" s="1001"/>
      <c r="DH49" s="752" t="s">
        <v>437</v>
      </c>
      <c r="DI49" s="1002"/>
      <c r="DJ49" s="754"/>
      <c r="DK49" s="755">
        <v>2</v>
      </c>
      <c r="DL49" s="1003" t="s">
        <v>436</v>
      </c>
      <c r="DM49" s="757">
        <v>1</v>
      </c>
      <c r="DN49" s="559">
        <v>136</v>
      </c>
      <c r="DO49" s="758">
        <v>1</v>
      </c>
      <c r="DP49" s="559">
        <v>136</v>
      </c>
      <c r="DQ49" s="758">
        <v>1</v>
      </c>
      <c r="DR49" s="559">
        <v>136</v>
      </c>
      <c r="DS49" s="758">
        <v>1</v>
      </c>
      <c r="DT49" s="559">
        <v>136</v>
      </c>
      <c r="DU49" s="758">
        <v>1</v>
      </c>
      <c r="DV49" s="559">
        <v>136</v>
      </c>
      <c r="DW49" s="758">
        <v>1</v>
      </c>
      <c r="DX49" s="559">
        <v>136</v>
      </c>
      <c r="DY49" s="758">
        <v>1</v>
      </c>
      <c r="DZ49" s="559">
        <v>136</v>
      </c>
      <c r="EA49" s="758">
        <v>1</v>
      </c>
      <c r="EB49" s="559">
        <v>136</v>
      </c>
      <c r="EC49" s="758">
        <v>1</v>
      </c>
      <c r="ED49" s="559">
        <v>136</v>
      </c>
      <c r="EE49" s="758">
        <v>1</v>
      </c>
      <c r="EF49" s="559">
        <v>136</v>
      </c>
      <c r="EG49" s="758">
        <v>1</v>
      </c>
      <c r="EH49" s="559">
        <v>136</v>
      </c>
      <c r="EI49" s="758">
        <v>1</v>
      </c>
      <c r="EJ49" s="559">
        <v>136</v>
      </c>
      <c r="EK49" s="758">
        <v>1</v>
      </c>
      <c r="EL49" s="559">
        <v>136</v>
      </c>
      <c r="EM49" s="758">
        <v>1</v>
      </c>
      <c r="EN49" s="559">
        <v>136</v>
      </c>
      <c r="EO49" s="758">
        <v>1</v>
      </c>
      <c r="EP49" s="559">
        <v>136</v>
      </c>
      <c r="EQ49" s="758">
        <v>1</v>
      </c>
      <c r="ER49" s="559">
        <v>136</v>
      </c>
      <c r="ES49" s="758">
        <v>1</v>
      </c>
      <c r="ET49" s="559">
        <v>136</v>
      </c>
      <c r="EU49" s="758">
        <v>1</v>
      </c>
      <c r="EV49" s="559">
        <v>136</v>
      </c>
      <c r="EW49" s="758">
        <v>1</v>
      </c>
      <c r="EX49" s="559">
        <v>136</v>
      </c>
      <c r="EY49" s="758">
        <v>1</v>
      </c>
      <c r="EZ49" s="559">
        <v>136</v>
      </c>
      <c r="FA49" s="758">
        <v>1</v>
      </c>
      <c r="FB49" s="559">
        <v>136</v>
      </c>
      <c r="FC49" s="758">
        <v>1</v>
      </c>
      <c r="FD49" s="559">
        <v>136</v>
      </c>
      <c r="FE49" s="1004">
        <v>1</v>
      </c>
      <c r="FF49" s="1005">
        <v>136</v>
      </c>
      <c r="FG49" s="1006">
        <v>1</v>
      </c>
      <c r="FH49" s="1007">
        <v>136</v>
      </c>
      <c r="FI49" s="938"/>
      <c r="FJ49" s="1001"/>
      <c r="FK49" s="752" t="s">
        <v>437</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587</v>
      </c>
      <c r="GL49" s="580"/>
      <c r="GM49" s="413"/>
      <c r="GN49" s="580"/>
      <c r="GO49" s="413"/>
      <c r="GP49" s="413"/>
      <c r="GQ49" s="413"/>
      <c r="GR49" s="580"/>
      <c r="GS49" s="530"/>
      <c r="GT49" s="861"/>
      <c r="GU49" s="530" t="s">
        <v>562</v>
      </c>
      <c r="GV49" s="615"/>
      <c r="GW49" s="530"/>
      <c r="GX49" s="615"/>
      <c r="GY49" s="530"/>
      <c r="GZ49" s="391"/>
      <c r="HA49" s="580"/>
      <c r="HB49" s="391"/>
      <c r="HC49" s="1017"/>
      <c r="HD49" s="415"/>
    </row>
    <row r="50" spans="1:212" ht="20.100000000000001" customHeight="1">
      <c r="A50" s="1001"/>
      <c r="B50" s="764" t="s">
        <v>449</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446</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449</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446</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588</v>
      </c>
      <c r="GL50" s="580"/>
      <c r="GM50" s="413"/>
      <c r="GN50" s="580"/>
      <c r="GO50" s="413"/>
      <c r="GP50" s="413"/>
      <c r="GQ50" s="413"/>
      <c r="GR50" s="580"/>
      <c r="GS50" s="953"/>
      <c r="GT50" s="937"/>
      <c r="GU50" s="580" t="s">
        <v>564</v>
      </c>
      <c r="GV50" s="580"/>
      <c r="GW50" s="580"/>
      <c r="GX50" s="580"/>
      <c r="GY50" s="615"/>
      <c r="GZ50" s="579"/>
      <c r="HA50" s="615">
        <v>0</v>
      </c>
      <c r="HB50" s="579" t="s">
        <v>319</v>
      </c>
      <c r="HC50" s="1038"/>
      <c r="HD50" s="415"/>
    </row>
    <row r="51" spans="1:212" ht="20.100000000000001" customHeight="1" thickBot="1">
      <c r="A51" s="1039"/>
      <c r="B51" s="466" t="s">
        <v>506</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506</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679</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679</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433</v>
      </c>
      <c r="GM51" s="1047" t="s">
        <v>590</v>
      </c>
      <c r="GN51" s="1048" t="s">
        <v>725</v>
      </c>
      <c r="GO51" s="1049" t="s">
        <v>726</v>
      </c>
      <c r="GP51" s="1049" t="s">
        <v>592</v>
      </c>
      <c r="GQ51" s="1050" t="s">
        <v>572</v>
      </c>
      <c r="GR51" s="733"/>
      <c r="GS51" s="953"/>
      <c r="GT51" s="763"/>
      <c r="GU51" s="580"/>
      <c r="GV51" s="580"/>
      <c r="GW51" s="580"/>
      <c r="GX51" s="580"/>
      <c r="GY51" s="413"/>
      <c r="GZ51" s="1051"/>
      <c r="HA51" s="615">
        <v>0</v>
      </c>
      <c r="HB51" s="579" t="s">
        <v>705</v>
      </c>
      <c r="HC51" s="1052"/>
      <c r="HD51" s="415"/>
    </row>
    <row r="52" spans="1:212" ht="20.100000000000001" customHeight="1" thickBot="1">
      <c r="A52" s="1053" t="s">
        <v>680</v>
      </c>
      <c r="B52" s="1054"/>
      <c r="C52" s="1055"/>
      <c r="D52" s="1055"/>
      <c r="E52" s="1056"/>
      <c r="F52" s="1055"/>
      <c r="G52" s="1057"/>
      <c r="H52" s="1058">
        <v>136</v>
      </c>
      <c r="I52" s="1059"/>
      <c r="J52" s="1058">
        <v>136</v>
      </c>
      <c r="K52" s="1059"/>
      <c r="L52" s="1058">
        <v>136</v>
      </c>
      <c r="M52" s="1059"/>
      <c r="N52" s="1058">
        <v>136</v>
      </c>
      <c r="O52" s="1059"/>
      <c r="P52" s="1058">
        <v>136</v>
      </c>
      <c r="Q52" s="1059"/>
      <c r="R52" s="1058">
        <v>136</v>
      </c>
      <c r="S52" s="1059"/>
      <c r="T52" s="1058">
        <v>136</v>
      </c>
      <c r="U52" s="1059"/>
      <c r="V52" s="1058">
        <v>136</v>
      </c>
      <c r="W52" s="1059"/>
      <c r="X52" s="1058">
        <v>136</v>
      </c>
      <c r="Y52" s="1059"/>
      <c r="Z52" s="1058">
        <v>136</v>
      </c>
      <c r="AA52" s="1059"/>
      <c r="AB52" s="1058">
        <v>136</v>
      </c>
      <c r="AC52" s="1059"/>
      <c r="AD52" s="1058">
        <v>136</v>
      </c>
      <c r="AE52" s="1059"/>
      <c r="AF52" s="1058">
        <v>136</v>
      </c>
      <c r="AG52" s="1059"/>
      <c r="AH52" s="1058">
        <v>136</v>
      </c>
      <c r="AI52" s="1059"/>
      <c r="AJ52" s="1058">
        <v>136</v>
      </c>
      <c r="AK52" s="1059"/>
      <c r="AL52" s="1058">
        <v>136</v>
      </c>
      <c r="AM52" s="1059"/>
      <c r="AN52" s="1058">
        <v>136</v>
      </c>
      <c r="AO52" s="1059"/>
      <c r="AP52" s="1058">
        <v>136</v>
      </c>
      <c r="AQ52" s="1059"/>
      <c r="AR52" s="1058">
        <v>136</v>
      </c>
      <c r="AS52" s="1059"/>
      <c r="AT52" s="1058">
        <v>136</v>
      </c>
      <c r="AU52" s="1059"/>
      <c r="AV52" s="1058">
        <v>136</v>
      </c>
      <c r="AW52" s="1059"/>
      <c r="AX52" s="1058">
        <v>136</v>
      </c>
      <c r="AY52" s="1060"/>
      <c r="AZ52" s="1061">
        <v>136</v>
      </c>
      <c r="BA52" s="1062"/>
      <c r="BB52" s="1063">
        <v>136</v>
      </c>
      <c r="BC52" s="981"/>
      <c r="BD52" s="1053" t="s">
        <v>680</v>
      </c>
      <c r="BE52" s="1054"/>
      <c r="BF52" s="1055"/>
      <c r="BG52" s="1055"/>
      <c r="BH52" s="1056"/>
      <c r="BI52" s="1055"/>
      <c r="BJ52" s="1057"/>
      <c r="BK52" s="1058">
        <v>136</v>
      </c>
      <c r="BL52" s="1059"/>
      <c r="BM52" s="1058">
        <v>136</v>
      </c>
      <c r="BN52" s="1059"/>
      <c r="BO52" s="1058">
        <v>136</v>
      </c>
      <c r="BP52" s="1059"/>
      <c r="BQ52" s="1058">
        <v>136</v>
      </c>
      <c r="BR52" s="1059"/>
      <c r="BS52" s="1058">
        <v>136</v>
      </c>
      <c r="BT52" s="1059"/>
      <c r="BU52" s="1058">
        <v>136</v>
      </c>
      <c r="BV52" s="1059"/>
      <c r="BW52" s="1058">
        <v>136</v>
      </c>
      <c r="BX52" s="1059"/>
      <c r="BY52" s="1058">
        <v>136</v>
      </c>
      <c r="BZ52" s="1059"/>
      <c r="CA52" s="1058">
        <v>136</v>
      </c>
      <c r="CB52" s="1059"/>
      <c r="CC52" s="1058">
        <v>136</v>
      </c>
      <c r="CD52" s="1059"/>
      <c r="CE52" s="1058">
        <v>136</v>
      </c>
      <c r="CF52" s="1059"/>
      <c r="CG52" s="1058">
        <v>136</v>
      </c>
      <c r="CH52" s="1059"/>
      <c r="CI52" s="1058">
        <v>136</v>
      </c>
      <c r="CJ52" s="1059"/>
      <c r="CK52" s="1058">
        <v>136</v>
      </c>
      <c r="CL52" s="1059"/>
      <c r="CM52" s="1058">
        <v>136</v>
      </c>
      <c r="CN52" s="1059"/>
      <c r="CO52" s="1058">
        <v>136</v>
      </c>
      <c r="CP52" s="1059"/>
      <c r="CQ52" s="1058">
        <v>136</v>
      </c>
      <c r="CR52" s="1059"/>
      <c r="CS52" s="1058">
        <v>136</v>
      </c>
      <c r="CT52" s="1059"/>
      <c r="CU52" s="1058">
        <v>136</v>
      </c>
      <c r="CV52" s="1059"/>
      <c r="CW52" s="1058">
        <v>136</v>
      </c>
      <c r="CX52" s="1059"/>
      <c r="CY52" s="1058">
        <v>136</v>
      </c>
      <c r="CZ52" s="1059"/>
      <c r="DA52" s="1058">
        <v>136</v>
      </c>
      <c r="DB52" s="1060"/>
      <c r="DC52" s="1061">
        <v>136</v>
      </c>
      <c r="DD52" s="1062"/>
      <c r="DE52" s="1063">
        <v>136</v>
      </c>
      <c r="DF52" s="981"/>
      <c r="DG52" s="1053" t="s">
        <v>680</v>
      </c>
      <c r="DH52" s="1054"/>
      <c r="DI52" s="1055"/>
      <c r="DJ52" s="1055"/>
      <c r="DK52" s="1056"/>
      <c r="DL52" s="1055"/>
      <c r="DM52" s="1057"/>
      <c r="DN52" s="1058">
        <v>136</v>
      </c>
      <c r="DO52" s="1059"/>
      <c r="DP52" s="1058">
        <v>136</v>
      </c>
      <c r="DQ52" s="1059"/>
      <c r="DR52" s="1058">
        <v>136</v>
      </c>
      <c r="DS52" s="1059"/>
      <c r="DT52" s="1058">
        <v>136</v>
      </c>
      <c r="DU52" s="1059"/>
      <c r="DV52" s="1058">
        <v>136</v>
      </c>
      <c r="DW52" s="1059"/>
      <c r="DX52" s="1058">
        <v>136</v>
      </c>
      <c r="DY52" s="1059"/>
      <c r="DZ52" s="1058">
        <v>136</v>
      </c>
      <c r="EA52" s="1059"/>
      <c r="EB52" s="1058">
        <v>136</v>
      </c>
      <c r="EC52" s="1059"/>
      <c r="ED52" s="1058">
        <v>136</v>
      </c>
      <c r="EE52" s="1059"/>
      <c r="EF52" s="1058">
        <v>136</v>
      </c>
      <c r="EG52" s="1059"/>
      <c r="EH52" s="1058">
        <v>136</v>
      </c>
      <c r="EI52" s="1059"/>
      <c r="EJ52" s="1058">
        <v>136</v>
      </c>
      <c r="EK52" s="1059"/>
      <c r="EL52" s="1058">
        <v>136</v>
      </c>
      <c r="EM52" s="1059"/>
      <c r="EN52" s="1058">
        <v>136</v>
      </c>
      <c r="EO52" s="1059"/>
      <c r="EP52" s="1058">
        <v>136</v>
      </c>
      <c r="EQ52" s="1059"/>
      <c r="ER52" s="1058">
        <v>136</v>
      </c>
      <c r="ES52" s="1059"/>
      <c r="ET52" s="1058">
        <v>136</v>
      </c>
      <c r="EU52" s="1059"/>
      <c r="EV52" s="1058">
        <v>136</v>
      </c>
      <c r="EW52" s="1059"/>
      <c r="EX52" s="1058">
        <v>136</v>
      </c>
      <c r="EY52" s="1059"/>
      <c r="EZ52" s="1058">
        <v>136</v>
      </c>
      <c r="FA52" s="1059"/>
      <c r="FB52" s="1058">
        <v>136</v>
      </c>
      <c r="FC52" s="1059"/>
      <c r="FD52" s="1058">
        <v>136</v>
      </c>
      <c r="FE52" s="1060"/>
      <c r="FF52" s="1061">
        <v>136</v>
      </c>
      <c r="FG52" s="1062"/>
      <c r="FH52" s="1063">
        <v>136</v>
      </c>
      <c r="FI52" s="981"/>
      <c r="FJ52" s="1053" t="s">
        <v>680</v>
      </c>
      <c r="FK52" s="1054"/>
      <c r="FL52" s="1055"/>
      <c r="FM52" s="1055"/>
      <c r="FN52" s="1056"/>
      <c r="FO52" s="1055"/>
      <c r="FP52" s="1064"/>
      <c r="FQ52" s="1065"/>
      <c r="FR52" s="1058">
        <v>0</v>
      </c>
      <c r="FS52" s="1066"/>
      <c r="FT52" s="1065"/>
      <c r="FU52" s="1067">
        <v>0</v>
      </c>
      <c r="FV52" s="1068">
        <v>13</v>
      </c>
      <c r="FW52" s="1069">
        <v>136</v>
      </c>
      <c r="FX52" s="1070">
        <v>13</v>
      </c>
      <c r="FY52" s="1069">
        <v>136</v>
      </c>
      <c r="FZ52" s="1070">
        <v>13</v>
      </c>
      <c r="GA52" s="1069">
        <v>136</v>
      </c>
      <c r="GB52" s="1071" t="s">
        <v>366</v>
      </c>
      <c r="GC52" s="1072">
        <v>136</v>
      </c>
      <c r="GD52" s="1071" t="s">
        <v>368</v>
      </c>
      <c r="GE52" s="1073">
        <v>0</v>
      </c>
      <c r="GF52" s="688"/>
      <c r="GG52" s="990"/>
      <c r="GH52" s="990"/>
      <c r="GI52" s="990"/>
      <c r="GJ52" s="936"/>
      <c r="GK52" s="733"/>
      <c r="GL52" s="1074"/>
      <c r="GM52" s="1075"/>
      <c r="GN52" s="1075"/>
      <c r="GO52" s="1076"/>
      <c r="GP52" s="1076"/>
      <c r="GQ52" s="1077"/>
      <c r="GR52" s="953"/>
      <c r="GS52" s="893"/>
      <c r="GT52" s="861"/>
      <c r="GU52" s="530" t="s">
        <v>566</v>
      </c>
      <c r="GV52" s="733"/>
      <c r="GW52" s="936"/>
      <c r="GX52" s="733"/>
      <c r="GY52" s="413"/>
      <c r="GZ52" s="1078"/>
      <c r="HA52" s="953"/>
      <c r="HB52" s="1078"/>
      <c r="HC52" s="562"/>
      <c r="HD52" s="415"/>
    </row>
    <row r="53" spans="1:212" ht="20.100000000000001" customHeight="1" thickTop="1">
      <c r="A53" s="1079" t="s">
        <v>344</v>
      </c>
      <c r="B53" s="1080"/>
      <c r="C53" s="1081"/>
      <c r="D53" s="1081"/>
      <c r="E53" s="1082"/>
      <c r="F53" s="1083"/>
      <c r="G53" s="1084"/>
      <c r="H53" s="1085">
        <v>12457</v>
      </c>
      <c r="I53" s="1086"/>
      <c r="J53" s="1085">
        <v>12239</v>
      </c>
      <c r="K53" s="1086"/>
      <c r="L53" s="1085">
        <v>12201</v>
      </c>
      <c r="M53" s="1086"/>
      <c r="N53" s="1085">
        <v>12083</v>
      </c>
      <c r="O53" s="1086"/>
      <c r="P53" s="1085">
        <v>12007</v>
      </c>
      <c r="Q53" s="1086"/>
      <c r="R53" s="1085">
        <v>12391</v>
      </c>
      <c r="S53" s="1086"/>
      <c r="T53" s="1085">
        <v>13100</v>
      </c>
      <c r="U53" s="1086"/>
      <c r="V53" s="1085">
        <v>13855</v>
      </c>
      <c r="W53" s="1086"/>
      <c r="X53" s="1085">
        <v>24986</v>
      </c>
      <c r="Y53" s="1086"/>
      <c r="Z53" s="1085">
        <v>24901</v>
      </c>
      <c r="AA53" s="1086"/>
      <c r="AB53" s="1085">
        <v>25541</v>
      </c>
      <c r="AC53" s="1086"/>
      <c r="AD53" s="1085">
        <v>26282</v>
      </c>
      <c r="AE53" s="1086"/>
      <c r="AF53" s="1085">
        <v>26698</v>
      </c>
      <c r="AG53" s="1086"/>
      <c r="AH53" s="1085">
        <v>26715</v>
      </c>
      <c r="AI53" s="1086"/>
      <c r="AJ53" s="1085">
        <v>26230</v>
      </c>
      <c r="AK53" s="1086"/>
      <c r="AL53" s="1085">
        <v>25529</v>
      </c>
      <c r="AM53" s="1086"/>
      <c r="AN53" s="1085">
        <v>24581</v>
      </c>
      <c r="AO53" s="1086"/>
      <c r="AP53" s="1085">
        <v>23714</v>
      </c>
      <c r="AQ53" s="1086"/>
      <c r="AR53" s="1085">
        <v>21525</v>
      </c>
      <c r="AS53" s="1086"/>
      <c r="AT53" s="1085">
        <v>21110</v>
      </c>
      <c r="AU53" s="1086"/>
      <c r="AV53" s="1085">
        <v>20911</v>
      </c>
      <c r="AW53" s="1086"/>
      <c r="AX53" s="1085">
        <v>20739</v>
      </c>
      <c r="AY53" s="1087"/>
      <c r="AZ53" s="1088">
        <v>12714</v>
      </c>
      <c r="BA53" s="1089"/>
      <c r="BB53" s="1090">
        <v>12587</v>
      </c>
      <c r="BC53" s="981"/>
      <c r="BD53" s="1079" t="s">
        <v>681</v>
      </c>
      <c r="BE53" s="1080"/>
      <c r="BF53" s="1081"/>
      <c r="BG53" s="1081"/>
      <c r="BH53" s="1082"/>
      <c r="BI53" s="1083"/>
      <c r="BJ53" s="1084"/>
      <c r="BK53" s="1085">
        <v>12118</v>
      </c>
      <c r="BL53" s="1086"/>
      <c r="BM53" s="1085">
        <v>11985</v>
      </c>
      <c r="BN53" s="1086"/>
      <c r="BO53" s="1085">
        <v>11867</v>
      </c>
      <c r="BP53" s="1086"/>
      <c r="BQ53" s="1085">
        <v>11752</v>
      </c>
      <c r="BR53" s="1086"/>
      <c r="BS53" s="1085">
        <v>11772</v>
      </c>
      <c r="BT53" s="1086"/>
      <c r="BU53" s="1085">
        <v>12123</v>
      </c>
      <c r="BV53" s="1086"/>
      <c r="BW53" s="1085">
        <v>12960</v>
      </c>
      <c r="BX53" s="1086"/>
      <c r="BY53" s="1085">
        <v>13856</v>
      </c>
      <c r="BZ53" s="1086"/>
      <c r="CA53" s="1085">
        <v>24984</v>
      </c>
      <c r="CB53" s="1086"/>
      <c r="CC53" s="1085">
        <v>24769</v>
      </c>
      <c r="CD53" s="1086"/>
      <c r="CE53" s="1085">
        <v>25557</v>
      </c>
      <c r="CF53" s="1086"/>
      <c r="CG53" s="1085">
        <v>26489</v>
      </c>
      <c r="CH53" s="1086"/>
      <c r="CI53" s="1085">
        <v>26976</v>
      </c>
      <c r="CJ53" s="1086"/>
      <c r="CK53" s="1085">
        <v>27061</v>
      </c>
      <c r="CL53" s="1086"/>
      <c r="CM53" s="1085">
        <v>26635</v>
      </c>
      <c r="CN53" s="1086"/>
      <c r="CO53" s="1085">
        <v>25863</v>
      </c>
      <c r="CP53" s="1086"/>
      <c r="CQ53" s="1085">
        <v>24950</v>
      </c>
      <c r="CR53" s="1086"/>
      <c r="CS53" s="1085">
        <v>23784</v>
      </c>
      <c r="CT53" s="1086"/>
      <c r="CU53" s="1085">
        <v>21360</v>
      </c>
      <c r="CV53" s="1086"/>
      <c r="CW53" s="1085">
        <v>20827</v>
      </c>
      <c r="CX53" s="1086"/>
      <c r="CY53" s="1085">
        <v>20602</v>
      </c>
      <c r="CZ53" s="1086"/>
      <c r="DA53" s="1085">
        <v>20415</v>
      </c>
      <c r="DB53" s="1087"/>
      <c r="DC53" s="1088">
        <v>12387</v>
      </c>
      <c r="DD53" s="1089"/>
      <c r="DE53" s="1090">
        <v>12246</v>
      </c>
      <c r="DF53" s="981"/>
      <c r="DG53" s="1079" t="s">
        <v>681</v>
      </c>
      <c r="DH53" s="1080"/>
      <c r="DI53" s="1081"/>
      <c r="DJ53" s="1081"/>
      <c r="DK53" s="1082"/>
      <c r="DL53" s="1083"/>
      <c r="DM53" s="1084"/>
      <c r="DN53" s="1085">
        <v>11295</v>
      </c>
      <c r="DO53" s="1086"/>
      <c r="DP53" s="1085">
        <v>11264</v>
      </c>
      <c r="DQ53" s="1086"/>
      <c r="DR53" s="1085">
        <v>11237</v>
      </c>
      <c r="DS53" s="1086"/>
      <c r="DT53" s="1085">
        <v>11226</v>
      </c>
      <c r="DU53" s="1086"/>
      <c r="DV53" s="1085">
        <v>11226</v>
      </c>
      <c r="DW53" s="1086"/>
      <c r="DX53" s="1085">
        <v>11359</v>
      </c>
      <c r="DY53" s="1086"/>
      <c r="DZ53" s="1085">
        <v>11692</v>
      </c>
      <c r="EA53" s="1086"/>
      <c r="EB53" s="1085">
        <v>12673</v>
      </c>
      <c r="EC53" s="1086"/>
      <c r="ED53" s="1085">
        <v>23892</v>
      </c>
      <c r="EE53" s="1086"/>
      <c r="EF53" s="1085">
        <v>24345</v>
      </c>
      <c r="EG53" s="1086"/>
      <c r="EH53" s="1085">
        <v>25971</v>
      </c>
      <c r="EI53" s="1086"/>
      <c r="EJ53" s="1085">
        <v>27039</v>
      </c>
      <c r="EK53" s="1086"/>
      <c r="EL53" s="1085">
        <v>27468</v>
      </c>
      <c r="EM53" s="1086"/>
      <c r="EN53" s="1085">
        <v>27323</v>
      </c>
      <c r="EO53" s="1086"/>
      <c r="EP53" s="1085">
        <v>26637</v>
      </c>
      <c r="EQ53" s="1086"/>
      <c r="ER53" s="1085">
        <v>25578</v>
      </c>
      <c r="ES53" s="1086"/>
      <c r="ET53" s="1085">
        <v>24073</v>
      </c>
      <c r="EU53" s="1086"/>
      <c r="EV53" s="1085">
        <v>22611</v>
      </c>
      <c r="EW53" s="1086"/>
      <c r="EX53" s="1085">
        <v>20421</v>
      </c>
      <c r="EY53" s="1086"/>
      <c r="EZ53" s="1085">
        <v>19981</v>
      </c>
      <c r="FA53" s="1086"/>
      <c r="FB53" s="1085">
        <v>19767</v>
      </c>
      <c r="FC53" s="1086"/>
      <c r="FD53" s="1085">
        <v>19596</v>
      </c>
      <c r="FE53" s="1087"/>
      <c r="FF53" s="1088">
        <v>11574</v>
      </c>
      <c r="FG53" s="1089"/>
      <c r="FH53" s="1090">
        <v>11425</v>
      </c>
      <c r="FI53" s="981"/>
      <c r="FJ53" s="1079" t="s">
        <v>681</v>
      </c>
      <c r="FK53" s="1080"/>
      <c r="FL53" s="1081"/>
      <c r="FM53" s="1081"/>
      <c r="FN53" s="1082"/>
      <c r="FO53" s="1083"/>
      <c r="FP53" s="1091"/>
      <c r="FQ53" s="1092"/>
      <c r="FR53" s="1085">
        <v>10993</v>
      </c>
      <c r="FS53" s="1093"/>
      <c r="FT53" s="1092"/>
      <c r="FU53" s="1094">
        <v>10153</v>
      </c>
      <c r="FV53" s="1095">
        <v>13</v>
      </c>
      <c r="FW53" s="1096">
        <v>26698</v>
      </c>
      <c r="FX53" s="1097">
        <v>13</v>
      </c>
      <c r="FY53" s="1096">
        <v>26976</v>
      </c>
      <c r="FZ53" s="1097">
        <v>13</v>
      </c>
      <c r="GA53" s="1096">
        <v>27468</v>
      </c>
      <c r="GB53" s="1098" t="s">
        <v>366</v>
      </c>
      <c r="GC53" s="1096">
        <v>26698</v>
      </c>
      <c r="GD53" s="1098" t="s">
        <v>368</v>
      </c>
      <c r="GE53" s="1099">
        <v>10993</v>
      </c>
      <c r="GF53" s="688"/>
      <c r="GG53" s="990"/>
      <c r="GH53" s="990"/>
      <c r="GI53" s="990"/>
      <c r="GJ53" s="953"/>
      <c r="GK53" s="413"/>
      <c r="GL53" s="1100">
        <v>10</v>
      </c>
      <c r="GM53" s="1101">
        <v>1</v>
      </c>
      <c r="GN53" s="1102">
        <v>0.92</v>
      </c>
      <c r="GO53" s="1103">
        <v>0</v>
      </c>
      <c r="GP53" s="1103">
        <v>8</v>
      </c>
      <c r="GQ53" s="1104">
        <v>8</v>
      </c>
      <c r="GR53" s="580"/>
      <c r="GS53" s="483"/>
      <c r="GT53" s="861"/>
      <c r="GU53" s="580" t="s">
        <v>727</v>
      </c>
      <c r="GV53" s="580"/>
      <c r="GW53" s="580"/>
      <c r="GX53" s="580"/>
      <c r="GY53" s="413"/>
      <c r="GZ53" s="409"/>
      <c r="HA53" s="615">
        <v>2.8</v>
      </c>
      <c r="HB53" s="579" t="s">
        <v>705</v>
      </c>
      <c r="HC53" s="799"/>
      <c r="HD53" s="415"/>
    </row>
    <row r="54" spans="1:212" ht="20.100000000000001" customHeight="1">
      <c r="A54" s="1105" t="s">
        <v>682</v>
      </c>
      <c r="B54" s="1106"/>
      <c r="C54" s="1107"/>
      <c r="D54" s="1108"/>
      <c r="E54" s="1109"/>
      <c r="F54" s="1110"/>
      <c r="G54" s="1111"/>
      <c r="H54" s="1112">
        <v>63.9</v>
      </c>
      <c r="I54" s="1113"/>
      <c r="J54" s="1112">
        <v>62.8</v>
      </c>
      <c r="K54" s="1113"/>
      <c r="L54" s="1112">
        <v>62.6</v>
      </c>
      <c r="M54" s="1113"/>
      <c r="N54" s="1112">
        <v>62</v>
      </c>
      <c r="O54" s="1113"/>
      <c r="P54" s="1112">
        <v>61.6</v>
      </c>
      <c r="Q54" s="1113"/>
      <c r="R54" s="1112">
        <v>63.6</v>
      </c>
      <c r="S54" s="1113"/>
      <c r="T54" s="1112">
        <v>67.2</v>
      </c>
      <c r="U54" s="1113"/>
      <c r="V54" s="1112">
        <v>71.099999999999994</v>
      </c>
      <c r="W54" s="1113"/>
      <c r="X54" s="1112">
        <v>128.30000000000001</v>
      </c>
      <c r="Y54" s="1113"/>
      <c r="Z54" s="1112">
        <v>127.8</v>
      </c>
      <c r="AA54" s="1113"/>
      <c r="AB54" s="1112">
        <v>131.1</v>
      </c>
      <c r="AC54" s="1113"/>
      <c r="AD54" s="1112">
        <v>134.9</v>
      </c>
      <c r="AE54" s="1113"/>
      <c r="AF54" s="1112">
        <v>137.1</v>
      </c>
      <c r="AG54" s="1113"/>
      <c r="AH54" s="1112">
        <v>137.1</v>
      </c>
      <c r="AI54" s="1113"/>
      <c r="AJ54" s="1112">
        <v>134.69999999999999</v>
      </c>
      <c r="AK54" s="1113"/>
      <c r="AL54" s="1112">
        <v>131.1</v>
      </c>
      <c r="AM54" s="1113"/>
      <c r="AN54" s="1112">
        <v>126.2</v>
      </c>
      <c r="AO54" s="1113"/>
      <c r="AP54" s="1112">
        <v>121.7</v>
      </c>
      <c r="AQ54" s="1113"/>
      <c r="AR54" s="1112">
        <v>110.5</v>
      </c>
      <c r="AS54" s="1113"/>
      <c r="AT54" s="1112">
        <v>108.4</v>
      </c>
      <c r="AU54" s="1113"/>
      <c r="AV54" s="1112">
        <v>107.3</v>
      </c>
      <c r="AW54" s="1113"/>
      <c r="AX54" s="1112">
        <v>106.5</v>
      </c>
      <c r="AY54" s="1113"/>
      <c r="AZ54" s="1112">
        <v>65.3</v>
      </c>
      <c r="BA54" s="1113"/>
      <c r="BB54" s="1114">
        <v>64.599999999999994</v>
      </c>
      <c r="BC54" s="1017"/>
      <c r="BD54" s="1105" t="s">
        <v>345</v>
      </c>
      <c r="BE54" s="1106"/>
      <c r="BF54" s="1107"/>
      <c r="BG54" s="1108"/>
      <c r="BH54" s="1109"/>
      <c r="BI54" s="1110"/>
      <c r="BJ54" s="1111"/>
      <c r="BK54" s="1112">
        <v>62.2</v>
      </c>
      <c r="BL54" s="1113"/>
      <c r="BM54" s="1112">
        <v>61.5</v>
      </c>
      <c r="BN54" s="1113"/>
      <c r="BO54" s="1112">
        <v>60.9</v>
      </c>
      <c r="BP54" s="1113"/>
      <c r="BQ54" s="1112">
        <v>60.3</v>
      </c>
      <c r="BR54" s="1113"/>
      <c r="BS54" s="1112">
        <v>60.4</v>
      </c>
      <c r="BT54" s="1113"/>
      <c r="BU54" s="1112">
        <v>62.2</v>
      </c>
      <c r="BV54" s="1113"/>
      <c r="BW54" s="1112">
        <v>66.5</v>
      </c>
      <c r="BX54" s="1113"/>
      <c r="BY54" s="1112">
        <v>71.099999999999994</v>
      </c>
      <c r="BZ54" s="1113"/>
      <c r="CA54" s="1112">
        <v>128.30000000000001</v>
      </c>
      <c r="CB54" s="1113"/>
      <c r="CC54" s="1112">
        <v>127.2</v>
      </c>
      <c r="CD54" s="1113"/>
      <c r="CE54" s="1112">
        <v>131.19999999999999</v>
      </c>
      <c r="CF54" s="1113"/>
      <c r="CG54" s="1112">
        <v>136</v>
      </c>
      <c r="CH54" s="1113"/>
      <c r="CI54" s="1112">
        <v>138.5</v>
      </c>
      <c r="CJ54" s="1113"/>
      <c r="CK54" s="1112">
        <v>138.9</v>
      </c>
      <c r="CL54" s="1113"/>
      <c r="CM54" s="1112">
        <v>136.69999999999999</v>
      </c>
      <c r="CN54" s="1113"/>
      <c r="CO54" s="1112">
        <v>132.80000000000001</v>
      </c>
      <c r="CP54" s="1113"/>
      <c r="CQ54" s="1112">
        <v>128.1</v>
      </c>
      <c r="CR54" s="1113"/>
      <c r="CS54" s="1112">
        <v>122.1</v>
      </c>
      <c r="CT54" s="1113"/>
      <c r="CU54" s="1112">
        <v>109.7</v>
      </c>
      <c r="CV54" s="1113"/>
      <c r="CW54" s="1112">
        <v>106.9</v>
      </c>
      <c r="CX54" s="1113"/>
      <c r="CY54" s="1112">
        <v>105.8</v>
      </c>
      <c r="CZ54" s="1113"/>
      <c r="DA54" s="1112">
        <v>104.8</v>
      </c>
      <c r="DB54" s="1113"/>
      <c r="DC54" s="1112">
        <v>63.6</v>
      </c>
      <c r="DD54" s="1113"/>
      <c r="DE54" s="1114">
        <v>62.9</v>
      </c>
      <c r="DF54" s="1017"/>
      <c r="DG54" s="1105" t="s">
        <v>682</v>
      </c>
      <c r="DH54" s="1106"/>
      <c r="DI54" s="1107"/>
      <c r="DJ54" s="1108"/>
      <c r="DK54" s="1109"/>
      <c r="DL54" s="1110"/>
      <c r="DM54" s="1111"/>
      <c r="DN54" s="1112">
        <v>58</v>
      </c>
      <c r="DO54" s="1113"/>
      <c r="DP54" s="1112">
        <v>57.8</v>
      </c>
      <c r="DQ54" s="1113"/>
      <c r="DR54" s="1112">
        <v>57.7</v>
      </c>
      <c r="DS54" s="1113"/>
      <c r="DT54" s="1112">
        <v>57.6</v>
      </c>
      <c r="DU54" s="1113"/>
      <c r="DV54" s="1112">
        <v>57.6</v>
      </c>
      <c r="DW54" s="1113"/>
      <c r="DX54" s="1112">
        <v>58.3</v>
      </c>
      <c r="DY54" s="1113"/>
      <c r="DZ54" s="1112">
        <v>60</v>
      </c>
      <c r="EA54" s="1113"/>
      <c r="EB54" s="1112">
        <v>65.099999999999994</v>
      </c>
      <c r="EC54" s="1113"/>
      <c r="ED54" s="1112">
        <v>122.6</v>
      </c>
      <c r="EE54" s="1113"/>
      <c r="EF54" s="1112">
        <v>125</v>
      </c>
      <c r="EG54" s="1113"/>
      <c r="EH54" s="1112">
        <v>133.30000000000001</v>
      </c>
      <c r="EI54" s="1113"/>
      <c r="EJ54" s="1112">
        <v>138.80000000000001</v>
      </c>
      <c r="EK54" s="1113"/>
      <c r="EL54" s="1112">
        <v>141</v>
      </c>
      <c r="EM54" s="1113"/>
      <c r="EN54" s="1112">
        <v>140.30000000000001</v>
      </c>
      <c r="EO54" s="1113"/>
      <c r="EP54" s="1112">
        <v>136.69999999999999</v>
      </c>
      <c r="EQ54" s="1113"/>
      <c r="ER54" s="1112">
        <v>131.30000000000001</v>
      </c>
      <c r="ES54" s="1113"/>
      <c r="ET54" s="1112">
        <v>123.6</v>
      </c>
      <c r="EU54" s="1113"/>
      <c r="EV54" s="1112">
        <v>116.1</v>
      </c>
      <c r="EW54" s="1113"/>
      <c r="EX54" s="1112">
        <v>104.8</v>
      </c>
      <c r="EY54" s="1113"/>
      <c r="EZ54" s="1112">
        <v>102.6</v>
      </c>
      <c r="FA54" s="1113"/>
      <c r="FB54" s="1112">
        <v>101.5</v>
      </c>
      <c r="FC54" s="1113"/>
      <c r="FD54" s="1112">
        <v>100.6</v>
      </c>
      <c r="FE54" s="1113"/>
      <c r="FF54" s="1112">
        <v>59.4</v>
      </c>
      <c r="FG54" s="1113"/>
      <c r="FH54" s="1114">
        <v>58.6</v>
      </c>
      <c r="FI54" s="1017"/>
      <c r="FJ54" s="1105" t="s">
        <v>345</v>
      </c>
      <c r="FK54" s="1106"/>
      <c r="FL54" s="1107"/>
      <c r="FM54" s="1108"/>
      <c r="FN54" s="1109"/>
      <c r="FO54" s="1110"/>
      <c r="FP54" s="1115"/>
      <c r="FQ54" s="1113"/>
      <c r="FR54" s="1112">
        <v>56.4</v>
      </c>
      <c r="FS54" s="1116"/>
      <c r="FT54" s="1113"/>
      <c r="FU54" s="1117">
        <v>52.1</v>
      </c>
      <c r="FV54" s="1116"/>
      <c r="FW54" s="1112">
        <f>IF(面積=0,0,ROUND(FW53/面積,1))</f>
        <v>137.1</v>
      </c>
      <c r="FX54" s="1116"/>
      <c r="FY54" s="1112">
        <f>IF(面積=0,0,ROUND(FY53/面積,1))</f>
        <v>138.5</v>
      </c>
      <c r="FZ54" s="1116"/>
      <c r="GA54" s="1112">
        <f>IF(面積=0,0,ROUND(GA53/面積,1))</f>
        <v>141</v>
      </c>
      <c r="GB54" s="1116"/>
      <c r="GC54" s="1112">
        <f>IF(面積=0,0,ROUND(GC53/面積,1))</f>
        <v>137.1</v>
      </c>
      <c r="GD54" s="1116"/>
      <c r="GE54" s="1114">
        <f>IF(面積=0,0,ROUND(GE53/面積,1))</f>
        <v>56.4</v>
      </c>
      <c r="GF54" s="688"/>
      <c r="GG54" s="937"/>
      <c r="GH54" s="937"/>
      <c r="GI54" s="937"/>
      <c r="GJ54" s="580"/>
      <c r="GK54" s="579"/>
      <c r="GL54" s="1100">
        <v>11</v>
      </c>
      <c r="GM54" s="1101">
        <v>2</v>
      </c>
      <c r="GN54" s="1102">
        <v>0.85</v>
      </c>
      <c r="GO54" s="1103">
        <v>0</v>
      </c>
      <c r="GP54" s="1103">
        <v>8</v>
      </c>
      <c r="GQ54" s="1104">
        <v>8</v>
      </c>
      <c r="GR54" s="530"/>
      <c r="GS54" s="580"/>
      <c r="GT54" s="861"/>
      <c r="GU54" s="1118" t="s">
        <v>728</v>
      </c>
      <c r="GV54" s="1118"/>
      <c r="GW54" s="1118"/>
      <c r="GX54" s="1118"/>
      <c r="GY54" s="775"/>
      <c r="GZ54" s="1119"/>
      <c r="HA54" s="1120">
        <v>2.8</v>
      </c>
      <c r="HB54" s="1121" t="s">
        <v>319</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0</v>
      </c>
      <c r="GP55" s="1103">
        <v>8</v>
      </c>
      <c r="GQ55" s="1104">
        <v>8</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643</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0</v>
      </c>
      <c r="GP56" s="1103">
        <v>8</v>
      </c>
      <c r="GQ56" s="1104">
        <v>8</v>
      </c>
      <c r="GR56" s="530"/>
      <c r="GS56" s="529"/>
      <c r="GT56" s="1127" t="s">
        <v>596</v>
      </c>
      <c r="GU56" s="530"/>
      <c r="GV56" s="579"/>
      <c r="GW56" s="530"/>
      <c r="GX56" s="579"/>
      <c r="GY56" s="391"/>
      <c r="GZ56" s="529"/>
      <c r="HA56" s="580"/>
      <c r="HB56" s="529"/>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0</v>
      </c>
      <c r="GP57" s="1103">
        <v>8</v>
      </c>
      <c r="GQ57" s="1104">
        <v>8</v>
      </c>
      <c r="GR57" s="953"/>
      <c r="GS57" s="529"/>
      <c r="GT57" s="1127"/>
      <c r="GU57" s="580"/>
      <c r="GV57" s="580"/>
      <c r="GW57" s="409" t="s">
        <v>729</v>
      </c>
      <c r="GX57" s="392"/>
      <c r="GY57" s="579"/>
      <c r="GZ57" s="529"/>
      <c r="HA57" s="1162">
        <v>353</v>
      </c>
      <c r="HB57" s="409" t="s">
        <v>730</v>
      </c>
      <c r="HC57" s="1052"/>
    </row>
    <row r="58" spans="1:212" ht="20.100000000000001" customHeight="1">
      <c r="A58" s="1163" t="s">
        <v>612</v>
      </c>
      <c r="B58" s="1164"/>
      <c r="C58" s="1164"/>
      <c r="D58" s="1164"/>
      <c r="E58" s="1165"/>
      <c r="F58" s="1166"/>
      <c r="G58" s="1167"/>
      <c r="H58" s="1168">
        <v>210</v>
      </c>
      <c r="I58" s="1169"/>
      <c r="J58" s="1168">
        <v>210</v>
      </c>
      <c r="K58" s="1169"/>
      <c r="L58" s="1168">
        <v>210</v>
      </c>
      <c r="M58" s="1169"/>
      <c r="N58" s="1168">
        <v>210</v>
      </c>
      <c r="O58" s="1169"/>
      <c r="P58" s="1168">
        <v>210</v>
      </c>
      <c r="Q58" s="1169"/>
      <c r="R58" s="1168">
        <v>210</v>
      </c>
      <c r="S58" s="1169"/>
      <c r="T58" s="1168">
        <v>390</v>
      </c>
      <c r="U58" s="1169"/>
      <c r="V58" s="1168">
        <v>390</v>
      </c>
      <c r="W58" s="1169"/>
      <c r="X58" s="1168">
        <v>390</v>
      </c>
      <c r="Y58" s="1169"/>
      <c r="Z58" s="1168">
        <v>390</v>
      </c>
      <c r="AA58" s="1169"/>
      <c r="AB58" s="1168">
        <v>390</v>
      </c>
      <c r="AC58" s="1169"/>
      <c r="AD58" s="1168">
        <v>390</v>
      </c>
      <c r="AE58" s="1169"/>
      <c r="AF58" s="1168">
        <v>390</v>
      </c>
      <c r="AG58" s="1169"/>
      <c r="AH58" s="1168">
        <v>390</v>
      </c>
      <c r="AI58" s="1169"/>
      <c r="AJ58" s="1168">
        <v>390</v>
      </c>
      <c r="AK58" s="1169"/>
      <c r="AL58" s="1168">
        <v>390</v>
      </c>
      <c r="AM58" s="1169"/>
      <c r="AN58" s="1168">
        <v>390</v>
      </c>
      <c r="AO58" s="1169"/>
      <c r="AP58" s="1168">
        <v>390</v>
      </c>
      <c r="AQ58" s="1169"/>
      <c r="AR58" s="1168">
        <v>390</v>
      </c>
      <c r="AS58" s="1169"/>
      <c r="AT58" s="1168">
        <v>390</v>
      </c>
      <c r="AU58" s="1169"/>
      <c r="AV58" s="1168">
        <v>390</v>
      </c>
      <c r="AW58" s="1169"/>
      <c r="AX58" s="1168">
        <v>390</v>
      </c>
      <c r="AY58" s="1169"/>
      <c r="AZ58" s="1168">
        <v>210</v>
      </c>
      <c r="BA58" s="1169"/>
      <c r="BB58" s="561">
        <v>210</v>
      </c>
      <c r="BC58" s="563"/>
      <c r="BD58" s="1163" t="s">
        <v>612</v>
      </c>
      <c r="BE58" s="1164"/>
      <c r="BF58" s="1164"/>
      <c r="BG58" s="1164"/>
      <c r="BH58" s="1165"/>
      <c r="BI58" s="1166"/>
      <c r="BJ58" s="1167"/>
      <c r="BK58" s="1168">
        <v>210</v>
      </c>
      <c r="BL58" s="1169"/>
      <c r="BM58" s="1168">
        <v>210</v>
      </c>
      <c r="BN58" s="1169"/>
      <c r="BO58" s="1168">
        <v>210</v>
      </c>
      <c r="BP58" s="1169"/>
      <c r="BQ58" s="1168">
        <v>210</v>
      </c>
      <c r="BR58" s="1169"/>
      <c r="BS58" s="1168">
        <v>210</v>
      </c>
      <c r="BT58" s="1169"/>
      <c r="BU58" s="1168">
        <v>210</v>
      </c>
      <c r="BV58" s="1169"/>
      <c r="BW58" s="1168">
        <v>390</v>
      </c>
      <c r="BX58" s="1169"/>
      <c r="BY58" s="1168">
        <v>390</v>
      </c>
      <c r="BZ58" s="1169"/>
      <c r="CA58" s="1168">
        <v>390</v>
      </c>
      <c r="CB58" s="1169"/>
      <c r="CC58" s="1168">
        <v>390</v>
      </c>
      <c r="CD58" s="1169"/>
      <c r="CE58" s="1168">
        <v>390</v>
      </c>
      <c r="CF58" s="1169"/>
      <c r="CG58" s="1168">
        <v>390</v>
      </c>
      <c r="CH58" s="1169"/>
      <c r="CI58" s="1168">
        <v>390</v>
      </c>
      <c r="CJ58" s="1169"/>
      <c r="CK58" s="1168">
        <v>390</v>
      </c>
      <c r="CL58" s="1169"/>
      <c r="CM58" s="1168">
        <v>390</v>
      </c>
      <c r="CN58" s="1169"/>
      <c r="CO58" s="1168">
        <v>390</v>
      </c>
      <c r="CP58" s="1169"/>
      <c r="CQ58" s="1168">
        <v>390</v>
      </c>
      <c r="CR58" s="1169"/>
      <c r="CS58" s="1168">
        <v>390</v>
      </c>
      <c r="CT58" s="1169"/>
      <c r="CU58" s="1168">
        <v>390</v>
      </c>
      <c r="CV58" s="1169"/>
      <c r="CW58" s="1168">
        <v>390</v>
      </c>
      <c r="CX58" s="1169"/>
      <c r="CY58" s="1168">
        <v>390</v>
      </c>
      <c r="CZ58" s="1169"/>
      <c r="DA58" s="1168">
        <v>390</v>
      </c>
      <c r="DB58" s="1169"/>
      <c r="DC58" s="1168">
        <v>210</v>
      </c>
      <c r="DD58" s="1169"/>
      <c r="DE58" s="561">
        <v>210</v>
      </c>
      <c r="DF58" s="562"/>
      <c r="DG58" s="1163" t="s">
        <v>737</v>
      </c>
      <c r="DH58" s="1164"/>
      <c r="DI58" s="1164"/>
      <c r="DJ58" s="1164"/>
      <c r="DK58" s="1165"/>
      <c r="DL58" s="1166"/>
      <c r="DM58" s="1167"/>
      <c r="DN58" s="1168">
        <v>210</v>
      </c>
      <c r="DO58" s="1169"/>
      <c r="DP58" s="1168">
        <v>210</v>
      </c>
      <c r="DQ58" s="1169"/>
      <c r="DR58" s="1168">
        <v>210</v>
      </c>
      <c r="DS58" s="1169"/>
      <c r="DT58" s="1168">
        <v>210</v>
      </c>
      <c r="DU58" s="1169"/>
      <c r="DV58" s="1168">
        <v>210</v>
      </c>
      <c r="DW58" s="1169"/>
      <c r="DX58" s="1168">
        <v>210</v>
      </c>
      <c r="DY58" s="1169"/>
      <c r="DZ58" s="1168">
        <v>390</v>
      </c>
      <c r="EA58" s="1169"/>
      <c r="EB58" s="1168">
        <v>390</v>
      </c>
      <c r="EC58" s="1169"/>
      <c r="ED58" s="1168">
        <v>390</v>
      </c>
      <c r="EE58" s="1169"/>
      <c r="EF58" s="1168">
        <v>390</v>
      </c>
      <c r="EG58" s="1169"/>
      <c r="EH58" s="1168">
        <v>390</v>
      </c>
      <c r="EI58" s="1169"/>
      <c r="EJ58" s="1168">
        <v>390</v>
      </c>
      <c r="EK58" s="1169"/>
      <c r="EL58" s="1168">
        <v>390</v>
      </c>
      <c r="EM58" s="1169"/>
      <c r="EN58" s="1168">
        <v>390</v>
      </c>
      <c r="EO58" s="1169"/>
      <c r="EP58" s="1168">
        <v>390</v>
      </c>
      <c r="EQ58" s="1169"/>
      <c r="ER58" s="1168">
        <v>390</v>
      </c>
      <c r="ES58" s="1169"/>
      <c r="ET58" s="1168">
        <v>390</v>
      </c>
      <c r="EU58" s="1169"/>
      <c r="EV58" s="1168">
        <v>390</v>
      </c>
      <c r="EW58" s="1169"/>
      <c r="EX58" s="1168">
        <v>390</v>
      </c>
      <c r="EY58" s="1169"/>
      <c r="EZ58" s="1168">
        <v>390</v>
      </c>
      <c r="FA58" s="1169"/>
      <c r="FB58" s="1168">
        <v>390</v>
      </c>
      <c r="FC58" s="1169"/>
      <c r="FD58" s="1168">
        <v>390</v>
      </c>
      <c r="FE58" s="1169"/>
      <c r="FF58" s="1168">
        <v>210</v>
      </c>
      <c r="FG58" s="1169"/>
      <c r="FH58" s="561">
        <v>210</v>
      </c>
      <c r="FI58" s="563"/>
      <c r="FJ58" s="1163" t="s">
        <v>737</v>
      </c>
      <c r="FK58" s="1164"/>
      <c r="FL58" s="1164"/>
      <c r="FM58" s="1164"/>
      <c r="FN58" s="1165"/>
      <c r="FO58" s="1166"/>
      <c r="FP58" s="1170"/>
      <c r="FQ58" s="1171"/>
      <c r="FR58" s="1168">
        <v>390</v>
      </c>
      <c r="FS58" s="1172"/>
      <c r="FT58" s="1171"/>
      <c r="FU58" s="1173">
        <v>390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0</v>
      </c>
      <c r="GP58" s="1103">
        <v>8</v>
      </c>
      <c r="GQ58" s="1104">
        <v>8</v>
      </c>
      <c r="GR58" s="953"/>
      <c r="GS58" s="530"/>
      <c r="GT58" s="689"/>
      <c r="GU58" s="893"/>
      <c r="GV58" s="580"/>
      <c r="GW58" s="1178" t="s">
        <v>599</v>
      </c>
      <c r="GX58" s="392"/>
      <c r="GY58" s="1051"/>
      <c r="GZ58" s="391"/>
      <c r="HA58" s="1162">
        <v>0</v>
      </c>
      <c r="HB58" s="409" t="s">
        <v>730</v>
      </c>
      <c r="HC58" s="562"/>
      <c r="HD58" s="1179"/>
    </row>
    <row r="59" spans="1:212" ht="20.100000000000001" customHeight="1">
      <c r="A59" s="1180" t="s">
        <v>616</v>
      </c>
      <c r="B59" s="1181"/>
      <c r="C59" s="1181"/>
      <c r="D59" s="1182" t="s">
        <v>615</v>
      </c>
      <c r="E59" s="1183"/>
      <c r="F59" s="1021"/>
      <c r="G59" s="1184">
        <v>24.4</v>
      </c>
      <c r="H59" s="585">
        <v>1708</v>
      </c>
      <c r="I59" s="1185">
        <v>24</v>
      </c>
      <c r="J59" s="587">
        <v>1680</v>
      </c>
      <c r="K59" s="1185">
        <v>23.8</v>
      </c>
      <c r="L59" s="587">
        <v>1666</v>
      </c>
      <c r="M59" s="1185">
        <v>23.3</v>
      </c>
      <c r="N59" s="587">
        <v>1631</v>
      </c>
      <c r="O59" s="1185">
        <v>23</v>
      </c>
      <c r="P59" s="587">
        <v>1610</v>
      </c>
      <c r="Q59" s="1185">
        <v>23.5</v>
      </c>
      <c r="R59" s="587">
        <v>1645</v>
      </c>
      <c r="S59" s="1185">
        <v>24.3</v>
      </c>
      <c r="T59" s="587">
        <v>3159</v>
      </c>
      <c r="U59" s="1185">
        <v>25.2</v>
      </c>
      <c r="V59" s="587">
        <v>3276</v>
      </c>
      <c r="W59" s="1185">
        <v>26.1</v>
      </c>
      <c r="X59" s="587">
        <v>3393</v>
      </c>
      <c r="Y59" s="1185">
        <v>27</v>
      </c>
      <c r="Z59" s="587">
        <v>3510</v>
      </c>
      <c r="AA59" s="1185">
        <v>27.3</v>
      </c>
      <c r="AB59" s="587">
        <v>3549</v>
      </c>
      <c r="AC59" s="1185">
        <v>28.6</v>
      </c>
      <c r="AD59" s="587">
        <v>3718</v>
      </c>
      <c r="AE59" s="1185">
        <v>28.2</v>
      </c>
      <c r="AF59" s="587">
        <v>3666</v>
      </c>
      <c r="AG59" s="1185">
        <v>27.5</v>
      </c>
      <c r="AH59" s="587">
        <v>3575</v>
      </c>
      <c r="AI59" s="1185">
        <v>27.5</v>
      </c>
      <c r="AJ59" s="587">
        <v>3575</v>
      </c>
      <c r="AK59" s="1185">
        <v>27.2</v>
      </c>
      <c r="AL59" s="587">
        <v>3536</v>
      </c>
      <c r="AM59" s="1185">
        <v>26.5</v>
      </c>
      <c r="AN59" s="587">
        <v>3445</v>
      </c>
      <c r="AO59" s="1185">
        <v>25.8</v>
      </c>
      <c r="AP59" s="587">
        <v>3354</v>
      </c>
      <c r="AQ59" s="1185">
        <v>24.9</v>
      </c>
      <c r="AR59" s="587">
        <v>3237</v>
      </c>
      <c r="AS59" s="1185">
        <v>24.5</v>
      </c>
      <c r="AT59" s="587">
        <v>3185</v>
      </c>
      <c r="AU59" s="1185">
        <v>24.7</v>
      </c>
      <c r="AV59" s="587">
        <v>3211</v>
      </c>
      <c r="AW59" s="1185">
        <v>24.6</v>
      </c>
      <c r="AX59" s="587">
        <v>3198</v>
      </c>
      <c r="AY59" s="1185">
        <v>24.6</v>
      </c>
      <c r="AZ59" s="587">
        <v>1722</v>
      </c>
      <c r="BA59" s="1185">
        <v>24.7</v>
      </c>
      <c r="BB59" s="589">
        <v>1729</v>
      </c>
      <c r="BC59" s="563"/>
      <c r="BD59" s="1180" t="s">
        <v>738</v>
      </c>
      <c r="BE59" s="1181"/>
      <c r="BF59" s="1181"/>
      <c r="BG59" s="1182" t="s">
        <v>615</v>
      </c>
      <c r="BH59" s="1183"/>
      <c r="BI59" s="1021"/>
      <c r="BJ59" s="1184">
        <v>19.100000000000001</v>
      </c>
      <c r="BK59" s="585">
        <v>1337</v>
      </c>
      <c r="BL59" s="1185">
        <v>19</v>
      </c>
      <c r="BM59" s="587">
        <v>1330</v>
      </c>
      <c r="BN59" s="1185">
        <v>18.8</v>
      </c>
      <c r="BO59" s="587">
        <v>1316</v>
      </c>
      <c r="BP59" s="1185">
        <v>18.600000000000001</v>
      </c>
      <c r="BQ59" s="587">
        <v>1302</v>
      </c>
      <c r="BR59" s="1185">
        <v>18.3</v>
      </c>
      <c r="BS59" s="587">
        <v>1281</v>
      </c>
      <c r="BT59" s="1185">
        <v>18.600000000000001</v>
      </c>
      <c r="BU59" s="587">
        <v>1302</v>
      </c>
      <c r="BV59" s="1185">
        <v>19.2</v>
      </c>
      <c r="BW59" s="587">
        <v>2496</v>
      </c>
      <c r="BX59" s="1185">
        <v>20.2</v>
      </c>
      <c r="BY59" s="587">
        <v>2626</v>
      </c>
      <c r="BZ59" s="1185">
        <v>21</v>
      </c>
      <c r="CA59" s="587">
        <v>2730</v>
      </c>
      <c r="CB59" s="1185">
        <v>21.8</v>
      </c>
      <c r="CC59" s="587">
        <v>2834</v>
      </c>
      <c r="CD59" s="1185">
        <v>22.7</v>
      </c>
      <c r="CE59" s="587">
        <v>2951</v>
      </c>
      <c r="CF59" s="1185">
        <v>23.4</v>
      </c>
      <c r="CG59" s="587">
        <v>3042</v>
      </c>
      <c r="CH59" s="1185">
        <v>23.8</v>
      </c>
      <c r="CI59" s="587">
        <v>3094</v>
      </c>
      <c r="CJ59" s="1185">
        <v>23.1</v>
      </c>
      <c r="CK59" s="587">
        <v>3003</v>
      </c>
      <c r="CL59" s="1185">
        <v>22.9</v>
      </c>
      <c r="CM59" s="587">
        <v>2977</v>
      </c>
      <c r="CN59" s="1185">
        <v>22.7</v>
      </c>
      <c r="CO59" s="587">
        <v>2951</v>
      </c>
      <c r="CP59" s="1185">
        <v>22.7</v>
      </c>
      <c r="CQ59" s="587">
        <v>2951</v>
      </c>
      <c r="CR59" s="1185">
        <v>22</v>
      </c>
      <c r="CS59" s="587">
        <v>2860</v>
      </c>
      <c r="CT59" s="1185">
        <v>21</v>
      </c>
      <c r="CU59" s="587">
        <v>2730</v>
      </c>
      <c r="CV59" s="1185">
        <v>20.2</v>
      </c>
      <c r="CW59" s="587">
        <v>2626</v>
      </c>
      <c r="CX59" s="1185">
        <v>19.8</v>
      </c>
      <c r="CY59" s="587">
        <v>2574</v>
      </c>
      <c r="CZ59" s="1185">
        <v>19.5</v>
      </c>
      <c r="DA59" s="587">
        <v>2535</v>
      </c>
      <c r="DB59" s="1185">
        <v>19.600000000000001</v>
      </c>
      <c r="DC59" s="587">
        <v>1372</v>
      </c>
      <c r="DD59" s="1185">
        <v>19.600000000000001</v>
      </c>
      <c r="DE59" s="589">
        <v>1372</v>
      </c>
      <c r="DF59" s="562"/>
      <c r="DG59" s="1180" t="s">
        <v>616</v>
      </c>
      <c r="DH59" s="1181"/>
      <c r="DI59" s="1181"/>
      <c r="DJ59" s="1182" t="s">
        <v>615</v>
      </c>
      <c r="DK59" s="1183"/>
      <c r="DL59" s="1021"/>
      <c r="DM59" s="1184">
        <v>14</v>
      </c>
      <c r="DN59" s="585">
        <v>980</v>
      </c>
      <c r="DO59" s="1185">
        <v>13.4</v>
      </c>
      <c r="DP59" s="587">
        <v>938</v>
      </c>
      <c r="DQ59" s="1185">
        <v>12.9</v>
      </c>
      <c r="DR59" s="587">
        <v>903</v>
      </c>
      <c r="DS59" s="1185">
        <v>12.2</v>
      </c>
      <c r="DT59" s="587">
        <v>854</v>
      </c>
      <c r="DU59" s="1185">
        <v>11.3</v>
      </c>
      <c r="DV59" s="587">
        <v>791</v>
      </c>
      <c r="DW59" s="1185">
        <v>11</v>
      </c>
      <c r="DX59" s="587">
        <v>770</v>
      </c>
      <c r="DY59" s="1185">
        <v>11.4</v>
      </c>
      <c r="DZ59" s="587">
        <v>1482</v>
      </c>
      <c r="EA59" s="1185">
        <v>11.9</v>
      </c>
      <c r="EB59" s="587">
        <v>1547</v>
      </c>
      <c r="EC59" s="1185">
        <v>12.2</v>
      </c>
      <c r="ED59" s="587">
        <v>1586</v>
      </c>
      <c r="EE59" s="1185">
        <v>13.3</v>
      </c>
      <c r="EF59" s="587">
        <v>1729</v>
      </c>
      <c r="EG59" s="1185">
        <v>13.4</v>
      </c>
      <c r="EH59" s="587">
        <v>1742</v>
      </c>
      <c r="EI59" s="1185">
        <v>13.8</v>
      </c>
      <c r="EJ59" s="587">
        <v>1794</v>
      </c>
      <c r="EK59" s="1185">
        <v>13.5</v>
      </c>
      <c r="EL59" s="587">
        <v>1755</v>
      </c>
      <c r="EM59" s="1185">
        <v>13</v>
      </c>
      <c r="EN59" s="587">
        <v>1690</v>
      </c>
      <c r="EO59" s="1185">
        <v>12.8</v>
      </c>
      <c r="EP59" s="587">
        <v>1664</v>
      </c>
      <c r="EQ59" s="1185">
        <v>12.9</v>
      </c>
      <c r="ER59" s="587">
        <v>1677</v>
      </c>
      <c r="ES59" s="1185">
        <v>12.4</v>
      </c>
      <c r="ET59" s="587">
        <v>1612</v>
      </c>
      <c r="EU59" s="1185">
        <v>12.9</v>
      </c>
      <c r="EV59" s="587">
        <v>1677</v>
      </c>
      <c r="EW59" s="1185">
        <v>13.8</v>
      </c>
      <c r="EX59" s="587">
        <v>1794</v>
      </c>
      <c r="EY59" s="1185">
        <v>15.3</v>
      </c>
      <c r="EZ59" s="587">
        <v>1989</v>
      </c>
      <c r="FA59" s="1185">
        <v>16.2</v>
      </c>
      <c r="FB59" s="587">
        <v>2106</v>
      </c>
      <c r="FC59" s="1185">
        <v>16.3</v>
      </c>
      <c r="FD59" s="587">
        <v>2119</v>
      </c>
      <c r="FE59" s="1185">
        <v>15.6</v>
      </c>
      <c r="FF59" s="587">
        <v>1092</v>
      </c>
      <c r="FG59" s="1185">
        <v>14.9</v>
      </c>
      <c r="FH59" s="589">
        <v>1043</v>
      </c>
      <c r="FI59" s="563"/>
      <c r="FJ59" s="1180" t="s">
        <v>738</v>
      </c>
      <c r="FK59" s="1181"/>
      <c r="FL59" s="1181"/>
      <c r="FM59" s="1182" t="s">
        <v>615</v>
      </c>
      <c r="FN59" s="1183"/>
      <c r="FO59" s="1021"/>
      <c r="FP59" s="625">
        <v>5</v>
      </c>
      <c r="FQ59" s="1186">
        <v>6.5</v>
      </c>
      <c r="FR59" s="1187">
        <v>845</v>
      </c>
      <c r="FS59" s="1188">
        <v>5</v>
      </c>
      <c r="FT59" s="1186">
        <v>5.8</v>
      </c>
      <c r="FU59" s="1189">
        <v>754</v>
      </c>
      <c r="FV59" s="1190">
        <v>13</v>
      </c>
      <c r="FW59" s="1191">
        <v>3666</v>
      </c>
      <c r="FX59" s="1192">
        <v>13</v>
      </c>
      <c r="FY59" s="1191">
        <v>3094</v>
      </c>
      <c r="FZ59" s="1192">
        <v>13</v>
      </c>
      <c r="GA59" s="1191">
        <v>1755</v>
      </c>
      <c r="GB59" s="1192" t="s">
        <v>622</v>
      </c>
      <c r="GC59" s="1191">
        <v>3666</v>
      </c>
      <c r="GD59" s="1192" t="s">
        <v>739</v>
      </c>
      <c r="GE59" s="1193">
        <v>845</v>
      </c>
      <c r="GF59" s="688"/>
      <c r="GG59" s="1194"/>
      <c r="GH59" s="1194"/>
      <c r="GI59" s="1194"/>
      <c r="GJ59" s="893"/>
      <c r="GK59" s="409"/>
      <c r="GL59" s="1124">
        <v>16</v>
      </c>
      <c r="GM59" s="1125">
        <v>7</v>
      </c>
      <c r="GN59" s="1102">
        <v>0.56000000000000005</v>
      </c>
      <c r="GO59" s="1103">
        <v>0</v>
      </c>
      <c r="GP59" s="1103">
        <v>8</v>
      </c>
      <c r="GQ59" s="1104">
        <v>8</v>
      </c>
      <c r="GR59" s="893"/>
      <c r="GS59" s="391"/>
      <c r="GT59" s="750"/>
      <c r="GU59" s="391"/>
      <c r="GV59" s="893"/>
      <c r="GW59" s="409" t="s">
        <v>699</v>
      </c>
      <c r="GX59" s="392"/>
      <c r="GY59" s="1078"/>
      <c r="GZ59" s="486"/>
      <c r="HA59" s="1162">
        <v>353</v>
      </c>
      <c r="HB59" s="409" t="s">
        <v>355</v>
      </c>
      <c r="HC59" s="1179"/>
      <c r="HD59" s="1195"/>
    </row>
    <row r="60" spans="1:212" ht="20.100000000000001" customHeight="1">
      <c r="A60" s="1180"/>
      <c r="B60" s="1181"/>
      <c r="C60" s="1181"/>
      <c r="D60" s="1196"/>
      <c r="E60" s="1196"/>
      <c r="F60" s="1197">
        <v>0</v>
      </c>
      <c r="G60" s="584"/>
      <c r="H60" s="585">
        <v>0</v>
      </c>
      <c r="I60" s="588"/>
      <c r="J60" s="587">
        <v>0</v>
      </c>
      <c r="K60" s="588"/>
      <c r="L60" s="587">
        <v>0</v>
      </c>
      <c r="M60" s="588"/>
      <c r="N60" s="587">
        <v>0</v>
      </c>
      <c r="O60" s="588"/>
      <c r="P60" s="587">
        <v>0</v>
      </c>
      <c r="Q60" s="588"/>
      <c r="R60" s="587">
        <v>0</v>
      </c>
      <c r="S60" s="588"/>
      <c r="T60" s="587">
        <v>0</v>
      </c>
      <c r="U60" s="588"/>
      <c r="V60" s="587">
        <v>0</v>
      </c>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v>0</v>
      </c>
      <c r="AS60" s="588"/>
      <c r="AT60" s="587">
        <v>0</v>
      </c>
      <c r="AU60" s="588"/>
      <c r="AV60" s="587">
        <v>0</v>
      </c>
      <c r="AW60" s="588"/>
      <c r="AX60" s="587">
        <v>0</v>
      </c>
      <c r="AY60" s="588"/>
      <c r="AZ60" s="587">
        <v>0</v>
      </c>
      <c r="BA60" s="588"/>
      <c r="BB60" s="589">
        <v>0</v>
      </c>
      <c r="BC60" s="563"/>
      <c r="BD60" s="1180"/>
      <c r="BE60" s="1181"/>
      <c r="BF60" s="1181"/>
      <c r="BG60" s="1196"/>
      <c r="BH60" s="1196"/>
      <c r="BI60" s="1197"/>
      <c r="BJ60" s="584"/>
      <c r="BK60" s="585">
        <v>0</v>
      </c>
      <c r="BL60" s="588"/>
      <c r="BM60" s="587">
        <v>0</v>
      </c>
      <c r="BN60" s="588"/>
      <c r="BO60" s="587">
        <v>0</v>
      </c>
      <c r="BP60" s="588"/>
      <c r="BQ60" s="587">
        <v>0</v>
      </c>
      <c r="BR60" s="588"/>
      <c r="BS60" s="587">
        <v>0</v>
      </c>
      <c r="BT60" s="588"/>
      <c r="BU60" s="587">
        <v>0</v>
      </c>
      <c r="BV60" s="588"/>
      <c r="BW60" s="587">
        <v>0</v>
      </c>
      <c r="BX60" s="588"/>
      <c r="BY60" s="587">
        <v>0</v>
      </c>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v>0</v>
      </c>
      <c r="CV60" s="588"/>
      <c r="CW60" s="587">
        <v>0</v>
      </c>
      <c r="CX60" s="588"/>
      <c r="CY60" s="587">
        <v>0</v>
      </c>
      <c r="CZ60" s="588"/>
      <c r="DA60" s="587">
        <v>0</v>
      </c>
      <c r="DB60" s="588"/>
      <c r="DC60" s="587">
        <v>0</v>
      </c>
      <c r="DD60" s="588"/>
      <c r="DE60" s="589">
        <v>0</v>
      </c>
      <c r="DF60" s="562"/>
      <c r="DG60" s="1180"/>
      <c r="DH60" s="1181"/>
      <c r="DI60" s="1181"/>
      <c r="DJ60" s="1196"/>
      <c r="DK60" s="1196"/>
      <c r="DL60" s="1197"/>
      <c r="DM60" s="584"/>
      <c r="DN60" s="585">
        <v>0</v>
      </c>
      <c r="DO60" s="588"/>
      <c r="DP60" s="587">
        <v>0</v>
      </c>
      <c r="DQ60" s="588"/>
      <c r="DR60" s="587">
        <v>0</v>
      </c>
      <c r="DS60" s="588"/>
      <c r="DT60" s="587">
        <v>0</v>
      </c>
      <c r="DU60" s="588"/>
      <c r="DV60" s="587">
        <v>0</v>
      </c>
      <c r="DW60" s="588"/>
      <c r="DX60" s="587">
        <v>0</v>
      </c>
      <c r="DY60" s="588"/>
      <c r="DZ60" s="587">
        <v>0</v>
      </c>
      <c r="EA60" s="588"/>
      <c r="EB60" s="587">
        <v>0</v>
      </c>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v>0</v>
      </c>
      <c r="EY60" s="588"/>
      <c r="EZ60" s="587">
        <v>0</v>
      </c>
      <c r="FA60" s="588"/>
      <c r="FB60" s="587">
        <v>0</v>
      </c>
      <c r="FC60" s="588"/>
      <c r="FD60" s="587">
        <v>0</v>
      </c>
      <c r="FE60" s="588"/>
      <c r="FF60" s="587">
        <v>0</v>
      </c>
      <c r="FG60" s="588"/>
      <c r="FH60" s="589">
        <v>0</v>
      </c>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0</v>
      </c>
      <c r="GP60" s="1103">
        <v>8</v>
      </c>
      <c r="GQ60" s="1104">
        <v>8</v>
      </c>
      <c r="GR60" s="391"/>
      <c r="GS60" s="483"/>
      <c r="GT60" s="1200"/>
      <c r="GU60" s="483" t="s">
        <v>731</v>
      </c>
      <c r="GV60" s="486"/>
      <c r="GW60" s="483"/>
      <c r="GX60" s="486"/>
      <c r="GY60" s="409"/>
      <c r="GZ60" s="413"/>
      <c r="HA60" s="580"/>
      <c r="HB60" s="413"/>
      <c r="HC60" s="1201"/>
      <c r="HD60" s="1038"/>
    </row>
    <row r="61" spans="1:212" ht="20.100000000000001" customHeight="1">
      <c r="A61" s="1202" t="s">
        <v>740</v>
      </c>
      <c r="B61" s="1203"/>
      <c r="C61" s="1203"/>
      <c r="D61" s="1203"/>
      <c r="E61" s="1203"/>
      <c r="F61" s="1204"/>
      <c r="G61" s="1205"/>
      <c r="H61" s="1206">
        <v>14165</v>
      </c>
      <c r="I61" s="1207"/>
      <c r="J61" s="1208">
        <v>13919</v>
      </c>
      <c r="K61" s="1207"/>
      <c r="L61" s="1208">
        <v>13867</v>
      </c>
      <c r="M61" s="1207"/>
      <c r="N61" s="1208">
        <v>13714</v>
      </c>
      <c r="O61" s="1207"/>
      <c r="P61" s="1208">
        <v>13617</v>
      </c>
      <c r="Q61" s="1207"/>
      <c r="R61" s="1208">
        <v>14036</v>
      </c>
      <c r="S61" s="1207"/>
      <c r="T61" s="1208">
        <v>16259</v>
      </c>
      <c r="U61" s="1207"/>
      <c r="V61" s="1208">
        <v>17131</v>
      </c>
      <c r="W61" s="1207"/>
      <c r="X61" s="1208">
        <v>28379</v>
      </c>
      <c r="Y61" s="1207"/>
      <c r="Z61" s="1208">
        <v>28411</v>
      </c>
      <c r="AA61" s="1207"/>
      <c r="AB61" s="1208">
        <v>29090</v>
      </c>
      <c r="AC61" s="1207"/>
      <c r="AD61" s="1208">
        <v>30000</v>
      </c>
      <c r="AE61" s="1207"/>
      <c r="AF61" s="1208">
        <v>30364</v>
      </c>
      <c r="AG61" s="1207"/>
      <c r="AH61" s="1208">
        <v>30290</v>
      </c>
      <c r="AI61" s="1207"/>
      <c r="AJ61" s="1208">
        <v>29805</v>
      </c>
      <c r="AK61" s="1207"/>
      <c r="AL61" s="1208">
        <v>29065</v>
      </c>
      <c r="AM61" s="1207"/>
      <c r="AN61" s="1208">
        <v>28026</v>
      </c>
      <c r="AO61" s="1207"/>
      <c r="AP61" s="1208">
        <v>27068</v>
      </c>
      <c r="AQ61" s="1207"/>
      <c r="AR61" s="1208">
        <v>24762</v>
      </c>
      <c r="AS61" s="1207"/>
      <c r="AT61" s="1208">
        <v>24295</v>
      </c>
      <c r="AU61" s="1207"/>
      <c r="AV61" s="1208">
        <v>24122</v>
      </c>
      <c r="AW61" s="1207"/>
      <c r="AX61" s="1208">
        <v>23937</v>
      </c>
      <c r="AY61" s="1207"/>
      <c r="AZ61" s="1208">
        <v>14436</v>
      </c>
      <c r="BA61" s="1207"/>
      <c r="BB61" s="1209">
        <v>14316</v>
      </c>
      <c r="BC61" s="563"/>
      <c r="BD61" s="1202" t="s">
        <v>621</v>
      </c>
      <c r="BE61" s="1203"/>
      <c r="BF61" s="1203"/>
      <c r="BG61" s="1203"/>
      <c r="BH61" s="1203"/>
      <c r="BI61" s="1204"/>
      <c r="BJ61" s="1205"/>
      <c r="BK61" s="1206">
        <v>13455</v>
      </c>
      <c r="BL61" s="1207"/>
      <c r="BM61" s="1208">
        <v>13315</v>
      </c>
      <c r="BN61" s="1207"/>
      <c r="BO61" s="1208">
        <v>13183</v>
      </c>
      <c r="BP61" s="1207"/>
      <c r="BQ61" s="1208">
        <v>13054</v>
      </c>
      <c r="BR61" s="1207"/>
      <c r="BS61" s="1208">
        <v>13053</v>
      </c>
      <c r="BT61" s="1207"/>
      <c r="BU61" s="1208">
        <v>13425</v>
      </c>
      <c r="BV61" s="1207"/>
      <c r="BW61" s="1208">
        <v>15456</v>
      </c>
      <c r="BX61" s="1207"/>
      <c r="BY61" s="1208">
        <v>16482</v>
      </c>
      <c r="BZ61" s="1207"/>
      <c r="CA61" s="1208">
        <v>27714</v>
      </c>
      <c r="CB61" s="1207"/>
      <c r="CC61" s="1208">
        <v>27603</v>
      </c>
      <c r="CD61" s="1207"/>
      <c r="CE61" s="1208">
        <v>28508</v>
      </c>
      <c r="CF61" s="1207"/>
      <c r="CG61" s="1208">
        <v>29531</v>
      </c>
      <c r="CH61" s="1207"/>
      <c r="CI61" s="1208">
        <v>30070</v>
      </c>
      <c r="CJ61" s="1207"/>
      <c r="CK61" s="1208">
        <v>30064</v>
      </c>
      <c r="CL61" s="1207"/>
      <c r="CM61" s="1208">
        <v>29612</v>
      </c>
      <c r="CN61" s="1207"/>
      <c r="CO61" s="1208">
        <v>28814</v>
      </c>
      <c r="CP61" s="1207"/>
      <c r="CQ61" s="1208">
        <v>27901</v>
      </c>
      <c r="CR61" s="1207"/>
      <c r="CS61" s="1208">
        <v>26644</v>
      </c>
      <c r="CT61" s="1207"/>
      <c r="CU61" s="1208">
        <v>24090</v>
      </c>
      <c r="CV61" s="1207"/>
      <c r="CW61" s="1208">
        <v>23453</v>
      </c>
      <c r="CX61" s="1207"/>
      <c r="CY61" s="1208">
        <v>23176</v>
      </c>
      <c r="CZ61" s="1207"/>
      <c r="DA61" s="1208">
        <v>22950</v>
      </c>
      <c r="DB61" s="1207"/>
      <c r="DC61" s="1208">
        <v>13759</v>
      </c>
      <c r="DD61" s="1207"/>
      <c r="DE61" s="1209">
        <v>13618</v>
      </c>
      <c r="DF61" s="562"/>
      <c r="DG61" s="1202" t="s">
        <v>621</v>
      </c>
      <c r="DH61" s="1203"/>
      <c r="DI61" s="1203"/>
      <c r="DJ61" s="1203"/>
      <c r="DK61" s="1203"/>
      <c r="DL61" s="1204"/>
      <c r="DM61" s="1205"/>
      <c r="DN61" s="1206">
        <v>12275</v>
      </c>
      <c r="DO61" s="1207"/>
      <c r="DP61" s="1208">
        <v>12202</v>
      </c>
      <c r="DQ61" s="1207"/>
      <c r="DR61" s="1208">
        <v>12140</v>
      </c>
      <c r="DS61" s="1207"/>
      <c r="DT61" s="1208">
        <v>12080</v>
      </c>
      <c r="DU61" s="1207"/>
      <c r="DV61" s="1208">
        <v>12017</v>
      </c>
      <c r="DW61" s="1207"/>
      <c r="DX61" s="1208">
        <v>12129</v>
      </c>
      <c r="DY61" s="1207"/>
      <c r="DZ61" s="1208">
        <v>13174</v>
      </c>
      <c r="EA61" s="1207"/>
      <c r="EB61" s="1208">
        <v>14220</v>
      </c>
      <c r="EC61" s="1207"/>
      <c r="ED61" s="1208">
        <v>25478</v>
      </c>
      <c r="EE61" s="1207"/>
      <c r="EF61" s="1208">
        <v>26074</v>
      </c>
      <c r="EG61" s="1207"/>
      <c r="EH61" s="1208">
        <v>27713</v>
      </c>
      <c r="EI61" s="1207"/>
      <c r="EJ61" s="1208">
        <v>28833</v>
      </c>
      <c r="EK61" s="1207"/>
      <c r="EL61" s="1208">
        <v>29223</v>
      </c>
      <c r="EM61" s="1207"/>
      <c r="EN61" s="1208">
        <v>29013</v>
      </c>
      <c r="EO61" s="1207"/>
      <c r="EP61" s="1208">
        <v>28301</v>
      </c>
      <c r="EQ61" s="1207"/>
      <c r="ER61" s="1208">
        <v>27255</v>
      </c>
      <c r="ES61" s="1207"/>
      <c r="ET61" s="1208">
        <v>25685</v>
      </c>
      <c r="EU61" s="1207"/>
      <c r="EV61" s="1208">
        <v>24288</v>
      </c>
      <c r="EW61" s="1207"/>
      <c r="EX61" s="1208">
        <v>22215</v>
      </c>
      <c r="EY61" s="1207"/>
      <c r="EZ61" s="1208">
        <v>21970</v>
      </c>
      <c r="FA61" s="1207"/>
      <c r="FB61" s="1208">
        <v>21873</v>
      </c>
      <c r="FC61" s="1207"/>
      <c r="FD61" s="1208">
        <v>21715</v>
      </c>
      <c r="FE61" s="1207"/>
      <c r="FF61" s="1208">
        <v>12666</v>
      </c>
      <c r="FG61" s="1207"/>
      <c r="FH61" s="1209">
        <v>12468</v>
      </c>
      <c r="FI61" s="563"/>
      <c r="FJ61" s="1202" t="s">
        <v>621</v>
      </c>
      <c r="FK61" s="1203"/>
      <c r="FL61" s="1203"/>
      <c r="FM61" s="1203"/>
      <c r="FN61" s="1203"/>
      <c r="FO61" s="1203"/>
      <c r="FP61" s="1210"/>
      <c r="FQ61" s="1211"/>
      <c r="FR61" s="1212">
        <v>11838</v>
      </c>
      <c r="FS61" s="1213"/>
      <c r="FT61" s="1211"/>
      <c r="FU61" s="1214">
        <v>10907</v>
      </c>
      <c r="FV61" s="1215">
        <v>13</v>
      </c>
      <c r="FW61" s="1216">
        <v>30364</v>
      </c>
      <c r="FX61" s="1217">
        <v>13</v>
      </c>
      <c r="FY61" s="1216">
        <v>30070</v>
      </c>
      <c r="FZ61" s="1217">
        <v>13</v>
      </c>
      <c r="GA61" s="1216">
        <v>29223</v>
      </c>
      <c r="GB61" s="1218" t="s">
        <v>622</v>
      </c>
      <c r="GC61" s="1216">
        <v>30364</v>
      </c>
      <c r="GD61" s="1218" t="s">
        <v>739</v>
      </c>
      <c r="GE61" s="1219">
        <v>11838</v>
      </c>
      <c r="GF61" s="688"/>
      <c r="GG61" s="483"/>
      <c r="GH61" s="483"/>
      <c r="GI61" s="483"/>
      <c r="GJ61" s="483"/>
      <c r="GK61" s="486"/>
      <c r="GL61" s="1124">
        <v>18</v>
      </c>
      <c r="GM61" s="1220">
        <v>9</v>
      </c>
      <c r="GN61" s="1102">
        <v>0.47</v>
      </c>
      <c r="GO61" s="1103">
        <v>0</v>
      </c>
      <c r="GP61" s="1103">
        <v>8</v>
      </c>
      <c r="GQ61" s="1104">
        <v>8</v>
      </c>
      <c r="GR61" s="483"/>
      <c r="GS61" s="580"/>
      <c r="GT61" s="750"/>
      <c r="GU61" s="1221" t="s">
        <v>732</v>
      </c>
      <c r="GV61" s="1221"/>
      <c r="GW61" s="1221"/>
      <c r="GX61" s="1221"/>
      <c r="GY61" s="391"/>
      <c r="GZ61" s="529"/>
      <c r="HA61" s="751">
        <v>1.7</v>
      </c>
      <c r="HB61" s="529"/>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391"/>
      <c r="GU62" s="1221" t="s">
        <v>733</v>
      </c>
      <c r="GV62" s="1221"/>
      <c r="GW62" s="1221"/>
      <c r="GX62" s="1221"/>
      <c r="GY62" s="486"/>
      <c r="GZ62" s="529"/>
      <c r="HA62" s="751">
        <v>3.7</v>
      </c>
      <c r="HB62" s="529"/>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643</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127" t="s">
        <v>596</v>
      </c>
      <c r="GK63" s="1127"/>
      <c r="GL63" s="580"/>
      <c r="GM63" s="413"/>
      <c r="GN63" s="580"/>
      <c r="GO63" s="413"/>
      <c r="GP63" s="413"/>
      <c r="GQ63" s="413"/>
      <c r="GR63" s="580"/>
      <c r="GS63" s="530"/>
      <c r="GT63" s="486"/>
      <c r="GU63" s="530" t="s">
        <v>604</v>
      </c>
      <c r="GV63" s="529"/>
      <c r="GW63" s="530"/>
      <c r="GX63" s="529"/>
      <c r="GY63" s="413"/>
      <c r="GZ63" s="529"/>
      <c r="HA63" s="751">
        <v>2</v>
      </c>
      <c r="HB63" s="529"/>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29"/>
      <c r="GK64" s="529" t="s">
        <v>734</v>
      </c>
      <c r="GL64" s="530"/>
      <c r="GM64" s="529"/>
      <c r="GN64" s="530"/>
      <c r="GO64" s="529"/>
      <c r="GP64" s="529"/>
      <c r="GQ64" s="529"/>
      <c r="GR64" s="530"/>
      <c r="GS64" s="409"/>
      <c r="GT64" s="861"/>
      <c r="GU64" s="580" t="s">
        <v>606</v>
      </c>
      <c r="GV64" s="413"/>
      <c r="GW64" s="580"/>
      <c r="GX64" s="413"/>
      <c r="GY64" s="529"/>
      <c r="GZ64" s="391"/>
      <c r="HA64" s="1231">
        <v>0.9</v>
      </c>
      <c r="HB64" s="391"/>
      <c r="HC64" s="562"/>
    </row>
    <row r="65" spans="1:211" ht="20.100000000000001" customHeight="1">
      <c r="A65" s="1163"/>
      <c r="B65" s="1164"/>
      <c r="C65" s="1164"/>
      <c r="D65" s="1232"/>
      <c r="E65" s="1233"/>
      <c r="F65" s="1234"/>
      <c r="G65" s="1235"/>
      <c r="H65" s="1168">
        <v>0</v>
      </c>
      <c r="I65" s="1236"/>
      <c r="J65" s="1237">
        <v>0</v>
      </c>
      <c r="K65" s="1238"/>
      <c r="L65" s="1237">
        <v>0</v>
      </c>
      <c r="M65" s="1238"/>
      <c r="N65" s="1237">
        <v>0</v>
      </c>
      <c r="O65" s="1238"/>
      <c r="P65" s="1237">
        <v>0</v>
      </c>
      <c r="Q65" s="1238"/>
      <c r="R65" s="1237">
        <v>0</v>
      </c>
      <c r="S65" s="1238"/>
      <c r="T65" s="1237">
        <v>0</v>
      </c>
      <c r="U65" s="1238"/>
      <c r="V65" s="1237">
        <v>0</v>
      </c>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v>0</v>
      </c>
      <c r="AS65" s="1238"/>
      <c r="AT65" s="1237">
        <v>0</v>
      </c>
      <c r="AU65" s="1238"/>
      <c r="AV65" s="1237">
        <v>0</v>
      </c>
      <c r="AW65" s="1238"/>
      <c r="AX65" s="1237">
        <v>0</v>
      </c>
      <c r="AY65" s="1238"/>
      <c r="AZ65" s="1237">
        <v>0</v>
      </c>
      <c r="BA65" s="1238"/>
      <c r="BB65" s="561">
        <v>0</v>
      </c>
      <c r="BC65" s="563"/>
      <c r="BD65" s="1163"/>
      <c r="BE65" s="1164"/>
      <c r="BF65" s="1164"/>
      <c r="BG65" s="1232"/>
      <c r="BH65" s="1233"/>
      <c r="BI65" s="1234"/>
      <c r="BJ65" s="1235"/>
      <c r="BK65" s="1168">
        <v>0</v>
      </c>
      <c r="BL65" s="1236"/>
      <c r="BM65" s="1237">
        <v>0</v>
      </c>
      <c r="BN65" s="1238"/>
      <c r="BO65" s="1237">
        <v>0</v>
      </c>
      <c r="BP65" s="1238"/>
      <c r="BQ65" s="1237">
        <v>0</v>
      </c>
      <c r="BR65" s="1238"/>
      <c r="BS65" s="1237">
        <v>0</v>
      </c>
      <c r="BT65" s="1238"/>
      <c r="BU65" s="1237">
        <v>0</v>
      </c>
      <c r="BV65" s="1238"/>
      <c r="BW65" s="1237">
        <v>0</v>
      </c>
      <c r="BX65" s="1238"/>
      <c r="BY65" s="1237">
        <v>0</v>
      </c>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v>0</v>
      </c>
      <c r="CV65" s="1238"/>
      <c r="CW65" s="1237">
        <v>0</v>
      </c>
      <c r="CX65" s="1238"/>
      <c r="CY65" s="1237">
        <v>0</v>
      </c>
      <c r="CZ65" s="1238"/>
      <c r="DA65" s="1237">
        <v>0</v>
      </c>
      <c r="DB65" s="1238"/>
      <c r="DC65" s="1237">
        <v>0</v>
      </c>
      <c r="DD65" s="1238"/>
      <c r="DE65" s="561">
        <v>0</v>
      </c>
      <c r="DF65" s="562"/>
      <c r="DG65" s="1163"/>
      <c r="DH65" s="1164"/>
      <c r="DI65" s="1164"/>
      <c r="DJ65" s="1232"/>
      <c r="DK65" s="1233"/>
      <c r="DL65" s="1234"/>
      <c r="DM65" s="1235"/>
      <c r="DN65" s="1168">
        <v>0</v>
      </c>
      <c r="DO65" s="1236"/>
      <c r="DP65" s="1237">
        <v>0</v>
      </c>
      <c r="DQ65" s="1238"/>
      <c r="DR65" s="1237">
        <v>0</v>
      </c>
      <c r="DS65" s="1238"/>
      <c r="DT65" s="1237">
        <v>0</v>
      </c>
      <c r="DU65" s="1238"/>
      <c r="DV65" s="1237">
        <v>0</v>
      </c>
      <c r="DW65" s="1238"/>
      <c r="DX65" s="1237">
        <v>0</v>
      </c>
      <c r="DY65" s="1238"/>
      <c r="DZ65" s="1237">
        <v>0</v>
      </c>
      <c r="EA65" s="1238"/>
      <c r="EB65" s="1237">
        <v>0</v>
      </c>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v>0</v>
      </c>
      <c r="EY65" s="1238"/>
      <c r="EZ65" s="1237">
        <v>0</v>
      </c>
      <c r="FA65" s="1238"/>
      <c r="FB65" s="1237">
        <v>0</v>
      </c>
      <c r="FC65" s="1238"/>
      <c r="FD65" s="1237">
        <v>0</v>
      </c>
      <c r="FE65" s="1238"/>
      <c r="FF65" s="1237">
        <v>0</v>
      </c>
      <c r="FG65" s="1238"/>
      <c r="FH65" s="561">
        <v>0</v>
      </c>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391"/>
      <c r="GK65" s="529"/>
      <c r="GL65" s="529"/>
      <c r="GM65" s="529"/>
      <c r="GN65" s="529"/>
      <c r="GO65" s="529"/>
      <c r="GP65" s="529"/>
      <c r="GQ65" s="529"/>
      <c r="GR65" s="529"/>
      <c r="GS65" s="409"/>
      <c r="GT65" s="1194"/>
      <c r="GU65" s="529" t="s">
        <v>607</v>
      </c>
      <c r="GV65" s="529"/>
      <c r="GW65" s="529"/>
      <c r="GX65" s="529"/>
      <c r="GY65" s="529"/>
      <c r="GZ65" s="486"/>
      <c r="HA65" s="391"/>
      <c r="HB65" s="486"/>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741</v>
      </c>
      <c r="FK66" s="1203"/>
      <c r="FL66" s="1249"/>
      <c r="FM66" s="1250" t="s">
        <v>624</v>
      </c>
      <c r="FN66" s="1251"/>
      <c r="FO66" s="1204"/>
      <c r="FP66" s="1210">
        <v>5</v>
      </c>
      <c r="FQ66" s="1252">
        <v>0</v>
      </c>
      <c r="FR66" s="1253">
        <v>0</v>
      </c>
      <c r="FS66" s="1213">
        <v>5</v>
      </c>
      <c r="FT66" s="1252">
        <v>0</v>
      </c>
      <c r="FU66" s="1254">
        <v>0</v>
      </c>
      <c r="FV66" s="1255"/>
      <c r="FW66" s="1256"/>
      <c r="FX66" s="1256"/>
      <c r="FY66" s="1256"/>
      <c r="FZ66" s="1256"/>
      <c r="GA66" s="1256"/>
      <c r="GB66" s="1256"/>
      <c r="GC66" s="1257"/>
      <c r="GD66" s="1213"/>
      <c r="GE66" s="1258">
        <v>0</v>
      </c>
      <c r="GF66" s="688"/>
      <c r="GG66" s="391"/>
      <c r="GH66" s="391"/>
      <c r="GI66" s="391"/>
      <c r="GJ66" s="483"/>
      <c r="GK66" s="529"/>
      <c r="GL66" s="530"/>
      <c r="GM66" s="529"/>
      <c r="GN66" s="530"/>
      <c r="GO66" s="529"/>
      <c r="GP66" s="529"/>
      <c r="GQ66" s="529"/>
      <c r="GR66" s="530"/>
      <c r="GT66" s="1194"/>
      <c r="GU66" s="391" t="s">
        <v>735</v>
      </c>
      <c r="GV66" s="391"/>
      <c r="GW66" s="391"/>
      <c r="GX66" s="391"/>
      <c r="GY66" s="391"/>
      <c r="GZ66" s="413"/>
      <c r="HA66" s="529">
        <v>953</v>
      </c>
      <c r="HB66" s="409" t="s">
        <v>598</v>
      </c>
      <c r="HC66" s="406"/>
    </row>
    <row r="67" spans="1:211" ht="20.100000000000001" customHeight="1" thickBot="1">
      <c r="BC67" s="389"/>
      <c r="DF67" s="389"/>
      <c r="FI67" s="389"/>
      <c r="GD67" s="688"/>
      <c r="GE67" s="799"/>
      <c r="GF67" s="688"/>
      <c r="GG67" s="483"/>
      <c r="GH67" s="483"/>
      <c r="GI67" s="483"/>
      <c r="GJ67" s="391"/>
      <c r="GT67" s="689"/>
      <c r="GU67" s="529"/>
      <c r="GV67" s="529"/>
      <c r="GW67" s="529"/>
      <c r="GX67" s="529"/>
      <c r="GY67" s="529"/>
      <c r="HA67" s="530"/>
      <c r="HC67" s="406"/>
    </row>
    <row r="68" spans="1:211" ht="20.100000000000001" customHeight="1">
      <c r="A68" s="1260" t="s">
        <v>360</v>
      </c>
      <c r="B68" s="1261"/>
      <c r="C68" s="1261"/>
      <c r="D68" s="1261"/>
      <c r="E68" s="825"/>
      <c r="F68" s="825"/>
      <c r="G68" s="1262"/>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f>$G68</f>
        <v>0</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f>$G68</f>
        <v>0</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391"/>
      <c r="GU68" s="1118" t="s">
        <v>609</v>
      </c>
      <c r="GV68" s="1118"/>
      <c r="GW68" s="1118"/>
      <c r="GX68" s="1118"/>
      <c r="GY68" s="1119"/>
      <c r="GZ68" s="1272"/>
      <c r="HA68" s="1272">
        <v>953</v>
      </c>
      <c r="HB68" s="1051" t="s">
        <v>598</v>
      </c>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22">
    <mergeCell ref="DM68:FH68"/>
    <mergeCell ref="FJ68:FM68"/>
    <mergeCell ref="FP68:FU68"/>
    <mergeCell ref="FV68:GC68"/>
    <mergeCell ref="GD68:GE68"/>
    <mergeCell ref="GU68:GX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GU61:GX61"/>
    <mergeCell ref="GU62:GX62"/>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646</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24時間</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24時間</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513</v>
      </c>
      <c r="GZ1" s="376" t="s">
        <v>364</v>
      </c>
      <c r="HA1" s="376"/>
      <c r="HB1" s="379"/>
      <c r="HC1" s="1276" t="s">
        <v>769</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742</v>
      </c>
      <c r="B3" s="394">
        <v>102</v>
      </c>
      <c r="C3" s="395" t="s">
        <v>743</v>
      </c>
      <c r="D3" s="396" t="s">
        <v>763</v>
      </c>
      <c r="E3" s="396"/>
      <c r="F3" s="396"/>
      <c r="G3" s="396"/>
      <c r="H3" s="396"/>
      <c r="I3" s="396"/>
      <c r="J3" s="397"/>
      <c r="K3" s="398" t="s">
        <v>381</v>
      </c>
      <c r="L3" s="399"/>
      <c r="M3" s="398" t="s">
        <v>377</v>
      </c>
      <c r="N3" s="399"/>
      <c r="O3" s="400" t="s">
        <v>382</v>
      </c>
      <c r="P3" s="401"/>
      <c r="Q3" s="401"/>
      <c r="R3" s="401"/>
      <c r="S3" s="401"/>
      <c r="T3" s="401"/>
      <c r="U3" s="401"/>
      <c r="V3" s="402"/>
      <c r="W3" s="403" t="s">
        <v>379</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384</v>
      </c>
      <c r="BE3" s="394">
        <v>102</v>
      </c>
      <c r="BF3" s="395" t="s">
        <v>373</v>
      </c>
      <c r="BG3" s="407" t="s">
        <v>760</v>
      </c>
      <c r="BH3" s="407"/>
      <c r="BI3" s="407"/>
      <c r="BJ3" s="407"/>
      <c r="BK3" s="407"/>
      <c r="BL3" s="407"/>
      <c r="BM3" s="408"/>
      <c r="BN3" s="398" t="s">
        <v>376</v>
      </c>
      <c r="BO3" s="399"/>
      <c r="BP3" s="398" t="s">
        <v>377</v>
      </c>
      <c r="BQ3" s="399"/>
      <c r="BR3" s="400" t="s">
        <v>378</v>
      </c>
      <c r="BS3" s="401"/>
      <c r="BT3" s="401"/>
      <c r="BU3" s="401"/>
      <c r="BV3" s="401"/>
      <c r="BW3" s="401"/>
      <c r="BX3" s="401"/>
      <c r="BY3" s="402"/>
      <c r="BZ3" s="403" t="s">
        <v>383</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380</v>
      </c>
      <c r="DH3" s="394">
        <v>102</v>
      </c>
      <c r="DI3" s="395" t="s">
        <v>373</v>
      </c>
      <c r="DJ3" s="407" t="s">
        <v>760</v>
      </c>
      <c r="DK3" s="407"/>
      <c r="DL3" s="407"/>
      <c r="DM3" s="407"/>
      <c r="DN3" s="407"/>
      <c r="DO3" s="407"/>
      <c r="DP3" s="408"/>
      <c r="DQ3" s="398" t="s">
        <v>381</v>
      </c>
      <c r="DR3" s="399"/>
      <c r="DS3" s="398" t="s">
        <v>377</v>
      </c>
      <c r="DT3" s="399"/>
      <c r="DU3" s="400" t="s">
        <v>382</v>
      </c>
      <c r="DV3" s="401"/>
      <c r="DW3" s="401"/>
      <c r="DX3" s="401"/>
      <c r="DY3" s="401"/>
      <c r="DZ3" s="401"/>
      <c r="EA3" s="401"/>
      <c r="EB3" s="402"/>
      <c r="EC3" s="403" t="s">
        <v>379</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380</v>
      </c>
      <c r="FK3" s="394">
        <v>102</v>
      </c>
      <c r="FL3" s="395" t="s">
        <v>373</v>
      </c>
      <c r="FM3" s="407" t="s">
        <v>760</v>
      </c>
      <c r="FN3" s="407"/>
      <c r="FO3" s="407"/>
      <c r="FP3" s="407"/>
      <c r="FQ3" s="407"/>
      <c r="FR3" s="407"/>
      <c r="FS3" s="408"/>
      <c r="FT3" s="398" t="s">
        <v>381</v>
      </c>
      <c r="FU3" s="399"/>
      <c r="FV3" s="398" t="s">
        <v>385</v>
      </c>
      <c r="FW3" s="399"/>
      <c r="FX3" s="400" t="s">
        <v>1092</v>
      </c>
      <c r="FY3" s="401"/>
      <c r="FZ3" s="401"/>
      <c r="GA3" s="401"/>
      <c r="GB3" s="401"/>
      <c r="GC3" s="401"/>
      <c r="GD3" s="401"/>
      <c r="GE3" s="402"/>
      <c r="GF3" s="403" t="s">
        <v>379</v>
      </c>
      <c r="GG3" s="404"/>
      <c r="GH3" s="405"/>
      <c r="GI3" s="409"/>
      <c r="GJ3" s="410" t="s">
        <v>770</v>
      </c>
      <c r="GK3" s="411"/>
      <c r="GL3" s="411"/>
      <c r="GM3" s="411"/>
      <c r="GN3" s="411"/>
      <c r="GO3" s="411"/>
      <c r="GP3" s="411"/>
      <c r="GQ3" s="411"/>
      <c r="GR3" s="412"/>
      <c r="GS3" s="413"/>
      <c r="GT3" s="410" t="s">
        <v>771</v>
      </c>
      <c r="GU3" s="411"/>
      <c r="GV3" s="411"/>
      <c r="GW3" s="411"/>
      <c r="GX3" s="411"/>
      <c r="GY3" s="411"/>
      <c r="GZ3" s="411"/>
      <c r="HA3" s="411"/>
      <c r="HB3" s="412"/>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653</v>
      </c>
      <c r="P4" s="425"/>
      <c r="Q4" s="426" t="s">
        <v>391</v>
      </c>
      <c r="R4" s="425"/>
      <c r="S4" s="427" t="s">
        <v>389</v>
      </c>
      <c r="T4" s="428"/>
      <c r="U4" s="429" t="s">
        <v>393</v>
      </c>
      <c r="V4" s="430"/>
      <c r="W4" s="431" t="s">
        <v>655</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653</v>
      </c>
      <c r="BS4" s="425"/>
      <c r="BT4" s="426" t="s">
        <v>391</v>
      </c>
      <c r="BU4" s="425"/>
      <c r="BV4" s="427" t="s">
        <v>392</v>
      </c>
      <c r="BW4" s="428"/>
      <c r="BX4" s="429" t="s">
        <v>393</v>
      </c>
      <c r="BY4" s="430"/>
      <c r="BZ4" s="431" t="s">
        <v>655</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387</v>
      </c>
      <c r="DV4" s="425"/>
      <c r="DW4" s="426" t="s">
        <v>388</v>
      </c>
      <c r="DX4" s="425"/>
      <c r="DY4" s="427" t="s">
        <v>392</v>
      </c>
      <c r="DZ4" s="428"/>
      <c r="EA4" s="429" t="s">
        <v>393</v>
      </c>
      <c r="EB4" s="430"/>
      <c r="EC4" s="431" t="s">
        <v>654</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387</v>
      </c>
      <c r="FY4" s="425"/>
      <c r="FZ4" s="426" t="s">
        <v>391</v>
      </c>
      <c r="GA4" s="425"/>
      <c r="GB4" s="427" t="s">
        <v>389</v>
      </c>
      <c r="GC4" s="428"/>
      <c r="GD4" s="429" t="s">
        <v>390</v>
      </c>
      <c r="GE4" s="430"/>
      <c r="GF4" s="431" t="s">
        <v>645</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c r="MO4" s="392" t="s">
        <v>645</v>
      </c>
    </row>
    <row r="5" spans="1:353" ht="24.95" customHeight="1" thickBot="1">
      <c r="A5" s="438" t="s">
        <v>408</v>
      </c>
      <c r="B5" s="439">
        <v>1</v>
      </c>
      <c r="C5" s="440" t="s">
        <v>397</v>
      </c>
      <c r="D5" s="441">
        <v>73.8</v>
      </c>
      <c r="E5" s="442" t="s">
        <v>410</v>
      </c>
      <c r="F5" s="443">
        <v>3.5</v>
      </c>
      <c r="G5" s="444" t="s">
        <v>404</v>
      </c>
      <c r="H5" s="445"/>
      <c r="I5" s="446">
        <v>258.3</v>
      </c>
      <c r="J5" s="447"/>
      <c r="K5" s="448">
        <v>240</v>
      </c>
      <c r="L5" s="449"/>
      <c r="M5" s="448">
        <v>80</v>
      </c>
      <c r="N5" s="449"/>
      <c r="O5" s="450" t="s">
        <v>661</v>
      </c>
      <c r="P5" s="451"/>
      <c r="Q5" s="452" t="s">
        <v>764</v>
      </c>
      <c r="R5" s="453"/>
      <c r="S5" s="454" t="s">
        <v>662</v>
      </c>
      <c r="T5" s="455"/>
      <c r="U5" s="456" t="s">
        <v>663</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395</v>
      </c>
      <c r="BE5" s="439">
        <v>1</v>
      </c>
      <c r="BF5" s="440" t="s">
        <v>278</v>
      </c>
      <c r="BG5" s="441">
        <v>73.8</v>
      </c>
      <c r="BH5" s="442" t="s">
        <v>398</v>
      </c>
      <c r="BI5" s="443">
        <v>3.5</v>
      </c>
      <c r="BJ5" s="444" t="s">
        <v>399</v>
      </c>
      <c r="BK5" s="445"/>
      <c r="BL5" s="446">
        <v>258.3</v>
      </c>
      <c r="BM5" s="447"/>
      <c r="BN5" s="448">
        <v>240</v>
      </c>
      <c r="BO5" s="449"/>
      <c r="BP5" s="448">
        <v>80</v>
      </c>
      <c r="BQ5" s="449"/>
      <c r="BR5" s="450" t="s">
        <v>661</v>
      </c>
      <c r="BS5" s="451"/>
      <c r="BT5" s="452" t="s">
        <v>658</v>
      </c>
      <c r="BU5" s="453"/>
      <c r="BV5" s="454" t="s">
        <v>662</v>
      </c>
      <c r="BW5" s="455"/>
      <c r="BX5" s="456" t="s">
        <v>765</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408</v>
      </c>
      <c r="DH5" s="439">
        <v>1</v>
      </c>
      <c r="DI5" s="440" t="s">
        <v>278</v>
      </c>
      <c r="DJ5" s="441">
        <v>73.8</v>
      </c>
      <c r="DK5" s="442" t="s">
        <v>410</v>
      </c>
      <c r="DL5" s="443">
        <v>3.5</v>
      </c>
      <c r="DM5" s="444" t="s">
        <v>399</v>
      </c>
      <c r="DN5" s="445"/>
      <c r="DO5" s="446">
        <v>258.3</v>
      </c>
      <c r="DP5" s="447"/>
      <c r="DQ5" s="448">
        <v>240</v>
      </c>
      <c r="DR5" s="449"/>
      <c r="DS5" s="448">
        <v>80</v>
      </c>
      <c r="DT5" s="449"/>
      <c r="DU5" s="450" t="s">
        <v>661</v>
      </c>
      <c r="DV5" s="451"/>
      <c r="DW5" s="452" t="s">
        <v>658</v>
      </c>
      <c r="DX5" s="453"/>
      <c r="DY5" s="454" t="s">
        <v>662</v>
      </c>
      <c r="DZ5" s="455"/>
      <c r="EA5" s="456" t="s">
        <v>663</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408</v>
      </c>
      <c r="FK5" s="439">
        <v>1</v>
      </c>
      <c r="FL5" s="440" t="s">
        <v>278</v>
      </c>
      <c r="FM5" s="441">
        <v>73.8</v>
      </c>
      <c r="FN5" s="442" t="s">
        <v>410</v>
      </c>
      <c r="FO5" s="443">
        <v>3.5</v>
      </c>
      <c r="FP5" s="444" t="s">
        <v>404</v>
      </c>
      <c r="FQ5" s="445"/>
      <c r="FR5" s="446">
        <v>258.3</v>
      </c>
      <c r="FS5" s="447"/>
      <c r="FT5" s="448">
        <v>240</v>
      </c>
      <c r="FU5" s="449"/>
      <c r="FV5" s="448">
        <v>80</v>
      </c>
      <c r="FW5" s="449"/>
      <c r="FX5" s="1430" t="s">
        <v>1088</v>
      </c>
      <c r="FY5" s="451"/>
      <c r="FZ5" s="1431" t="s">
        <v>1093</v>
      </c>
      <c r="GA5" s="453"/>
      <c r="GB5" s="1432" t="s">
        <v>1094</v>
      </c>
      <c r="GC5" s="455"/>
      <c r="GD5" s="1433" t="s">
        <v>1095</v>
      </c>
      <c r="GE5" s="457"/>
      <c r="GF5" s="458"/>
      <c r="GG5" s="459"/>
      <c r="GH5" s="460"/>
      <c r="GI5" s="462"/>
      <c r="GJ5" s="409"/>
      <c r="GK5" s="463" t="s">
        <v>772</v>
      </c>
      <c r="GL5" s="463"/>
      <c r="GM5" s="463"/>
      <c r="GN5" s="409" t="s">
        <v>518</v>
      </c>
      <c r="GO5" s="464"/>
      <c r="GP5" s="464"/>
      <c r="GQ5" s="464"/>
      <c r="GR5" s="409"/>
      <c r="GS5" s="409"/>
      <c r="GT5" s="413"/>
      <c r="GU5" s="463" t="s">
        <v>687</v>
      </c>
      <c r="GV5" s="463"/>
      <c r="GW5" s="463"/>
      <c r="GX5" s="409" t="s">
        <v>686</v>
      </c>
      <c r="GY5" s="464"/>
      <c r="GZ5" s="464"/>
      <c r="HA5" s="464"/>
      <c r="HB5" s="409"/>
      <c r="HC5" s="465"/>
      <c r="HD5" s="437"/>
      <c r="HE5" s="437"/>
      <c r="HF5" s="504"/>
      <c r="HG5" s="386"/>
    </row>
    <row r="6" spans="1:353" ht="20.100000000000001" customHeight="1" thickBot="1">
      <c r="A6" s="466" t="s">
        <v>415</v>
      </c>
      <c r="B6" s="467"/>
      <c r="C6" s="468" t="s">
        <v>416</v>
      </c>
      <c r="D6" s="468"/>
      <c r="E6" s="468"/>
      <c r="F6" s="469">
        <v>0</v>
      </c>
      <c r="G6" s="469"/>
      <c r="H6" s="468" t="s">
        <v>417</v>
      </c>
      <c r="I6" s="468"/>
      <c r="J6" s="468"/>
      <c r="K6" s="468"/>
      <c r="L6" s="468"/>
      <c r="M6" s="470">
        <v>0</v>
      </c>
      <c r="N6" s="470"/>
      <c r="O6" s="471"/>
      <c r="P6" s="472"/>
      <c r="Q6" s="472" t="s">
        <v>665</v>
      </c>
      <c r="R6" s="473">
        <v>0</v>
      </c>
      <c r="S6" s="473"/>
      <c r="T6" s="474"/>
      <c r="U6" s="475" t="s">
        <v>419</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29</v>
      </c>
      <c r="BC6" s="479"/>
      <c r="BD6" s="466" t="s">
        <v>415</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34</v>
      </c>
      <c r="DF6" s="481"/>
      <c r="DG6" s="466" t="s">
        <v>415</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423</v>
      </c>
      <c r="FI6" s="481"/>
      <c r="FJ6" s="466" t="s">
        <v>424</v>
      </c>
      <c r="FK6" s="467"/>
      <c r="FL6" s="468" t="s">
        <v>416</v>
      </c>
      <c r="FM6" s="468"/>
      <c r="FN6" s="468"/>
      <c r="FO6" s="469">
        <v>0</v>
      </c>
      <c r="FP6" s="469"/>
      <c r="FQ6" s="468" t="s">
        <v>417</v>
      </c>
      <c r="FR6" s="468"/>
      <c r="FS6" s="468"/>
      <c r="FT6" s="468"/>
      <c r="FU6" s="468"/>
      <c r="FV6" s="470">
        <v>0</v>
      </c>
      <c r="FW6" s="470"/>
      <c r="FX6" s="471"/>
      <c r="FY6" s="472"/>
      <c r="FZ6" s="472" t="s">
        <v>425</v>
      </c>
      <c r="GA6" s="473">
        <v>0</v>
      </c>
      <c r="GB6" s="473"/>
      <c r="GC6" s="474"/>
      <c r="GD6" s="475" t="s">
        <v>426</v>
      </c>
      <c r="GE6" s="476">
        <v>0</v>
      </c>
      <c r="GF6" s="476"/>
      <c r="GG6" s="477"/>
      <c r="GH6" s="472"/>
      <c r="GI6" s="472"/>
      <c r="GJ6" s="483"/>
      <c r="GK6" s="484" t="s">
        <v>688</v>
      </c>
      <c r="GL6" s="484"/>
      <c r="GM6" s="484"/>
      <c r="GN6" s="485">
        <v>2</v>
      </c>
      <c r="GO6" s="486"/>
      <c r="GP6" s="486"/>
      <c r="GQ6" s="486"/>
      <c r="GR6" s="483"/>
      <c r="GS6" s="483"/>
      <c r="GT6" s="413"/>
      <c r="GU6" s="484" t="s">
        <v>773</v>
      </c>
      <c r="GV6" s="484"/>
      <c r="GW6" s="484"/>
      <c r="GX6" s="485">
        <v>2</v>
      </c>
      <c r="GY6" s="413"/>
      <c r="GZ6" s="413"/>
      <c r="HA6" s="486"/>
      <c r="HB6" s="486"/>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469</v>
      </c>
      <c r="GK8" s="528"/>
      <c r="GL8" s="529"/>
      <c r="GM8" s="530"/>
      <c r="GN8" s="529"/>
      <c r="GO8" s="530"/>
      <c r="GP8" s="529"/>
      <c r="GQ8" s="529"/>
      <c r="GR8" s="529"/>
      <c r="GS8" s="529"/>
      <c r="GT8" s="528" t="s">
        <v>469</v>
      </c>
      <c r="GU8" s="528"/>
      <c r="GV8" s="413"/>
      <c r="GW8" s="483"/>
      <c r="GX8" s="486"/>
      <c r="GY8" s="483"/>
      <c r="GZ8" s="486"/>
      <c r="HA8" s="530"/>
      <c r="HB8" s="530"/>
      <c r="HC8" s="530"/>
      <c r="HD8" s="437"/>
      <c r="HE8" s="437"/>
      <c r="HF8" s="1275"/>
      <c r="HG8" s="1275"/>
    </row>
    <row r="9" spans="1:353" ht="22.5" customHeight="1">
      <c r="A9" s="532" t="s">
        <v>289</v>
      </c>
      <c r="B9" s="533" t="s">
        <v>290</v>
      </c>
      <c r="C9" s="534" t="s">
        <v>291</v>
      </c>
      <c r="D9" s="534" t="s">
        <v>744</v>
      </c>
      <c r="E9" s="535" t="s">
        <v>745</v>
      </c>
      <c r="F9" s="536" t="s">
        <v>294</v>
      </c>
      <c r="G9" s="537" t="s">
        <v>746</v>
      </c>
      <c r="H9" s="538" t="s">
        <v>747</v>
      </c>
      <c r="I9" s="539" t="s">
        <v>297</v>
      </c>
      <c r="J9" s="538" t="s">
        <v>747</v>
      </c>
      <c r="K9" s="539" t="s">
        <v>297</v>
      </c>
      <c r="L9" s="538" t="s">
        <v>747</v>
      </c>
      <c r="M9" s="539" t="s">
        <v>297</v>
      </c>
      <c r="N9" s="538" t="s">
        <v>747</v>
      </c>
      <c r="O9" s="539" t="s">
        <v>297</v>
      </c>
      <c r="P9" s="538" t="s">
        <v>747</v>
      </c>
      <c r="Q9" s="539" t="s">
        <v>297</v>
      </c>
      <c r="R9" s="538" t="s">
        <v>747</v>
      </c>
      <c r="S9" s="539" t="s">
        <v>297</v>
      </c>
      <c r="T9" s="538" t="s">
        <v>747</v>
      </c>
      <c r="U9" s="539" t="s">
        <v>297</v>
      </c>
      <c r="V9" s="538" t="s">
        <v>747</v>
      </c>
      <c r="W9" s="539" t="s">
        <v>297</v>
      </c>
      <c r="X9" s="538" t="s">
        <v>747</v>
      </c>
      <c r="Y9" s="539" t="s">
        <v>297</v>
      </c>
      <c r="Z9" s="538" t="s">
        <v>747</v>
      </c>
      <c r="AA9" s="539" t="s">
        <v>297</v>
      </c>
      <c r="AB9" s="538" t="s">
        <v>747</v>
      </c>
      <c r="AC9" s="539" t="s">
        <v>297</v>
      </c>
      <c r="AD9" s="538" t="s">
        <v>747</v>
      </c>
      <c r="AE9" s="539" t="s">
        <v>297</v>
      </c>
      <c r="AF9" s="538" t="s">
        <v>747</v>
      </c>
      <c r="AG9" s="539" t="s">
        <v>297</v>
      </c>
      <c r="AH9" s="538" t="s">
        <v>747</v>
      </c>
      <c r="AI9" s="539" t="s">
        <v>297</v>
      </c>
      <c r="AJ9" s="538" t="s">
        <v>747</v>
      </c>
      <c r="AK9" s="539" t="s">
        <v>297</v>
      </c>
      <c r="AL9" s="538" t="s">
        <v>747</v>
      </c>
      <c r="AM9" s="539" t="s">
        <v>297</v>
      </c>
      <c r="AN9" s="538" t="s">
        <v>747</v>
      </c>
      <c r="AO9" s="539" t="s">
        <v>297</v>
      </c>
      <c r="AP9" s="538" t="s">
        <v>747</v>
      </c>
      <c r="AQ9" s="539" t="s">
        <v>297</v>
      </c>
      <c r="AR9" s="538" t="s">
        <v>747</v>
      </c>
      <c r="AS9" s="539" t="s">
        <v>297</v>
      </c>
      <c r="AT9" s="538" t="s">
        <v>747</v>
      </c>
      <c r="AU9" s="539" t="s">
        <v>297</v>
      </c>
      <c r="AV9" s="538" t="s">
        <v>747</v>
      </c>
      <c r="AW9" s="539" t="s">
        <v>297</v>
      </c>
      <c r="AX9" s="538" t="s">
        <v>747</v>
      </c>
      <c r="AY9" s="539" t="s">
        <v>297</v>
      </c>
      <c r="AZ9" s="538" t="s">
        <v>747</v>
      </c>
      <c r="BA9" s="539" t="s">
        <v>297</v>
      </c>
      <c r="BB9" s="540" t="s">
        <v>298</v>
      </c>
      <c r="BC9" s="503"/>
      <c r="BD9" s="532" t="s">
        <v>289</v>
      </c>
      <c r="BE9" s="533" t="s">
        <v>290</v>
      </c>
      <c r="BF9" s="534" t="s">
        <v>291</v>
      </c>
      <c r="BG9" s="534" t="s">
        <v>744</v>
      </c>
      <c r="BH9" s="535" t="s">
        <v>745</v>
      </c>
      <c r="BI9" s="536" t="s">
        <v>294</v>
      </c>
      <c r="BJ9" s="537" t="s">
        <v>746</v>
      </c>
      <c r="BK9" s="538" t="s">
        <v>747</v>
      </c>
      <c r="BL9" s="539" t="s">
        <v>297</v>
      </c>
      <c r="BM9" s="538" t="s">
        <v>747</v>
      </c>
      <c r="BN9" s="539" t="s">
        <v>297</v>
      </c>
      <c r="BO9" s="538" t="s">
        <v>747</v>
      </c>
      <c r="BP9" s="539" t="s">
        <v>297</v>
      </c>
      <c r="BQ9" s="538" t="s">
        <v>747</v>
      </c>
      <c r="BR9" s="539" t="s">
        <v>297</v>
      </c>
      <c r="BS9" s="538" t="s">
        <v>747</v>
      </c>
      <c r="BT9" s="539" t="s">
        <v>297</v>
      </c>
      <c r="BU9" s="538" t="s">
        <v>747</v>
      </c>
      <c r="BV9" s="539" t="s">
        <v>297</v>
      </c>
      <c r="BW9" s="538" t="s">
        <v>747</v>
      </c>
      <c r="BX9" s="539" t="s">
        <v>297</v>
      </c>
      <c r="BY9" s="538" t="s">
        <v>747</v>
      </c>
      <c r="BZ9" s="539" t="s">
        <v>297</v>
      </c>
      <c r="CA9" s="538" t="s">
        <v>747</v>
      </c>
      <c r="CB9" s="539" t="s">
        <v>297</v>
      </c>
      <c r="CC9" s="538" t="s">
        <v>747</v>
      </c>
      <c r="CD9" s="539" t="s">
        <v>297</v>
      </c>
      <c r="CE9" s="538" t="s">
        <v>747</v>
      </c>
      <c r="CF9" s="539" t="s">
        <v>297</v>
      </c>
      <c r="CG9" s="538" t="s">
        <v>747</v>
      </c>
      <c r="CH9" s="539" t="s">
        <v>297</v>
      </c>
      <c r="CI9" s="538" t="s">
        <v>747</v>
      </c>
      <c r="CJ9" s="539" t="s">
        <v>297</v>
      </c>
      <c r="CK9" s="538" t="s">
        <v>747</v>
      </c>
      <c r="CL9" s="539" t="s">
        <v>297</v>
      </c>
      <c r="CM9" s="538" t="s">
        <v>747</v>
      </c>
      <c r="CN9" s="539" t="s">
        <v>297</v>
      </c>
      <c r="CO9" s="538" t="s">
        <v>747</v>
      </c>
      <c r="CP9" s="539" t="s">
        <v>297</v>
      </c>
      <c r="CQ9" s="538" t="s">
        <v>747</v>
      </c>
      <c r="CR9" s="539" t="s">
        <v>297</v>
      </c>
      <c r="CS9" s="538" t="s">
        <v>747</v>
      </c>
      <c r="CT9" s="539" t="s">
        <v>297</v>
      </c>
      <c r="CU9" s="538" t="s">
        <v>747</v>
      </c>
      <c r="CV9" s="539" t="s">
        <v>297</v>
      </c>
      <c r="CW9" s="538" t="s">
        <v>747</v>
      </c>
      <c r="CX9" s="539" t="s">
        <v>297</v>
      </c>
      <c r="CY9" s="538" t="s">
        <v>747</v>
      </c>
      <c r="CZ9" s="539" t="s">
        <v>297</v>
      </c>
      <c r="DA9" s="538" t="s">
        <v>747</v>
      </c>
      <c r="DB9" s="539" t="s">
        <v>297</v>
      </c>
      <c r="DC9" s="538" t="s">
        <v>747</v>
      </c>
      <c r="DD9" s="539" t="s">
        <v>297</v>
      </c>
      <c r="DE9" s="540" t="s">
        <v>298</v>
      </c>
      <c r="DF9" s="503"/>
      <c r="DG9" s="532" t="s">
        <v>289</v>
      </c>
      <c r="DH9" s="533" t="s">
        <v>290</v>
      </c>
      <c r="DI9" s="534" t="s">
        <v>291</v>
      </c>
      <c r="DJ9" s="534" t="s">
        <v>744</v>
      </c>
      <c r="DK9" s="535" t="s">
        <v>745</v>
      </c>
      <c r="DL9" s="536" t="s">
        <v>294</v>
      </c>
      <c r="DM9" s="537" t="s">
        <v>746</v>
      </c>
      <c r="DN9" s="538" t="s">
        <v>747</v>
      </c>
      <c r="DO9" s="539" t="s">
        <v>297</v>
      </c>
      <c r="DP9" s="538" t="s">
        <v>747</v>
      </c>
      <c r="DQ9" s="539" t="s">
        <v>297</v>
      </c>
      <c r="DR9" s="538" t="s">
        <v>747</v>
      </c>
      <c r="DS9" s="539" t="s">
        <v>297</v>
      </c>
      <c r="DT9" s="538" t="s">
        <v>747</v>
      </c>
      <c r="DU9" s="539" t="s">
        <v>297</v>
      </c>
      <c r="DV9" s="538" t="s">
        <v>747</v>
      </c>
      <c r="DW9" s="539" t="s">
        <v>297</v>
      </c>
      <c r="DX9" s="538" t="s">
        <v>747</v>
      </c>
      <c r="DY9" s="539" t="s">
        <v>297</v>
      </c>
      <c r="DZ9" s="538" t="s">
        <v>747</v>
      </c>
      <c r="EA9" s="539" t="s">
        <v>297</v>
      </c>
      <c r="EB9" s="538" t="s">
        <v>747</v>
      </c>
      <c r="EC9" s="539" t="s">
        <v>297</v>
      </c>
      <c r="ED9" s="538" t="s">
        <v>747</v>
      </c>
      <c r="EE9" s="539" t="s">
        <v>297</v>
      </c>
      <c r="EF9" s="538" t="s">
        <v>747</v>
      </c>
      <c r="EG9" s="539" t="s">
        <v>297</v>
      </c>
      <c r="EH9" s="538" t="s">
        <v>747</v>
      </c>
      <c r="EI9" s="539" t="s">
        <v>297</v>
      </c>
      <c r="EJ9" s="538" t="s">
        <v>747</v>
      </c>
      <c r="EK9" s="539" t="s">
        <v>297</v>
      </c>
      <c r="EL9" s="538" t="s">
        <v>747</v>
      </c>
      <c r="EM9" s="539" t="s">
        <v>297</v>
      </c>
      <c r="EN9" s="538" t="s">
        <v>747</v>
      </c>
      <c r="EO9" s="539" t="s">
        <v>297</v>
      </c>
      <c r="EP9" s="538" t="s">
        <v>747</v>
      </c>
      <c r="EQ9" s="539" t="s">
        <v>297</v>
      </c>
      <c r="ER9" s="538" t="s">
        <v>747</v>
      </c>
      <c r="ES9" s="539" t="s">
        <v>297</v>
      </c>
      <c r="ET9" s="538" t="s">
        <v>747</v>
      </c>
      <c r="EU9" s="539" t="s">
        <v>297</v>
      </c>
      <c r="EV9" s="538" t="s">
        <v>747</v>
      </c>
      <c r="EW9" s="539" t="s">
        <v>297</v>
      </c>
      <c r="EX9" s="538" t="s">
        <v>747</v>
      </c>
      <c r="EY9" s="539" t="s">
        <v>297</v>
      </c>
      <c r="EZ9" s="538" t="s">
        <v>747</v>
      </c>
      <c r="FA9" s="539" t="s">
        <v>297</v>
      </c>
      <c r="FB9" s="538" t="s">
        <v>747</v>
      </c>
      <c r="FC9" s="539" t="s">
        <v>297</v>
      </c>
      <c r="FD9" s="538" t="s">
        <v>747</v>
      </c>
      <c r="FE9" s="539" t="s">
        <v>297</v>
      </c>
      <c r="FF9" s="538" t="s">
        <v>747</v>
      </c>
      <c r="FG9" s="539" t="s">
        <v>297</v>
      </c>
      <c r="FH9" s="540" t="s">
        <v>298</v>
      </c>
      <c r="FI9" s="541"/>
      <c r="FJ9" s="542" t="s">
        <v>289</v>
      </c>
      <c r="FK9" s="533" t="s">
        <v>290</v>
      </c>
      <c r="FL9" s="534" t="s">
        <v>291</v>
      </c>
      <c r="FM9" s="534" t="s">
        <v>744</v>
      </c>
      <c r="FN9" s="535" t="s">
        <v>745</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523</v>
      </c>
      <c r="GL9" s="529"/>
      <c r="GM9" s="530"/>
      <c r="GN9" s="529"/>
      <c r="GO9" s="549">
        <v>0.92</v>
      </c>
      <c r="GP9" s="529"/>
      <c r="GQ9" s="529"/>
      <c r="GR9" s="529"/>
      <c r="GS9" s="529"/>
      <c r="GT9" s="550"/>
      <c r="GU9" s="483" t="s">
        <v>690</v>
      </c>
      <c r="GV9" s="413"/>
      <c r="GW9" s="483"/>
      <c r="GX9" s="551">
        <v>1</v>
      </c>
      <c r="GY9" s="483"/>
      <c r="GZ9" s="486"/>
      <c r="HA9" s="530"/>
      <c r="HB9" s="530"/>
      <c r="HC9" s="530"/>
      <c r="HD9" s="437"/>
      <c r="HE9" s="437"/>
      <c r="HF9" s="1279"/>
      <c r="HG9" s="1279"/>
    </row>
    <row r="10" spans="1:353" ht="20.100000000000001" customHeight="1">
      <c r="A10" s="552"/>
      <c r="B10" s="553" t="s">
        <v>223</v>
      </c>
      <c r="C10" s="554" t="s">
        <v>72</v>
      </c>
      <c r="D10" s="555">
        <f>ROUND(4.05*0.85,2)</f>
        <v>3.44</v>
      </c>
      <c r="E10" s="553">
        <v>0.97</v>
      </c>
      <c r="F10" s="554"/>
      <c r="G10" s="556">
        <v>0</v>
      </c>
      <c r="H10" s="557">
        <f>ROUND(ROUND(4.05*0.85,2)*0.97*0,0)</f>
        <v>0</v>
      </c>
      <c r="I10" s="558">
        <v>0</v>
      </c>
      <c r="J10" s="559">
        <f>ROUND(ROUND(4.05*0.85,2)*0.97*0,0)</f>
        <v>0</v>
      </c>
      <c r="K10" s="560">
        <v>0</v>
      </c>
      <c r="L10" s="559">
        <f>ROUND(ROUND(4.05*0.85,2)*0.97*0,0)</f>
        <v>0</v>
      </c>
      <c r="M10" s="560">
        <v>0</v>
      </c>
      <c r="N10" s="559">
        <f>ROUND(ROUND(4.05*0.85,2)*0.97*0,0)</f>
        <v>0</v>
      </c>
      <c r="O10" s="560">
        <v>4</v>
      </c>
      <c r="P10" s="559">
        <f>ROUND(ROUND(4.05*0.85,2)*0.97*4,0)</f>
        <v>13</v>
      </c>
      <c r="Q10" s="560">
        <v>31</v>
      </c>
      <c r="R10" s="559">
        <f>ROUND(ROUND(4.05*0.85,2)*0.97*31,0)</f>
        <v>103</v>
      </c>
      <c r="S10" s="560">
        <v>63</v>
      </c>
      <c r="T10" s="559">
        <f>ROUND(ROUND(4.05*0.85,2)*0.97*63,0)</f>
        <v>210</v>
      </c>
      <c r="U10" s="560">
        <v>93</v>
      </c>
      <c r="V10" s="559">
        <f>ROUND(ROUND(4.05*0.85,2)*0.97*93,0)</f>
        <v>310</v>
      </c>
      <c r="W10" s="560">
        <v>116</v>
      </c>
      <c r="X10" s="559">
        <f>ROUND(ROUND(4.05*0.85,2)*0.97*116,0)</f>
        <v>387</v>
      </c>
      <c r="Y10" s="560">
        <v>130</v>
      </c>
      <c r="Z10" s="559">
        <f>ROUND(ROUND(4.05*0.85,2)*0.97*130,0)</f>
        <v>434</v>
      </c>
      <c r="AA10" s="560">
        <v>163</v>
      </c>
      <c r="AB10" s="559">
        <f>ROUND(ROUND(4.05*0.85,2)*0.97*163,0)</f>
        <v>544</v>
      </c>
      <c r="AC10" s="560">
        <v>229</v>
      </c>
      <c r="AD10" s="559">
        <f>ROUND(ROUND(4.05*0.85,2)*0.97*229,0)</f>
        <v>764</v>
      </c>
      <c r="AE10" s="560">
        <v>269</v>
      </c>
      <c r="AF10" s="559">
        <f>ROUND(ROUND(4.05*0.85,2)*0.97*269,0)</f>
        <v>898</v>
      </c>
      <c r="AG10" s="560">
        <v>267</v>
      </c>
      <c r="AH10" s="559">
        <f>ROUND(ROUND(4.05*0.85,2)*0.97*267,0)</f>
        <v>891</v>
      </c>
      <c r="AI10" s="560">
        <v>224</v>
      </c>
      <c r="AJ10" s="559">
        <f>ROUND(ROUND(4.05*0.85,2)*0.97*224,0)</f>
        <v>747</v>
      </c>
      <c r="AK10" s="560">
        <v>156</v>
      </c>
      <c r="AL10" s="559">
        <f>ROUND(ROUND(4.05*0.85,2)*0.97*156,0)</f>
        <v>521</v>
      </c>
      <c r="AM10" s="560">
        <v>84</v>
      </c>
      <c r="AN10" s="559">
        <f>ROUND(ROUND(4.05*0.85,2)*0.97*84,0)</f>
        <v>280</v>
      </c>
      <c r="AO10" s="560">
        <v>16</v>
      </c>
      <c r="AP10" s="559">
        <f>ROUND(ROUND(4.05*0.85,2)*0.97*16,0)</f>
        <v>53</v>
      </c>
      <c r="AQ10" s="560">
        <v>0</v>
      </c>
      <c r="AR10" s="559">
        <f>ROUND(ROUND(4.05*0.85,2)*0.97*0,0)</f>
        <v>0</v>
      </c>
      <c r="AS10" s="560">
        <v>0</v>
      </c>
      <c r="AT10" s="559">
        <f>ROUND(ROUND(4.05*0.85,2)*0.97*0,0)</f>
        <v>0</v>
      </c>
      <c r="AU10" s="560">
        <v>0</v>
      </c>
      <c r="AV10" s="559">
        <f>ROUND(ROUND(4.05*0.85,2)*0.97*0,0)</f>
        <v>0</v>
      </c>
      <c r="AW10" s="560">
        <v>0</v>
      </c>
      <c r="AX10" s="559">
        <f>ROUND(ROUND(4.05*0.85,2)*0.97*0,0)</f>
        <v>0</v>
      </c>
      <c r="AY10" s="560">
        <v>0</v>
      </c>
      <c r="AZ10" s="559">
        <f>ROUND(ROUND(4.05*0.85,2)*0.97*0,0)</f>
        <v>0</v>
      </c>
      <c r="BA10" s="560">
        <v>0</v>
      </c>
      <c r="BB10" s="561">
        <f>ROUND(ROUND(4.05*0.85,2)*0.97*0,0)</f>
        <v>0</v>
      </c>
      <c r="BC10" s="562"/>
      <c r="BD10" s="552"/>
      <c r="BE10" s="553"/>
      <c r="BF10" s="554"/>
      <c r="BG10" s="555"/>
      <c r="BH10" s="553"/>
      <c r="BI10" s="554"/>
      <c r="BJ10" s="556">
        <v>0</v>
      </c>
      <c r="BK10" s="557">
        <f>ROUND(ROUND(4.05*0.85,2)*0.97*0,0)</f>
        <v>0</v>
      </c>
      <c r="BL10" s="558">
        <v>0</v>
      </c>
      <c r="BM10" s="559">
        <f>ROUND(ROUND(4.05*0.85,2)*0.97*0,0)</f>
        <v>0</v>
      </c>
      <c r="BN10" s="560">
        <v>0</v>
      </c>
      <c r="BO10" s="559">
        <f>ROUND(ROUND(4.05*0.85,2)*0.97*0,0)</f>
        <v>0</v>
      </c>
      <c r="BP10" s="560">
        <v>0</v>
      </c>
      <c r="BQ10" s="559">
        <f>ROUND(ROUND(4.05*0.85,2)*0.97*0,0)</f>
        <v>0</v>
      </c>
      <c r="BR10" s="560">
        <v>6</v>
      </c>
      <c r="BS10" s="559">
        <f>ROUND(ROUND(4.05*0.85,2)*0.97*6,0)</f>
        <v>20</v>
      </c>
      <c r="BT10" s="560">
        <v>35</v>
      </c>
      <c r="BU10" s="559">
        <f>ROUND(ROUND(4.05*0.85,2)*0.97*35,0)</f>
        <v>117</v>
      </c>
      <c r="BV10" s="560">
        <v>62</v>
      </c>
      <c r="BW10" s="559">
        <f>ROUND(ROUND(4.05*0.85,2)*0.97*62,0)</f>
        <v>207</v>
      </c>
      <c r="BX10" s="560">
        <v>87</v>
      </c>
      <c r="BY10" s="559">
        <f>ROUND(ROUND(4.05*0.85,2)*0.97*87,0)</f>
        <v>290</v>
      </c>
      <c r="BZ10" s="560">
        <v>103</v>
      </c>
      <c r="CA10" s="559">
        <f>ROUND(ROUND(4.05*0.85,2)*0.97*103,0)</f>
        <v>344</v>
      </c>
      <c r="CB10" s="560">
        <v>110</v>
      </c>
      <c r="CC10" s="559">
        <f>ROUND(ROUND(4.05*0.85,2)*0.97*110,0)</f>
        <v>367</v>
      </c>
      <c r="CD10" s="560">
        <v>155</v>
      </c>
      <c r="CE10" s="559">
        <f>ROUND(ROUND(4.05*0.85,2)*0.97*155,0)</f>
        <v>517</v>
      </c>
      <c r="CF10" s="560">
        <v>254</v>
      </c>
      <c r="CG10" s="559">
        <f>ROUND(ROUND(4.05*0.85,2)*0.97*254,0)</f>
        <v>848</v>
      </c>
      <c r="CH10" s="560">
        <v>320</v>
      </c>
      <c r="CI10" s="559">
        <f>ROUND(ROUND(4.05*0.85,2)*0.97*320,0)</f>
        <v>1068</v>
      </c>
      <c r="CJ10" s="560">
        <v>334</v>
      </c>
      <c r="CK10" s="559">
        <f>ROUND(ROUND(4.05*0.85,2)*0.97*334,0)</f>
        <v>1114</v>
      </c>
      <c r="CL10" s="560">
        <v>301</v>
      </c>
      <c r="CM10" s="559">
        <f>ROUND(ROUND(4.05*0.85,2)*0.97*301,0)</f>
        <v>1004</v>
      </c>
      <c r="CN10" s="560">
        <v>222</v>
      </c>
      <c r="CO10" s="559">
        <f>ROUND(ROUND(4.05*0.85,2)*0.97*222,0)</f>
        <v>741</v>
      </c>
      <c r="CP10" s="560">
        <v>130</v>
      </c>
      <c r="CQ10" s="559">
        <f>ROUND(ROUND(4.05*0.85,2)*0.97*130,0)</f>
        <v>434</v>
      </c>
      <c r="CR10" s="560">
        <v>32</v>
      </c>
      <c r="CS10" s="559">
        <f>ROUND(ROUND(4.05*0.85,2)*0.97*32,0)</f>
        <v>107</v>
      </c>
      <c r="CT10" s="560">
        <v>0</v>
      </c>
      <c r="CU10" s="559">
        <f>ROUND(ROUND(4.05*0.85,2)*0.97*0,0)</f>
        <v>0</v>
      </c>
      <c r="CV10" s="560">
        <v>0</v>
      </c>
      <c r="CW10" s="559">
        <f>ROUND(ROUND(4.05*0.85,2)*0.97*0,0)</f>
        <v>0</v>
      </c>
      <c r="CX10" s="560">
        <v>0</v>
      </c>
      <c r="CY10" s="559">
        <f>ROUND(ROUND(4.05*0.85,2)*0.97*0,0)</f>
        <v>0</v>
      </c>
      <c r="CZ10" s="560">
        <v>0</v>
      </c>
      <c r="DA10" s="559">
        <f>ROUND(ROUND(4.05*0.85,2)*0.97*0,0)</f>
        <v>0</v>
      </c>
      <c r="DB10" s="560">
        <v>0</v>
      </c>
      <c r="DC10" s="559">
        <f>ROUND(ROUND(4.05*0.85,2)*0.97*0,0)</f>
        <v>0</v>
      </c>
      <c r="DD10" s="560">
        <v>0</v>
      </c>
      <c r="DE10" s="561">
        <f>ROUND(ROUND(4.05*0.85,2)*0.97*0,0)</f>
        <v>0</v>
      </c>
      <c r="DF10" s="562"/>
      <c r="DG10" s="552"/>
      <c r="DH10" s="553"/>
      <c r="DI10" s="554"/>
      <c r="DJ10" s="555"/>
      <c r="DK10" s="553"/>
      <c r="DL10" s="554"/>
      <c r="DM10" s="556">
        <v>0</v>
      </c>
      <c r="DN10" s="557">
        <f>ROUND(ROUND(4.05*0.85,2)*0.97*0,0)</f>
        <v>0</v>
      </c>
      <c r="DO10" s="558">
        <v>0</v>
      </c>
      <c r="DP10" s="559">
        <f>ROUND(ROUND(4.05*0.85,2)*0.97*0,0)</f>
        <v>0</v>
      </c>
      <c r="DQ10" s="560">
        <v>0</v>
      </c>
      <c r="DR10" s="559">
        <f>ROUND(ROUND(4.05*0.85,2)*0.97*0,0)</f>
        <v>0</v>
      </c>
      <c r="DS10" s="560">
        <v>0</v>
      </c>
      <c r="DT10" s="559">
        <f>ROUND(ROUND(4.05*0.85,2)*0.97*0,0)</f>
        <v>0</v>
      </c>
      <c r="DU10" s="560">
        <v>0</v>
      </c>
      <c r="DV10" s="559">
        <f>ROUND(ROUND(4.05*0.85,2)*0.97*0,0)</f>
        <v>0</v>
      </c>
      <c r="DW10" s="560">
        <v>19</v>
      </c>
      <c r="DX10" s="559">
        <f>ROUND(ROUND(4.05*0.85,2)*0.97*19,0)</f>
        <v>63</v>
      </c>
      <c r="DY10" s="560">
        <v>47</v>
      </c>
      <c r="DZ10" s="559">
        <f>ROUND(ROUND(4.05*0.85,2)*0.97*47,0)</f>
        <v>157</v>
      </c>
      <c r="EA10" s="560">
        <v>72</v>
      </c>
      <c r="EB10" s="559">
        <f>ROUND(ROUND(4.05*0.85,2)*0.97*72,0)</f>
        <v>240</v>
      </c>
      <c r="EC10" s="560">
        <v>88</v>
      </c>
      <c r="ED10" s="559">
        <f>ROUND(ROUND(4.05*0.85,2)*0.97*88,0)</f>
        <v>294</v>
      </c>
      <c r="EE10" s="560">
        <v>170</v>
      </c>
      <c r="EF10" s="559">
        <f>ROUND(ROUND(4.05*0.85,2)*0.97*170,0)</f>
        <v>567</v>
      </c>
      <c r="EG10" s="560">
        <v>327</v>
      </c>
      <c r="EH10" s="559">
        <f>ROUND(ROUND(4.05*0.85,2)*0.97*327,0)</f>
        <v>1091</v>
      </c>
      <c r="EI10" s="560">
        <v>436</v>
      </c>
      <c r="EJ10" s="559">
        <f>ROUND(ROUND(4.05*0.85,2)*0.97*436,0)</f>
        <v>1455</v>
      </c>
      <c r="EK10" s="560">
        <v>480</v>
      </c>
      <c r="EL10" s="559">
        <f>ROUND(ROUND(4.05*0.85,2)*0.97*480,0)</f>
        <v>1602</v>
      </c>
      <c r="EM10" s="560">
        <v>473</v>
      </c>
      <c r="EN10" s="559">
        <f>ROUND(ROUND(4.05*0.85,2)*0.97*473,0)</f>
        <v>1578</v>
      </c>
      <c r="EO10" s="560">
        <v>403</v>
      </c>
      <c r="EP10" s="559">
        <f>ROUND(ROUND(4.05*0.85,2)*0.97*403,0)</f>
        <v>1345</v>
      </c>
      <c r="EQ10" s="560">
        <v>276</v>
      </c>
      <c r="ER10" s="559">
        <f>ROUND(ROUND(4.05*0.85,2)*0.97*276,0)</f>
        <v>921</v>
      </c>
      <c r="ES10" s="560">
        <v>131</v>
      </c>
      <c r="ET10" s="559">
        <f>ROUND(ROUND(4.05*0.85,2)*0.97*131,0)</f>
        <v>437</v>
      </c>
      <c r="EU10" s="560">
        <v>0</v>
      </c>
      <c r="EV10" s="559">
        <f>ROUND(ROUND(4.05*0.85,2)*0.97*0,0)</f>
        <v>0</v>
      </c>
      <c r="EW10" s="560">
        <v>0</v>
      </c>
      <c r="EX10" s="559">
        <f>ROUND(ROUND(4.05*0.85,2)*0.97*0,0)</f>
        <v>0</v>
      </c>
      <c r="EY10" s="560">
        <v>0</v>
      </c>
      <c r="EZ10" s="559">
        <f>ROUND(ROUND(4.05*0.85,2)*0.97*0,0)</f>
        <v>0</v>
      </c>
      <c r="FA10" s="560">
        <v>0</v>
      </c>
      <c r="FB10" s="559">
        <f>ROUND(ROUND(4.05*0.85,2)*0.97*0,0)</f>
        <v>0</v>
      </c>
      <c r="FC10" s="560">
        <v>0</v>
      </c>
      <c r="FD10" s="559">
        <f>ROUND(ROUND(4.05*0.85,2)*0.97*0,0)</f>
        <v>0</v>
      </c>
      <c r="FE10" s="560">
        <v>0</v>
      </c>
      <c r="FF10" s="559">
        <f>ROUND(ROUND(4.05*0.85,2)*0.97*0,0)</f>
        <v>0</v>
      </c>
      <c r="FG10" s="560">
        <v>0</v>
      </c>
      <c r="FH10" s="561">
        <f>ROUND(ROUND(4.05*0.85,2)*0.97*0,0)</f>
        <v>0</v>
      </c>
      <c r="FI10" s="563"/>
      <c r="FJ10" s="564"/>
      <c r="FK10" s="553"/>
      <c r="FL10" s="554"/>
      <c r="FM10" s="555"/>
      <c r="FN10" s="553"/>
      <c r="FO10" s="554"/>
      <c r="FP10" s="565"/>
      <c r="FQ10" s="558"/>
      <c r="FR10" s="557" t="s">
        <v>748</v>
      </c>
      <c r="FS10" s="566"/>
      <c r="FT10" s="558"/>
      <c r="FU10" s="567" t="s">
        <v>748</v>
      </c>
      <c r="FV10" s="568" t="s">
        <v>301</v>
      </c>
      <c r="FW10" s="1280"/>
      <c r="FX10" s="1281" t="s">
        <v>302</v>
      </c>
      <c r="FY10" s="1282"/>
      <c r="FZ10" s="1283" t="s">
        <v>303</v>
      </c>
      <c r="GA10" s="1284"/>
      <c r="GB10" s="1285" t="s">
        <v>761</v>
      </c>
      <c r="GC10" s="1286"/>
      <c r="GD10" s="576" t="s">
        <v>762</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748</v>
      </c>
      <c r="FS11" s="591"/>
      <c r="FT11" s="586"/>
      <c r="FU11" s="592" t="s">
        <v>748</v>
      </c>
      <c r="FV11" s="593"/>
      <c r="FW11" s="594"/>
      <c r="FX11" s="595"/>
      <c r="FY11" s="596"/>
      <c r="FZ11" s="597"/>
      <c r="GA11" s="598"/>
      <c r="GB11" s="599"/>
      <c r="GC11" s="600"/>
      <c r="GD11" s="599"/>
      <c r="GE11" s="601"/>
      <c r="GF11" s="499"/>
      <c r="GG11" s="602"/>
      <c r="GH11" s="602"/>
      <c r="GI11" s="602"/>
      <c r="GJ11" s="529"/>
      <c r="GK11" s="580" t="s">
        <v>525</v>
      </c>
      <c r="GL11" s="413"/>
      <c r="GM11" s="483"/>
      <c r="GN11" s="486"/>
      <c r="GO11" s="483"/>
      <c r="GP11" s="413"/>
      <c r="GQ11" s="529"/>
      <c r="GR11" s="529"/>
      <c r="GS11" s="529"/>
      <c r="GT11" s="548"/>
      <c r="GU11" s="580" t="s">
        <v>691</v>
      </c>
      <c r="GV11" s="413"/>
      <c r="GW11" s="483"/>
      <c r="GX11" s="486"/>
      <c r="GY11" s="483"/>
      <c r="GZ11" s="413"/>
      <c r="HA11" s="530"/>
      <c r="HB11" s="530"/>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629</v>
      </c>
      <c r="FS12" s="591"/>
      <c r="FT12" s="586"/>
      <c r="FU12" s="592" t="s">
        <v>748</v>
      </c>
      <c r="FV12" s="593"/>
      <c r="FW12" s="594"/>
      <c r="FX12" s="595"/>
      <c r="FY12" s="596"/>
      <c r="FZ12" s="597"/>
      <c r="GA12" s="598"/>
      <c r="GB12" s="599"/>
      <c r="GC12" s="600"/>
      <c r="GD12" s="599"/>
      <c r="GE12" s="601"/>
      <c r="GF12" s="499"/>
      <c r="GG12" s="602"/>
      <c r="GH12" s="602"/>
      <c r="GI12" s="602"/>
      <c r="GJ12" s="413"/>
      <c r="GK12" s="603" t="s">
        <v>384</v>
      </c>
      <c r="GL12" s="604"/>
      <c r="GM12" s="605" t="s">
        <v>774</v>
      </c>
      <c r="GN12" s="606" t="s">
        <v>528</v>
      </c>
      <c r="GO12" s="607" t="s">
        <v>529</v>
      </c>
      <c r="GP12" s="608" t="s">
        <v>692</v>
      </c>
      <c r="GQ12" s="607" t="s">
        <v>531</v>
      </c>
      <c r="GR12" s="607" t="s">
        <v>694</v>
      </c>
      <c r="GS12" s="609"/>
      <c r="GT12" s="548"/>
      <c r="GU12" s="603" t="s">
        <v>384</v>
      </c>
      <c r="GV12" s="604"/>
      <c r="GW12" s="605" t="s">
        <v>774</v>
      </c>
      <c r="GX12" s="610" t="s">
        <v>534</v>
      </c>
      <c r="GY12" s="611"/>
      <c r="GZ12" s="612" t="s">
        <v>529</v>
      </c>
      <c r="HA12" s="613" t="s">
        <v>535</v>
      </c>
      <c r="HB12" s="614"/>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748</v>
      </c>
      <c r="FS13" s="626"/>
      <c r="FT13" s="621"/>
      <c r="FU13" s="627" t="s">
        <v>748</v>
      </c>
      <c r="FV13" s="593"/>
      <c r="FW13" s="594"/>
      <c r="FX13" s="595"/>
      <c r="FY13" s="596"/>
      <c r="FZ13" s="597"/>
      <c r="GA13" s="598"/>
      <c r="GB13" s="599"/>
      <c r="GC13" s="600"/>
      <c r="GD13" s="599"/>
      <c r="GE13" s="601"/>
      <c r="GF13" s="499"/>
      <c r="GG13" s="602"/>
      <c r="GH13" s="602"/>
      <c r="GI13" s="602"/>
      <c r="GJ13" s="413"/>
      <c r="GK13" s="628">
        <v>102</v>
      </c>
      <c r="GL13" s="629"/>
      <c r="GM13" s="630" t="s">
        <v>775</v>
      </c>
      <c r="GN13" s="631">
        <v>4.05</v>
      </c>
      <c r="GO13" s="632">
        <v>0</v>
      </c>
      <c r="GP13" s="632">
        <v>1</v>
      </c>
      <c r="GQ13" s="633">
        <v>0</v>
      </c>
      <c r="GR13" s="634">
        <v>4.05</v>
      </c>
      <c r="GS13" s="578"/>
      <c r="GT13" s="413"/>
      <c r="GU13" s="628">
        <v>102</v>
      </c>
      <c r="GV13" s="629"/>
      <c r="GW13" s="635" t="s">
        <v>776</v>
      </c>
      <c r="GX13" s="636">
        <v>4.05</v>
      </c>
      <c r="GY13" s="637"/>
      <c r="GZ13" s="638">
        <v>0.65</v>
      </c>
      <c r="HA13" s="639">
        <v>2.63</v>
      </c>
      <c r="HB13" s="640"/>
      <c r="HC13" s="530"/>
      <c r="HD13" s="799"/>
      <c r="HE13" s="437"/>
      <c r="HF13" s="386"/>
      <c r="HG13" s="386"/>
    </row>
    <row r="14" spans="1:353" ht="20.100000000000001" customHeight="1">
      <c r="A14" s="641"/>
      <c r="B14" s="642"/>
      <c r="C14" s="642"/>
      <c r="D14" s="643" t="s">
        <v>749</v>
      </c>
      <c r="E14" s="642"/>
      <c r="F14" s="642"/>
      <c r="G14" s="644"/>
      <c r="H14" s="645">
        <f>SUM(H10:H13)</f>
        <v>0</v>
      </c>
      <c r="I14" s="735"/>
      <c r="J14" s="645">
        <f>SUM(J10:J13)</f>
        <v>0</v>
      </c>
      <c r="K14" s="735"/>
      <c r="L14" s="645">
        <f>SUM(L10:L13)</f>
        <v>0</v>
      </c>
      <c r="M14" s="735"/>
      <c r="N14" s="645">
        <f>SUM(N10:N13)</f>
        <v>0</v>
      </c>
      <c r="O14" s="735"/>
      <c r="P14" s="645">
        <f>SUM(P10:P13)</f>
        <v>13</v>
      </c>
      <c r="Q14" s="735"/>
      <c r="R14" s="645">
        <f>SUM(R10:R13)</f>
        <v>103</v>
      </c>
      <c r="S14" s="735"/>
      <c r="T14" s="645">
        <f>SUM(T10:T13)</f>
        <v>210</v>
      </c>
      <c r="U14" s="735"/>
      <c r="V14" s="645">
        <f>SUM(V10:V13)</f>
        <v>310</v>
      </c>
      <c r="W14" s="735"/>
      <c r="X14" s="645">
        <f>SUM(X10:X13)</f>
        <v>387</v>
      </c>
      <c r="Y14" s="735"/>
      <c r="Z14" s="645">
        <f>SUM(Z10:Z13)</f>
        <v>434</v>
      </c>
      <c r="AA14" s="735"/>
      <c r="AB14" s="645">
        <f>SUM(AB10:AB13)</f>
        <v>544</v>
      </c>
      <c r="AC14" s="735"/>
      <c r="AD14" s="645">
        <f>SUM(AD10:AD13)</f>
        <v>764</v>
      </c>
      <c r="AE14" s="735"/>
      <c r="AF14" s="645">
        <f>SUM(AF10:AF13)</f>
        <v>898</v>
      </c>
      <c r="AG14" s="735"/>
      <c r="AH14" s="645">
        <f>SUM(AH10:AH13)</f>
        <v>891</v>
      </c>
      <c r="AI14" s="735"/>
      <c r="AJ14" s="645">
        <f>SUM(AJ10:AJ13)</f>
        <v>747</v>
      </c>
      <c r="AK14" s="735"/>
      <c r="AL14" s="645">
        <f>SUM(AL10:AL13)</f>
        <v>521</v>
      </c>
      <c r="AM14" s="735"/>
      <c r="AN14" s="645">
        <f>SUM(AN10:AN13)</f>
        <v>280</v>
      </c>
      <c r="AO14" s="735"/>
      <c r="AP14" s="645">
        <f>SUM(AP10:AP13)</f>
        <v>53</v>
      </c>
      <c r="AQ14" s="735"/>
      <c r="AR14" s="645">
        <f>SUM(AR10:AR13)</f>
        <v>0</v>
      </c>
      <c r="AS14" s="735"/>
      <c r="AT14" s="645">
        <f>SUM(AT10:AT13)</f>
        <v>0</v>
      </c>
      <c r="AU14" s="735"/>
      <c r="AV14" s="645">
        <f>SUM(AV10:AV13)</f>
        <v>0</v>
      </c>
      <c r="AW14" s="735"/>
      <c r="AX14" s="645">
        <f>SUM(AX10:AX13)</f>
        <v>0</v>
      </c>
      <c r="AY14" s="735"/>
      <c r="AZ14" s="645">
        <f>SUM(AZ10:AZ13)</f>
        <v>0</v>
      </c>
      <c r="BA14" s="735"/>
      <c r="BB14" s="647">
        <f>SUM(BB10:BB13)</f>
        <v>0</v>
      </c>
      <c r="BC14" s="648"/>
      <c r="BD14" s="641"/>
      <c r="BE14" s="642"/>
      <c r="BF14" s="642"/>
      <c r="BG14" s="643" t="s">
        <v>750</v>
      </c>
      <c r="BH14" s="642"/>
      <c r="BI14" s="642"/>
      <c r="BJ14" s="644"/>
      <c r="BK14" s="645">
        <f>SUM(BK10:BK13)</f>
        <v>0</v>
      </c>
      <c r="BL14" s="735"/>
      <c r="BM14" s="645">
        <f>SUM(BM10:BM13)</f>
        <v>0</v>
      </c>
      <c r="BN14" s="735"/>
      <c r="BO14" s="645">
        <f>SUM(BO10:BO13)</f>
        <v>0</v>
      </c>
      <c r="BP14" s="735"/>
      <c r="BQ14" s="645">
        <f>SUM(BQ10:BQ13)</f>
        <v>0</v>
      </c>
      <c r="BR14" s="735"/>
      <c r="BS14" s="645">
        <f>SUM(BS10:BS13)</f>
        <v>20</v>
      </c>
      <c r="BT14" s="735"/>
      <c r="BU14" s="645">
        <f>SUM(BU10:BU13)</f>
        <v>117</v>
      </c>
      <c r="BV14" s="735"/>
      <c r="BW14" s="645">
        <f>SUM(BW10:BW13)</f>
        <v>207</v>
      </c>
      <c r="BX14" s="735"/>
      <c r="BY14" s="645">
        <f>SUM(BY10:BY13)</f>
        <v>290</v>
      </c>
      <c r="BZ14" s="735"/>
      <c r="CA14" s="645">
        <f>SUM(CA10:CA13)</f>
        <v>344</v>
      </c>
      <c r="CB14" s="735"/>
      <c r="CC14" s="645">
        <f>SUM(CC10:CC13)</f>
        <v>367</v>
      </c>
      <c r="CD14" s="735"/>
      <c r="CE14" s="645">
        <f>SUM(CE10:CE13)</f>
        <v>517</v>
      </c>
      <c r="CF14" s="735"/>
      <c r="CG14" s="645">
        <f>SUM(CG10:CG13)</f>
        <v>848</v>
      </c>
      <c r="CH14" s="735"/>
      <c r="CI14" s="645">
        <f>SUM(CI10:CI13)</f>
        <v>1068</v>
      </c>
      <c r="CJ14" s="735"/>
      <c r="CK14" s="645">
        <f>SUM(CK10:CK13)</f>
        <v>1114</v>
      </c>
      <c r="CL14" s="735"/>
      <c r="CM14" s="645">
        <f>SUM(CM10:CM13)</f>
        <v>1004</v>
      </c>
      <c r="CN14" s="735"/>
      <c r="CO14" s="645">
        <f>SUM(CO10:CO13)</f>
        <v>741</v>
      </c>
      <c r="CP14" s="735"/>
      <c r="CQ14" s="645">
        <f>SUM(CQ10:CQ13)</f>
        <v>434</v>
      </c>
      <c r="CR14" s="735"/>
      <c r="CS14" s="645">
        <f>SUM(CS10:CS13)</f>
        <v>107</v>
      </c>
      <c r="CT14" s="735"/>
      <c r="CU14" s="645">
        <f>SUM(CU10:CU13)</f>
        <v>0</v>
      </c>
      <c r="CV14" s="735"/>
      <c r="CW14" s="645">
        <f>SUM(CW10:CW13)</f>
        <v>0</v>
      </c>
      <c r="CX14" s="735"/>
      <c r="CY14" s="645">
        <f>SUM(CY10:CY13)</f>
        <v>0</v>
      </c>
      <c r="CZ14" s="735"/>
      <c r="DA14" s="645">
        <f>SUM(DA10:DA13)</f>
        <v>0</v>
      </c>
      <c r="DB14" s="735"/>
      <c r="DC14" s="645">
        <f>SUM(DC10:DC13)</f>
        <v>0</v>
      </c>
      <c r="DD14" s="735"/>
      <c r="DE14" s="647">
        <f>SUM(DE10:DE13)</f>
        <v>0</v>
      </c>
      <c r="DF14" s="648"/>
      <c r="DG14" s="641"/>
      <c r="DH14" s="642"/>
      <c r="DI14" s="642"/>
      <c r="DJ14" s="643" t="s">
        <v>306</v>
      </c>
      <c r="DK14" s="642"/>
      <c r="DL14" s="642"/>
      <c r="DM14" s="644"/>
      <c r="DN14" s="645">
        <f>SUM(DN10:DN13)</f>
        <v>0</v>
      </c>
      <c r="DO14" s="735"/>
      <c r="DP14" s="645">
        <f>SUM(DP10:DP13)</f>
        <v>0</v>
      </c>
      <c r="DQ14" s="735"/>
      <c r="DR14" s="645">
        <f>SUM(DR10:DR13)</f>
        <v>0</v>
      </c>
      <c r="DS14" s="735"/>
      <c r="DT14" s="645">
        <f>SUM(DT10:DT13)</f>
        <v>0</v>
      </c>
      <c r="DU14" s="735"/>
      <c r="DV14" s="645">
        <f>SUM(DV10:DV13)</f>
        <v>0</v>
      </c>
      <c r="DW14" s="735"/>
      <c r="DX14" s="645">
        <f>SUM(DX10:DX13)</f>
        <v>63</v>
      </c>
      <c r="DY14" s="735"/>
      <c r="DZ14" s="645">
        <f>SUM(DZ10:DZ13)</f>
        <v>157</v>
      </c>
      <c r="EA14" s="735"/>
      <c r="EB14" s="645">
        <f>SUM(EB10:EB13)</f>
        <v>240</v>
      </c>
      <c r="EC14" s="735"/>
      <c r="ED14" s="645">
        <f>SUM(ED10:ED13)</f>
        <v>294</v>
      </c>
      <c r="EE14" s="735"/>
      <c r="EF14" s="645">
        <f>SUM(EF10:EF13)</f>
        <v>567</v>
      </c>
      <c r="EG14" s="735"/>
      <c r="EH14" s="645">
        <f>SUM(EH10:EH13)</f>
        <v>1091</v>
      </c>
      <c r="EI14" s="735"/>
      <c r="EJ14" s="645">
        <f>SUM(EJ10:EJ13)</f>
        <v>1455</v>
      </c>
      <c r="EK14" s="735"/>
      <c r="EL14" s="645">
        <f>SUM(EL10:EL13)</f>
        <v>1602</v>
      </c>
      <c r="EM14" s="735"/>
      <c r="EN14" s="645">
        <f>SUM(EN10:EN13)</f>
        <v>1578</v>
      </c>
      <c r="EO14" s="735"/>
      <c r="EP14" s="645">
        <f>SUM(EP10:EP13)</f>
        <v>1345</v>
      </c>
      <c r="EQ14" s="735"/>
      <c r="ER14" s="645">
        <f>SUM(ER10:ER13)</f>
        <v>921</v>
      </c>
      <c r="ES14" s="735"/>
      <c r="ET14" s="645">
        <f>SUM(ET10:ET13)</f>
        <v>437</v>
      </c>
      <c r="EU14" s="735"/>
      <c r="EV14" s="645">
        <f>SUM(EV10:EV13)</f>
        <v>0</v>
      </c>
      <c r="EW14" s="735"/>
      <c r="EX14" s="645">
        <f>SUM(EX10:EX13)</f>
        <v>0</v>
      </c>
      <c r="EY14" s="735"/>
      <c r="EZ14" s="645">
        <f>SUM(EZ10:EZ13)</f>
        <v>0</v>
      </c>
      <c r="FA14" s="735"/>
      <c r="FB14" s="645">
        <f>SUM(FB10:FB13)</f>
        <v>0</v>
      </c>
      <c r="FC14" s="735"/>
      <c r="FD14" s="645">
        <f>SUM(FD10:FD13)</f>
        <v>0</v>
      </c>
      <c r="FE14" s="735"/>
      <c r="FF14" s="645">
        <f>SUM(FF10:FF13)</f>
        <v>0</v>
      </c>
      <c r="FG14" s="735"/>
      <c r="FH14" s="647">
        <f>SUM(FH10:FH13)</f>
        <v>0</v>
      </c>
      <c r="FI14" s="649"/>
      <c r="FJ14" s="564"/>
      <c r="FK14" s="642"/>
      <c r="FL14" s="642"/>
      <c r="FM14" s="643" t="s">
        <v>751</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c r="GV14" s="629"/>
      <c r="GW14" s="635"/>
      <c r="GX14" s="636"/>
      <c r="GY14" s="637"/>
      <c r="GZ14" s="638"/>
      <c r="HA14" s="639">
        <v>0</v>
      </c>
      <c r="HB14" s="640"/>
      <c r="HC14" s="530"/>
      <c r="HD14" s="1278"/>
      <c r="HE14" s="415"/>
      <c r="HF14" s="415"/>
      <c r="HG14" s="415"/>
    </row>
    <row r="15" spans="1:353" ht="24" customHeight="1">
      <c r="A15" s="532" t="s">
        <v>307</v>
      </c>
      <c r="B15" s="658" t="s">
        <v>290</v>
      </c>
      <c r="C15" s="659" t="s">
        <v>291</v>
      </c>
      <c r="D15" s="660" t="s">
        <v>744</v>
      </c>
      <c r="E15" s="660" t="s">
        <v>309</v>
      </c>
      <c r="F15" s="661" t="s">
        <v>310</v>
      </c>
      <c r="G15" s="662" t="s">
        <v>752</v>
      </c>
      <c r="H15" s="663" t="s">
        <v>753</v>
      </c>
      <c r="I15" s="664" t="s">
        <v>313</v>
      </c>
      <c r="J15" s="663" t="s">
        <v>753</v>
      </c>
      <c r="K15" s="664" t="s">
        <v>313</v>
      </c>
      <c r="L15" s="663" t="s">
        <v>637</v>
      </c>
      <c r="M15" s="664" t="s">
        <v>313</v>
      </c>
      <c r="N15" s="663" t="s">
        <v>753</v>
      </c>
      <c r="O15" s="664" t="s">
        <v>313</v>
      </c>
      <c r="P15" s="663" t="s">
        <v>753</v>
      </c>
      <c r="Q15" s="664" t="s">
        <v>313</v>
      </c>
      <c r="R15" s="663" t="s">
        <v>753</v>
      </c>
      <c r="S15" s="664" t="s">
        <v>313</v>
      </c>
      <c r="T15" s="663" t="s">
        <v>635</v>
      </c>
      <c r="U15" s="664" t="s">
        <v>313</v>
      </c>
      <c r="V15" s="663" t="s">
        <v>635</v>
      </c>
      <c r="W15" s="664" t="s">
        <v>313</v>
      </c>
      <c r="X15" s="663" t="s">
        <v>753</v>
      </c>
      <c r="Y15" s="664" t="s">
        <v>313</v>
      </c>
      <c r="Z15" s="663" t="s">
        <v>753</v>
      </c>
      <c r="AA15" s="664" t="s">
        <v>313</v>
      </c>
      <c r="AB15" s="663" t="s">
        <v>753</v>
      </c>
      <c r="AC15" s="664" t="s">
        <v>313</v>
      </c>
      <c r="AD15" s="663" t="s">
        <v>635</v>
      </c>
      <c r="AE15" s="664" t="s">
        <v>313</v>
      </c>
      <c r="AF15" s="663" t="s">
        <v>753</v>
      </c>
      <c r="AG15" s="664" t="s">
        <v>313</v>
      </c>
      <c r="AH15" s="663" t="s">
        <v>635</v>
      </c>
      <c r="AI15" s="664" t="s">
        <v>313</v>
      </c>
      <c r="AJ15" s="663" t="s">
        <v>637</v>
      </c>
      <c r="AK15" s="664" t="s">
        <v>313</v>
      </c>
      <c r="AL15" s="663" t="s">
        <v>753</v>
      </c>
      <c r="AM15" s="664" t="s">
        <v>313</v>
      </c>
      <c r="AN15" s="663" t="s">
        <v>637</v>
      </c>
      <c r="AO15" s="664" t="s">
        <v>313</v>
      </c>
      <c r="AP15" s="663" t="s">
        <v>753</v>
      </c>
      <c r="AQ15" s="664" t="s">
        <v>313</v>
      </c>
      <c r="AR15" s="663" t="s">
        <v>635</v>
      </c>
      <c r="AS15" s="664" t="s">
        <v>313</v>
      </c>
      <c r="AT15" s="663" t="s">
        <v>637</v>
      </c>
      <c r="AU15" s="664" t="s">
        <v>313</v>
      </c>
      <c r="AV15" s="663" t="s">
        <v>635</v>
      </c>
      <c r="AW15" s="664" t="s">
        <v>313</v>
      </c>
      <c r="AX15" s="663" t="s">
        <v>753</v>
      </c>
      <c r="AY15" s="664" t="s">
        <v>313</v>
      </c>
      <c r="AZ15" s="663" t="s">
        <v>635</v>
      </c>
      <c r="BA15" s="664" t="s">
        <v>313</v>
      </c>
      <c r="BB15" s="665" t="s">
        <v>316</v>
      </c>
      <c r="BC15" s="666"/>
      <c r="BD15" s="532" t="s">
        <v>307</v>
      </c>
      <c r="BE15" s="658" t="s">
        <v>290</v>
      </c>
      <c r="BF15" s="659" t="s">
        <v>291</v>
      </c>
      <c r="BG15" s="660" t="s">
        <v>744</v>
      </c>
      <c r="BH15" s="660" t="s">
        <v>309</v>
      </c>
      <c r="BI15" s="661" t="s">
        <v>310</v>
      </c>
      <c r="BJ15" s="662" t="s">
        <v>752</v>
      </c>
      <c r="BK15" s="663" t="s">
        <v>635</v>
      </c>
      <c r="BL15" s="664" t="s">
        <v>313</v>
      </c>
      <c r="BM15" s="663" t="s">
        <v>753</v>
      </c>
      <c r="BN15" s="664" t="s">
        <v>313</v>
      </c>
      <c r="BO15" s="663" t="s">
        <v>635</v>
      </c>
      <c r="BP15" s="664" t="s">
        <v>313</v>
      </c>
      <c r="BQ15" s="663" t="s">
        <v>753</v>
      </c>
      <c r="BR15" s="664" t="s">
        <v>313</v>
      </c>
      <c r="BS15" s="663" t="s">
        <v>753</v>
      </c>
      <c r="BT15" s="664" t="s">
        <v>313</v>
      </c>
      <c r="BU15" s="663" t="s">
        <v>753</v>
      </c>
      <c r="BV15" s="664" t="s">
        <v>313</v>
      </c>
      <c r="BW15" s="663" t="s">
        <v>637</v>
      </c>
      <c r="BX15" s="664" t="s">
        <v>313</v>
      </c>
      <c r="BY15" s="663" t="s">
        <v>754</v>
      </c>
      <c r="BZ15" s="664" t="s">
        <v>313</v>
      </c>
      <c r="CA15" s="663" t="s">
        <v>753</v>
      </c>
      <c r="CB15" s="664" t="s">
        <v>313</v>
      </c>
      <c r="CC15" s="663" t="s">
        <v>753</v>
      </c>
      <c r="CD15" s="664" t="s">
        <v>313</v>
      </c>
      <c r="CE15" s="663" t="s">
        <v>753</v>
      </c>
      <c r="CF15" s="664" t="s">
        <v>313</v>
      </c>
      <c r="CG15" s="663" t="s">
        <v>753</v>
      </c>
      <c r="CH15" s="664" t="s">
        <v>313</v>
      </c>
      <c r="CI15" s="663" t="s">
        <v>754</v>
      </c>
      <c r="CJ15" s="664" t="s">
        <v>313</v>
      </c>
      <c r="CK15" s="663" t="s">
        <v>637</v>
      </c>
      <c r="CL15" s="664" t="s">
        <v>313</v>
      </c>
      <c r="CM15" s="663" t="s">
        <v>637</v>
      </c>
      <c r="CN15" s="664" t="s">
        <v>313</v>
      </c>
      <c r="CO15" s="663" t="s">
        <v>637</v>
      </c>
      <c r="CP15" s="664" t="s">
        <v>313</v>
      </c>
      <c r="CQ15" s="663" t="s">
        <v>753</v>
      </c>
      <c r="CR15" s="664" t="s">
        <v>313</v>
      </c>
      <c r="CS15" s="663" t="s">
        <v>635</v>
      </c>
      <c r="CT15" s="664" t="s">
        <v>313</v>
      </c>
      <c r="CU15" s="663" t="s">
        <v>635</v>
      </c>
      <c r="CV15" s="664" t="s">
        <v>313</v>
      </c>
      <c r="CW15" s="663" t="s">
        <v>753</v>
      </c>
      <c r="CX15" s="664" t="s">
        <v>313</v>
      </c>
      <c r="CY15" s="663" t="s">
        <v>635</v>
      </c>
      <c r="CZ15" s="664" t="s">
        <v>313</v>
      </c>
      <c r="DA15" s="663" t="s">
        <v>635</v>
      </c>
      <c r="DB15" s="664" t="s">
        <v>313</v>
      </c>
      <c r="DC15" s="663" t="s">
        <v>753</v>
      </c>
      <c r="DD15" s="664" t="s">
        <v>313</v>
      </c>
      <c r="DE15" s="665" t="s">
        <v>316</v>
      </c>
      <c r="DF15" s="666"/>
      <c r="DG15" s="532" t="s">
        <v>307</v>
      </c>
      <c r="DH15" s="667" t="s">
        <v>290</v>
      </c>
      <c r="DI15" s="668" t="s">
        <v>291</v>
      </c>
      <c r="DJ15" s="669" t="s">
        <v>639</v>
      </c>
      <c r="DK15" s="669" t="s">
        <v>309</v>
      </c>
      <c r="DL15" s="670" t="s">
        <v>310</v>
      </c>
      <c r="DM15" s="662" t="s">
        <v>634</v>
      </c>
      <c r="DN15" s="663" t="s">
        <v>635</v>
      </c>
      <c r="DO15" s="664" t="s">
        <v>313</v>
      </c>
      <c r="DP15" s="663" t="s">
        <v>753</v>
      </c>
      <c r="DQ15" s="664" t="s">
        <v>313</v>
      </c>
      <c r="DR15" s="663" t="s">
        <v>753</v>
      </c>
      <c r="DS15" s="664" t="s">
        <v>313</v>
      </c>
      <c r="DT15" s="663" t="s">
        <v>637</v>
      </c>
      <c r="DU15" s="664" t="s">
        <v>313</v>
      </c>
      <c r="DV15" s="663" t="s">
        <v>753</v>
      </c>
      <c r="DW15" s="664" t="s">
        <v>313</v>
      </c>
      <c r="DX15" s="663" t="s">
        <v>753</v>
      </c>
      <c r="DY15" s="664" t="s">
        <v>313</v>
      </c>
      <c r="DZ15" s="663" t="s">
        <v>753</v>
      </c>
      <c r="EA15" s="664" t="s">
        <v>313</v>
      </c>
      <c r="EB15" s="663" t="s">
        <v>635</v>
      </c>
      <c r="EC15" s="664" t="s">
        <v>313</v>
      </c>
      <c r="ED15" s="663" t="s">
        <v>635</v>
      </c>
      <c r="EE15" s="664" t="s">
        <v>313</v>
      </c>
      <c r="EF15" s="663" t="s">
        <v>753</v>
      </c>
      <c r="EG15" s="664" t="s">
        <v>313</v>
      </c>
      <c r="EH15" s="663" t="s">
        <v>753</v>
      </c>
      <c r="EI15" s="664" t="s">
        <v>313</v>
      </c>
      <c r="EJ15" s="663" t="s">
        <v>753</v>
      </c>
      <c r="EK15" s="664" t="s">
        <v>313</v>
      </c>
      <c r="EL15" s="663" t="s">
        <v>635</v>
      </c>
      <c r="EM15" s="664" t="s">
        <v>313</v>
      </c>
      <c r="EN15" s="663" t="s">
        <v>753</v>
      </c>
      <c r="EO15" s="664" t="s">
        <v>313</v>
      </c>
      <c r="EP15" s="663" t="s">
        <v>635</v>
      </c>
      <c r="EQ15" s="664" t="s">
        <v>313</v>
      </c>
      <c r="ER15" s="663" t="s">
        <v>637</v>
      </c>
      <c r="ES15" s="664" t="s">
        <v>313</v>
      </c>
      <c r="ET15" s="663" t="s">
        <v>753</v>
      </c>
      <c r="EU15" s="664" t="s">
        <v>313</v>
      </c>
      <c r="EV15" s="663" t="s">
        <v>637</v>
      </c>
      <c r="EW15" s="664" t="s">
        <v>313</v>
      </c>
      <c r="EX15" s="663" t="s">
        <v>753</v>
      </c>
      <c r="EY15" s="664" t="s">
        <v>313</v>
      </c>
      <c r="EZ15" s="663" t="s">
        <v>635</v>
      </c>
      <c r="FA15" s="664" t="s">
        <v>313</v>
      </c>
      <c r="FB15" s="663" t="s">
        <v>637</v>
      </c>
      <c r="FC15" s="664" t="s">
        <v>313</v>
      </c>
      <c r="FD15" s="663" t="s">
        <v>635</v>
      </c>
      <c r="FE15" s="664" t="s">
        <v>313</v>
      </c>
      <c r="FF15" s="663" t="s">
        <v>753</v>
      </c>
      <c r="FG15" s="664" t="s">
        <v>313</v>
      </c>
      <c r="FH15" s="665" t="s">
        <v>316</v>
      </c>
      <c r="FI15" s="671"/>
      <c r="FJ15" s="542" t="s">
        <v>307</v>
      </c>
      <c r="FK15" s="658" t="s">
        <v>290</v>
      </c>
      <c r="FL15" s="659" t="s">
        <v>291</v>
      </c>
      <c r="FM15" s="660" t="s">
        <v>744</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353" ht="20.100000000000001" customHeight="1">
      <c r="A16" s="552"/>
      <c r="B16" s="554" t="s">
        <v>204</v>
      </c>
      <c r="C16" s="679" t="s">
        <v>72</v>
      </c>
      <c r="D16" s="555">
        <v>23.63</v>
      </c>
      <c r="E16" s="680">
        <v>0.67</v>
      </c>
      <c r="F16" s="681"/>
      <c r="G16" s="682">
        <v>3.5</v>
      </c>
      <c r="H16" s="559">
        <f>ROUND(23.63*0.67*3.5,0)</f>
        <v>55</v>
      </c>
      <c r="I16" s="683">
        <v>3.1</v>
      </c>
      <c r="J16" s="559">
        <f>ROUND(23.63*0.67*3.1,0)</f>
        <v>49</v>
      </c>
      <c r="K16" s="683">
        <v>2.7</v>
      </c>
      <c r="L16" s="559">
        <f>ROUND(23.63*0.67*2.7,0)</f>
        <v>43</v>
      </c>
      <c r="M16" s="683">
        <v>2.4</v>
      </c>
      <c r="N16" s="559">
        <f>ROUND(23.63*0.67*2.4,0)</f>
        <v>38</v>
      </c>
      <c r="O16" s="683">
        <v>2.1</v>
      </c>
      <c r="P16" s="559">
        <f>ROUND(23.63*0.67*2.1,0)</f>
        <v>33</v>
      </c>
      <c r="Q16" s="683">
        <v>2.1</v>
      </c>
      <c r="R16" s="559">
        <f>ROUND(23.63*0.67*2.1,0)</f>
        <v>33</v>
      </c>
      <c r="S16" s="683">
        <v>2.5</v>
      </c>
      <c r="T16" s="559">
        <f>ROUND(23.63*0.67*2.5,0)</f>
        <v>40</v>
      </c>
      <c r="U16" s="683">
        <v>3.6</v>
      </c>
      <c r="V16" s="559">
        <f>ROUND(23.63*0.67*3.6,0)</f>
        <v>57</v>
      </c>
      <c r="W16" s="683">
        <v>5.0999999999999996</v>
      </c>
      <c r="X16" s="559">
        <f>ROUND(23.63*0.67*5.1,0)</f>
        <v>81</v>
      </c>
      <c r="Y16" s="683">
        <v>6.9</v>
      </c>
      <c r="Z16" s="559">
        <f>ROUND(23.63*0.67*6.9,0)</f>
        <v>109</v>
      </c>
      <c r="AA16" s="683">
        <v>9.1</v>
      </c>
      <c r="AB16" s="559">
        <f>ROUND(23.63*0.67*9.1,0)</f>
        <v>144</v>
      </c>
      <c r="AC16" s="683">
        <v>11.5</v>
      </c>
      <c r="AD16" s="559">
        <f>ROUND(23.63*0.67*11.5,0)</f>
        <v>182</v>
      </c>
      <c r="AE16" s="683">
        <v>13.7</v>
      </c>
      <c r="AF16" s="559">
        <f>ROUND(23.63*0.67*13.7,0)</f>
        <v>217</v>
      </c>
      <c r="AG16" s="683">
        <v>15.5</v>
      </c>
      <c r="AH16" s="559">
        <f>ROUND(23.63*0.67*15.5,0)</f>
        <v>245</v>
      </c>
      <c r="AI16" s="683">
        <v>16.3</v>
      </c>
      <c r="AJ16" s="559">
        <f>ROUND(23.63*0.67*16.3,0)</f>
        <v>258</v>
      </c>
      <c r="AK16" s="683">
        <v>16</v>
      </c>
      <c r="AL16" s="559">
        <f>ROUND(23.63*0.67*16,0)</f>
        <v>253</v>
      </c>
      <c r="AM16" s="683">
        <v>14.7</v>
      </c>
      <c r="AN16" s="559">
        <f>ROUND(23.63*0.67*14.7,0)</f>
        <v>233</v>
      </c>
      <c r="AO16" s="683">
        <v>12.6</v>
      </c>
      <c r="AP16" s="559">
        <f>ROUND(23.63*0.67*12.6,0)</f>
        <v>199</v>
      </c>
      <c r="AQ16" s="683">
        <v>10.199999999999999</v>
      </c>
      <c r="AR16" s="559">
        <f>ROUND(23.63*0.67*10.2,0)</f>
        <v>161</v>
      </c>
      <c r="AS16" s="683">
        <v>8</v>
      </c>
      <c r="AT16" s="559">
        <f>ROUND(23.63*0.67*8,0)</f>
        <v>127</v>
      </c>
      <c r="AU16" s="683">
        <v>6.4</v>
      </c>
      <c r="AV16" s="559">
        <f>ROUND(23.63*0.67*6.4,0)</f>
        <v>101</v>
      </c>
      <c r="AW16" s="683">
        <v>5.3</v>
      </c>
      <c r="AX16" s="559">
        <f>ROUND(23.63*0.67*5.3,0)</f>
        <v>84</v>
      </c>
      <c r="AY16" s="683">
        <v>4.5</v>
      </c>
      <c r="AZ16" s="559">
        <f>ROUND(23.63*0.67*4.5,0)</f>
        <v>71</v>
      </c>
      <c r="BA16" s="683">
        <v>3.9</v>
      </c>
      <c r="BB16" s="684">
        <f>ROUND(23.63*0.67*3.9,0)</f>
        <v>62</v>
      </c>
      <c r="BC16" s="562"/>
      <c r="BD16" s="552"/>
      <c r="BE16" s="554" t="s">
        <v>204</v>
      </c>
      <c r="BF16" s="679" t="s">
        <v>72</v>
      </c>
      <c r="BG16" s="555">
        <v>23.63</v>
      </c>
      <c r="BH16" s="680">
        <v>0.67</v>
      </c>
      <c r="BI16" s="681"/>
      <c r="BJ16" s="682">
        <v>2.9</v>
      </c>
      <c r="BK16" s="559">
        <f>ROUND(23.63*0.67*2.9,0)</f>
        <v>46</v>
      </c>
      <c r="BL16" s="683">
        <v>2.4</v>
      </c>
      <c r="BM16" s="559">
        <f>ROUND(23.63*0.67*2.4,0)</f>
        <v>38</v>
      </c>
      <c r="BN16" s="683">
        <v>2.1</v>
      </c>
      <c r="BO16" s="559">
        <f>ROUND(23.63*0.67*2.1,0)</f>
        <v>33</v>
      </c>
      <c r="BP16" s="683">
        <v>1.8</v>
      </c>
      <c r="BQ16" s="559">
        <f>ROUND(23.63*0.67*1.8,0)</f>
        <v>28</v>
      </c>
      <c r="BR16" s="683">
        <v>1.5</v>
      </c>
      <c r="BS16" s="559">
        <f>ROUND(23.63*0.67*1.5,0)</f>
        <v>24</v>
      </c>
      <c r="BT16" s="683">
        <v>1.5</v>
      </c>
      <c r="BU16" s="559">
        <f>ROUND(23.63*0.67*1.5,0)</f>
        <v>24</v>
      </c>
      <c r="BV16" s="683">
        <v>2</v>
      </c>
      <c r="BW16" s="559">
        <f>ROUND(23.63*0.67*2,0)</f>
        <v>32</v>
      </c>
      <c r="BX16" s="683">
        <v>3.1</v>
      </c>
      <c r="BY16" s="559">
        <f>ROUND(23.63*0.67*3.1,0)</f>
        <v>49</v>
      </c>
      <c r="BZ16" s="683">
        <v>4.5999999999999996</v>
      </c>
      <c r="CA16" s="559">
        <f>ROUND(23.63*0.67*4.6,0)</f>
        <v>73</v>
      </c>
      <c r="CB16" s="683">
        <v>6.4</v>
      </c>
      <c r="CC16" s="559">
        <f>ROUND(23.63*0.67*6.4,0)</f>
        <v>101</v>
      </c>
      <c r="CD16" s="683">
        <v>8.6999999999999993</v>
      </c>
      <c r="CE16" s="559">
        <f>ROUND(23.63*0.67*8.7,0)</f>
        <v>138</v>
      </c>
      <c r="CF16" s="683">
        <v>11.5</v>
      </c>
      <c r="CG16" s="559">
        <f>ROUND(23.63*0.67*11.5,0)</f>
        <v>182</v>
      </c>
      <c r="CH16" s="683">
        <v>14.2</v>
      </c>
      <c r="CI16" s="559">
        <f>ROUND(23.63*0.67*14.2,0)</f>
        <v>225</v>
      </c>
      <c r="CJ16" s="683">
        <v>16.5</v>
      </c>
      <c r="CK16" s="559">
        <f>ROUND(23.63*0.67*16.5,0)</f>
        <v>261</v>
      </c>
      <c r="CL16" s="683">
        <v>17.7</v>
      </c>
      <c r="CM16" s="559">
        <f>ROUND(23.63*0.67*17.7,0)</f>
        <v>280</v>
      </c>
      <c r="CN16" s="683">
        <v>17.8</v>
      </c>
      <c r="CO16" s="559">
        <f>ROUND(23.63*0.67*17.8,0)</f>
        <v>282</v>
      </c>
      <c r="CP16" s="683">
        <v>16.600000000000001</v>
      </c>
      <c r="CQ16" s="559">
        <f>ROUND(23.63*0.67*16.6,0)</f>
        <v>263</v>
      </c>
      <c r="CR16" s="683">
        <v>14.4</v>
      </c>
      <c r="CS16" s="559">
        <f>ROUND(23.63*0.67*14.4,0)</f>
        <v>228</v>
      </c>
      <c r="CT16" s="683">
        <v>11.4</v>
      </c>
      <c r="CU16" s="559">
        <f>ROUND(23.63*0.67*11.4,0)</f>
        <v>180</v>
      </c>
      <c r="CV16" s="683">
        <v>8.6999999999999993</v>
      </c>
      <c r="CW16" s="559">
        <f>ROUND(23.63*0.67*8.7,0)</f>
        <v>138</v>
      </c>
      <c r="CX16" s="683">
        <v>6.6</v>
      </c>
      <c r="CY16" s="559">
        <f>ROUND(23.63*0.67*6.6,0)</f>
        <v>104</v>
      </c>
      <c r="CZ16" s="683">
        <v>5.0999999999999996</v>
      </c>
      <c r="DA16" s="559">
        <f>ROUND(23.63*0.67*5.1,0)</f>
        <v>81</v>
      </c>
      <c r="DB16" s="683">
        <v>4.0999999999999996</v>
      </c>
      <c r="DC16" s="559">
        <f>ROUND(23.63*0.67*4.1,0)</f>
        <v>65</v>
      </c>
      <c r="DD16" s="683">
        <v>3.4</v>
      </c>
      <c r="DE16" s="684">
        <f>ROUND(23.63*0.67*3.4,0)</f>
        <v>54</v>
      </c>
      <c r="DF16" s="562"/>
      <c r="DG16" s="552"/>
      <c r="DH16" s="554" t="s">
        <v>204</v>
      </c>
      <c r="DI16" s="679" t="s">
        <v>72</v>
      </c>
      <c r="DJ16" s="555">
        <v>23.63</v>
      </c>
      <c r="DK16" s="680">
        <v>0.67</v>
      </c>
      <c r="DL16" s="681"/>
      <c r="DM16" s="682">
        <v>1.1000000000000001</v>
      </c>
      <c r="DN16" s="559">
        <f>ROUND(23.63*0.67*1.1,0)</f>
        <v>17</v>
      </c>
      <c r="DO16" s="683">
        <v>0.6</v>
      </c>
      <c r="DP16" s="559">
        <f>ROUND(23.63*0.67*0.6,0)</f>
        <v>9</v>
      </c>
      <c r="DQ16" s="683">
        <v>0.2</v>
      </c>
      <c r="DR16" s="559">
        <f>ROUND(23.63*0.67*0.2,0)</f>
        <v>3</v>
      </c>
      <c r="DS16" s="683">
        <v>0</v>
      </c>
      <c r="DT16" s="559">
        <f>ROUND(23.63*0.67*0,0)</f>
        <v>0</v>
      </c>
      <c r="DU16" s="683">
        <v>0</v>
      </c>
      <c r="DV16" s="559">
        <f>ROUND(23.63*0.67*0,0)</f>
        <v>0</v>
      </c>
      <c r="DW16" s="683">
        <v>0</v>
      </c>
      <c r="DX16" s="559">
        <f>ROUND(23.63*0.67*0,0)</f>
        <v>0</v>
      </c>
      <c r="DY16" s="683">
        <v>0</v>
      </c>
      <c r="DZ16" s="559">
        <f>ROUND(23.63*0.67*0,0)</f>
        <v>0</v>
      </c>
      <c r="EA16" s="683">
        <v>0.5</v>
      </c>
      <c r="EB16" s="559">
        <f>ROUND(23.63*0.67*0.5,0)</f>
        <v>8</v>
      </c>
      <c r="EC16" s="683">
        <v>2.2000000000000002</v>
      </c>
      <c r="ED16" s="559">
        <f>ROUND(23.63*0.67*2.2,0)</f>
        <v>35</v>
      </c>
      <c r="EE16" s="683">
        <v>5.0999999999999996</v>
      </c>
      <c r="EF16" s="559">
        <f>ROUND(23.63*0.67*5.1,0)</f>
        <v>81</v>
      </c>
      <c r="EG16" s="683">
        <v>8.9</v>
      </c>
      <c r="EH16" s="559">
        <f>ROUND(23.63*0.67*8.9,0)</f>
        <v>141</v>
      </c>
      <c r="EI16" s="683">
        <v>12.9</v>
      </c>
      <c r="EJ16" s="559">
        <f>ROUND(23.63*0.67*12.9,0)</f>
        <v>204</v>
      </c>
      <c r="EK16" s="683">
        <v>16.399999999999999</v>
      </c>
      <c r="EL16" s="559">
        <f>ROUND(23.63*0.67*16.4,0)</f>
        <v>260</v>
      </c>
      <c r="EM16" s="683">
        <v>18.899999999999999</v>
      </c>
      <c r="EN16" s="559">
        <f>ROUND(23.63*0.67*18.9,0)</f>
        <v>299</v>
      </c>
      <c r="EO16" s="683">
        <v>20.2</v>
      </c>
      <c r="EP16" s="559">
        <f>ROUND(23.63*0.67*20.2,0)</f>
        <v>320</v>
      </c>
      <c r="EQ16" s="683">
        <v>19.8</v>
      </c>
      <c r="ER16" s="559">
        <f>ROUND(23.63*0.67*19.8,0)</f>
        <v>313</v>
      </c>
      <c r="ES16" s="683">
        <v>17.7</v>
      </c>
      <c r="ET16" s="559">
        <f>ROUND(23.63*0.67*17.7,0)</f>
        <v>280</v>
      </c>
      <c r="EU16" s="683">
        <v>14.1</v>
      </c>
      <c r="EV16" s="559">
        <f>ROUND(23.63*0.67*14.1,0)</f>
        <v>223</v>
      </c>
      <c r="EW16" s="683">
        <v>10.1</v>
      </c>
      <c r="EX16" s="559">
        <f>ROUND(23.63*0.67*10.1,0)</f>
        <v>160</v>
      </c>
      <c r="EY16" s="683">
        <v>7</v>
      </c>
      <c r="EZ16" s="559">
        <f>ROUND(23.63*0.67*7,0)</f>
        <v>111</v>
      </c>
      <c r="FA16" s="683">
        <v>4.8</v>
      </c>
      <c r="FB16" s="559">
        <f>ROUND(23.63*0.67*4.8,0)</f>
        <v>76</v>
      </c>
      <c r="FC16" s="683">
        <v>3.4</v>
      </c>
      <c r="FD16" s="559">
        <f>ROUND(23.63*0.67*3.4,0)</f>
        <v>54</v>
      </c>
      <c r="FE16" s="683">
        <v>2.4</v>
      </c>
      <c r="FF16" s="559">
        <f>ROUND(23.63*0.67*2.4,0)</f>
        <v>38</v>
      </c>
      <c r="FG16" s="683">
        <v>1.7</v>
      </c>
      <c r="FH16" s="684">
        <f>ROUND(23.63*0.67*1.7,0)</f>
        <v>27</v>
      </c>
      <c r="FI16" s="563"/>
      <c r="FJ16" s="564"/>
      <c r="FK16" s="554" t="s">
        <v>204</v>
      </c>
      <c r="FL16" s="679" t="s">
        <v>72</v>
      </c>
      <c r="FM16" s="555">
        <v>23.63</v>
      </c>
      <c r="FN16" s="680">
        <v>0.67</v>
      </c>
      <c r="FO16" s="681"/>
      <c r="FP16" s="685">
        <v>5</v>
      </c>
      <c r="FQ16" s="686">
        <v>19.3</v>
      </c>
      <c r="FR16" s="559">
        <f>ROUND(23.63*0.67*19.3,0)</f>
        <v>306</v>
      </c>
      <c r="FS16" s="687">
        <v>8</v>
      </c>
      <c r="FT16" s="686">
        <v>17.600000000000001</v>
      </c>
      <c r="FU16" s="567">
        <f>ROUND(23.63*0.67*17.6,0)</f>
        <v>279</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223</v>
      </c>
      <c r="C17" s="691" t="s">
        <v>72</v>
      </c>
      <c r="D17" s="583">
        <v>4.05</v>
      </c>
      <c r="E17" s="692">
        <v>5.9</v>
      </c>
      <c r="F17" s="693"/>
      <c r="G17" s="694">
        <v>2.5</v>
      </c>
      <c r="H17" s="587">
        <f>ROUND(4.05*5.9*2.5,0)</f>
        <v>60</v>
      </c>
      <c r="I17" s="695">
        <v>2.1</v>
      </c>
      <c r="J17" s="587">
        <f>ROUND(4.05*5.9*2.1,0)</f>
        <v>50</v>
      </c>
      <c r="K17" s="695">
        <v>1.9</v>
      </c>
      <c r="L17" s="587">
        <f>ROUND(4.05*5.9*1.9,0)</f>
        <v>45</v>
      </c>
      <c r="M17" s="695">
        <v>1.7</v>
      </c>
      <c r="N17" s="587">
        <f>ROUND(4.05*5.9*1.7,0)</f>
        <v>41</v>
      </c>
      <c r="O17" s="695">
        <v>1.6</v>
      </c>
      <c r="P17" s="587">
        <f>ROUND(4.05*5.9*1.6,0)</f>
        <v>38</v>
      </c>
      <c r="Q17" s="695">
        <v>1.9</v>
      </c>
      <c r="R17" s="587">
        <f>ROUND(4.05*5.9*1.9,0)</f>
        <v>45</v>
      </c>
      <c r="S17" s="695">
        <v>2.9</v>
      </c>
      <c r="T17" s="587">
        <f>ROUND(4.05*5.9*2.9,0)</f>
        <v>69</v>
      </c>
      <c r="U17" s="695">
        <v>4</v>
      </c>
      <c r="V17" s="587">
        <f>ROUND(4.05*5.9*4,0)</f>
        <v>96</v>
      </c>
      <c r="W17" s="695">
        <v>5.3</v>
      </c>
      <c r="X17" s="587">
        <f>ROUND(4.05*5.9*5.3,0)</f>
        <v>127</v>
      </c>
      <c r="Y17" s="695">
        <v>6.5</v>
      </c>
      <c r="Z17" s="587">
        <f>ROUND(4.05*5.9*6.5,0)</f>
        <v>155</v>
      </c>
      <c r="AA17" s="695">
        <v>7.2</v>
      </c>
      <c r="AB17" s="587">
        <f>ROUND(4.05*5.9*7.2,0)</f>
        <v>172</v>
      </c>
      <c r="AC17" s="695">
        <v>7.7</v>
      </c>
      <c r="AD17" s="587">
        <f>ROUND(4.05*5.9*7.7,0)</f>
        <v>184</v>
      </c>
      <c r="AE17" s="695">
        <v>7.9</v>
      </c>
      <c r="AF17" s="587">
        <f>ROUND(4.05*5.9*7.9,0)</f>
        <v>189</v>
      </c>
      <c r="AG17" s="695">
        <v>7.9</v>
      </c>
      <c r="AH17" s="587">
        <f>ROUND(4.05*5.9*7.9,0)</f>
        <v>189</v>
      </c>
      <c r="AI17" s="695">
        <v>7.4</v>
      </c>
      <c r="AJ17" s="587">
        <f>ROUND(4.05*5.9*7.4,0)</f>
        <v>177</v>
      </c>
      <c r="AK17" s="695">
        <v>6.9</v>
      </c>
      <c r="AL17" s="587">
        <f>ROUND(4.05*5.9*6.9,0)</f>
        <v>165</v>
      </c>
      <c r="AM17" s="695">
        <v>6</v>
      </c>
      <c r="AN17" s="587">
        <f>ROUND(4.05*5.9*6,0)</f>
        <v>143</v>
      </c>
      <c r="AO17" s="695">
        <v>5.3</v>
      </c>
      <c r="AP17" s="587">
        <f>ROUND(4.05*5.9*5.3,0)</f>
        <v>127</v>
      </c>
      <c r="AQ17" s="695">
        <v>4.4000000000000004</v>
      </c>
      <c r="AR17" s="587">
        <f>ROUND(4.05*5.9*4.4,0)</f>
        <v>105</v>
      </c>
      <c r="AS17" s="695">
        <v>3.8</v>
      </c>
      <c r="AT17" s="587">
        <f>ROUND(4.05*5.9*3.8,0)</f>
        <v>91</v>
      </c>
      <c r="AU17" s="695">
        <v>3.5</v>
      </c>
      <c r="AV17" s="587">
        <f>ROUND(4.05*5.9*3.5,0)</f>
        <v>84</v>
      </c>
      <c r="AW17" s="695">
        <v>3.2</v>
      </c>
      <c r="AX17" s="587">
        <f>ROUND(4.05*5.9*3.2,0)</f>
        <v>76</v>
      </c>
      <c r="AY17" s="695">
        <v>2.9</v>
      </c>
      <c r="AZ17" s="587">
        <f>ROUND(4.05*5.9*2.9,0)</f>
        <v>69</v>
      </c>
      <c r="BA17" s="695">
        <v>2.8</v>
      </c>
      <c r="BB17" s="589">
        <f>ROUND(4.05*5.9*2.8,0)</f>
        <v>67</v>
      </c>
      <c r="BC17" s="562"/>
      <c r="BD17" s="552"/>
      <c r="BE17" s="582" t="s">
        <v>223</v>
      </c>
      <c r="BF17" s="691" t="s">
        <v>72</v>
      </c>
      <c r="BG17" s="583">
        <v>4.05</v>
      </c>
      <c r="BH17" s="692">
        <v>5.9</v>
      </c>
      <c r="BI17" s="693"/>
      <c r="BJ17" s="694">
        <v>1.8</v>
      </c>
      <c r="BK17" s="587">
        <f>ROUND(4.05*5.9*1.8,0)</f>
        <v>43</v>
      </c>
      <c r="BL17" s="695">
        <v>1.5</v>
      </c>
      <c r="BM17" s="587">
        <f>ROUND(4.05*5.9*1.5,0)</f>
        <v>36</v>
      </c>
      <c r="BN17" s="695">
        <v>1.3</v>
      </c>
      <c r="BO17" s="587">
        <f>ROUND(4.05*5.9*1.3,0)</f>
        <v>31</v>
      </c>
      <c r="BP17" s="695">
        <v>1.1000000000000001</v>
      </c>
      <c r="BQ17" s="587">
        <f>ROUND(4.05*5.9*1.1,0)</f>
        <v>26</v>
      </c>
      <c r="BR17" s="695">
        <v>1</v>
      </c>
      <c r="BS17" s="587">
        <f>ROUND(4.05*5.9*1,0)</f>
        <v>24</v>
      </c>
      <c r="BT17" s="695">
        <v>1.3</v>
      </c>
      <c r="BU17" s="587">
        <f>ROUND(4.05*5.9*1.3,0)</f>
        <v>31</v>
      </c>
      <c r="BV17" s="695">
        <v>2.4</v>
      </c>
      <c r="BW17" s="587">
        <f>ROUND(4.05*5.9*2.4,0)</f>
        <v>57</v>
      </c>
      <c r="BX17" s="695">
        <v>3.8</v>
      </c>
      <c r="BY17" s="587">
        <f>ROUND(4.05*5.9*3.8,0)</f>
        <v>91</v>
      </c>
      <c r="BZ17" s="695">
        <v>5.0999999999999996</v>
      </c>
      <c r="CA17" s="587">
        <f>ROUND(4.05*5.9*5.1,0)</f>
        <v>122</v>
      </c>
      <c r="CB17" s="695">
        <v>6.1</v>
      </c>
      <c r="CC17" s="587">
        <f>ROUND(4.05*5.9*6.1,0)</f>
        <v>146</v>
      </c>
      <c r="CD17" s="695">
        <v>7</v>
      </c>
      <c r="CE17" s="587">
        <f>ROUND(4.05*5.9*7,0)</f>
        <v>167</v>
      </c>
      <c r="CF17" s="695">
        <v>7.4</v>
      </c>
      <c r="CG17" s="587">
        <f>ROUND(4.05*5.9*7.4,0)</f>
        <v>177</v>
      </c>
      <c r="CH17" s="695">
        <v>7.6</v>
      </c>
      <c r="CI17" s="587">
        <f>ROUND(4.05*5.9*7.6,0)</f>
        <v>182</v>
      </c>
      <c r="CJ17" s="695">
        <v>7.4</v>
      </c>
      <c r="CK17" s="587">
        <f>ROUND(4.05*5.9*7.4,0)</f>
        <v>177</v>
      </c>
      <c r="CL17" s="695">
        <v>6.9</v>
      </c>
      <c r="CM17" s="587">
        <f>ROUND(4.05*5.9*6.9,0)</f>
        <v>165</v>
      </c>
      <c r="CN17" s="695">
        <v>6.5</v>
      </c>
      <c r="CO17" s="587">
        <f>ROUND(4.05*5.9*6.5,0)</f>
        <v>155</v>
      </c>
      <c r="CP17" s="695">
        <v>6</v>
      </c>
      <c r="CQ17" s="587">
        <f>ROUND(4.05*5.9*6,0)</f>
        <v>143</v>
      </c>
      <c r="CR17" s="695">
        <v>5.0999999999999996</v>
      </c>
      <c r="CS17" s="587">
        <f>ROUND(4.05*5.9*5.1,0)</f>
        <v>122</v>
      </c>
      <c r="CT17" s="695">
        <v>3.9</v>
      </c>
      <c r="CU17" s="587">
        <f>ROUND(4.05*5.9*3.9,0)</f>
        <v>93</v>
      </c>
      <c r="CV17" s="695">
        <v>3.1</v>
      </c>
      <c r="CW17" s="587">
        <f>ROUND(4.05*5.9*3.1,0)</f>
        <v>74</v>
      </c>
      <c r="CX17" s="695">
        <v>2.7</v>
      </c>
      <c r="CY17" s="587">
        <f>ROUND(4.05*5.9*2.7,0)</f>
        <v>65</v>
      </c>
      <c r="CZ17" s="695">
        <v>2.4</v>
      </c>
      <c r="DA17" s="587">
        <f>ROUND(4.05*5.9*2.4,0)</f>
        <v>57</v>
      </c>
      <c r="DB17" s="695">
        <v>2.2999999999999998</v>
      </c>
      <c r="DC17" s="587">
        <f>ROUND(4.05*5.9*2.3,0)</f>
        <v>55</v>
      </c>
      <c r="DD17" s="695">
        <v>2</v>
      </c>
      <c r="DE17" s="589">
        <f>ROUND(4.05*5.9*2,0)</f>
        <v>48</v>
      </c>
      <c r="DF17" s="562"/>
      <c r="DG17" s="552"/>
      <c r="DH17" s="582" t="s">
        <v>223</v>
      </c>
      <c r="DI17" s="691" t="s">
        <v>72</v>
      </c>
      <c r="DJ17" s="583">
        <v>4.05</v>
      </c>
      <c r="DK17" s="692">
        <v>5.9</v>
      </c>
      <c r="DL17" s="693"/>
      <c r="DM17" s="694">
        <v>0</v>
      </c>
      <c r="DN17" s="587">
        <f>ROUND(4.05*5.9*0,0)</f>
        <v>0</v>
      </c>
      <c r="DO17" s="695">
        <v>0</v>
      </c>
      <c r="DP17" s="587">
        <f>ROUND(4.05*5.9*0,0)</f>
        <v>0</v>
      </c>
      <c r="DQ17" s="695">
        <v>0</v>
      </c>
      <c r="DR17" s="587">
        <f>ROUND(4.05*5.9*0,0)</f>
        <v>0</v>
      </c>
      <c r="DS17" s="695">
        <v>0</v>
      </c>
      <c r="DT17" s="587">
        <f>ROUND(4.05*5.9*0,0)</f>
        <v>0</v>
      </c>
      <c r="DU17" s="695">
        <v>0</v>
      </c>
      <c r="DV17" s="587">
        <f>ROUND(4.05*5.9*0,0)</f>
        <v>0</v>
      </c>
      <c r="DW17" s="695">
        <v>0</v>
      </c>
      <c r="DX17" s="587">
        <f>ROUND(4.05*5.9*0,0)</f>
        <v>0</v>
      </c>
      <c r="DY17" s="695">
        <v>0</v>
      </c>
      <c r="DZ17" s="587">
        <f>ROUND(4.05*5.9*0,0)</f>
        <v>0</v>
      </c>
      <c r="EA17" s="695">
        <v>1.5</v>
      </c>
      <c r="EB17" s="587">
        <f>ROUND(4.05*5.9*1.5,0)</f>
        <v>36</v>
      </c>
      <c r="EC17" s="695">
        <v>2.8</v>
      </c>
      <c r="ED17" s="587">
        <f>ROUND(4.05*5.9*2.8,0)</f>
        <v>67</v>
      </c>
      <c r="EE17" s="695">
        <v>4.0999999999999996</v>
      </c>
      <c r="EF17" s="587">
        <f>ROUND(4.05*5.9*4.1,0)</f>
        <v>98</v>
      </c>
      <c r="EG17" s="695">
        <v>4.9000000000000004</v>
      </c>
      <c r="EH17" s="587">
        <f>ROUND(4.05*5.9*4.9,0)</f>
        <v>117</v>
      </c>
      <c r="EI17" s="695">
        <v>5.6</v>
      </c>
      <c r="EJ17" s="587">
        <f>ROUND(4.05*5.9*5.6,0)</f>
        <v>134</v>
      </c>
      <c r="EK17" s="695">
        <v>5.8</v>
      </c>
      <c r="EL17" s="587">
        <f>ROUND(4.05*5.9*5.8,0)</f>
        <v>139</v>
      </c>
      <c r="EM17" s="695">
        <v>5.5</v>
      </c>
      <c r="EN17" s="587">
        <f>ROUND(4.05*5.9*5.5,0)</f>
        <v>131</v>
      </c>
      <c r="EO17" s="695">
        <v>5.0999999999999996</v>
      </c>
      <c r="EP17" s="587">
        <f>ROUND(4.05*5.9*5.1,0)</f>
        <v>122</v>
      </c>
      <c r="EQ17" s="695">
        <v>4.7</v>
      </c>
      <c r="ER17" s="587">
        <f>ROUND(4.05*5.9*4.7,0)</f>
        <v>112</v>
      </c>
      <c r="ES17" s="695">
        <v>3.7</v>
      </c>
      <c r="ET17" s="587">
        <f>ROUND(4.05*5.9*3.7,0)</f>
        <v>88</v>
      </c>
      <c r="EU17" s="695">
        <v>2.7</v>
      </c>
      <c r="EV17" s="587">
        <f>ROUND(4.05*5.9*2.7,0)</f>
        <v>65</v>
      </c>
      <c r="EW17" s="695">
        <v>1.9</v>
      </c>
      <c r="EX17" s="587">
        <f>ROUND(4.05*5.9*1.9,0)</f>
        <v>45</v>
      </c>
      <c r="EY17" s="695">
        <v>1.3</v>
      </c>
      <c r="EZ17" s="587">
        <f>ROUND(4.05*5.9*1.3,0)</f>
        <v>31</v>
      </c>
      <c r="FA17" s="695">
        <v>1</v>
      </c>
      <c r="FB17" s="587">
        <f>ROUND(4.05*5.9*1,0)</f>
        <v>24</v>
      </c>
      <c r="FC17" s="695">
        <v>0.80000000000000104</v>
      </c>
      <c r="FD17" s="587">
        <f>ROUND(4.05*5.9*0.800000000000001,0)</f>
        <v>19</v>
      </c>
      <c r="FE17" s="695">
        <v>0.60000000000000098</v>
      </c>
      <c r="FF17" s="587">
        <f>ROUND(4.05*5.9*0.600000000000001,0)</f>
        <v>14</v>
      </c>
      <c r="FG17" s="695">
        <v>0.19999999999999901</v>
      </c>
      <c r="FH17" s="589">
        <f>ROUND(4.05*5.9*0.199999999999999,0)</f>
        <v>5</v>
      </c>
      <c r="FI17" s="563"/>
      <c r="FJ17" s="564"/>
      <c r="FK17" s="582" t="s">
        <v>223</v>
      </c>
      <c r="FL17" s="691" t="s">
        <v>72</v>
      </c>
      <c r="FM17" s="583">
        <v>4.05</v>
      </c>
      <c r="FN17" s="692">
        <v>5.9</v>
      </c>
      <c r="FO17" s="693"/>
      <c r="FP17" s="696">
        <v>5</v>
      </c>
      <c r="FQ17" s="697">
        <v>19.3</v>
      </c>
      <c r="FR17" s="587">
        <f>ROUND(4.05*5.9*19.3,0)</f>
        <v>461</v>
      </c>
      <c r="FS17" s="698">
        <v>8</v>
      </c>
      <c r="FT17" s="697">
        <v>17.600000000000001</v>
      </c>
      <c r="FU17" s="592">
        <f>ROUND(4.05*5.9*17.6,0)</f>
        <v>421</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204</v>
      </c>
      <c r="C18" s="691" t="s">
        <v>74</v>
      </c>
      <c r="D18" s="583">
        <v>54</v>
      </c>
      <c r="E18" s="692">
        <v>0.67</v>
      </c>
      <c r="F18" s="693"/>
      <c r="G18" s="694">
        <v>3.6</v>
      </c>
      <c r="H18" s="587">
        <f>ROUND(54*0.67*3.6,0)</f>
        <v>130</v>
      </c>
      <c r="I18" s="695">
        <v>3.2</v>
      </c>
      <c r="J18" s="587">
        <f>ROUND(54*0.67*3.2,0)</f>
        <v>116</v>
      </c>
      <c r="K18" s="695">
        <v>2.8</v>
      </c>
      <c r="L18" s="587">
        <f>ROUND(54*0.67*2.8,0)</f>
        <v>101</v>
      </c>
      <c r="M18" s="695">
        <v>2.4</v>
      </c>
      <c r="N18" s="587">
        <f>ROUND(54*0.67*2.4,0)</f>
        <v>87</v>
      </c>
      <c r="O18" s="695">
        <v>2.2000000000000002</v>
      </c>
      <c r="P18" s="587">
        <f>ROUND(54*0.67*2.2,0)</f>
        <v>80</v>
      </c>
      <c r="Q18" s="695">
        <v>2.1</v>
      </c>
      <c r="R18" s="587">
        <f>ROUND(54*0.67*2.1,0)</f>
        <v>76</v>
      </c>
      <c r="S18" s="695">
        <v>2.5</v>
      </c>
      <c r="T18" s="587">
        <f>ROUND(54*0.67*2.5,0)</f>
        <v>90</v>
      </c>
      <c r="U18" s="695">
        <v>3.6</v>
      </c>
      <c r="V18" s="587">
        <f>ROUND(54*0.67*3.6,0)</f>
        <v>130</v>
      </c>
      <c r="W18" s="695">
        <v>5.0999999999999996</v>
      </c>
      <c r="X18" s="587">
        <f>ROUND(54*0.67*5.1,0)</f>
        <v>185</v>
      </c>
      <c r="Y18" s="695">
        <v>6.8</v>
      </c>
      <c r="Z18" s="587">
        <f>ROUND(54*0.67*6.8,0)</f>
        <v>246</v>
      </c>
      <c r="AA18" s="695">
        <v>8.5</v>
      </c>
      <c r="AB18" s="587">
        <f>ROUND(54*0.67*8.5,0)</f>
        <v>308</v>
      </c>
      <c r="AC18" s="695">
        <v>9.9</v>
      </c>
      <c r="AD18" s="587">
        <f>ROUND(54*0.67*9.9,0)</f>
        <v>358</v>
      </c>
      <c r="AE18" s="695">
        <v>11.2</v>
      </c>
      <c r="AF18" s="587">
        <f>ROUND(54*0.67*11.2,0)</f>
        <v>405</v>
      </c>
      <c r="AG18" s="695">
        <v>13</v>
      </c>
      <c r="AH18" s="587">
        <f>ROUND(54*0.67*13,0)</f>
        <v>470</v>
      </c>
      <c r="AI18" s="695">
        <v>15</v>
      </c>
      <c r="AJ18" s="587">
        <f>ROUND(54*0.67*15,0)</f>
        <v>543</v>
      </c>
      <c r="AK18" s="695">
        <v>16.5</v>
      </c>
      <c r="AL18" s="587">
        <f>ROUND(54*0.67*16.5,0)</f>
        <v>597</v>
      </c>
      <c r="AM18" s="695">
        <v>16.8</v>
      </c>
      <c r="AN18" s="587">
        <f>ROUND(54*0.67*16.8,0)</f>
        <v>608</v>
      </c>
      <c r="AO18" s="695">
        <v>15.6</v>
      </c>
      <c r="AP18" s="587">
        <f>ROUND(54*0.67*15.6,0)</f>
        <v>564</v>
      </c>
      <c r="AQ18" s="695">
        <v>12.7</v>
      </c>
      <c r="AR18" s="587">
        <f>ROUND(54*0.67*12.7,0)</f>
        <v>459</v>
      </c>
      <c r="AS18" s="695">
        <v>9.6999999999999993</v>
      </c>
      <c r="AT18" s="587">
        <f>ROUND(54*0.67*9.7,0)</f>
        <v>351</v>
      </c>
      <c r="AU18" s="695">
        <v>7.5</v>
      </c>
      <c r="AV18" s="587">
        <f>ROUND(54*0.67*7.5,0)</f>
        <v>271</v>
      </c>
      <c r="AW18" s="695">
        <v>6</v>
      </c>
      <c r="AX18" s="587">
        <f>ROUND(54*0.67*6,0)</f>
        <v>217</v>
      </c>
      <c r="AY18" s="695">
        <v>4.9000000000000004</v>
      </c>
      <c r="AZ18" s="587">
        <f>ROUND(54*0.67*4.9,0)</f>
        <v>177</v>
      </c>
      <c r="BA18" s="695">
        <v>4.2</v>
      </c>
      <c r="BB18" s="589">
        <f>ROUND(54*0.67*4.2,0)</f>
        <v>152</v>
      </c>
      <c r="BC18" s="562"/>
      <c r="BD18" s="552"/>
      <c r="BE18" s="700" t="s">
        <v>204</v>
      </c>
      <c r="BF18" s="691" t="s">
        <v>74</v>
      </c>
      <c r="BG18" s="583">
        <v>54</v>
      </c>
      <c r="BH18" s="692">
        <v>0.67</v>
      </c>
      <c r="BI18" s="693"/>
      <c r="BJ18" s="694">
        <v>3.3</v>
      </c>
      <c r="BK18" s="587">
        <f>ROUND(54*0.67*3.3,0)</f>
        <v>119</v>
      </c>
      <c r="BL18" s="695">
        <v>2.7</v>
      </c>
      <c r="BM18" s="587">
        <f>ROUND(54*0.67*2.7,0)</f>
        <v>98</v>
      </c>
      <c r="BN18" s="695">
        <v>2.2000000000000002</v>
      </c>
      <c r="BO18" s="587">
        <f>ROUND(54*0.67*2.2,0)</f>
        <v>80</v>
      </c>
      <c r="BP18" s="695">
        <v>1.9</v>
      </c>
      <c r="BQ18" s="587">
        <f>ROUND(54*0.67*1.9,0)</f>
        <v>69</v>
      </c>
      <c r="BR18" s="695">
        <v>1.6</v>
      </c>
      <c r="BS18" s="587">
        <f>ROUND(54*0.67*1.6,0)</f>
        <v>58</v>
      </c>
      <c r="BT18" s="695">
        <v>1.5</v>
      </c>
      <c r="BU18" s="587">
        <f>ROUND(54*0.67*1.5,0)</f>
        <v>54</v>
      </c>
      <c r="BV18" s="695">
        <v>2</v>
      </c>
      <c r="BW18" s="587">
        <f>ROUND(54*0.67*2,0)</f>
        <v>72</v>
      </c>
      <c r="BX18" s="695">
        <v>3.1</v>
      </c>
      <c r="BY18" s="587">
        <f>ROUND(54*0.67*3.1,0)</f>
        <v>112</v>
      </c>
      <c r="BZ18" s="695">
        <v>4.5999999999999996</v>
      </c>
      <c r="CA18" s="587">
        <f>ROUND(54*0.67*4.6,0)</f>
        <v>166</v>
      </c>
      <c r="CB18" s="695">
        <v>6.2</v>
      </c>
      <c r="CC18" s="587">
        <f>ROUND(54*0.67*6.2,0)</f>
        <v>224</v>
      </c>
      <c r="CD18" s="695">
        <v>7.7</v>
      </c>
      <c r="CE18" s="587">
        <f>ROUND(54*0.67*7.7,0)</f>
        <v>279</v>
      </c>
      <c r="CF18" s="695">
        <v>9</v>
      </c>
      <c r="CG18" s="587">
        <f>ROUND(54*0.67*9,0)</f>
        <v>326</v>
      </c>
      <c r="CH18" s="695">
        <v>10.3</v>
      </c>
      <c r="CI18" s="587">
        <f>ROUND(54*0.67*10.3,0)</f>
        <v>373</v>
      </c>
      <c r="CJ18" s="695">
        <v>12.6</v>
      </c>
      <c r="CK18" s="587">
        <f>ROUND(54*0.67*12.6,0)</f>
        <v>456</v>
      </c>
      <c r="CL18" s="695">
        <v>15.8</v>
      </c>
      <c r="CM18" s="587">
        <f>ROUND(54*0.67*15.8,0)</f>
        <v>572</v>
      </c>
      <c r="CN18" s="695">
        <v>18.8</v>
      </c>
      <c r="CO18" s="587">
        <f>ROUND(54*0.67*18.8,0)</f>
        <v>680</v>
      </c>
      <c r="CP18" s="695">
        <v>20.8</v>
      </c>
      <c r="CQ18" s="587">
        <f>ROUND(54*0.67*20.8,0)</f>
        <v>753</v>
      </c>
      <c r="CR18" s="695">
        <v>21.1</v>
      </c>
      <c r="CS18" s="587">
        <f>ROUND(54*0.67*21.1,0)</f>
        <v>763</v>
      </c>
      <c r="CT18" s="695">
        <v>18.2</v>
      </c>
      <c r="CU18" s="587">
        <f>ROUND(54*0.67*18.2,0)</f>
        <v>658</v>
      </c>
      <c r="CV18" s="695">
        <v>13.3</v>
      </c>
      <c r="CW18" s="587">
        <f>ROUND(54*0.67*13.3,0)</f>
        <v>481</v>
      </c>
      <c r="CX18" s="695">
        <v>9.5</v>
      </c>
      <c r="CY18" s="587">
        <f>ROUND(54*0.67*9.5,0)</f>
        <v>344</v>
      </c>
      <c r="CZ18" s="695">
        <v>6.9</v>
      </c>
      <c r="DA18" s="587">
        <f>ROUND(54*0.67*6.9,0)</f>
        <v>250</v>
      </c>
      <c r="DB18" s="695">
        <v>5.2</v>
      </c>
      <c r="DC18" s="587">
        <f>ROUND(54*0.67*5.2,0)</f>
        <v>188</v>
      </c>
      <c r="DD18" s="695">
        <v>4.0999999999999996</v>
      </c>
      <c r="DE18" s="589">
        <f>ROUND(54*0.67*4.1,0)</f>
        <v>148</v>
      </c>
      <c r="DF18" s="562"/>
      <c r="DG18" s="552"/>
      <c r="DH18" s="700" t="s">
        <v>204</v>
      </c>
      <c r="DI18" s="691" t="s">
        <v>74</v>
      </c>
      <c r="DJ18" s="583">
        <v>54</v>
      </c>
      <c r="DK18" s="692">
        <v>0.67</v>
      </c>
      <c r="DL18" s="693"/>
      <c r="DM18" s="694">
        <v>1.2</v>
      </c>
      <c r="DN18" s="587">
        <f>ROUND(54*0.67*1.2,0)</f>
        <v>43</v>
      </c>
      <c r="DO18" s="695">
        <v>0.7</v>
      </c>
      <c r="DP18" s="587">
        <f>ROUND(54*0.67*0.7,0)</f>
        <v>25</v>
      </c>
      <c r="DQ18" s="695">
        <v>0.2</v>
      </c>
      <c r="DR18" s="587">
        <f>ROUND(54*0.67*0.2,0)</f>
        <v>7</v>
      </c>
      <c r="DS18" s="695">
        <v>0</v>
      </c>
      <c r="DT18" s="587">
        <f>ROUND(54*0.67*0,0)</f>
        <v>0</v>
      </c>
      <c r="DU18" s="695">
        <v>0</v>
      </c>
      <c r="DV18" s="587">
        <f>ROUND(54*0.67*0,0)</f>
        <v>0</v>
      </c>
      <c r="DW18" s="695">
        <v>0</v>
      </c>
      <c r="DX18" s="587">
        <f>ROUND(54*0.67*0,0)</f>
        <v>0</v>
      </c>
      <c r="DY18" s="695">
        <v>0</v>
      </c>
      <c r="DZ18" s="587">
        <f>ROUND(54*0.67*0,0)</f>
        <v>0</v>
      </c>
      <c r="EA18" s="695">
        <v>0.5</v>
      </c>
      <c r="EB18" s="587">
        <f>ROUND(54*0.67*0.5,0)</f>
        <v>18</v>
      </c>
      <c r="EC18" s="695">
        <v>1.9</v>
      </c>
      <c r="ED18" s="587">
        <f>ROUND(54*0.67*1.9,0)</f>
        <v>69</v>
      </c>
      <c r="EE18" s="695">
        <v>3.5</v>
      </c>
      <c r="EF18" s="587">
        <f>ROUND(54*0.67*3.5,0)</f>
        <v>127</v>
      </c>
      <c r="EG18" s="695">
        <v>5.0999999999999996</v>
      </c>
      <c r="EH18" s="587">
        <f>ROUND(54*0.67*5.1,0)</f>
        <v>185</v>
      </c>
      <c r="EI18" s="695">
        <v>6.5</v>
      </c>
      <c r="EJ18" s="587">
        <f>ROUND(54*0.67*6.5,0)</f>
        <v>235</v>
      </c>
      <c r="EK18" s="695">
        <v>7.8</v>
      </c>
      <c r="EL18" s="587">
        <f>ROUND(54*0.67*7.8,0)</f>
        <v>282</v>
      </c>
      <c r="EM18" s="695">
        <v>10</v>
      </c>
      <c r="EN18" s="587">
        <f>ROUND(54*0.67*10,0)</f>
        <v>362</v>
      </c>
      <c r="EO18" s="695">
        <v>13</v>
      </c>
      <c r="EP18" s="587">
        <f>ROUND(54*0.67*13,0)</f>
        <v>470</v>
      </c>
      <c r="EQ18" s="695">
        <v>15.7</v>
      </c>
      <c r="ER18" s="587">
        <f>ROUND(54*0.67*15.7,0)</f>
        <v>568</v>
      </c>
      <c r="ES18" s="695">
        <v>16.7</v>
      </c>
      <c r="ET18" s="587">
        <f>ROUND(54*0.67*16.7,0)</f>
        <v>604</v>
      </c>
      <c r="EU18" s="695">
        <v>15.2</v>
      </c>
      <c r="EV18" s="587">
        <f>ROUND(54*0.67*15.2,0)</f>
        <v>550</v>
      </c>
      <c r="EW18" s="695">
        <v>11</v>
      </c>
      <c r="EX18" s="587">
        <f>ROUND(54*0.67*11,0)</f>
        <v>398</v>
      </c>
      <c r="EY18" s="695">
        <v>7.6</v>
      </c>
      <c r="EZ18" s="587">
        <f>ROUND(54*0.67*7.6,0)</f>
        <v>275</v>
      </c>
      <c r="FA18" s="695">
        <v>5.2</v>
      </c>
      <c r="FB18" s="587">
        <f>ROUND(54*0.67*5.2,0)</f>
        <v>188</v>
      </c>
      <c r="FC18" s="695">
        <v>3.6</v>
      </c>
      <c r="FD18" s="587">
        <f>ROUND(54*0.67*3.6,0)</f>
        <v>130</v>
      </c>
      <c r="FE18" s="695">
        <v>2.6</v>
      </c>
      <c r="FF18" s="587">
        <f>ROUND(54*0.67*2.6,0)</f>
        <v>94</v>
      </c>
      <c r="FG18" s="695">
        <v>1.8</v>
      </c>
      <c r="FH18" s="589">
        <f>ROUND(54*0.67*1.8,0)</f>
        <v>65</v>
      </c>
      <c r="FI18" s="563"/>
      <c r="FJ18" s="564"/>
      <c r="FK18" s="700" t="s">
        <v>204</v>
      </c>
      <c r="FL18" s="691" t="s">
        <v>74</v>
      </c>
      <c r="FM18" s="583">
        <v>54</v>
      </c>
      <c r="FN18" s="692">
        <v>0.67</v>
      </c>
      <c r="FO18" s="693"/>
      <c r="FP18" s="696">
        <v>5</v>
      </c>
      <c r="FQ18" s="697">
        <v>19.3</v>
      </c>
      <c r="FR18" s="587">
        <f>ROUND(54*0.67*19.3,0)</f>
        <v>698</v>
      </c>
      <c r="FS18" s="698">
        <v>8</v>
      </c>
      <c r="FT18" s="697">
        <v>17.600000000000001</v>
      </c>
      <c r="FU18" s="592">
        <f>ROUND(54*0.67*17.6,0)</f>
        <v>637</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t="s">
        <v>248</v>
      </c>
      <c r="C19" s="691"/>
      <c r="D19" s="583">
        <v>21.53</v>
      </c>
      <c r="E19" s="692">
        <v>2.0299999999999998</v>
      </c>
      <c r="F19" s="693"/>
      <c r="G19" s="694">
        <v>14</v>
      </c>
      <c r="H19" s="587">
        <f>ROUND(21.53*2.03*14,0)</f>
        <v>612</v>
      </c>
      <c r="I19" s="695">
        <v>14</v>
      </c>
      <c r="J19" s="587">
        <f>ROUND(21.53*2.03*14,0)</f>
        <v>612</v>
      </c>
      <c r="K19" s="695">
        <v>14</v>
      </c>
      <c r="L19" s="587">
        <f>ROUND(21.53*2.03*14,0)</f>
        <v>612</v>
      </c>
      <c r="M19" s="695">
        <v>14</v>
      </c>
      <c r="N19" s="587">
        <f>ROUND(21.53*2.03*14,0)</f>
        <v>612</v>
      </c>
      <c r="O19" s="695">
        <v>14</v>
      </c>
      <c r="P19" s="587">
        <f>ROUND(21.53*2.03*14,0)</f>
        <v>612</v>
      </c>
      <c r="Q19" s="695">
        <v>14</v>
      </c>
      <c r="R19" s="587">
        <f>ROUND(21.53*2.03*14,0)</f>
        <v>612</v>
      </c>
      <c r="S19" s="695">
        <v>14</v>
      </c>
      <c r="T19" s="587">
        <f>ROUND(21.53*2.03*14,0)</f>
        <v>612</v>
      </c>
      <c r="U19" s="695">
        <v>14</v>
      </c>
      <c r="V19" s="587">
        <f>ROUND(21.53*2.03*14,0)</f>
        <v>612</v>
      </c>
      <c r="W19" s="695">
        <v>14</v>
      </c>
      <c r="X19" s="587">
        <f>ROUND(21.53*2.03*14,0)</f>
        <v>612</v>
      </c>
      <c r="Y19" s="695">
        <v>14</v>
      </c>
      <c r="Z19" s="587">
        <f>ROUND(21.53*2.03*14,0)</f>
        <v>612</v>
      </c>
      <c r="AA19" s="695">
        <v>14</v>
      </c>
      <c r="AB19" s="587">
        <f>ROUND(21.53*2.03*14,0)</f>
        <v>612</v>
      </c>
      <c r="AC19" s="695">
        <v>14</v>
      </c>
      <c r="AD19" s="587">
        <f>ROUND(21.53*2.03*14,0)</f>
        <v>612</v>
      </c>
      <c r="AE19" s="695">
        <v>14</v>
      </c>
      <c r="AF19" s="587">
        <f>ROUND(21.53*2.03*14,0)</f>
        <v>612</v>
      </c>
      <c r="AG19" s="695">
        <v>14</v>
      </c>
      <c r="AH19" s="587">
        <f>ROUND(21.53*2.03*14,0)</f>
        <v>612</v>
      </c>
      <c r="AI19" s="695">
        <v>14</v>
      </c>
      <c r="AJ19" s="587">
        <f>ROUND(21.53*2.03*14,0)</f>
        <v>612</v>
      </c>
      <c r="AK19" s="695">
        <v>14</v>
      </c>
      <c r="AL19" s="587">
        <f>ROUND(21.53*2.03*14,0)</f>
        <v>612</v>
      </c>
      <c r="AM19" s="695">
        <v>14</v>
      </c>
      <c r="AN19" s="587">
        <f>ROUND(21.53*2.03*14,0)</f>
        <v>612</v>
      </c>
      <c r="AO19" s="695">
        <v>14</v>
      </c>
      <c r="AP19" s="587">
        <f>ROUND(21.53*2.03*14,0)</f>
        <v>612</v>
      </c>
      <c r="AQ19" s="695">
        <v>14</v>
      </c>
      <c r="AR19" s="587">
        <f>ROUND(21.53*2.03*14,0)</f>
        <v>612</v>
      </c>
      <c r="AS19" s="695">
        <v>14</v>
      </c>
      <c r="AT19" s="587">
        <f>ROUND(21.53*2.03*14,0)</f>
        <v>612</v>
      </c>
      <c r="AU19" s="695">
        <v>14</v>
      </c>
      <c r="AV19" s="587">
        <f>ROUND(21.53*2.03*14,0)</f>
        <v>612</v>
      </c>
      <c r="AW19" s="695">
        <v>14</v>
      </c>
      <c r="AX19" s="587">
        <f>ROUND(21.53*2.03*14,0)</f>
        <v>612</v>
      </c>
      <c r="AY19" s="695">
        <v>14</v>
      </c>
      <c r="AZ19" s="587">
        <f>ROUND(21.53*2.03*14,0)</f>
        <v>612</v>
      </c>
      <c r="BA19" s="695">
        <v>14</v>
      </c>
      <c r="BB19" s="589">
        <f>ROUND(21.53*2.03*14,0)</f>
        <v>612</v>
      </c>
      <c r="BC19" s="562"/>
      <c r="BD19" s="552"/>
      <c r="BE19" s="700" t="s">
        <v>248</v>
      </c>
      <c r="BF19" s="691"/>
      <c r="BG19" s="583">
        <v>21.53</v>
      </c>
      <c r="BH19" s="692">
        <v>2.0299999999999998</v>
      </c>
      <c r="BI19" s="693"/>
      <c r="BJ19" s="694">
        <v>14</v>
      </c>
      <c r="BK19" s="587">
        <f>ROUND(21.53*2.03*14,0)</f>
        <v>612</v>
      </c>
      <c r="BL19" s="695">
        <v>14</v>
      </c>
      <c r="BM19" s="587">
        <f>ROUND(21.53*2.03*14,0)</f>
        <v>612</v>
      </c>
      <c r="BN19" s="695">
        <v>14</v>
      </c>
      <c r="BO19" s="587">
        <f>ROUND(21.53*2.03*14,0)</f>
        <v>612</v>
      </c>
      <c r="BP19" s="695">
        <v>14</v>
      </c>
      <c r="BQ19" s="587">
        <f>ROUND(21.53*2.03*14,0)</f>
        <v>612</v>
      </c>
      <c r="BR19" s="695">
        <v>14</v>
      </c>
      <c r="BS19" s="587">
        <f>ROUND(21.53*2.03*14,0)</f>
        <v>612</v>
      </c>
      <c r="BT19" s="695">
        <v>14</v>
      </c>
      <c r="BU19" s="587">
        <f>ROUND(21.53*2.03*14,0)</f>
        <v>612</v>
      </c>
      <c r="BV19" s="695">
        <v>14</v>
      </c>
      <c r="BW19" s="587">
        <f>ROUND(21.53*2.03*14,0)</f>
        <v>612</v>
      </c>
      <c r="BX19" s="695">
        <v>14</v>
      </c>
      <c r="BY19" s="587">
        <f>ROUND(21.53*2.03*14,0)</f>
        <v>612</v>
      </c>
      <c r="BZ19" s="695">
        <v>14</v>
      </c>
      <c r="CA19" s="587">
        <f>ROUND(21.53*2.03*14,0)</f>
        <v>612</v>
      </c>
      <c r="CB19" s="695">
        <v>14</v>
      </c>
      <c r="CC19" s="587">
        <f>ROUND(21.53*2.03*14,0)</f>
        <v>612</v>
      </c>
      <c r="CD19" s="695">
        <v>14</v>
      </c>
      <c r="CE19" s="587">
        <f>ROUND(21.53*2.03*14,0)</f>
        <v>612</v>
      </c>
      <c r="CF19" s="695">
        <v>14</v>
      </c>
      <c r="CG19" s="587">
        <f>ROUND(21.53*2.03*14,0)</f>
        <v>612</v>
      </c>
      <c r="CH19" s="695">
        <v>14</v>
      </c>
      <c r="CI19" s="587">
        <f>ROUND(21.53*2.03*14,0)</f>
        <v>612</v>
      </c>
      <c r="CJ19" s="695">
        <v>14</v>
      </c>
      <c r="CK19" s="587">
        <f>ROUND(21.53*2.03*14,0)</f>
        <v>612</v>
      </c>
      <c r="CL19" s="695">
        <v>14</v>
      </c>
      <c r="CM19" s="587">
        <f>ROUND(21.53*2.03*14,0)</f>
        <v>612</v>
      </c>
      <c r="CN19" s="695">
        <v>14</v>
      </c>
      <c r="CO19" s="587">
        <f>ROUND(21.53*2.03*14,0)</f>
        <v>612</v>
      </c>
      <c r="CP19" s="695">
        <v>14</v>
      </c>
      <c r="CQ19" s="587">
        <f>ROUND(21.53*2.03*14,0)</f>
        <v>612</v>
      </c>
      <c r="CR19" s="695">
        <v>14</v>
      </c>
      <c r="CS19" s="587">
        <f>ROUND(21.53*2.03*14,0)</f>
        <v>612</v>
      </c>
      <c r="CT19" s="695">
        <v>14</v>
      </c>
      <c r="CU19" s="587">
        <f>ROUND(21.53*2.03*14,0)</f>
        <v>612</v>
      </c>
      <c r="CV19" s="695">
        <v>14</v>
      </c>
      <c r="CW19" s="587">
        <f>ROUND(21.53*2.03*14,0)</f>
        <v>612</v>
      </c>
      <c r="CX19" s="695">
        <v>14</v>
      </c>
      <c r="CY19" s="587">
        <f>ROUND(21.53*2.03*14,0)</f>
        <v>612</v>
      </c>
      <c r="CZ19" s="695">
        <v>14</v>
      </c>
      <c r="DA19" s="587">
        <f>ROUND(21.53*2.03*14,0)</f>
        <v>612</v>
      </c>
      <c r="DB19" s="695">
        <v>14</v>
      </c>
      <c r="DC19" s="587">
        <f>ROUND(21.53*2.03*14,0)</f>
        <v>612</v>
      </c>
      <c r="DD19" s="695">
        <v>14</v>
      </c>
      <c r="DE19" s="589">
        <f>ROUND(21.53*2.03*14,0)</f>
        <v>612</v>
      </c>
      <c r="DF19" s="562"/>
      <c r="DG19" s="552"/>
      <c r="DH19" s="700" t="s">
        <v>248</v>
      </c>
      <c r="DI19" s="691"/>
      <c r="DJ19" s="583">
        <v>21.53</v>
      </c>
      <c r="DK19" s="692">
        <v>2.0299999999999998</v>
      </c>
      <c r="DL19" s="693"/>
      <c r="DM19" s="694">
        <v>14</v>
      </c>
      <c r="DN19" s="587">
        <f>ROUND(21.53*2.03*14,0)</f>
        <v>612</v>
      </c>
      <c r="DO19" s="695">
        <v>14</v>
      </c>
      <c r="DP19" s="587">
        <f>ROUND(21.53*2.03*14,0)</f>
        <v>612</v>
      </c>
      <c r="DQ19" s="695">
        <v>14</v>
      </c>
      <c r="DR19" s="587">
        <f>ROUND(21.53*2.03*14,0)</f>
        <v>612</v>
      </c>
      <c r="DS19" s="695">
        <v>14</v>
      </c>
      <c r="DT19" s="587">
        <f>ROUND(21.53*2.03*14,0)</f>
        <v>612</v>
      </c>
      <c r="DU19" s="695">
        <v>14</v>
      </c>
      <c r="DV19" s="587">
        <f>ROUND(21.53*2.03*14,0)</f>
        <v>612</v>
      </c>
      <c r="DW19" s="695">
        <v>14</v>
      </c>
      <c r="DX19" s="587">
        <f>ROUND(21.53*2.03*14,0)</f>
        <v>612</v>
      </c>
      <c r="DY19" s="695">
        <v>14</v>
      </c>
      <c r="DZ19" s="587">
        <f>ROUND(21.53*2.03*14,0)</f>
        <v>612</v>
      </c>
      <c r="EA19" s="695">
        <v>14</v>
      </c>
      <c r="EB19" s="587">
        <f>ROUND(21.53*2.03*14,0)</f>
        <v>612</v>
      </c>
      <c r="EC19" s="695">
        <v>14</v>
      </c>
      <c r="ED19" s="587">
        <f>ROUND(21.53*2.03*14,0)</f>
        <v>612</v>
      </c>
      <c r="EE19" s="695">
        <v>14</v>
      </c>
      <c r="EF19" s="587">
        <f>ROUND(21.53*2.03*14,0)</f>
        <v>612</v>
      </c>
      <c r="EG19" s="695">
        <v>14</v>
      </c>
      <c r="EH19" s="587">
        <f>ROUND(21.53*2.03*14,0)</f>
        <v>612</v>
      </c>
      <c r="EI19" s="695">
        <v>14</v>
      </c>
      <c r="EJ19" s="587">
        <f>ROUND(21.53*2.03*14,0)</f>
        <v>612</v>
      </c>
      <c r="EK19" s="695">
        <v>14</v>
      </c>
      <c r="EL19" s="587">
        <f>ROUND(21.53*2.03*14,0)</f>
        <v>612</v>
      </c>
      <c r="EM19" s="695">
        <v>14</v>
      </c>
      <c r="EN19" s="587">
        <f>ROUND(21.53*2.03*14,0)</f>
        <v>612</v>
      </c>
      <c r="EO19" s="695">
        <v>14</v>
      </c>
      <c r="EP19" s="587">
        <f>ROUND(21.53*2.03*14,0)</f>
        <v>612</v>
      </c>
      <c r="EQ19" s="695">
        <v>14</v>
      </c>
      <c r="ER19" s="587">
        <f>ROUND(21.53*2.03*14,0)</f>
        <v>612</v>
      </c>
      <c r="ES19" s="695">
        <v>14</v>
      </c>
      <c r="ET19" s="587">
        <f>ROUND(21.53*2.03*14,0)</f>
        <v>612</v>
      </c>
      <c r="EU19" s="695">
        <v>14</v>
      </c>
      <c r="EV19" s="587">
        <f>ROUND(21.53*2.03*14,0)</f>
        <v>612</v>
      </c>
      <c r="EW19" s="695">
        <v>14</v>
      </c>
      <c r="EX19" s="587">
        <f>ROUND(21.53*2.03*14,0)</f>
        <v>612</v>
      </c>
      <c r="EY19" s="695">
        <v>14</v>
      </c>
      <c r="EZ19" s="587">
        <f>ROUND(21.53*2.03*14,0)</f>
        <v>612</v>
      </c>
      <c r="FA19" s="695">
        <v>14</v>
      </c>
      <c r="FB19" s="587">
        <f>ROUND(21.53*2.03*14,0)</f>
        <v>612</v>
      </c>
      <c r="FC19" s="695">
        <v>14</v>
      </c>
      <c r="FD19" s="587">
        <f>ROUND(21.53*2.03*14,0)</f>
        <v>612</v>
      </c>
      <c r="FE19" s="695">
        <v>14</v>
      </c>
      <c r="FF19" s="587">
        <f>ROUND(21.53*2.03*14,0)</f>
        <v>612</v>
      </c>
      <c r="FG19" s="695">
        <v>14</v>
      </c>
      <c r="FH19" s="589">
        <f>ROUND(21.53*2.03*14,0)</f>
        <v>612</v>
      </c>
      <c r="FI19" s="563"/>
      <c r="FJ19" s="564"/>
      <c r="FK19" s="700" t="s">
        <v>248</v>
      </c>
      <c r="FL19" s="691"/>
      <c r="FM19" s="583">
        <v>21.53</v>
      </c>
      <c r="FN19" s="692">
        <v>2.0299999999999998</v>
      </c>
      <c r="FO19" s="693"/>
      <c r="FP19" s="696">
        <v>5</v>
      </c>
      <c r="FQ19" s="697">
        <v>14.3</v>
      </c>
      <c r="FR19" s="587">
        <f>ROUND(21.53*2.03*14.3,0)</f>
        <v>625</v>
      </c>
      <c r="FS19" s="698">
        <v>8</v>
      </c>
      <c r="FT19" s="697">
        <v>12.6</v>
      </c>
      <c r="FU19" s="592">
        <f>ROUND(21.53*2.03*12.6,0)</f>
        <v>551</v>
      </c>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t="s">
        <v>259</v>
      </c>
      <c r="C20" s="691"/>
      <c r="D20" s="583">
        <v>73.8</v>
      </c>
      <c r="E20" s="692">
        <v>3.36</v>
      </c>
      <c r="F20" s="693"/>
      <c r="G20" s="694">
        <v>0.8</v>
      </c>
      <c r="H20" s="587">
        <f>ROUND(73.8*3.36*0.8,0)</f>
        <v>198</v>
      </c>
      <c r="I20" s="695">
        <v>0.6</v>
      </c>
      <c r="J20" s="587">
        <f>ROUND(73.8*3.36*0.6,0)</f>
        <v>149</v>
      </c>
      <c r="K20" s="695">
        <v>0.6</v>
      </c>
      <c r="L20" s="587">
        <f>ROUND(73.8*3.36*0.6,0)</f>
        <v>149</v>
      </c>
      <c r="M20" s="695">
        <v>0.5</v>
      </c>
      <c r="N20" s="587">
        <f>ROUND(73.8*3.36*0.5,0)</f>
        <v>124</v>
      </c>
      <c r="O20" s="695">
        <v>0.5</v>
      </c>
      <c r="P20" s="587">
        <f>ROUND(73.8*3.36*0.5,0)</f>
        <v>124</v>
      </c>
      <c r="Q20" s="695">
        <v>0.6</v>
      </c>
      <c r="R20" s="587">
        <f>ROUND(73.8*3.36*0.6,0)</f>
        <v>149</v>
      </c>
      <c r="S20" s="695">
        <v>0.9</v>
      </c>
      <c r="T20" s="587">
        <f>ROUND(73.8*3.36*0.9,0)</f>
        <v>223</v>
      </c>
      <c r="U20" s="695">
        <v>1.2</v>
      </c>
      <c r="V20" s="587">
        <f>ROUND(73.8*3.36*1.2,0)</f>
        <v>298</v>
      </c>
      <c r="W20" s="695">
        <v>1.6</v>
      </c>
      <c r="X20" s="587">
        <f>ROUND(73.8*3.36*1.6,0)</f>
        <v>397</v>
      </c>
      <c r="Y20" s="695">
        <v>2</v>
      </c>
      <c r="Z20" s="587">
        <f>ROUND(73.8*3.36*2,0)</f>
        <v>496</v>
      </c>
      <c r="AA20" s="695">
        <v>2.2000000000000002</v>
      </c>
      <c r="AB20" s="587">
        <f>ROUND(73.8*3.36*2.2,0)</f>
        <v>546</v>
      </c>
      <c r="AC20" s="695">
        <v>2.2999999999999998</v>
      </c>
      <c r="AD20" s="587">
        <f>ROUND(73.8*3.36*2.3,0)</f>
        <v>570</v>
      </c>
      <c r="AE20" s="695">
        <v>2.4</v>
      </c>
      <c r="AF20" s="587">
        <f>ROUND(73.8*3.36*2.4,0)</f>
        <v>595</v>
      </c>
      <c r="AG20" s="695">
        <v>2.4</v>
      </c>
      <c r="AH20" s="587">
        <f>ROUND(73.8*3.36*2.4,0)</f>
        <v>595</v>
      </c>
      <c r="AI20" s="695">
        <v>2.2000000000000002</v>
      </c>
      <c r="AJ20" s="587">
        <f>ROUND(73.8*3.36*2.2,0)</f>
        <v>546</v>
      </c>
      <c r="AK20" s="695">
        <v>2.1</v>
      </c>
      <c r="AL20" s="587">
        <f>ROUND(73.8*3.36*2.1,0)</f>
        <v>521</v>
      </c>
      <c r="AM20" s="695">
        <v>1.8</v>
      </c>
      <c r="AN20" s="587">
        <f>ROUND(73.8*3.36*1.8,0)</f>
        <v>446</v>
      </c>
      <c r="AO20" s="695">
        <v>1.6</v>
      </c>
      <c r="AP20" s="587">
        <f>ROUND(73.8*3.36*1.6,0)</f>
        <v>397</v>
      </c>
      <c r="AQ20" s="695">
        <v>1.3</v>
      </c>
      <c r="AR20" s="587">
        <f>ROUND(73.8*3.36*1.3,0)</f>
        <v>322</v>
      </c>
      <c r="AS20" s="695">
        <v>1.1000000000000001</v>
      </c>
      <c r="AT20" s="587">
        <f>ROUND(73.8*3.36*1.1,0)</f>
        <v>273</v>
      </c>
      <c r="AU20" s="695">
        <v>1</v>
      </c>
      <c r="AV20" s="587">
        <f>ROUND(73.8*3.36*1,0)</f>
        <v>248</v>
      </c>
      <c r="AW20" s="695">
        <v>1</v>
      </c>
      <c r="AX20" s="587">
        <f>ROUND(73.8*3.36*1,0)</f>
        <v>248</v>
      </c>
      <c r="AY20" s="695">
        <v>0.9</v>
      </c>
      <c r="AZ20" s="587">
        <f>ROUND(73.8*3.36*0.9,0)</f>
        <v>223</v>
      </c>
      <c r="BA20" s="695">
        <v>0.8</v>
      </c>
      <c r="BB20" s="589">
        <f>ROUND(73.8*3.36*0.8,0)</f>
        <v>198</v>
      </c>
      <c r="BC20" s="562"/>
      <c r="BD20" s="552"/>
      <c r="BE20" s="700" t="s">
        <v>259</v>
      </c>
      <c r="BF20" s="691"/>
      <c r="BG20" s="583">
        <v>73.8</v>
      </c>
      <c r="BH20" s="692">
        <v>3.36</v>
      </c>
      <c r="BI20" s="693"/>
      <c r="BJ20" s="694">
        <v>0.5</v>
      </c>
      <c r="BK20" s="587">
        <f>ROUND(73.8*3.36*0.5,0)</f>
        <v>124</v>
      </c>
      <c r="BL20" s="695">
        <v>0.4</v>
      </c>
      <c r="BM20" s="587">
        <f>ROUND(73.8*3.36*0.4,0)</f>
        <v>99</v>
      </c>
      <c r="BN20" s="695">
        <v>0.4</v>
      </c>
      <c r="BO20" s="587">
        <f>ROUND(73.8*3.36*0.4,0)</f>
        <v>99</v>
      </c>
      <c r="BP20" s="695">
        <v>0.3</v>
      </c>
      <c r="BQ20" s="587">
        <f>ROUND(73.8*3.36*0.3,0)</f>
        <v>74</v>
      </c>
      <c r="BR20" s="695">
        <v>0.3</v>
      </c>
      <c r="BS20" s="587">
        <f>ROUND(73.8*3.36*0.3,0)</f>
        <v>74</v>
      </c>
      <c r="BT20" s="695">
        <v>0.4</v>
      </c>
      <c r="BU20" s="587">
        <f>ROUND(73.8*3.36*0.4,0)</f>
        <v>99</v>
      </c>
      <c r="BV20" s="695">
        <v>0.7</v>
      </c>
      <c r="BW20" s="587">
        <f>ROUND(73.8*3.36*0.7,0)</f>
        <v>174</v>
      </c>
      <c r="BX20" s="695">
        <v>1.1000000000000001</v>
      </c>
      <c r="BY20" s="587">
        <f>ROUND(73.8*3.36*1.1,0)</f>
        <v>273</v>
      </c>
      <c r="BZ20" s="695">
        <v>1.5</v>
      </c>
      <c r="CA20" s="587">
        <f>ROUND(73.8*3.36*1.5,0)</f>
        <v>372</v>
      </c>
      <c r="CB20" s="695">
        <v>1.8</v>
      </c>
      <c r="CC20" s="587">
        <f>ROUND(73.8*3.36*1.8,0)</f>
        <v>446</v>
      </c>
      <c r="CD20" s="695">
        <v>2.1</v>
      </c>
      <c r="CE20" s="587">
        <f>ROUND(73.8*3.36*2.1,0)</f>
        <v>521</v>
      </c>
      <c r="CF20" s="695">
        <v>2.2000000000000002</v>
      </c>
      <c r="CG20" s="587">
        <f>ROUND(73.8*3.36*2.2,0)</f>
        <v>546</v>
      </c>
      <c r="CH20" s="695">
        <v>2.2999999999999998</v>
      </c>
      <c r="CI20" s="587">
        <f>ROUND(73.8*3.36*2.3,0)</f>
        <v>570</v>
      </c>
      <c r="CJ20" s="695">
        <v>2.2000000000000002</v>
      </c>
      <c r="CK20" s="587">
        <f>ROUND(73.8*3.36*2.2,0)</f>
        <v>546</v>
      </c>
      <c r="CL20" s="695">
        <v>2.1</v>
      </c>
      <c r="CM20" s="587">
        <f>ROUND(73.8*3.36*2.1,0)</f>
        <v>521</v>
      </c>
      <c r="CN20" s="695">
        <v>2</v>
      </c>
      <c r="CO20" s="587">
        <f>ROUND(73.8*3.36*2,0)</f>
        <v>496</v>
      </c>
      <c r="CP20" s="695">
        <v>1.8</v>
      </c>
      <c r="CQ20" s="587">
        <f>ROUND(73.8*3.36*1.8,0)</f>
        <v>446</v>
      </c>
      <c r="CR20" s="695">
        <v>1.5</v>
      </c>
      <c r="CS20" s="587">
        <f>ROUND(73.8*3.36*1.5,0)</f>
        <v>372</v>
      </c>
      <c r="CT20" s="695">
        <v>1.2</v>
      </c>
      <c r="CU20" s="587">
        <f>ROUND(73.8*3.36*1.2,0)</f>
        <v>298</v>
      </c>
      <c r="CV20" s="695">
        <v>0.9</v>
      </c>
      <c r="CW20" s="587">
        <f>ROUND(73.8*3.36*0.9,0)</f>
        <v>223</v>
      </c>
      <c r="CX20" s="695">
        <v>0.8</v>
      </c>
      <c r="CY20" s="587">
        <f>ROUND(73.8*3.36*0.8,0)</f>
        <v>198</v>
      </c>
      <c r="CZ20" s="695">
        <v>0.7</v>
      </c>
      <c r="DA20" s="587">
        <f>ROUND(73.8*3.36*0.7,0)</f>
        <v>174</v>
      </c>
      <c r="DB20" s="695">
        <v>0.7</v>
      </c>
      <c r="DC20" s="587">
        <f>ROUND(73.8*3.36*0.7,0)</f>
        <v>174</v>
      </c>
      <c r="DD20" s="695">
        <v>0.6</v>
      </c>
      <c r="DE20" s="589">
        <f>ROUND(73.8*3.36*0.6,0)</f>
        <v>149</v>
      </c>
      <c r="DF20" s="562"/>
      <c r="DG20" s="552"/>
      <c r="DH20" s="700" t="s">
        <v>259</v>
      </c>
      <c r="DI20" s="691"/>
      <c r="DJ20" s="583">
        <v>73.8</v>
      </c>
      <c r="DK20" s="692">
        <v>3.36</v>
      </c>
      <c r="DL20" s="693"/>
      <c r="DM20" s="694">
        <v>0</v>
      </c>
      <c r="DN20" s="587">
        <f>ROUND(73.8*3.36*0,0)</f>
        <v>0</v>
      </c>
      <c r="DO20" s="695">
        <v>0</v>
      </c>
      <c r="DP20" s="587">
        <f>ROUND(73.8*3.36*0,0)</f>
        <v>0</v>
      </c>
      <c r="DQ20" s="695">
        <v>0</v>
      </c>
      <c r="DR20" s="587">
        <f>ROUND(73.8*3.36*0,0)</f>
        <v>0</v>
      </c>
      <c r="DS20" s="695">
        <v>0</v>
      </c>
      <c r="DT20" s="587">
        <f>ROUND(73.8*3.36*0,0)</f>
        <v>0</v>
      </c>
      <c r="DU20" s="695">
        <v>0</v>
      </c>
      <c r="DV20" s="587">
        <f>ROUND(73.8*3.36*0,0)</f>
        <v>0</v>
      </c>
      <c r="DW20" s="695">
        <v>0</v>
      </c>
      <c r="DX20" s="587">
        <f>ROUND(73.8*3.36*0,0)</f>
        <v>0</v>
      </c>
      <c r="DY20" s="695">
        <v>0</v>
      </c>
      <c r="DZ20" s="587">
        <f>ROUND(73.8*3.36*0,0)</f>
        <v>0</v>
      </c>
      <c r="EA20" s="695">
        <v>0.4</v>
      </c>
      <c r="EB20" s="587">
        <f>ROUND(73.8*3.36*0.4,0)</f>
        <v>99</v>
      </c>
      <c r="EC20" s="695">
        <v>0.8</v>
      </c>
      <c r="ED20" s="587">
        <f>ROUND(73.8*3.36*0.8,0)</f>
        <v>198</v>
      </c>
      <c r="EE20" s="695">
        <v>1.2</v>
      </c>
      <c r="EF20" s="587">
        <f>ROUND(73.8*3.36*1.2,0)</f>
        <v>298</v>
      </c>
      <c r="EG20" s="695">
        <v>1.5</v>
      </c>
      <c r="EH20" s="587">
        <f>ROUND(73.8*3.36*1.5,0)</f>
        <v>372</v>
      </c>
      <c r="EI20" s="695">
        <v>1.7</v>
      </c>
      <c r="EJ20" s="587">
        <f>ROUND(73.8*3.36*1.7,0)</f>
        <v>422</v>
      </c>
      <c r="EK20" s="695">
        <v>1.7</v>
      </c>
      <c r="EL20" s="587">
        <f>ROUND(73.8*3.36*1.7,0)</f>
        <v>422</v>
      </c>
      <c r="EM20" s="695">
        <v>1.6</v>
      </c>
      <c r="EN20" s="587">
        <f>ROUND(73.8*3.36*1.6,0)</f>
        <v>397</v>
      </c>
      <c r="EO20" s="695">
        <v>1.5</v>
      </c>
      <c r="EP20" s="587">
        <f>ROUND(73.8*3.36*1.5,0)</f>
        <v>372</v>
      </c>
      <c r="EQ20" s="695">
        <v>1.4</v>
      </c>
      <c r="ER20" s="587">
        <f>ROUND(73.8*3.36*1.4,0)</f>
        <v>347</v>
      </c>
      <c r="ES20" s="695">
        <v>1.1000000000000001</v>
      </c>
      <c r="ET20" s="587">
        <f>ROUND(73.8*3.36*1.1,0)</f>
        <v>273</v>
      </c>
      <c r="EU20" s="695">
        <v>0.8</v>
      </c>
      <c r="EV20" s="587">
        <f>ROUND(73.8*3.36*0.8,0)</f>
        <v>198</v>
      </c>
      <c r="EW20" s="695">
        <v>0.6</v>
      </c>
      <c r="EX20" s="587">
        <f>ROUND(73.8*3.36*0.6,0)</f>
        <v>149</v>
      </c>
      <c r="EY20" s="695">
        <v>0.4</v>
      </c>
      <c r="EZ20" s="587">
        <f>ROUND(73.8*3.36*0.4,0)</f>
        <v>99</v>
      </c>
      <c r="FA20" s="695">
        <v>0.3</v>
      </c>
      <c r="FB20" s="587">
        <f>ROUND(73.8*3.36*0.3,0)</f>
        <v>74</v>
      </c>
      <c r="FC20" s="695">
        <v>0.2</v>
      </c>
      <c r="FD20" s="587">
        <f>ROUND(73.8*3.36*0.2,0)</f>
        <v>50</v>
      </c>
      <c r="FE20" s="695">
        <v>0.2</v>
      </c>
      <c r="FF20" s="587">
        <f>ROUND(73.8*3.36*0.2,0)</f>
        <v>50</v>
      </c>
      <c r="FG20" s="695">
        <v>0.1</v>
      </c>
      <c r="FH20" s="589">
        <f>ROUND(73.8*3.36*0.1,0)</f>
        <v>25</v>
      </c>
      <c r="FI20" s="563"/>
      <c r="FJ20" s="564"/>
      <c r="FK20" s="700" t="s">
        <v>259</v>
      </c>
      <c r="FL20" s="691"/>
      <c r="FM20" s="583">
        <v>73.8</v>
      </c>
      <c r="FN20" s="692">
        <v>3.36</v>
      </c>
      <c r="FO20" s="693"/>
      <c r="FP20" s="696">
        <v>5</v>
      </c>
      <c r="FQ20" s="697">
        <v>5.8</v>
      </c>
      <c r="FR20" s="587">
        <f>ROUND(73.8*3.36*5.8,0)</f>
        <v>1438</v>
      </c>
      <c r="FS20" s="698">
        <v>8</v>
      </c>
      <c r="FT20" s="697">
        <v>5.3</v>
      </c>
      <c r="FU20" s="592">
        <f>ROUND(73.8*3.36*5.3,0)</f>
        <v>1314</v>
      </c>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c r="C21" s="691"/>
      <c r="D21" s="583"/>
      <c r="E21" s="692"/>
      <c r="F21" s="693"/>
      <c r="G21" s="694"/>
      <c r="H21" s="587"/>
      <c r="I21" s="695"/>
      <c r="J21" s="587"/>
      <c r="K21" s="695"/>
      <c r="L21" s="587"/>
      <c r="M21" s="695"/>
      <c r="N21" s="587"/>
      <c r="O21" s="695"/>
      <c r="P21" s="587"/>
      <c r="Q21" s="695"/>
      <c r="R21" s="587"/>
      <c r="S21" s="695"/>
      <c r="T21" s="587"/>
      <c r="U21" s="695"/>
      <c r="V21" s="587"/>
      <c r="W21" s="695"/>
      <c r="X21" s="587"/>
      <c r="Y21" s="695"/>
      <c r="Z21" s="587"/>
      <c r="AA21" s="695"/>
      <c r="AB21" s="587"/>
      <c r="AC21" s="695"/>
      <c r="AD21" s="587"/>
      <c r="AE21" s="695"/>
      <c r="AF21" s="587"/>
      <c r="AG21" s="695"/>
      <c r="AH21" s="587"/>
      <c r="AI21" s="695"/>
      <c r="AJ21" s="587"/>
      <c r="AK21" s="695"/>
      <c r="AL21" s="587"/>
      <c r="AM21" s="695"/>
      <c r="AN21" s="587"/>
      <c r="AO21" s="695"/>
      <c r="AP21" s="587"/>
      <c r="AQ21" s="695"/>
      <c r="AR21" s="587"/>
      <c r="AS21" s="695"/>
      <c r="AT21" s="587"/>
      <c r="AU21" s="695"/>
      <c r="AV21" s="587"/>
      <c r="AW21" s="695"/>
      <c r="AX21" s="587"/>
      <c r="AY21" s="695"/>
      <c r="AZ21" s="587"/>
      <c r="BA21" s="695"/>
      <c r="BB21" s="589"/>
      <c r="BC21" s="562"/>
      <c r="BD21" s="552"/>
      <c r="BE21" s="700"/>
      <c r="BF21" s="691"/>
      <c r="BG21" s="583"/>
      <c r="BH21" s="692"/>
      <c r="BI21" s="693"/>
      <c r="BJ21" s="694"/>
      <c r="BK21" s="587"/>
      <c r="BL21" s="695"/>
      <c r="BM21" s="587"/>
      <c r="BN21" s="695"/>
      <c r="BO21" s="587"/>
      <c r="BP21" s="695"/>
      <c r="BQ21" s="587"/>
      <c r="BR21" s="695"/>
      <c r="BS21" s="587"/>
      <c r="BT21" s="695"/>
      <c r="BU21" s="587"/>
      <c r="BV21" s="695"/>
      <c r="BW21" s="587"/>
      <c r="BX21" s="695"/>
      <c r="BY21" s="587"/>
      <c r="BZ21" s="695"/>
      <c r="CA21" s="587"/>
      <c r="CB21" s="695"/>
      <c r="CC21" s="587"/>
      <c r="CD21" s="695"/>
      <c r="CE21" s="587"/>
      <c r="CF21" s="695"/>
      <c r="CG21" s="587"/>
      <c r="CH21" s="695"/>
      <c r="CI21" s="587"/>
      <c r="CJ21" s="695"/>
      <c r="CK21" s="587"/>
      <c r="CL21" s="695"/>
      <c r="CM21" s="587"/>
      <c r="CN21" s="695"/>
      <c r="CO21" s="587"/>
      <c r="CP21" s="695"/>
      <c r="CQ21" s="587"/>
      <c r="CR21" s="695"/>
      <c r="CS21" s="587"/>
      <c r="CT21" s="695"/>
      <c r="CU21" s="587"/>
      <c r="CV21" s="695"/>
      <c r="CW21" s="587"/>
      <c r="CX21" s="695"/>
      <c r="CY21" s="587"/>
      <c r="CZ21" s="695"/>
      <c r="DA21" s="587"/>
      <c r="DB21" s="695"/>
      <c r="DC21" s="587"/>
      <c r="DD21" s="695"/>
      <c r="DE21" s="589"/>
      <c r="DF21" s="562"/>
      <c r="DG21" s="552"/>
      <c r="DH21" s="700"/>
      <c r="DI21" s="691"/>
      <c r="DJ21" s="583"/>
      <c r="DK21" s="692"/>
      <c r="DL21" s="693"/>
      <c r="DM21" s="694"/>
      <c r="DN21" s="587"/>
      <c r="DO21" s="695"/>
      <c r="DP21" s="587"/>
      <c r="DQ21" s="695"/>
      <c r="DR21" s="587"/>
      <c r="DS21" s="695"/>
      <c r="DT21" s="587"/>
      <c r="DU21" s="695"/>
      <c r="DV21" s="587"/>
      <c r="DW21" s="695"/>
      <c r="DX21" s="587"/>
      <c r="DY21" s="695"/>
      <c r="DZ21" s="587"/>
      <c r="EA21" s="695"/>
      <c r="EB21" s="587"/>
      <c r="EC21" s="695"/>
      <c r="ED21" s="587"/>
      <c r="EE21" s="695"/>
      <c r="EF21" s="587"/>
      <c r="EG21" s="695"/>
      <c r="EH21" s="587"/>
      <c r="EI21" s="695"/>
      <c r="EJ21" s="587"/>
      <c r="EK21" s="695"/>
      <c r="EL21" s="587"/>
      <c r="EM21" s="695"/>
      <c r="EN21" s="587"/>
      <c r="EO21" s="695"/>
      <c r="EP21" s="587"/>
      <c r="EQ21" s="695"/>
      <c r="ER21" s="587"/>
      <c r="ES21" s="695"/>
      <c r="ET21" s="587"/>
      <c r="EU21" s="695"/>
      <c r="EV21" s="587"/>
      <c r="EW21" s="695"/>
      <c r="EX21" s="587"/>
      <c r="EY21" s="695"/>
      <c r="EZ21" s="587"/>
      <c r="FA21" s="695"/>
      <c r="FB21" s="587"/>
      <c r="FC21" s="695"/>
      <c r="FD21" s="587"/>
      <c r="FE21" s="695"/>
      <c r="FF21" s="587"/>
      <c r="FG21" s="695"/>
      <c r="FH21" s="589"/>
      <c r="FI21" s="563"/>
      <c r="FJ21" s="564"/>
      <c r="FK21" s="700"/>
      <c r="FL21" s="691"/>
      <c r="FM21" s="583"/>
      <c r="FN21" s="692"/>
      <c r="FO21" s="693"/>
      <c r="FP21" s="696"/>
      <c r="FQ21" s="697"/>
      <c r="FR21" s="587"/>
      <c r="FS21" s="698"/>
      <c r="FT21" s="697"/>
      <c r="FU21" s="592"/>
      <c r="FV21" s="593"/>
      <c r="FW21" s="594"/>
      <c r="FX21" s="595"/>
      <c r="FY21" s="596"/>
      <c r="FZ21" s="597"/>
      <c r="GA21" s="598"/>
      <c r="GB21" s="599"/>
      <c r="GC21" s="600"/>
      <c r="GD21" s="599"/>
      <c r="GE21" s="601"/>
      <c r="GF21" s="688"/>
      <c r="GG21" s="602"/>
      <c r="GH21" s="602"/>
      <c r="GI21" s="602"/>
      <c r="GJ21" s="409"/>
      <c r="GK21" s="701" t="s">
        <v>536</v>
      </c>
      <c r="GL21" s="702"/>
      <c r="GM21" s="703"/>
      <c r="GN21" s="638">
        <v>4.05</v>
      </c>
      <c r="GO21" s="704"/>
      <c r="GP21" s="705"/>
      <c r="GQ21" s="633">
        <v>0</v>
      </c>
      <c r="GR21" s="634">
        <v>4.05</v>
      </c>
      <c r="GS21" s="578"/>
      <c r="GT21" s="677"/>
      <c r="GU21" s="701" t="s">
        <v>699</v>
      </c>
      <c r="GV21" s="702"/>
      <c r="GW21" s="703"/>
      <c r="GX21" s="706">
        <v>4.05</v>
      </c>
      <c r="GY21" s="707"/>
      <c r="GZ21" s="704"/>
      <c r="HA21" s="708">
        <v>2.63</v>
      </c>
      <c r="HB21" s="709"/>
      <c r="HC21" s="710"/>
      <c r="HD21" s="562"/>
      <c r="HE21" s="615"/>
      <c r="HF21" s="615"/>
      <c r="HG21" s="415"/>
    </row>
    <row r="22" spans="1:218" ht="20.100000000000001" customHeight="1">
      <c r="A22" s="552"/>
      <c r="B22" s="700"/>
      <c r="C22" s="691"/>
      <c r="D22" s="583"/>
      <c r="E22" s="692"/>
      <c r="F22" s="693"/>
      <c r="G22" s="694"/>
      <c r="H22" s="587"/>
      <c r="I22" s="695"/>
      <c r="J22" s="587"/>
      <c r="K22" s="695"/>
      <c r="L22" s="587"/>
      <c r="M22" s="695"/>
      <c r="N22" s="587"/>
      <c r="O22" s="695"/>
      <c r="P22" s="587"/>
      <c r="Q22" s="695"/>
      <c r="R22" s="587"/>
      <c r="S22" s="695"/>
      <c r="T22" s="587"/>
      <c r="U22" s="695"/>
      <c r="V22" s="587"/>
      <c r="W22" s="695"/>
      <c r="X22" s="587"/>
      <c r="Y22" s="695"/>
      <c r="Z22" s="587"/>
      <c r="AA22" s="695"/>
      <c r="AB22" s="587"/>
      <c r="AC22" s="695"/>
      <c r="AD22" s="587"/>
      <c r="AE22" s="695"/>
      <c r="AF22" s="587"/>
      <c r="AG22" s="695"/>
      <c r="AH22" s="587"/>
      <c r="AI22" s="695"/>
      <c r="AJ22" s="587"/>
      <c r="AK22" s="695"/>
      <c r="AL22" s="587"/>
      <c r="AM22" s="695"/>
      <c r="AN22" s="587"/>
      <c r="AO22" s="695"/>
      <c r="AP22" s="587"/>
      <c r="AQ22" s="695"/>
      <c r="AR22" s="587"/>
      <c r="AS22" s="695"/>
      <c r="AT22" s="587"/>
      <c r="AU22" s="695"/>
      <c r="AV22" s="587"/>
      <c r="AW22" s="695"/>
      <c r="AX22" s="587"/>
      <c r="AY22" s="695"/>
      <c r="AZ22" s="587"/>
      <c r="BA22" s="695"/>
      <c r="BB22" s="589"/>
      <c r="BC22" s="562"/>
      <c r="BD22" s="552"/>
      <c r="BE22" s="700"/>
      <c r="BF22" s="691"/>
      <c r="BG22" s="583"/>
      <c r="BH22" s="692"/>
      <c r="BI22" s="693"/>
      <c r="BJ22" s="694"/>
      <c r="BK22" s="587"/>
      <c r="BL22" s="695"/>
      <c r="BM22" s="587"/>
      <c r="BN22" s="695"/>
      <c r="BO22" s="587"/>
      <c r="BP22" s="695"/>
      <c r="BQ22" s="587"/>
      <c r="BR22" s="695"/>
      <c r="BS22" s="587"/>
      <c r="BT22" s="695"/>
      <c r="BU22" s="587"/>
      <c r="BV22" s="695"/>
      <c r="BW22" s="587"/>
      <c r="BX22" s="695"/>
      <c r="BY22" s="587"/>
      <c r="BZ22" s="695"/>
      <c r="CA22" s="587"/>
      <c r="CB22" s="695"/>
      <c r="CC22" s="587"/>
      <c r="CD22" s="695"/>
      <c r="CE22" s="587"/>
      <c r="CF22" s="695"/>
      <c r="CG22" s="587"/>
      <c r="CH22" s="695"/>
      <c r="CI22" s="587"/>
      <c r="CJ22" s="695"/>
      <c r="CK22" s="587"/>
      <c r="CL22" s="695"/>
      <c r="CM22" s="587"/>
      <c r="CN22" s="695"/>
      <c r="CO22" s="587"/>
      <c r="CP22" s="695"/>
      <c r="CQ22" s="587"/>
      <c r="CR22" s="695"/>
      <c r="CS22" s="587"/>
      <c r="CT22" s="695"/>
      <c r="CU22" s="587"/>
      <c r="CV22" s="695"/>
      <c r="CW22" s="587"/>
      <c r="CX22" s="695"/>
      <c r="CY22" s="587"/>
      <c r="CZ22" s="695"/>
      <c r="DA22" s="587"/>
      <c r="DB22" s="695"/>
      <c r="DC22" s="587"/>
      <c r="DD22" s="695"/>
      <c r="DE22" s="589"/>
      <c r="DF22" s="562"/>
      <c r="DG22" s="552"/>
      <c r="DH22" s="700"/>
      <c r="DI22" s="691"/>
      <c r="DJ22" s="583"/>
      <c r="DK22" s="692"/>
      <c r="DL22" s="693"/>
      <c r="DM22" s="694"/>
      <c r="DN22" s="587"/>
      <c r="DO22" s="695"/>
      <c r="DP22" s="587"/>
      <c r="DQ22" s="695"/>
      <c r="DR22" s="587"/>
      <c r="DS22" s="695"/>
      <c r="DT22" s="587"/>
      <c r="DU22" s="695"/>
      <c r="DV22" s="587"/>
      <c r="DW22" s="695"/>
      <c r="DX22" s="587"/>
      <c r="DY22" s="695"/>
      <c r="DZ22" s="587"/>
      <c r="EA22" s="695"/>
      <c r="EB22" s="587"/>
      <c r="EC22" s="695"/>
      <c r="ED22" s="587"/>
      <c r="EE22" s="695"/>
      <c r="EF22" s="587"/>
      <c r="EG22" s="695"/>
      <c r="EH22" s="587"/>
      <c r="EI22" s="695"/>
      <c r="EJ22" s="587"/>
      <c r="EK22" s="695"/>
      <c r="EL22" s="587"/>
      <c r="EM22" s="695"/>
      <c r="EN22" s="587"/>
      <c r="EO22" s="695"/>
      <c r="EP22" s="587"/>
      <c r="EQ22" s="695"/>
      <c r="ER22" s="587"/>
      <c r="ES22" s="695"/>
      <c r="ET22" s="587"/>
      <c r="EU22" s="695"/>
      <c r="EV22" s="587"/>
      <c r="EW22" s="695"/>
      <c r="EX22" s="587"/>
      <c r="EY22" s="695"/>
      <c r="EZ22" s="587"/>
      <c r="FA22" s="695"/>
      <c r="FB22" s="587"/>
      <c r="FC22" s="695"/>
      <c r="FD22" s="587"/>
      <c r="FE22" s="695"/>
      <c r="FF22" s="587"/>
      <c r="FG22" s="695"/>
      <c r="FH22" s="589"/>
      <c r="FI22" s="563"/>
      <c r="FJ22" s="564"/>
      <c r="FK22" s="700"/>
      <c r="FL22" s="691"/>
      <c r="FM22" s="583"/>
      <c r="FN22" s="692"/>
      <c r="FO22" s="693"/>
      <c r="FP22" s="696"/>
      <c r="FQ22" s="697"/>
      <c r="FR22" s="587"/>
      <c r="FS22" s="698"/>
      <c r="FT22" s="697"/>
      <c r="FU22" s="592"/>
      <c r="FV22" s="593"/>
      <c r="FW22" s="594"/>
      <c r="FX22" s="595"/>
      <c r="FY22" s="596"/>
      <c r="FZ22" s="597"/>
      <c r="GA22" s="598"/>
      <c r="GB22" s="599"/>
      <c r="GC22" s="600"/>
      <c r="GD22" s="599"/>
      <c r="GE22" s="601"/>
      <c r="GF22" s="688"/>
      <c r="GG22" s="602"/>
      <c r="GH22" s="602"/>
      <c r="GI22" s="602"/>
      <c r="GJ22" s="530"/>
      <c r="GK22" s="711" t="s">
        <v>700</v>
      </c>
      <c r="GL22" s="712"/>
      <c r="GM22" s="712"/>
      <c r="GN22" s="713"/>
      <c r="GO22" s="633">
        <v>0</v>
      </c>
      <c r="GP22" s="633">
        <v>1</v>
      </c>
      <c r="GQ22" s="714"/>
      <c r="GR22" s="715"/>
      <c r="GS22" s="578"/>
      <c r="GT22" s="677"/>
      <c r="GU22" s="711" t="s">
        <v>539</v>
      </c>
      <c r="GV22" s="712"/>
      <c r="GW22" s="712"/>
      <c r="GX22" s="712"/>
      <c r="GY22" s="713"/>
      <c r="GZ22" s="633">
        <v>0.65</v>
      </c>
      <c r="HA22" s="716"/>
      <c r="HB22" s="717"/>
      <c r="HC22" s="413"/>
      <c r="HD22" s="562"/>
      <c r="HE22" s="415"/>
      <c r="HF22" s="415"/>
      <c r="HG22" s="415"/>
    </row>
    <row r="23" spans="1:218" ht="20.100000000000001" customHeight="1">
      <c r="A23" s="552"/>
      <c r="B23" s="700"/>
      <c r="C23" s="691"/>
      <c r="D23" s="583"/>
      <c r="E23" s="692"/>
      <c r="F23" s="693"/>
      <c r="G23" s="694"/>
      <c r="H23" s="587"/>
      <c r="I23" s="695"/>
      <c r="J23" s="587"/>
      <c r="K23" s="695"/>
      <c r="L23" s="587"/>
      <c r="M23" s="695"/>
      <c r="N23" s="587"/>
      <c r="O23" s="695"/>
      <c r="P23" s="587"/>
      <c r="Q23" s="695"/>
      <c r="R23" s="587"/>
      <c r="S23" s="695"/>
      <c r="T23" s="587"/>
      <c r="U23" s="695"/>
      <c r="V23" s="587"/>
      <c r="W23" s="695"/>
      <c r="X23" s="587"/>
      <c r="Y23" s="695"/>
      <c r="Z23" s="587"/>
      <c r="AA23" s="695"/>
      <c r="AB23" s="587"/>
      <c r="AC23" s="695"/>
      <c r="AD23" s="587"/>
      <c r="AE23" s="695"/>
      <c r="AF23" s="587"/>
      <c r="AG23" s="695"/>
      <c r="AH23" s="587"/>
      <c r="AI23" s="695"/>
      <c r="AJ23" s="587"/>
      <c r="AK23" s="695"/>
      <c r="AL23" s="587"/>
      <c r="AM23" s="695"/>
      <c r="AN23" s="587"/>
      <c r="AO23" s="695"/>
      <c r="AP23" s="587"/>
      <c r="AQ23" s="695"/>
      <c r="AR23" s="587"/>
      <c r="AS23" s="695"/>
      <c r="AT23" s="587"/>
      <c r="AU23" s="695"/>
      <c r="AV23" s="587"/>
      <c r="AW23" s="695"/>
      <c r="AX23" s="587"/>
      <c r="AY23" s="695"/>
      <c r="AZ23" s="587"/>
      <c r="BA23" s="695"/>
      <c r="BB23" s="589"/>
      <c r="BC23" s="562"/>
      <c r="BD23" s="552"/>
      <c r="BE23" s="700"/>
      <c r="BF23" s="691"/>
      <c r="BG23" s="583"/>
      <c r="BH23" s="692"/>
      <c r="BI23" s="693"/>
      <c r="BJ23" s="694"/>
      <c r="BK23" s="587"/>
      <c r="BL23" s="695"/>
      <c r="BM23" s="587"/>
      <c r="BN23" s="695"/>
      <c r="BO23" s="587"/>
      <c r="BP23" s="695"/>
      <c r="BQ23" s="587"/>
      <c r="BR23" s="695"/>
      <c r="BS23" s="587"/>
      <c r="BT23" s="695"/>
      <c r="BU23" s="587"/>
      <c r="BV23" s="695"/>
      <c r="BW23" s="587"/>
      <c r="BX23" s="695"/>
      <c r="BY23" s="587"/>
      <c r="BZ23" s="695"/>
      <c r="CA23" s="587"/>
      <c r="CB23" s="695"/>
      <c r="CC23" s="587"/>
      <c r="CD23" s="695"/>
      <c r="CE23" s="587"/>
      <c r="CF23" s="695"/>
      <c r="CG23" s="587"/>
      <c r="CH23" s="695"/>
      <c r="CI23" s="587"/>
      <c r="CJ23" s="695"/>
      <c r="CK23" s="587"/>
      <c r="CL23" s="695"/>
      <c r="CM23" s="587"/>
      <c r="CN23" s="695"/>
      <c r="CO23" s="587"/>
      <c r="CP23" s="695"/>
      <c r="CQ23" s="587"/>
      <c r="CR23" s="695"/>
      <c r="CS23" s="587"/>
      <c r="CT23" s="695"/>
      <c r="CU23" s="587"/>
      <c r="CV23" s="695"/>
      <c r="CW23" s="587"/>
      <c r="CX23" s="695"/>
      <c r="CY23" s="587"/>
      <c r="CZ23" s="695"/>
      <c r="DA23" s="587"/>
      <c r="DB23" s="695"/>
      <c r="DC23" s="587"/>
      <c r="DD23" s="695"/>
      <c r="DE23" s="589"/>
      <c r="DF23" s="562"/>
      <c r="DG23" s="552"/>
      <c r="DH23" s="700"/>
      <c r="DI23" s="691"/>
      <c r="DJ23" s="583"/>
      <c r="DK23" s="692"/>
      <c r="DL23" s="693"/>
      <c r="DM23" s="694"/>
      <c r="DN23" s="587"/>
      <c r="DO23" s="695"/>
      <c r="DP23" s="587"/>
      <c r="DQ23" s="695"/>
      <c r="DR23" s="587"/>
      <c r="DS23" s="695"/>
      <c r="DT23" s="587"/>
      <c r="DU23" s="695"/>
      <c r="DV23" s="587"/>
      <c r="DW23" s="695"/>
      <c r="DX23" s="587"/>
      <c r="DY23" s="695"/>
      <c r="DZ23" s="587"/>
      <c r="EA23" s="695"/>
      <c r="EB23" s="587"/>
      <c r="EC23" s="695"/>
      <c r="ED23" s="587"/>
      <c r="EE23" s="695"/>
      <c r="EF23" s="587"/>
      <c r="EG23" s="695"/>
      <c r="EH23" s="587"/>
      <c r="EI23" s="695"/>
      <c r="EJ23" s="587"/>
      <c r="EK23" s="695"/>
      <c r="EL23" s="587"/>
      <c r="EM23" s="695"/>
      <c r="EN23" s="587"/>
      <c r="EO23" s="695"/>
      <c r="EP23" s="587"/>
      <c r="EQ23" s="695"/>
      <c r="ER23" s="587"/>
      <c r="ES23" s="695"/>
      <c r="ET23" s="587"/>
      <c r="EU23" s="695"/>
      <c r="EV23" s="587"/>
      <c r="EW23" s="695"/>
      <c r="EX23" s="587"/>
      <c r="EY23" s="695"/>
      <c r="EZ23" s="587"/>
      <c r="FA23" s="695"/>
      <c r="FB23" s="587"/>
      <c r="FC23" s="695"/>
      <c r="FD23" s="587"/>
      <c r="FE23" s="695"/>
      <c r="FF23" s="587"/>
      <c r="FG23" s="695"/>
      <c r="FH23" s="589"/>
      <c r="FI23" s="563"/>
      <c r="FJ23" s="564"/>
      <c r="FK23" s="700"/>
      <c r="FL23" s="691"/>
      <c r="FM23" s="583"/>
      <c r="FN23" s="692"/>
      <c r="FO23" s="693"/>
      <c r="FP23" s="696"/>
      <c r="FQ23" s="697"/>
      <c r="FR23" s="587"/>
      <c r="FS23" s="698"/>
      <c r="FT23" s="697"/>
      <c r="FU23" s="592"/>
      <c r="FV23" s="593"/>
      <c r="FW23" s="594"/>
      <c r="FX23" s="595"/>
      <c r="FY23" s="596"/>
      <c r="FZ23" s="597"/>
      <c r="GA23" s="598"/>
      <c r="GB23" s="599"/>
      <c r="GC23" s="600"/>
      <c r="GD23" s="599"/>
      <c r="GE23" s="601"/>
      <c r="GF23" s="688"/>
      <c r="GG23" s="602"/>
      <c r="GH23" s="602"/>
      <c r="GI23" s="602"/>
      <c r="GJ23" s="615"/>
      <c r="GK23" s="580" t="s">
        <v>777</v>
      </c>
      <c r="GL23" s="609"/>
      <c r="GM23" s="718"/>
      <c r="GN23" s="719">
        <v>73.8</v>
      </c>
      <c r="GO23" s="500" t="s">
        <v>318</v>
      </c>
      <c r="GP23" s="719"/>
      <c r="GQ23" s="609"/>
      <c r="GR23" s="615"/>
      <c r="GS23" s="578"/>
      <c r="GT23" s="677"/>
      <c r="GU23" s="609"/>
      <c r="GV23" s="530"/>
      <c r="GW23" s="609"/>
      <c r="GX23" s="609"/>
      <c r="GY23" s="720"/>
      <c r="GZ23" s="721"/>
      <c r="HA23" s="413"/>
      <c r="HB23" s="721" t="s">
        <v>778</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542</v>
      </c>
      <c r="GL24" s="609"/>
      <c r="GM24" s="718"/>
      <c r="GN24" s="719">
        <v>0.05</v>
      </c>
      <c r="GO24" s="719"/>
      <c r="GP24" s="719"/>
      <c r="GQ24" s="609"/>
      <c r="GR24" s="615"/>
      <c r="GS24" s="609"/>
      <c r="GT24" s="677"/>
      <c r="GU24" s="580" t="s">
        <v>543</v>
      </c>
      <c r="GV24" s="609"/>
      <c r="GW24" s="609"/>
      <c r="GX24" s="413"/>
      <c r="GY24" s="722">
        <v>614</v>
      </c>
      <c r="GZ24" s="580" t="s">
        <v>705</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544</v>
      </c>
      <c r="GV25" s="609"/>
      <c r="GW25" s="609"/>
      <c r="GX25" s="413"/>
      <c r="GY25" s="733">
        <v>1</v>
      </c>
      <c r="GZ25" s="580"/>
      <c r="HA25" s="530"/>
      <c r="HB25" s="530"/>
      <c r="HC25" s="530"/>
      <c r="HD25" s="562"/>
      <c r="HE25" s="562"/>
      <c r="HF25" s="415"/>
      <c r="HG25" s="415"/>
    </row>
    <row r="26" spans="1:218" ht="20.100000000000001" customHeight="1">
      <c r="A26" s="641"/>
      <c r="B26" s="642"/>
      <c r="C26" s="642"/>
      <c r="D26" s="642" t="s">
        <v>755</v>
      </c>
      <c r="E26" s="642"/>
      <c r="F26" s="642"/>
      <c r="G26" s="644"/>
      <c r="H26" s="645">
        <f>SUM(H16:H25)</f>
        <v>1055</v>
      </c>
      <c r="I26" s="734"/>
      <c r="J26" s="645">
        <f>SUM(J16:J25)</f>
        <v>976</v>
      </c>
      <c r="K26" s="735"/>
      <c r="L26" s="645">
        <f>SUM(L16:L25)</f>
        <v>950</v>
      </c>
      <c r="M26" s="735"/>
      <c r="N26" s="645">
        <f>SUM(N16:N25)</f>
        <v>902</v>
      </c>
      <c r="O26" s="735"/>
      <c r="P26" s="645">
        <f>SUM(P16:P25)</f>
        <v>887</v>
      </c>
      <c r="Q26" s="735"/>
      <c r="R26" s="645">
        <f>SUM(R16:R25)</f>
        <v>915</v>
      </c>
      <c r="S26" s="735"/>
      <c r="T26" s="645">
        <f>SUM(T16:T25)</f>
        <v>1034</v>
      </c>
      <c r="U26" s="735"/>
      <c r="V26" s="645">
        <f>SUM(V16:V25)</f>
        <v>1193</v>
      </c>
      <c r="W26" s="735"/>
      <c r="X26" s="645">
        <f>SUM(X16:X25)</f>
        <v>1402</v>
      </c>
      <c r="Y26" s="735"/>
      <c r="Z26" s="645">
        <f>SUM(Z16:Z25)</f>
        <v>1618</v>
      </c>
      <c r="AA26" s="735"/>
      <c r="AB26" s="645">
        <f>SUM(AB16:AB25)</f>
        <v>1782</v>
      </c>
      <c r="AC26" s="735"/>
      <c r="AD26" s="645">
        <f>SUM(AD16:AD25)</f>
        <v>1906</v>
      </c>
      <c r="AE26" s="735"/>
      <c r="AF26" s="645">
        <f>SUM(AF16:AF25)</f>
        <v>2018</v>
      </c>
      <c r="AG26" s="735"/>
      <c r="AH26" s="645">
        <f>SUM(AH16:AH25)</f>
        <v>2111</v>
      </c>
      <c r="AI26" s="735"/>
      <c r="AJ26" s="645">
        <f>SUM(AJ16:AJ25)</f>
        <v>2136</v>
      </c>
      <c r="AK26" s="735"/>
      <c r="AL26" s="645">
        <f>SUM(AL16:AL25)</f>
        <v>2148</v>
      </c>
      <c r="AM26" s="735"/>
      <c r="AN26" s="645">
        <f>SUM(AN16:AN25)</f>
        <v>2042</v>
      </c>
      <c r="AO26" s="735"/>
      <c r="AP26" s="645">
        <f>SUM(AP16:AP25)</f>
        <v>1899</v>
      </c>
      <c r="AQ26" s="735"/>
      <c r="AR26" s="645">
        <f>SUM(AR16:AR25)</f>
        <v>1659</v>
      </c>
      <c r="AS26" s="735"/>
      <c r="AT26" s="645">
        <f>SUM(AT16:AT25)</f>
        <v>1454</v>
      </c>
      <c r="AU26" s="735"/>
      <c r="AV26" s="645">
        <f>SUM(AV16:AV25)</f>
        <v>1316</v>
      </c>
      <c r="AW26" s="735"/>
      <c r="AX26" s="645">
        <f>SUM(AX16:AX25)</f>
        <v>1237</v>
      </c>
      <c r="AY26" s="735"/>
      <c r="AZ26" s="645">
        <f>SUM(AZ16:AZ25)</f>
        <v>1152</v>
      </c>
      <c r="BA26" s="735"/>
      <c r="BB26" s="647">
        <f>SUM(BB16:BB25)</f>
        <v>1091</v>
      </c>
      <c r="BC26" s="648"/>
      <c r="BD26" s="641"/>
      <c r="BE26" s="642"/>
      <c r="BF26" s="642"/>
      <c r="BG26" s="642" t="s">
        <v>755</v>
      </c>
      <c r="BH26" s="642"/>
      <c r="BI26" s="642"/>
      <c r="BJ26" s="644"/>
      <c r="BK26" s="645">
        <f>SUM(BK16:BK25)</f>
        <v>944</v>
      </c>
      <c r="BL26" s="734"/>
      <c r="BM26" s="645">
        <f>SUM(BM16:BM25)</f>
        <v>883</v>
      </c>
      <c r="BN26" s="735"/>
      <c r="BO26" s="645">
        <f>SUM(BO16:BO25)</f>
        <v>855</v>
      </c>
      <c r="BP26" s="735"/>
      <c r="BQ26" s="645">
        <f>SUM(BQ16:BQ25)</f>
        <v>809</v>
      </c>
      <c r="BR26" s="735"/>
      <c r="BS26" s="645">
        <f>SUM(BS16:BS25)</f>
        <v>792</v>
      </c>
      <c r="BT26" s="735"/>
      <c r="BU26" s="645">
        <f>SUM(BU16:BU25)</f>
        <v>820</v>
      </c>
      <c r="BV26" s="735"/>
      <c r="BW26" s="645">
        <f>SUM(BW16:BW25)</f>
        <v>947</v>
      </c>
      <c r="BX26" s="735"/>
      <c r="BY26" s="645">
        <f>SUM(BY16:BY25)</f>
        <v>1137</v>
      </c>
      <c r="BZ26" s="735"/>
      <c r="CA26" s="645">
        <f>SUM(CA16:CA25)</f>
        <v>1345</v>
      </c>
      <c r="CB26" s="735"/>
      <c r="CC26" s="645">
        <f>SUM(CC16:CC25)</f>
        <v>1529</v>
      </c>
      <c r="CD26" s="735"/>
      <c r="CE26" s="645">
        <f>SUM(CE16:CE25)</f>
        <v>1717</v>
      </c>
      <c r="CF26" s="735"/>
      <c r="CG26" s="645">
        <f>SUM(CG16:CG25)</f>
        <v>1843</v>
      </c>
      <c r="CH26" s="735"/>
      <c r="CI26" s="645">
        <f>SUM(CI16:CI25)</f>
        <v>1962</v>
      </c>
      <c r="CJ26" s="735"/>
      <c r="CK26" s="645">
        <f>SUM(CK16:CK25)</f>
        <v>2052</v>
      </c>
      <c r="CL26" s="735"/>
      <c r="CM26" s="645">
        <f>SUM(CM16:CM25)</f>
        <v>2150</v>
      </c>
      <c r="CN26" s="735"/>
      <c r="CO26" s="645">
        <f>SUM(CO16:CO25)</f>
        <v>2225</v>
      </c>
      <c r="CP26" s="735"/>
      <c r="CQ26" s="645">
        <f>SUM(CQ16:CQ25)</f>
        <v>2217</v>
      </c>
      <c r="CR26" s="735"/>
      <c r="CS26" s="645">
        <f>SUM(CS16:CS25)</f>
        <v>2097</v>
      </c>
      <c r="CT26" s="735"/>
      <c r="CU26" s="645">
        <f>SUM(CU16:CU25)</f>
        <v>1841</v>
      </c>
      <c r="CV26" s="735"/>
      <c r="CW26" s="645">
        <f>SUM(CW16:CW25)</f>
        <v>1528</v>
      </c>
      <c r="CX26" s="735"/>
      <c r="CY26" s="645">
        <f>SUM(CY16:CY25)</f>
        <v>1323</v>
      </c>
      <c r="CZ26" s="735"/>
      <c r="DA26" s="645">
        <f>SUM(DA16:DA25)</f>
        <v>1174</v>
      </c>
      <c r="DB26" s="735"/>
      <c r="DC26" s="645">
        <f>SUM(DC16:DC25)</f>
        <v>1094</v>
      </c>
      <c r="DD26" s="735"/>
      <c r="DE26" s="647">
        <f>SUM(DE16:DE25)</f>
        <v>1011</v>
      </c>
      <c r="DF26" s="648"/>
      <c r="DG26" s="641"/>
      <c r="DH26" s="642"/>
      <c r="DI26" s="642"/>
      <c r="DJ26" s="642" t="s">
        <v>755</v>
      </c>
      <c r="DK26" s="642"/>
      <c r="DL26" s="642"/>
      <c r="DM26" s="644"/>
      <c r="DN26" s="645">
        <f>SUM(DN16:DN25)</f>
        <v>672</v>
      </c>
      <c r="DO26" s="734"/>
      <c r="DP26" s="645">
        <f>SUM(DP16:DP25)</f>
        <v>646</v>
      </c>
      <c r="DQ26" s="735"/>
      <c r="DR26" s="645">
        <f>SUM(DR16:DR25)</f>
        <v>622</v>
      </c>
      <c r="DS26" s="735"/>
      <c r="DT26" s="645">
        <f>SUM(DT16:DT25)</f>
        <v>612</v>
      </c>
      <c r="DU26" s="735"/>
      <c r="DV26" s="645">
        <f>SUM(DV16:DV25)</f>
        <v>612</v>
      </c>
      <c r="DW26" s="735"/>
      <c r="DX26" s="645">
        <f>SUM(DX16:DX25)</f>
        <v>612</v>
      </c>
      <c r="DY26" s="735"/>
      <c r="DZ26" s="645">
        <f>SUM(DZ16:DZ25)</f>
        <v>612</v>
      </c>
      <c r="EA26" s="735"/>
      <c r="EB26" s="645">
        <f>SUM(EB16:EB25)</f>
        <v>773</v>
      </c>
      <c r="EC26" s="735"/>
      <c r="ED26" s="645">
        <f>SUM(ED16:ED25)</f>
        <v>981</v>
      </c>
      <c r="EE26" s="735"/>
      <c r="EF26" s="645">
        <f>SUM(EF16:EF25)</f>
        <v>1216</v>
      </c>
      <c r="EG26" s="735"/>
      <c r="EH26" s="645">
        <f>SUM(EH16:EH25)</f>
        <v>1427</v>
      </c>
      <c r="EI26" s="735"/>
      <c r="EJ26" s="645">
        <f>SUM(EJ16:EJ25)</f>
        <v>1607</v>
      </c>
      <c r="EK26" s="735"/>
      <c r="EL26" s="645">
        <f>SUM(EL16:EL25)</f>
        <v>1715</v>
      </c>
      <c r="EM26" s="735"/>
      <c r="EN26" s="645">
        <f>SUM(EN16:EN25)</f>
        <v>1801</v>
      </c>
      <c r="EO26" s="735"/>
      <c r="EP26" s="645">
        <f>SUM(EP16:EP25)</f>
        <v>1896</v>
      </c>
      <c r="EQ26" s="735"/>
      <c r="ER26" s="645">
        <f>SUM(ER16:ER25)</f>
        <v>1952</v>
      </c>
      <c r="ES26" s="735"/>
      <c r="ET26" s="645">
        <f>SUM(ET16:ET25)</f>
        <v>1857</v>
      </c>
      <c r="EU26" s="735"/>
      <c r="EV26" s="645">
        <f>SUM(EV16:EV25)</f>
        <v>1648</v>
      </c>
      <c r="EW26" s="735"/>
      <c r="EX26" s="645">
        <f>SUM(EX16:EX25)</f>
        <v>1364</v>
      </c>
      <c r="EY26" s="735"/>
      <c r="EZ26" s="645">
        <f>SUM(EZ16:EZ25)</f>
        <v>1128</v>
      </c>
      <c r="FA26" s="735"/>
      <c r="FB26" s="645">
        <f>SUM(FB16:FB25)</f>
        <v>974</v>
      </c>
      <c r="FC26" s="735"/>
      <c r="FD26" s="645">
        <f>SUM(FD16:FD25)</f>
        <v>865</v>
      </c>
      <c r="FE26" s="735"/>
      <c r="FF26" s="645">
        <f>SUM(FF16:FF25)</f>
        <v>808</v>
      </c>
      <c r="FG26" s="735"/>
      <c r="FH26" s="647">
        <f>SUM(FH16:FH25)</f>
        <v>734</v>
      </c>
      <c r="FI26" s="649"/>
      <c r="FJ26" s="564"/>
      <c r="FK26" s="642"/>
      <c r="FL26" s="642"/>
      <c r="FM26" s="642" t="s">
        <v>756</v>
      </c>
      <c r="FN26" s="642"/>
      <c r="FO26" s="642"/>
      <c r="FP26" s="650"/>
      <c r="FQ26" s="651"/>
      <c r="FR26" s="645">
        <f>SUM(FR16:FR25)</f>
        <v>3528</v>
      </c>
      <c r="FS26" s="736"/>
      <c r="FT26" s="651"/>
      <c r="FU26" s="653">
        <f>SUM(FU16:FU25)</f>
        <v>3202</v>
      </c>
      <c r="FV26" s="593"/>
      <c r="FW26" s="594"/>
      <c r="FX26" s="595"/>
      <c r="FY26" s="596"/>
      <c r="FZ26" s="597"/>
      <c r="GA26" s="598"/>
      <c r="GB26" s="599"/>
      <c r="GC26" s="600"/>
      <c r="GD26" s="599"/>
      <c r="GE26" s="601"/>
      <c r="GF26" s="654"/>
      <c r="GG26" s="655"/>
      <c r="GH26" s="655"/>
      <c r="GI26" s="655"/>
      <c r="GJ26" s="615"/>
      <c r="GK26" s="530" t="s">
        <v>722</v>
      </c>
      <c r="GL26" s="615"/>
      <c r="GM26" s="530"/>
      <c r="GN26" s="615"/>
      <c r="GO26" s="530"/>
      <c r="GP26" s="615"/>
      <c r="GQ26" s="615"/>
      <c r="GR26" s="615"/>
      <c r="GS26" s="579"/>
      <c r="GT26" s="677"/>
      <c r="GU26" s="580" t="s">
        <v>706</v>
      </c>
      <c r="GV26" s="609"/>
      <c r="GW26" s="609"/>
      <c r="GX26" s="413"/>
      <c r="GY26" s="733">
        <v>0.65</v>
      </c>
      <c r="GZ26" s="580"/>
      <c r="HA26" s="530"/>
      <c r="HB26" s="530"/>
      <c r="HC26" s="530"/>
      <c r="HD26" s="648"/>
      <c r="HE26" s="415"/>
      <c r="HF26" s="415"/>
      <c r="HG26" s="580"/>
      <c r="HH26" s="648"/>
      <c r="HI26" s="415"/>
      <c r="HJ26" s="415"/>
    </row>
    <row r="27" spans="1:218" ht="20.100000000000001" customHeight="1">
      <c r="A27" s="737" t="s">
        <v>766</v>
      </c>
      <c r="B27" s="738"/>
      <c r="C27" s="739"/>
      <c r="D27" s="663"/>
      <c r="E27" s="739"/>
      <c r="F27" s="739"/>
      <c r="G27" s="740" t="s">
        <v>429</v>
      </c>
      <c r="H27" s="663" t="s">
        <v>428</v>
      </c>
      <c r="I27" s="741" t="s">
        <v>322</v>
      </c>
      <c r="J27" s="663" t="s">
        <v>428</v>
      </c>
      <c r="K27" s="742" t="s">
        <v>429</v>
      </c>
      <c r="L27" s="663" t="s">
        <v>430</v>
      </c>
      <c r="M27" s="742" t="s">
        <v>322</v>
      </c>
      <c r="N27" s="663" t="s">
        <v>430</v>
      </c>
      <c r="O27" s="742" t="s">
        <v>322</v>
      </c>
      <c r="P27" s="663" t="s">
        <v>430</v>
      </c>
      <c r="Q27" s="742" t="s">
        <v>429</v>
      </c>
      <c r="R27" s="663" t="s">
        <v>428</v>
      </c>
      <c r="S27" s="742" t="s">
        <v>429</v>
      </c>
      <c r="T27" s="663" t="s">
        <v>428</v>
      </c>
      <c r="U27" s="742" t="s">
        <v>429</v>
      </c>
      <c r="V27" s="663" t="s">
        <v>430</v>
      </c>
      <c r="W27" s="742" t="s">
        <v>322</v>
      </c>
      <c r="X27" s="663" t="s">
        <v>428</v>
      </c>
      <c r="Y27" s="742" t="s">
        <v>429</v>
      </c>
      <c r="Z27" s="663" t="s">
        <v>428</v>
      </c>
      <c r="AA27" s="742" t="s">
        <v>322</v>
      </c>
      <c r="AB27" s="663" t="s">
        <v>428</v>
      </c>
      <c r="AC27" s="742" t="s">
        <v>322</v>
      </c>
      <c r="AD27" s="663" t="s">
        <v>430</v>
      </c>
      <c r="AE27" s="742" t="s">
        <v>322</v>
      </c>
      <c r="AF27" s="663" t="s">
        <v>430</v>
      </c>
      <c r="AG27" s="742" t="s">
        <v>322</v>
      </c>
      <c r="AH27" s="663" t="s">
        <v>428</v>
      </c>
      <c r="AI27" s="742" t="s">
        <v>429</v>
      </c>
      <c r="AJ27" s="663" t="s">
        <v>430</v>
      </c>
      <c r="AK27" s="742" t="s">
        <v>429</v>
      </c>
      <c r="AL27" s="663" t="s">
        <v>430</v>
      </c>
      <c r="AM27" s="742" t="s">
        <v>429</v>
      </c>
      <c r="AN27" s="663" t="s">
        <v>428</v>
      </c>
      <c r="AO27" s="742" t="s">
        <v>429</v>
      </c>
      <c r="AP27" s="663" t="s">
        <v>430</v>
      </c>
      <c r="AQ27" s="742" t="s">
        <v>429</v>
      </c>
      <c r="AR27" s="663" t="s">
        <v>430</v>
      </c>
      <c r="AS27" s="742" t="s">
        <v>429</v>
      </c>
      <c r="AT27" s="663" t="s">
        <v>430</v>
      </c>
      <c r="AU27" s="742" t="s">
        <v>322</v>
      </c>
      <c r="AV27" s="663" t="s">
        <v>430</v>
      </c>
      <c r="AW27" s="742" t="s">
        <v>429</v>
      </c>
      <c r="AX27" s="663" t="s">
        <v>428</v>
      </c>
      <c r="AY27" s="742" t="s">
        <v>429</v>
      </c>
      <c r="AZ27" s="663" t="s">
        <v>428</v>
      </c>
      <c r="BA27" s="742" t="s">
        <v>322</v>
      </c>
      <c r="BB27" s="665" t="s">
        <v>430</v>
      </c>
      <c r="BC27" s="723"/>
      <c r="BD27" s="737" t="s">
        <v>431</v>
      </c>
      <c r="BE27" s="738"/>
      <c r="BF27" s="739"/>
      <c r="BG27" s="663"/>
      <c r="BH27" s="739"/>
      <c r="BI27" s="739"/>
      <c r="BJ27" s="740" t="s">
        <v>322</v>
      </c>
      <c r="BK27" s="663" t="s">
        <v>428</v>
      </c>
      <c r="BL27" s="741" t="s">
        <v>429</v>
      </c>
      <c r="BM27" s="663" t="s">
        <v>428</v>
      </c>
      <c r="BN27" s="742" t="s">
        <v>429</v>
      </c>
      <c r="BO27" s="663" t="s">
        <v>430</v>
      </c>
      <c r="BP27" s="742" t="s">
        <v>322</v>
      </c>
      <c r="BQ27" s="663" t="s">
        <v>428</v>
      </c>
      <c r="BR27" s="742" t="s">
        <v>429</v>
      </c>
      <c r="BS27" s="663" t="s">
        <v>428</v>
      </c>
      <c r="BT27" s="742" t="s">
        <v>429</v>
      </c>
      <c r="BU27" s="663" t="s">
        <v>430</v>
      </c>
      <c r="BV27" s="742" t="s">
        <v>322</v>
      </c>
      <c r="BW27" s="663" t="s">
        <v>428</v>
      </c>
      <c r="BX27" s="742" t="s">
        <v>322</v>
      </c>
      <c r="BY27" s="663" t="s">
        <v>430</v>
      </c>
      <c r="BZ27" s="742" t="s">
        <v>429</v>
      </c>
      <c r="CA27" s="663" t="s">
        <v>428</v>
      </c>
      <c r="CB27" s="742" t="s">
        <v>429</v>
      </c>
      <c r="CC27" s="663" t="s">
        <v>430</v>
      </c>
      <c r="CD27" s="742" t="s">
        <v>322</v>
      </c>
      <c r="CE27" s="663" t="s">
        <v>430</v>
      </c>
      <c r="CF27" s="742" t="s">
        <v>322</v>
      </c>
      <c r="CG27" s="663" t="s">
        <v>430</v>
      </c>
      <c r="CH27" s="742" t="s">
        <v>429</v>
      </c>
      <c r="CI27" s="663" t="s">
        <v>430</v>
      </c>
      <c r="CJ27" s="742" t="s">
        <v>429</v>
      </c>
      <c r="CK27" s="663" t="s">
        <v>428</v>
      </c>
      <c r="CL27" s="742" t="s">
        <v>322</v>
      </c>
      <c r="CM27" s="663" t="s">
        <v>430</v>
      </c>
      <c r="CN27" s="742" t="s">
        <v>322</v>
      </c>
      <c r="CO27" s="663" t="s">
        <v>430</v>
      </c>
      <c r="CP27" s="742" t="s">
        <v>322</v>
      </c>
      <c r="CQ27" s="663" t="s">
        <v>428</v>
      </c>
      <c r="CR27" s="742" t="s">
        <v>429</v>
      </c>
      <c r="CS27" s="663" t="s">
        <v>428</v>
      </c>
      <c r="CT27" s="742" t="s">
        <v>429</v>
      </c>
      <c r="CU27" s="663" t="s">
        <v>428</v>
      </c>
      <c r="CV27" s="742" t="s">
        <v>322</v>
      </c>
      <c r="CW27" s="663" t="s">
        <v>430</v>
      </c>
      <c r="CX27" s="742" t="s">
        <v>429</v>
      </c>
      <c r="CY27" s="663" t="s">
        <v>428</v>
      </c>
      <c r="CZ27" s="742" t="s">
        <v>429</v>
      </c>
      <c r="DA27" s="663" t="s">
        <v>430</v>
      </c>
      <c r="DB27" s="742" t="s">
        <v>429</v>
      </c>
      <c r="DC27" s="663" t="s">
        <v>430</v>
      </c>
      <c r="DD27" s="742" t="s">
        <v>322</v>
      </c>
      <c r="DE27" s="665" t="s">
        <v>430</v>
      </c>
      <c r="DF27" s="723"/>
      <c r="DG27" s="737" t="s">
        <v>432</v>
      </c>
      <c r="DH27" s="743"/>
      <c r="DI27" s="744"/>
      <c r="DJ27" s="745"/>
      <c r="DK27" s="744"/>
      <c r="DL27" s="744"/>
      <c r="DM27" s="740" t="s">
        <v>429</v>
      </c>
      <c r="DN27" s="663" t="s">
        <v>428</v>
      </c>
      <c r="DO27" s="741" t="s">
        <v>322</v>
      </c>
      <c r="DP27" s="663" t="s">
        <v>428</v>
      </c>
      <c r="DQ27" s="742" t="s">
        <v>322</v>
      </c>
      <c r="DR27" s="663" t="s">
        <v>430</v>
      </c>
      <c r="DS27" s="742" t="s">
        <v>322</v>
      </c>
      <c r="DT27" s="663" t="s">
        <v>430</v>
      </c>
      <c r="DU27" s="742" t="s">
        <v>322</v>
      </c>
      <c r="DV27" s="663" t="s">
        <v>428</v>
      </c>
      <c r="DW27" s="742" t="s">
        <v>429</v>
      </c>
      <c r="DX27" s="663" t="s">
        <v>430</v>
      </c>
      <c r="DY27" s="742" t="s">
        <v>429</v>
      </c>
      <c r="DZ27" s="663" t="s">
        <v>430</v>
      </c>
      <c r="EA27" s="742" t="s">
        <v>429</v>
      </c>
      <c r="EB27" s="663" t="s">
        <v>428</v>
      </c>
      <c r="EC27" s="742" t="s">
        <v>429</v>
      </c>
      <c r="ED27" s="663" t="s">
        <v>430</v>
      </c>
      <c r="EE27" s="742" t="s">
        <v>429</v>
      </c>
      <c r="EF27" s="663" t="s">
        <v>430</v>
      </c>
      <c r="EG27" s="742" t="s">
        <v>429</v>
      </c>
      <c r="EH27" s="663" t="s">
        <v>430</v>
      </c>
      <c r="EI27" s="742" t="s">
        <v>322</v>
      </c>
      <c r="EJ27" s="663" t="s">
        <v>430</v>
      </c>
      <c r="EK27" s="742" t="s">
        <v>429</v>
      </c>
      <c r="EL27" s="663" t="s">
        <v>428</v>
      </c>
      <c r="EM27" s="742" t="s">
        <v>429</v>
      </c>
      <c r="EN27" s="663" t="s">
        <v>428</v>
      </c>
      <c r="EO27" s="742" t="s">
        <v>322</v>
      </c>
      <c r="EP27" s="663" t="s">
        <v>430</v>
      </c>
      <c r="EQ27" s="742" t="s">
        <v>429</v>
      </c>
      <c r="ER27" s="663" t="s">
        <v>428</v>
      </c>
      <c r="ES27" s="742" t="s">
        <v>429</v>
      </c>
      <c r="ET27" s="663" t="s">
        <v>428</v>
      </c>
      <c r="EU27" s="742" t="s">
        <v>322</v>
      </c>
      <c r="EV27" s="663" t="s">
        <v>430</v>
      </c>
      <c r="EW27" s="742" t="s">
        <v>429</v>
      </c>
      <c r="EX27" s="663" t="s">
        <v>430</v>
      </c>
      <c r="EY27" s="742" t="s">
        <v>322</v>
      </c>
      <c r="EZ27" s="663" t="s">
        <v>428</v>
      </c>
      <c r="FA27" s="742" t="s">
        <v>429</v>
      </c>
      <c r="FB27" s="663" t="s">
        <v>428</v>
      </c>
      <c r="FC27" s="742" t="s">
        <v>322</v>
      </c>
      <c r="FD27" s="663" t="s">
        <v>430</v>
      </c>
      <c r="FE27" s="742" t="s">
        <v>322</v>
      </c>
      <c r="FF27" s="663" t="s">
        <v>430</v>
      </c>
      <c r="FG27" s="742" t="s">
        <v>322</v>
      </c>
      <c r="FH27" s="665" t="s">
        <v>428</v>
      </c>
      <c r="FI27" s="746"/>
      <c r="FJ27" s="542" t="s">
        <v>431</v>
      </c>
      <c r="FK27" s="743"/>
      <c r="FL27" s="744"/>
      <c r="FM27" s="745"/>
      <c r="FN27" s="744"/>
      <c r="FO27" s="744"/>
      <c r="FP27" s="747" t="s">
        <v>450</v>
      </c>
      <c r="FQ27" s="673" t="s">
        <v>322</v>
      </c>
      <c r="FR27" s="663" t="s">
        <v>451</v>
      </c>
      <c r="FS27" s="748" t="s">
        <v>450</v>
      </c>
      <c r="FT27" s="673" t="s">
        <v>322</v>
      </c>
      <c r="FU27" s="675" t="s">
        <v>451</v>
      </c>
      <c r="FV27" s="593"/>
      <c r="FW27" s="594"/>
      <c r="FX27" s="595"/>
      <c r="FY27" s="596"/>
      <c r="FZ27" s="597"/>
      <c r="GA27" s="598"/>
      <c r="GB27" s="599"/>
      <c r="GC27" s="600"/>
      <c r="GD27" s="599"/>
      <c r="GE27" s="601"/>
      <c r="GF27" s="749"/>
      <c r="GG27" s="750"/>
      <c r="GH27" s="750"/>
      <c r="GI27" s="750"/>
      <c r="GJ27" s="615"/>
      <c r="GK27" s="530" t="s">
        <v>779</v>
      </c>
      <c r="GL27" s="615"/>
      <c r="GM27" s="615"/>
      <c r="GN27" s="615"/>
      <c r="GO27" s="413"/>
      <c r="GP27" s="751">
        <v>27.3</v>
      </c>
      <c r="GQ27" s="413" t="s">
        <v>707</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435</v>
      </c>
      <c r="C28" s="753"/>
      <c r="D28" s="754">
        <v>71</v>
      </c>
      <c r="E28" s="755">
        <v>8</v>
      </c>
      <c r="F28" s="756" t="s">
        <v>436</v>
      </c>
      <c r="G28" s="757">
        <v>1</v>
      </c>
      <c r="H28" s="559">
        <v>568</v>
      </c>
      <c r="I28" s="758">
        <v>1</v>
      </c>
      <c r="J28" s="559">
        <v>568</v>
      </c>
      <c r="K28" s="758">
        <v>1</v>
      </c>
      <c r="L28" s="559">
        <v>568</v>
      </c>
      <c r="M28" s="758">
        <v>1</v>
      </c>
      <c r="N28" s="559">
        <v>568</v>
      </c>
      <c r="O28" s="758">
        <v>1</v>
      </c>
      <c r="P28" s="559">
        <v>568</v>
      </c>
      <c r="Q28" s="758">
        <v>1</v>
      </c>
      <c r="R28" s="559">
        <v>568</v>
      </c>
      <c r="S28" s="758">
        <v>1</v>
      </c>
      <c r="T28" s="559">
        <v>568</v>
      </c>
      <c r="U28" s="758">
        <v>1</v>
      </c>
      <c r="V28" s="559">
        <v>568</v>
      </c>
      <c r="W28" s="758">
        <v>1</v>
      </c>
      <c r="X28" s="559">
        <v>568</v>
      </c>
      <c r="Y28" s="758">
        <v>1</v>
      </c>
      <c r="Z28" s="559">
        <v>568</v>
      </c>
      <c r="AA28" s="758">
        <v>1</v>
      </c>
      <c r="AB28" s="559">
        <v>568</v>
      </c>
      <c r="AC28" s="758">
        <v>0.5</v>
      </c>
      <c r="AD28" s="559">
        <v>284</v>
      </c>
      <c r="AE28" s="758">
        <v>1</v>
      </c>
      <c r="AF28" s="559">
        <v>568</v>
      </c>
      <c r="AG28" s="758">
        <v>1</v>
      </c>
      <c r="AH28" s="559">
        <v>568</v>
      </c>
      <c r="AI28" s="758">
        <v>1</v>
      </c>
      <c r="AJ28" s="559">
        <v>568</v>
      </c>
      <c r="AK28" s="758">
        <v>1</v>
      </c>
      <c r="AL28" s="559">
        <v>568</v>
      </c>
      <c r="AM28" s="758">
        <v>1</v>
      </c>
      <c r="AN28" s="559">
        <v>568</v>
      </c>
      <c r="AO28" s="758">
        <v>1</v>
      </c>
      <c r="AP28" s="559">
        <v>568</v>
      </c>
      <c r="AQ28" s="758">
        <v>1</v>
      </c>
      <c r="AR28" s="559">
        <v>568</v>
      </c>
      <c r="AS28" s="758">
        <v>1</v>
      </c>
      <c r="AT28" s="559">
        <v>568</v>
      </c>
      <c r="AU28" s="758">
        <v>1</v>
      </c>
      <c r="AV28" s="559">
        <v>568</v>
      </c>
      <c r="AW28" s="758">
        <v>1</v>
      </c>
      <c r="AX28" s="559">
        <v>568</v>
      </c>
      <c r="AY28" s="758">
        <v>1</v>
      </c>
      <c r="AZ28" s="559">
        <v>568</v>
      </c>
      <c r="BA28" s="758">
        <v>1</v>
      </c>
      <c r="BB28" s="684">
        <v>568</v>
      </c>
      <c r="BC28" s="562"/>
      <c r="BD28" s="552"/>
      <c r="BE28" s="752" t="s">
        <v>435</v>
      </c>
      <c r="BF28" s="753"/>
      <c r="BG28" s="754">
        <v>71</v>
      </c>
      <c r="BH28" s="755">
        <v>8</v>
      </c>
      <c r="BI28" s="756" t="s">
        <v>436</v>
      </c>
      <c r="BJ28" s="757">
        <v>1</v>
      </c>
      <c r="BK28" s="559">
        <v>568</v>
      </c>
      <c r="BL28" s="758">
        <v>1</v>
      </c>
      <c r="BM28" s="559">
        <v>568</v>
      </c>
      <c r="BN28" s="758">
        <v>1</v>
      </c>
      <c r="BO28" s="559">
        <v>568</v>
      </c>
      <c r="BP28" s="758">
        <v>1</v>
      </c>
      <c r="BQ28" s="559">
        <v>568</v>
      </c>
      <c r="BR28" s="758">
        <v>1</v>
      </c>
      <c r="BS28" s="559">
        <v>568</v>
      </c>
      <c r="BT28" s="758">
        <v>1</v>
      </c>
      <c r="BU28" s="559">
        <v>568</v>
      </c>
      <c r="BV28" s="758">
        <v>1</v>
      </c>
      <c r="BW28" s="559">
        <v>568</v>
      </c>
      <c r="BX28" s="758">
        <v>1</v>
      </c>
      <c r="BY28" s="559">
        <v>568</v>
      </c>
      <c r="BZ28" s="758">
        <v>1</v>
      </c>
      <c r="CA28" s="559">
        <v>568</v>
      </c>
      <c r="CB28" s="758">
        <v>1</v>
      </c>
      <c r="CC28" s="559">
        <v>568</v>
      </c>
      <c r="CD28" s="758">
        <v>1</v>
      </c>
      <c r="CE28" s="559">
        <v>568</v>
      </c>
      <c r="CF28" s="758">
        <v>0.5</v>
      </c>
      <c r="CG28" s="559">
        <v>284</v>
      </c>
      <c r="CH28" s="758">
        <v>1</v>
      </c>
      <c r="CI28" s="559">
        <v>568</v>
      </c>
      <c r="CJ28" s="758">
        <v>1</v>
      </c>
      <c r="CK28" s="559">
        <v>568</v>
      </c>
      <c r="CL28" s="758">
        <v>1</v>
      </c>
      <c r="CM28" s="559">
        <v>568</v>
      </c>
      <c r="CN28" s="758">
        <v>1</v>
      </c>
      <c r="CO28" s="559">
        <v>568</v>
      </c>
      <c r="CP28" s="758">
        <v>1</v>
      </c>
      <c r="CQ28" s="559">
        <v>568</v>
      </c>
      <c r="CR28" s="758">
        <v>1</v>
      </c>
      <c r="CS28" s="559">
        <v>568</v>
      </c>
      <c r="CT28" s="758">
        <v>1</v>
      </c>
      <c r="CU28" s="559">
        <v>568</v>
      </c>
      <c r="CV28" s="758">
        <v>1</v>
      </c>
      <c r="CW28" s="559">
        <v>568</v>
      </c>
      <c r="CX28" s="758">
        <v>1</v>
      </c>
      <c r="CY28" s="559">
        <v>568</v>
      </c>
      <c r="CZ28" s="758">
        <v>1</v>
      </c>
      <c r="DA28" s="559">
        <v>568</v>
      </c>
      <c r="DB28" s="758">
        <v>1</v>
      </c>
      <c r="DC28" s="559">
        <v>568</v>
      </c>
      <c r="DD28" s="758">
        <v>1</v>
      </c>
      <c r="DE28" s="684">
        <v>568</v>
      </c>
      <c r="DF28" s="562"/>
      <c r="DG28" s="552"/>
      <c r="DH28" s="752" t="s">
        <v>435</v>
      </c>
      <c r="DI28" s="753"/>
      <c r="DJ28" s="754">
        <v>71</v>
      </c>
      <c r="DK28" s="755">
        <v>8</v>
      </c>
      <c r="DL28" s="756" t="s">
        <v>436</v>
      </c>
      <c r="DM28" s="757">
        <v>1</v>
      </c>
      <c r="DN28" s="559">
        <v>568</v>
      </c>
      <c r="DO28" s="758">
        <v>1</v>
      </c>
      <c r="DP28" s="559">
        <v>568</v>
      </c>
      <c r="DQ28" s="758">
        <v>1</v>
      </c>
      <c r="DR28" s="559">
        <v>568</v>
      </c>
      <c r="DS28" s="758">
        <v>1</v>
      </c>
      <c r="DT28" s="559">
        <v>568</v>
      </c>
      <c r="DU28" s="758">
        <v>1</v>
      </c>
      <c r="DV28" s="559">
        <v>568</v>
      </c>
      <c r="DW28" s="758">
        <v>1</v>
      </c>
      <c r="DX28" s="559">
        <v>568</v>
      </c>
      <c r="DY28" s="758">
        <v>1</v>
      </c>
      <c r="DZ28" s="559">
        <v>568</v>
      </c>
      <c r="EA28" s="758">
        <v>1</v>
      </c>
      <c r="EB28" s="559">
        <v>568</v>
      </c>
      <c r="EC28" s="758">
        <v>1</v>
      </c>
      <c r="ED28" s="559">
        <v>568</v>
      </c>
      <c r="EE28" s="758">
        <v>1</v>
      </c>
      <c r="EF28" s="559">
        <v>568</v>
      </c>
      <c r="EG28" s="758">
        <v>1</v>
      </c>
      <c r="EH28" s="559">
        <v>568</v>
      </c>
      <c r="EI28" s="758">
        <v>0.5</v>
      </c>
      <c r="EJ28" s="559">
        <v>284</v>
      </c>
      <c r="EK28" s="758">
        <v>1</v>
      </c>
      <c r="EL28" s="559">
        <v>568</v>
      </c>
      <c r="EM28" s="758">
        <v>1</v>
      </c>
      <c r="EN28" s="559">
        <v>568</v>
      </c>
      <c r="EO28" s="758">
        <v>1</v>
      </c>
      <c r="EP28" s="559">
        <v>568</v>
      </c>
      <c r="EQ28" s="758">
        <v>1</v>
      </c>
      <c r="ER28" s="559">
        <v>568</v>
      </c>
      <c r="ES28" s="758">
        <v>1</v>
      </c>
      <c r="ET28" s="559">
        <v>568</v>
      </c>
      <c r="EU28" s="758">
        <v>1</v>
      </c>
      <c r="EV28" s="559">
        <v>568</v>
      </c>
      <c r="EW28" s="758">
        <v>1</v>
      </c>
      <c r="EX28" s="559">
        <v>568</v>
      </c>
      <c r="EY28" s="758">
        <v>1</v>
      </c>
      <c r="EZ28" s="559">
        <v>568</v>
      </c>
      <c r="FA28" s="758">
        <v>1</v>
      </c>
      <c r="FB28" s="559">
        <v>568</v>
      </c>
      <c r="FC28" s="758">
        <v>1</v>
      </c>
      <c r="FD28" s="559">
        <v>568</v>
      </c>
      <c r="FE28" s="758">
        <v>1</v>
      </c>
      <c r="FF28" s="559">
        <v>568</v>
      </c>
      <c r="FG28" s="758">
        <v>1</v>
      </c>
      <c r="FH28" s="684">
        <v>568</v>
      </c>
      <c r="FI28" s="563"/>
      <c r="FJ28" s="564"/>
      <c r="FK28" s="752" t="s">
        <v>437</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549</v>
      </c>
      <c r="GL28" s="413"/>
      <c r="GM28" s="413"/>
      <c r="GN28" s="413"/>
      <c r="GO28" s="530"/>
      <c r="GP28" s="751">
        <v>26</v>
      </c>
      <c r="GQ28" s="413" t="s">
        <v>707</v>
      </c>
      <c r="GR28" s="733"/>
      <c r="GS28" s="530"/>
      <c r="GT28" s="763"/>
      <c r="GU28" s="580" t="s">
        <v>780</v>
      </c>
      <c r="GV28" s="609"/>
      <c r="GW28" s="530"/>
      <c r="GX28" s="529"/>
      <c r="GY28" s="409"/>
      <c r="GZ28" s="615"/>
      <c r="HA28" s="530"/>
      <c r="HB28" s="530"/>
      <c r="HC28" s="530"/>
      <c r="HD28" s="530"/>
      <c r="HE28" s="415"/>
      <c r="HF28" s="415"/>
      <c r="HG28" s="415"/>
      <c r="HH28" s="415"/>
    </row>
    <row r="29" spans="1:218" ht="20.100000000000001" customHeight="1" thickBot="1">
      <c r="A29" s="552"/>
      <c r="B29" s="764" t="s">
        <v>439</v>
      </c>
      <c r="C29" s="765"/>
      <c r="D29" s="766">
        <v>12</v>
      </c>
      <c r="E29" s="767">
        <v>73.8</v>
      </c>
      <c r="F29" s="768" t="s">
        <v>436</v>
      </c>
      <c r="G29" s="769">
        <v>1</v>
      </c>
      <c r="H29" s="587">
        <v>886</v>
      </c>
      <c r="I29" s="770">
        <v>1</v>
      </c>
      <c r="J29" s="587">
        <v>886</v>
      </c>
      <c r="K29" s="770">
        <v>1</v>
      </c>
      <c r="L29" s="587">
        <v>886</v>
      </c>
      <c r="M29" s="770">
        <v>1</v>
      </c>
      <c r="N29" s="587">
        <v>886</v>
      </c>
      <c r="O29" s="770">
        <v>1</v>
      </c>
      <c r="P29" s="587">
        <v>886</v>
      </c>
      <c r="Q29" s="770">
        <v>1</v>
      </c>
      <c r="R29" s="587">
        <v>886</v>
      </c>
      <c r="S29" s="770">
        <v>1</v>
      </c>
      <c r="T29" s="587">
        <v>886</v>
      </c>
      <c r="U29" s="770">
        <v>1</v>
      </c>
      <c r="V29" s="587">
        <v>886</v>
      </c>
      <c r="W29" s="770">
        <v>1</v>
      </c>
      <c r="X29" s="587">
        <v>886</v>
      </c>
      <c r="Y29" s="770">
        <v>1</v>
      </c>
      <c r="Z29" s="587">
        <v>886</v>
      </c>
      <c r="AA29" s="770">
        <v>1</v>
      </c>
      <c r="AB29" s="587">
        <v>886</v>
      </c>
      <c r="AC29" s="770">
        <v>1</v>
      </c>
      <c r="AD29" s="587">
        <v>886</v>
      </c>
      <c r="AE29" s="770">
        <v>1</v>
      </c>
      <c r="AF29" s="587">
        <v>886</v>
      </c>
      <c r="AG29" s="770">
        <v>1</v>
      </c>
      <c r="AH29" s="587">
        <v>886</v>
      </c>
      <c r="AI29" s="770">
        <v>1</v>
      </c>
      <c r="AJ29" s="587">
        <v>886</v>
      </c>
      <c r="AK29" s="770">
        <v>1</v>
      </c>
      <c r="AL29" s="587">
        <v>886</v>
      </c>
      <c r="AM29" s="770">
        <v>1</v>
      </c>
      <c r="AN29" s="587">
        <v>886</v>
      </c>
      <c r="AO29" s="770">
        <v>1</v>
      </c>
      <c r="AP29" s="587">
        <v>886</v>
      </c>
      <c r="AQ29" s="770">
        <v>1</v>
      </c>
      <c r="AR29" s="587">
        <v>886</v>
      </c>
      <c r="AS29" s="770">
        <v>1</v>
      </c>
      <c r="AT29" s="587">
        <v>886</v>
      </c>
      <c r="AU29" s="770">
        <v>1</v>
      </c>
      <c r="AV29" s="587">
        <v>886</v>
      </c>
      <c r="AW29" s="770">
        <v>1</v>
      </c>
      <c r="AX29" s="587">
        <v>886</v>
      </c>
      <c r="AY29" s="770">
        <v>1</v>
      </c>
      <c r="AZ29" s="587">
        <v>886</v>
      </c>
      <c r="BA29" s="770">
        <v>1</v>
      </c>
      <c r="BB29" s="589">
        <v>886</v>
      </c>
      <c r="BC29" s="562"/>
      <c r="BD29" s="552"/>
      <c r="BE29" s="764" t="s">
        <v>439</v>
      </c>
      <c r="BF29" s="765"/>
      <c r="BG29" s="766">
        <v>12</v>
      </c>
      <c r="BH29" s="767">
        <v>73.8</v>
      </c>
      <c r="BI29" s="768" t="s">
        <v>436</v>
      </c>
      <c r="BJ29" s="769">
        <v>1</v>
      </c>
      <c r="BK29" s="587">
        <v>886</v>
      </c>
      <c r="BL29" s="770">
        <v>1</v>
      </c>
      <c r="BM29" s="587">
        <v>886</v>
      </c>
      <c r="BN29" s="770">
        <v>1</v>
      </c>
      <c r="BO29" s="587">
        <v>886</v>
      </c>
      <c r="BP29" s="770">
        <v>1</v>
      </c>
      <c r="BQ29" s="587">
        <v>886</v>
      </c>
      <c r="BR29" s="770">
        <v>1</v>
      </c>
      <c r="BS29" s="587">
        <v>886</v>
      </c>
      <c r="BT29" s="770">
        <v>1</v>
      </c>
      <c r="BU29" s="587">
        <v>886</v>
      </c>
      <c r="BV29" s="770">
        <v>1</v>
      </c>
      <c r="BW29" s="587">
        <v>886</v>
      </c>
      <c r="BX29" s="770">
        <v>1</v>
      </c>
      <c r="BY29" s="587">
        <v>886</v>
      </c>
      <c r="BZ29" s="770">
        <v>1</v>
      </c>
      <c r="CA29" s="587">
        <v>886</v>
      </c>
      <c r="CB29" s="770">
        <v>1</v>
      </c>
      <c r="CC29" s="587">
        <v>886</v>
      </c>
      <c r="CD29" s="770">
        <v>1</v>
      </c>
      <c r="CE29" s="587">
        <v>886</v>
      </c>
      <c r="CF29" s="770">
        <v>1</v>
      </c>
      <c r="CG29" s="587">
        <v>886</v>
      </c>
      <c r="CH29" s="770">
        <v>1</v>
      </c>
      <c r="CI29" s="587">
        <v>886</v>
      </c>
      <c r="CJ29" s="770">
        <v>1</v>
      </c>
      <c r="CK29" s="587">
        <v>886</v>
      </c>
      <c r="CL29" s="770">
        <v>1</v>
      </c>
      <c r="CM29" s="587">
        <v>886</v>
      </c>
      <c r="CN29" s="770">
        <v>1</v>
      </c>
      <c r="CO29" s="587">
        <v>886</v>
      </c>
      <c r="CP29" s="770">
        <v>1</v>
      </c>
      <c r="CQ29" s="587">
        <v>886</v>
      </c>
      <c r="CR29" s="770">
        <v>1</v>
      </c>
      <c r="CS29" s="587">
        <v>886</v>
      </c>
      <c r="CT29" s="770">
        <v>1</v>
      </c>
      <c r="CU29" s="587">
        <v>886</v>
      </c>
      <c r="CV29" s="770">
        <v>1</v>
      </c>
      <c r="CW29" s="587">
        <v>886</v>
      </c>
      <c r="CX29" s="770">
        <v>1</v>
      </c>
      <c r="CY29" s="587">
        <v>886</v>
      </c>
      <c r="CZ29" s="770">
        <v>1</v>
      </c>
      <c r="DA29" s="587">
        <v>886</v>
      </c>
      <c r="DB29" s="770">
        <v>1</v>
      </c>
      <c r="DC29" s="587">
        <v>886</v>
      </c>
      <c r="DD29" s="770">
        <v>1</v>
      </c>
      <c r="DE29" s="589">
        <v>886</v>
      </c>
      <c r="DF29" s="562"/>
      <c r="DG29" s="552"/>
      <c r="DH29" s="764" t="s">
        <v>438</v>
      </c>
      <c r="DI29" s="765"/>
      <c r="DJ29" s="766">
        <v>12</v>
      </c>
      <c r="DK29" s="767">
        <v>73.8</v>
      </c>
      <c r="DL29" s="768" t="s">
        <v>436</v>
      </c>
      <c r="DM29" s="769">
        <v>1</v>
      </c>
      <c r="DN29" s="587">
        <v>886</v>
      </c>
      <c r="DO29" s="770">
        <v>1</v>
      </c>
      <c r="DP29" s="587">
        <v>886</v>
      </c>
      <c r="DQ29" s="770">
        <v>1</v>
      </c>
      <c r="DR29" s="587">
        <v>886</v>
      </c>
      <c r="DS29" s="770">
        <v>1</v>
      </c>
      <c r="DT29" s="587">
        <v>886</v>
      </c>
      <c r="DU29" s="770">
        <v>1</v>
      </c>
      <c r="DV29" s="587">
        <v>886</v>
      </c>
      <c r="DW29" s="770">
        <v>1</v>
      </c>
      <c r="DX29" s="587">
        <v>886</v>
      </c>
      <c r="DY29" s="770">
        <v>1</v>
      </c>
      <c r="DZ29" s="587">
        <v>886</v>
      </c>
      <c r="EA29" s="770">
        <v>1</v>
      </c>
      <c r="EB29" s="587">
        <v>886</v>
      </c>
      <c r="EC29" s="770">
        <v>1</v>
      </c>
      <c r="ED29" s="587">
        <v>886</v>
      </c>
      <c r="EE29" s="770">
        <v>1</v>
      </c>
      <c r="EF29" s="587">
        <v>886</v>
      </c>
      <c r="EG29" s="770">
        <v>1</v>
      </c>
      <c r="EH29" s="587">
        <v>886</v>
      </c>
      <c r="EI29" s="770">
        <v>1</v>
      </c>
      <c r="EJ29" s="587">
        <v>886</v>
      </c>
      <c r="EK29" s="770">
        <v>1</v>
      </c>
      <c r="EL29" s="587">
        <v>886</v>
      </c>
      <c r="EM29" s="770">
        <v>1</v>
      </c>
      <c r="EN29" s="587">
        <v>886</v>
      </c>
      <c r="EO29" s="770">
        <v>1</v>
      </c>
      <c r="EP29" s="587">
        <v>886</v>
      </c>
      <c r="EQ29" s="770">
        <v>1</v>
      </c>
      <c r="ER29" s="587">
        <v>886</v>
      </c>
      <c r="ES29" s="770">
        <v>1</v>
      </c>
      <c r="ET29" s="587">
        <v>886</v>
      </c>
      <c r="EU29" s="770">
        <v>1</v>
      </c>
      <c r="EV29" s="587">
        <v>886</v>
      </c>
      <c r="EW29" s="770">
        <v>1</v>
      </c>
      <c r="EX29" s="587">
        <v>886</v>
      </c>
      <c r="EY29" s="770">
        <v>1</v>
      </c>
      <c r="EZ29" s="587">
        <v>886</v>
      </c>
      <c r="FA29" s="770">
        <v>1</v>
      </c>
      <c r="FB29" s="587">
        <v>886</v>
      </c>
      <c r="FC29" s="770">
        <v>1</v>
      </c>
      <c r="FD29" s="587">
        <v>886</v>
      </c>
      <c r="FE29" s="770">
        <v>1</v>
      </c>
      <c r="FF29" s="587">
        <v>886</v>
      </c>
      <c r="FG29" s="770">
        <v>1</v>
      </c>
      <c r="FH29" s="589">
        <v>886</v>
      </c>
      <c r="FI29" s="563"/>
      <c r="FJ29" s="564"/>
      <c r="FK29" s="764" t="s">
        <v>438</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710</v>
      </c>
      <c r="GL29" s="774"/>
      <c r="GM29" s="774"/>
      <c r="GN29" s="774"/>
      <c r="GO29" s="615"/>
      <c r="GP29" s="751">
        <v>1.3000000000000007</v>
      </c>
      <c r="GQ29" s="413" t="s">
        <v>707</v>
      </c>
      <c r="GR29" s="775"/>
      <c r="GS29" s="530"/>
      <c r="GT29" s="763"/>
      <c r="GU29" s="580" t="s">
        <v>781</v>
      </c>
      <c r="GV29" s="609"/>
      <c r="GW29" s="530"/>
      <c r="GX29" s="529"/>
      <c r="GY29" s="409"/>
      <c r="GZ29" s="530"/>
      <c r="HA29" s="580"/>
      <c r="HB29" s="580"/>
      <c r="HC29" s="579"/>
      <c r="HD29" s="530"/>
      <c r="HE29" s="415"/>
      <c r="HF29" s="415"/>
    </row>
    <row r="30" spans="1:218" ht="20.100000000000001" customHeight="1">
      <c r="A30" s="552"/>
      <c r="B30" s="764" t="s">
        <v>440</v>
      </c>
      <c r="C30" s="766">
        <v>12</v>
      </c>
      <c r="D30" s="767">
        <v>73.8</v>
      </c>
      <c r="E30" s="776">
        <v>1</v>
      </c>
      <c r="F30" s="777" t="s">
        <v>436</v>
      </c>
      <c r="G30" s="769">
        <v>1</v>
      </c>
      <c r="H30" s="587">
        <v>886</v>
      </c>
      <c r="I30" s="770">
        <v>1</v>
      </c>
      <c r="J30" s="587">
        <v>886</v>
      </c>
      <c r="K30" s="770">
        <v>1</v>
      </c>
      <c r="L30" s="587">
        <v>886</v>
      </c>
      <c r="M30" s="770">
        <v>1</v>
      </c>
      <c r="N30" s="587">
        <v>886</v>
      </c>
      <c r="O30" s="770">
        <v>1</v>
      </c>
      <c r="P30" s="587">
        <v>886</v>
      </c>
      <c r="Q30" s="770">
        <v>1</v>
      </c>
      <c r="R30" s="587">
        <v>886</v>
      </c>
      <c r="S30" s="770">
        <v>1</v>
      </c>
      <c r="T30" s="587">
        <v>886</v>
      </c>
      <c r="U30" s="770">
        <v>1</v>
      </c>
      <c r="V30" s="587">
        <v>886</v>
      </c>
      <c r="W30" s="770">
        <v>1</v>
      </c>
      <c r="X30" s="587">
        <v>886</v>
      </c>
      <c r="Y30" s="770">
        <v>1</v>
      </c>
      <c r="Z30" s="587">
        <v>886</v>
      </c>
      <c r="AA30" s="770">
        <v>1</v>
      </c>
      <c r="AB30" s="587">
        <v>886</v>
      </c>
      <c r="AC30" s="770">
        <v>1</v>
      </c>
      <c r="AD30" s="587">
        <v>886</v>
      </c>
      <c r="AE30" s="770">
        <v>1</v>
      </c>
      <c r="AF30" s="587">
        <v>886</v>
      </c>
      <c r="AG30" s="770">
        <v>1</v>
      </c>
      <c r="AH30" s="587">
        <v>886</v>
      </c>
      <c r="AI30" s="770">
        <v>1</v>
      </c>
      <c r="AJ30" s="587">
        <v>886</v>
      </c>
      <c r="AK30" s="770">
        <v>1</v>
      </c>
      <c r="AL30" s="587">
        <v>886</v>
      </c>
      <c r="AM30" s="770">
        <v>1</v>
      </c>
      <c r="AN30" s="587">
        <v>886</v>
      </c>
      <c r="AO30" s="770">
        <v>1</v>
      </c>
      <c r="AP30" s="587">
        <v>886</v>
      </c>
      <c r="AQ30" s="770">
        <v>1</v>
      </c>
      <c r="AR30" s="587">
        <v>886</v>
      </c>
      <c r="AS30" s="770">
        <v>1</v>
      </c>
      <c r="AT30" s="587">
        <v>886</v>
      </c>
      <c r="AU30" s="770">
        <v>1</v>
      </c>
      <c r="AV30" s="587">
        <v>886</v>
      </c>
      <c r="AW30" s="770">
        <v>1</v>
      </c>
      <c r="AX30" s="587">
        <v>886</v>
      </c>
      <c r="AY30" s="770">
        <v>1</v>
      </c>
      <c r="AZ30" s="587">
        <v>886</v>
      </c>
      <c r="BA30" s="770">
        <v>1</v>
      </c>
      <c r="BB30" s="589">
        <v>886</v>
      </c>
      <c r="BC30" s="562"/>
      <c r="BD30" s="552"/>
      <c r="BE30" s="764" t="s">
        <v>441</v>
      </c>
      <c r="BF30" s="766">
        <v>12</v>
      </c>
      <c r="BG30" s="767">
        <v>73.8</v>
      </c>
      <c r="BH30" s="776">
        <v>1</v>
      </c>
      <c r="BI30" s="777" t="s">
        <v>436</v>
      </c>
      <c r="BJ30" s="769">
        <v>1</v>
      </c>
      <c r="BK30" s="587">
        <v>886</v>
      </c>
      <c r="BL30" s="770">
        <v>1</v>
      </c>
      <c r="BM30" s="587">
        <v>886</v>
      </c>
      <c r="BN30" s="770">
        <v>1</v>
      </c>
      <c r="BO30" s="587">
        <v>886</v>
      </c>
      <c r="BP30" s="770">
        <v>1</v>
      </c>
      <c r="BQ30" s="587">
        <v>886</v>
      </c>
      <c r="BR30" s="770">
        <v>1</v>
      </c>
      <c r="BS30" s="587">
        <v>886</v>
      </c>
      <c r="BT30" s="770">
        <v>1</v>
      </c>
      <c r="BU30" s="587">
        <v>886</v>
      </c>
      <c r="BV30" s="770">
        <v>1</v>
      </c>
      <c r="BW30" s="587">
        <v>886</v>
      </c>
      <c r="BX30" s="770">
        <v>1</v>
      </c>
      <c r="BY30" s="587">
        <v>886</v>
      </c>
      <c r="BZ30" s="770">
        <v>1</v>
      </c>
      <c r="CA30" s="587">
        <v>886</v>
      </c>
      <c r="CB30" s="770">
        <v>1</v>
      </c>
      <c r="CC30" s="587">
        <v>886</v>
      </c>
      <c r="CD30" s="770">
        <v>1</v>
      </c>
      <c r="CE30" s="587">
        <v>886</v>
      </c>
      <c r="CF30" s="770">
        <v>1</v>
      </c>
      <c r="CG30" s="587">
        <v>886</v>
      </c>
      <c r="CH30" s="770">
        <v>1</v>
      </c>
      <c r="CI30" s="587">
        <v>886</v>
      </c>
      <c r="CJ30" s="770">
        <v>1</v>
      </c>
      <c r="CK30" s="587">
        <v>886</v>
      </c>
      <c r="CL30" s="770">
        <v>1</v>
      </c>
      <c r="CM30" s="587">
        <v>886</v>
      </c>
      <c r="CN30" s="770">
        <v>1</v>
      </c>
      <c r="CO30" s="587">
        <v>886</v>
      </c>
      <c r="CP30" s="770">
        <v>1</v>
      </c>
      <c r="CQ30" s="587">
        <v>886</v>
      </c>
      <c r="CR30" s="770">
        <v>1</v>
      </c>
      <c r="CS30" s="587">
        <v>886</v>
      </c>
      <c r="CT30" s="770">
        <v>1</v>
      </c>
      <c r="CU30" s="587">
        <v>886</v>
      </c>
      <c r="CV30" s="770">
        <v>1</v>
      </c>
      <c r="CW30" s="587">
        <v>886</v>
      </c>
      <c r="CX30" s="770">
        <v>1</v>
      </c>
      <c r="CY30" s="587">
        <v>886</v>
      </c>
      <c r="CZ30" s="770">
        <v>1</v>
      </c>
      <c r="DA30" s="587">
        <v>886</v>
      </c>
      <c r="DB30" s="770">
        <v>1</v>
      </c>
      <c r="DC30" s="587">
        <v>886</v>
      </c>
      <c r="DD30" s="770">
        <v>1</v>
      </c>
      <c r="DE30" s="589">
        <v>886</v>
      </c>
      <c r="DF30" s="562"/>
      <c r="DG30" s="552"/>
      <c r="DH30" s="764" t="s">
        <v>441</v>
      </c>
      <c r="DI30" s="766">
        <v>12</v>
      </c>
      <c r="DJ30" s="767">
        <v>73.8</v>
      </c>
      <c r="DK30" s="776">
        <v>1</v>
      </c>
      <c r="DL30" s="777" t="s">
        <v>436</v>
      </c>
      <c r="DM30" s="769">
        <v>1</v>
      </c>
      <c r="DN30" s="587">
        <v>886</v>
      </c>
      <c r="DO30" s="770">
        <v>1</v>
      </c>
      <c r="DP30" s="587">
        <v>886</v>
      </c>
      <c r="DQ30" s="770">
        <v>1</v>
      </c>
      <c r="DR30" s="587">
        <v>886</v>
      </c>
      <c r="DS30" s="770">
        <v>1</v>
      </c>
      <c r="DT30" s="587">
        <v>886</v>
      </c>
      <c r="DU30" s="770">
        <v>1</v>
      </c>
      <c r="DV30" s="587">
        <v>886</v>
      </c>
      <c r="DW30" s="770">
        <v>1</v>
      </c>
      <c r="DX30" s="587">
        <v>886</v>
      </c>
      <c r="DY30" s="770">
        <v>1</v>
      </c>
      <c r="DZ30" s="587">
        <v>886</v>
      </c>
      <c r="EA30" s="770">
        <v>1</v>
      </c>
      <c r="EB30" s="587">
        <v>886</v>
      </c>
      <c r="EC30" s="770">
        <v>1</v>
      </c>
      <c r="ED30" s="587">
        <v>886</v>
      </c>
      <c r="EE30" s="770">
        <v>1</v>
      </c>
      <c r="EF30" s="587">
        <v>886</v>
      </c>
      <c r="EG30" s="770">
        <v>1</v>
      </c>
      <c r="EH30" s="587">
        <v>886</v>
      </c>
      <c r="EI30" s="770">
        <v>1</v>
      </c>
      <c r="EJ30" s="587">
        <v>886</v>
      </c>
      <c r="EK30" s="770">
        <v>1</v>
      </c>
      <c r="EL30" s="587">
        <v>886</v>
      </c>
      <c r="EM30" s="770">
        <v>1</v>
      </c>
      <c r="EN30" s="587">
        <v>886</v>
      </c>
      <c r="EO30" s="770">
        <v>1</v>
      </c>
      <c r="EP30" s="587">
        <v>886</v>
      </c>
      <c r="EQ30" s="770">
        <v>1</v>
      </c>
      <c r="ER30" s="587">
        <v>886</v>
      </c>
      <c r="ES30" s="770">
        <v>1</v>
      </c>
      <c r="ET30" s="587">
        <v>886</v>
      </c>
      <c r="EU30" s="770">
        <v>1</v>
      </c>
      <c r="EV30" s="587">
        <v>886</v>
      </c>
      <c r="EW30" s="770">
        <v>1</v>
      </c>
      <c r="EX30" s="587">
        <v>886</v>
      </c>
      <c r="EY30" s="770">
        <v>1</v>
      </c>
      <c r="EZ30" s="587">
        <v>886</v>
      </c>
      <c r="FA30" s="770">
        <v>1</v>
      </c>
      <c r="FB30" s="587">
        <v>886</v>
      </c>
      <c r="FC30" s="770">
        <v>1</v>
      </c>
      <c r="FD30" s="587">
        <v>886</v>
      </c>
      <c r="FE30" s="770">
        <v>1</v>
      </c>
      <c r="FF30" s="587">
        <v>886</v>
      </c>
      <c r="FG30" s="770">
        <v>1</v>
      </c>
      <c r="FH30" s="589">
        <v>886</v>
      </c>
      <c r="FI30" s="563"/>
      <c r="FJ30" s="564"/>
      <c r="FK30" s="764" t="s">
        <v>440</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711</v>
      </c>
      <c r="GL30" s="774"/>
      <c r="GM30" s="774"/>
      <c r="GN30" s="774"/>
      <c r="GO30" s="530"/>
      <c r="GP30" s="778">
        <v>0</v>
      </c>
      <c r="GQ30" s="413"/>
      <c r="GR30" s="413"/>
      <c r="GS30" s="530"/>
      <c r="GT30" s="763"/>
      <c r="GU30" s="779" t="s">
        <v>380</v>
      </c>
      <c r="GV30" s="780"/>
      <c r="GW30" s="781" t="s">
        <v>782</v>
      </c>
      <c r="GX30" s="781"/>
      <c r="GY30" s="781"/>
      <c r="GZ30" s="781"/>
      <c r="HA30" s="782"/>
      <c r="HB30" s="783" t="s">
        <v>713</v>
      </c>
      <c r="HC30" s="579"/>
      <c r="HD30" s="562"/>
      <c r="HE30" s="415"/>
      <c r="HF30" s="415"/>
    </row>
    <row r="31" spans="1:218" ht="20.100000000000001" customHeight="1">
      <c r="A31" s="552"/>
      <c r="B31" s="784" t="s">
        <v>442</v>
      </c>
      <c r="C31" s="784"/>
      <c r="D31" s="785"/>
      <c r="E31" s="786"/>
      <c r="F31" s="787"/>
      <c r="G31" s="769"/>
      <c r="H31" s="587">
        <v>0</v>
      </c>
      <c r="I31" s="770"/>
      <c r="J31" s="587">
        <v>0</v>
      </c>
      <c r="K31" s="770"/>
      <c r="L31" s="587">
        <v>0</v>
      </c>
      <c r="M31" s="770"/>
      <c r="N31" s="587">
        <v>0</v>
      </c>
      <c r="O31" s="770"/>
      <c r="P31" s="587">
        <v>0</v>
      </c>
      <c r="Q31" s="770"/>
      <c r="R31" s="587">
        <v>0</v>
      </c>
      <c r="S31" s="770"/>
      <c r="T31" s="587">
        <v>0</v>
      </c>
      <c r="U31" s="770"/>
      <c r="V31" s="587">
        <v>0</v>
      </c>
      <c r="W31" s="770"/>
      <c r="X31" s="587">
        <v>0</v>
      </c>
      <c r="Y31" s="770"/>
      <c r="Z31" s="587">
        <v>0</v>
      </c>
      <c r="AA31" s="770"/>
      <c r="AB31" s="587">
        <v>0</v>
      </c>
      <c r="AC31" s="770"/>
      <c r="AD31" s="587">
        <v>0</v>
      </c>
      <c r="AE31" s="770"/>
      <c r="AF31" s="587">
        <v>0</v>
      </c>
      <c r="AG31" s="770"/>
      <c r="AH31" s="587">
        <v>0</v>
      </c>
      <c r="AI31" s="770"/>
      <c r="AJ31" s="587">
        <v>0</v>
      </c>
      <c r="AK31" s="770"/>
      <c r="AL31" s="587">
        <v>0</v>
      </c>
      <c r="AM31" s="770"/>
      <c r="AN31" s="587">
        <v>0</v>
      </c>
      <c r="AO31" s="770"/>
      <c r="AP31" s="587">
        <v>0</v>
      </c>
      <c r="AQ31" s="770"/>
      <c r="AR31" s="587">
        <v>0</v>
      </c>
      <c r="AS31" s="770"/>
      <c r="AT31" s="587">
        <v>0</v>
      </c>
      <c r="AU31" s="770"/>
      <c r="AV31" s="587">
        <v>0</v>
      </c>
      <c r="AW31" s="770"/>
      <c r="AX31" s="587">
        <v>0</v>
      </c>
      <c r="AY31" s="770"/>
      <c r="AZ31" s="587">
        <v>0</v>
      </c>
      <c r="BA31" s="770"/>
      <c r="BB31" s="589">
        <v>0</v>
      </c>
      <c r="BC31" s="562"/>
      <c r="BD31" s="552"/>
      <c r="BE31" s="784" t="s">
        <v>442</v>
      </c>
      <c r="BF31" s="784"/>
      <c r="BG31" s="785">
        <v>0</v>
      </c>
      <c r="BH31" s="786">
        <v>0</v>
      </c>
      <c r="BI31" s="787"/>
      <c r="BJ31" s="769"/>
      <c r="BK31" s="587">
        <v>0</v>
      </c>
      <c r="BL31" s="770"/>
      <c r="BM31" s="587">
        <v>0</v>
      </c>
      <c r="BN31" s="770"/>
      <c r="BO31" s="587">
        <v>0</v>
      </c>
      <c r="BP31" s="770"/>
      <c r="BQ31" s="587">
        <v>0</v>
      </c>
      <c r="BR31" s="770"/>
      <c r="BS31" s="587">
        <v>0</v>
      </c>
      <c r="BT31" s="770"/>
      <c r="BU31" s="587">
        <v>0</v>
      </c>
      <c r="BV31" s="770"/>
      <c r="BW31" s="587">
        <v>0</v>
      </c>
      <c r="BX31" s="770"/>
      <c r="BY31" s="587">
        <v>0</v>
      </c>
      <c r="BZ31" s="770"/>
      <c r="CA31" s="587">
        <v>0</v>
      </c>
      <c r="CB31" s="770"/>
      <c r="CC31" s="587">
        <v>0</v>
      </c>
      <c r="CD31" s="770"/>
      <c r="CE31" s="587">
        <v>0</v>
      </c>
      <c r="CF31" s="770"/>
      <c r="CG31" s="587">
        <v>0</v>
      </c>
      <c r="CH31" s="770"/>
      <c r="CI31" s="587">
        <v>0</v>
      </c>
      <c r="CJ31" s="770"/>
      <c r="CK31" s="587">
        <v>0</v>
      </c>
      <c r="CL31" s="770"/>
      <c r="CM31" s="587">
        <v>0</v>
      </c>
      <c r="CN31" s="770"/>
      <c r="CO31" s="587">
        <v>0</v>
      </c>
      <c r="CP31" s="770"/>
      <c r="CQ31" s="587">
        <v>0</v>
      </c>
      <c r="CR31" s="770"/>
      <c r="CS31" s="587">
        <v>0</v>
      </c>
      <c r="CT31" s="770"/>
      <c r="CU31" s="587">
        <v>0</v>
      </c>
      <c r="CV31" s="770"/>
      <c r="CW31" s="587">
        <v>0</v>
      </c>
      <c r="CX31" s="770"/>
      <c r="CY31" s="587">
        <v>0</v>
      </c>
      <c r="CZ31" s="770"/>
      <c r="DA31" s="587">
        <v>0</v>
      </c>
      <c r="DB31" s="770"/>
      <c r="DC31" s="587">
        <v>0</v>
      </c>
      <c r="DD31" s="770"/>
      <c r="DE31" s="589">
        <v>0</v>
      </c>
      <c r="DF31" s="562"/>
      <c r="DG31" s="552"/>
      <c r="DH31" s="784" t="s">
        <v>443</v>
      </c>
      <c r="DI31" s="784"/>
      <c r="DJ31" s="785">
        <v>0</v>
      </c>
      <c r="DK31" s="786">
        <v>0</v>
      </c>
      <c r="DL31" s="787"/>
      <c r="DM31" s="769"/>
      <c r="DN31" s="587">
        <v>0</v>
      </c>
      <c r="DO31" s="770"/>
      <c r="DP31" s="587">
        <v>0</v>
      </c>
      <c r="DQ31" s="770"/>
      <c r="DR31" s="587">
        <v>0</v>
      </c>
      <c r="DS31" s="770"/>
      <c r="DT31" s="587">
        <v>0</v>
      </c>
      <c r="DU31" s="770"/>
      <c r="DV31" s="587">
        <v>0</v>
      </c>
      <c r="DW31" s="770"/>
      <c r="DX31" s="587">
        <v>0</v>
      </c>
      <c r="DY31" s="770"/>
      <c r="DZ31" s="587">
        <v>0</v>
      </c>
      <c r="EA31" s="770"/>
      <c r="EB31" s="587">
        <v>0</v>
      </c>
      <c r="EC31" s="770"/>
      <c r="ED31" s="587">
        <v>0</v>
      </c>
      <c r="EE31" s="770"/>
      <c r="EF31" s="587">
        <v>0</v>
      </c>
      <c r="EG31" s="770"/>
      <c r="EH31" s="587">
        <v>0</v>
      </c>
      <c r="EI31" s="770"/>
      <c r="EJ31" s="587">
        <v>0</v>
      </c>
      <c r="EK31" s="770"/>
      <c r="EL31" s="587">
        <v>0</v>
      </c>
      <c r="EM31" s="770"/>
      <c r="EN31" s="587">
        <v>0</v>
      </c>
      <c r="EO31" s="770"/>
      <c r="EP31" s="587">
        <v>0</v>
      </c>
      <c r="EQ31" s="770"/>
      <c r="ER31" s="587">
        <v>0</v>
      </c>
      <c r="ES31" s="770"/>
      <c r="ET31" s="587">
        <v>0</v>
      </c>
      <c r="EU31" s="770"/>
      <c r="EV31" s="587">
        <v>0</v>
      </c>
      <c r="EW31" s="770"/>
      <c r="EX31" s="587">
        <v>0</v>
      </c>
      <c r="EY31" s="770"/>
      <c r="EZ31" s="587">
        <v>0</v>
      </c>
      <c r="FA31" s="770"/>
      <c r="FB31" s="587">
        <v>0</v>
      </c>
      <c r="FC31" s="770"/>
      <c r="FD31" s="587">
        <v>0</v>
      </c>
      <c r="FE31" s="770"/>
      <c r="FF31" s="587">
        <v>0</v>
      </c>
      <c r="FG31" s="770"/>
      <c r="FH31" s="589">
        <v>0</v>
      </c>
      <c r="FI31" s="563"/>
      <c r="FJ31" s="564"/>
      <c r="FK31" s="784" t="s">
        <v>443</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v>
      </c>
      <c r="GQ31" s="413"/>
      <c r="GR31" s="413"/>
      <c r="GS31" s="580"/>
      <c r="GT31" s="763"/>
      <c r="GU31" s="779"/>
      <c r="GV31" s="780"/>
      <c r="GW31" s="789" t="s">
        <v>714</v>
      </c>
      <c r="GX31" s="790" t="s">
        <v>715</v>
      </c>
      <c r="GY31" s="791" t="s">
        <v>560</v>
      </c>
      <c r="GZ31" s="792" t="s">
        <v>783</v>
      </c>
      <c r="HA31" s="792" t="s">
        <v>699</v>
      </c>
      <c r="HB31" s="793"/>
      <c r="HC31" s="579"/>
      <c r="HD31" s="562"/>
      <c r="HE31" s="415"/>
      <c r="HF31" s="415"/>
    </row>
    <row r="32" spans="1:218" ht="20.100000000000001" customHeight="1">
      <c r="A32" s="552"/>
      <c r="B32" s="794" t="s">
        <v>444</v>
      </c>
      <c r="C32" s="795"/>
      <c r="D32" s="785"/>
      <c r="E32" s="796"/>
      <c r="F32" s="797"/>
      <c r="G32" s="798"/>
      <c r="H32" s="799">
        <v>0</v>
      </c>
      <c r="I32" s="800"/>
      <c r="J32" s="799">
        <v>0</v>
      </c>
      <c r="K32" s="800"/>
      <c r="L32" s="799">
        <v>0</v>
      </c>
      <c r="M32" s="800"/>
      <c r="N32" s="799">
        <v>0</v>
      </c>
      <c r="O32" s="800"/>
      <c r="P32" s="799">
        <v>0</v>
      </c>
      <c r="Q32" s="800"/>
      <c r="R32" s="799">
        <v>0</v>
      </c>
      <c r="S32" s="800"/>
      <c r="T32" s="799">
        <v>0</v>
      </c>
      <c r="U32" s="800"/>
      <c r="V32" s="799">
        <v>0</v>
      </c>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v>0</v>
      </c>
      <c r="AS32" s="800"/>
      <c r="AT32" s="799">
        <v>0</v>
      </c>
      <c r="AU32" s="800"/>
      <c r="AV32" s="799">
        <v>0</v>
      </c>
      <c r="AW32" s="800"/>
      <c r="AX32" s="799">
        <v>0</v>
      </c>
      <c r="AY32" s="800"/>
      <c r="AZ32" s="799">
        <v>0</v>
      </c>
      <c r="BA32" s="800"/>
      <c r="BB32" s="801">
        <v>0</v>
      </c>
      <c r="BC32" s="562"/>
      <c r="BD32" s="552"/>
      <c r="BE32" s="794" t="s">
        <v>669</v>
      </c>
      <c r="BF32" s="795"/>
      <c r="BG32" s="785">
        <v>0</v>
      </c>
      <c r="BH32" s="796">
        <v>0</v>
      </c>
      <c r="BI32" s="797"/>
      <c r="BJ32" s="798"/>
      <c r="BK32" s="799">
        <v>0</v>
      </c>
      <c r="BL32" s="800"/>
      <c r="BM32" s="799">
        <v>0</v>
      </c>
      <c r="BN32" s="800"/>
      <c r="BO32" s="799">
        <v>0</v>
      </c>
      <c r="BP32" s="800"/>
      <c r="BQ32" s="799">
        <v>0</v>
      </c>
      <c r="BR32" s="800"/>
      <c r="BS32" s="799">
        <v>0</v>
      </c>
      <c r="BT32" s="800"/>
      <c r="BU32" s="799">
        <v>0</v>
      </c>
      <c r="BV32" s="800"/>
      <c r="BW32" s="799">
        <v>0</v>
      </c>
      <c r="BX32" s="800"/>
      <c r="BY32" s="799">
        <v>0</v>
      </c>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v>0</v>
      </c>
      <c r="CV32" s="800"/>
      <c r="CW32" s="799">
        <v>0</v>
      </c>
      <c r="CX32" s="800"/>
      <c r="CY32" s="799">
        <v>0</v>
      </c>
      <c r="CZ32" s="800"/>
      <c r="DA32" s="799">
        <v>0</v>
      </c>
      <c r="DB32" s="800"/>
      <c r="DC32" s="799">
        <v>0</v>
      </c>
      <c r="DD32" s="800"/>
      <c r="DE32" s="801">
        <v>0</v>
      </c>
      <c r="DF32" s="562"/>
      <c r="DG32" s="552"/>
      <c r="DH32" s="794" t="s">
        <v>669</v>
      </c>
      <c r="DI32" s="795"/>
      <c r="DJ32" s="785">
        <v>0</v>
      </c>
      <c r="DK32" s="796">
        <v>0</v>
      </c>
      <c r="DL32" s="797"/>
      <c r="DM32" s="798"/>
      <c r="DN32" s="799">
        <v>0</v>
      </c>
      <c r="DO32" s="800"/>
      <c r="DP32" s="799">
        <v>0</v>
      </c>
      <c r="DQ32" s="800"/>
      <c r="DR32" s="799">
        <v>0</v>
      </c>
      <c r="DS32" s="800"/>
      <c r="DT32" s="799">
        <v>0</v>
      </c>
      <c r="DU32" s="800"/>
      <c r="DV32" s="799">
        <v>0</v>
      </c>
      <c r="DW32" s="800"/>
      <c r="DX32" s="799">
        <v>0</v>
      </c>
      <c r="DY32" s="800"/>
      <c r="DZ32" s="799">
        <v>0</v>
      </c>
      <c r="EA32" s="800"/>
      <c r="EB32" s="799">
        <v>0</v>
      </c>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v>0</v>
      </c>
      <c r="EY32" s="800"/>
      <c r="EZ32" s="799">
        <v>0</v>
      </c>
      <c r="FA32" s="800"/>
      <c r="FB32" s="799">
        <v>0</v>
      </c>
      <c r="FC32" s="800"/>
      <c r="FD32" s="799">
        <v>0</v>
      </c>
      <c r="FE32" s="800"/>
      <c r="FF32" s="799">
        <v>0</v>
      </c>
      <c r="FG32" s="800"/>
      <c r="FH32" s="801">
        <v>0</v>
      </c>
      <c r="FI32" s="563"/>
      <c r="FJ32" s="564"/>
      <c r="FK32" s="794" t="s">
        <v>669</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445</v>
      </c>
      <c r="E33" s="642"/>
      <c r="F33" s="642"/>
      <c r="G33" s="644"/>
      <c r="H33" s="645">
        <v>2340</v>
      </c>
      <c r="I33" s="646"/>
      <c r="J33" s="645">
        <v>2340</v>
      </c>
      <c r="K33" s="646"/>
      <c r="L33" s="645">
        <v>2340</v>
      </c>
      <c r="M33" s="646"/>
      <c r="N33" s="645">
        <v>2340</v>
      </c>
      <c r="O33" s="646"/>
      <c r="P33" s="645">
        <v>2340</v>
      </c>
      <c r="Q33" s="646"/>
      <c r="R33" s="645">
        <v>2340</v>
      </c>
      <c r="S33" s="646"/>
      <c r="T33" s="645">
        <v>2340</v>
      </c>
      <c r="U33" s="646"/>
      <c r="V33" s="645">
        <v>2340</v>
      </c>
      <c r="W33" s="646"/>
      <c r="X33" s="645">
        <v>2340</v>
      </c>
      <c r="Y33" s="646"/>
      <c r="Z33" s="645">
        <v>2340</v>
      </c>
      <c r="AA33" s="646"/>
      <c r="AB33" s="645">
        <v>2340</v>
      </c>
      <c r="AC33" s="646"/>
      <c r="AD33" s="645">
        <v>2056</v>
      </c>
      <c r="AE33" s="646"/>
      <c r="AF33" s="645">
        <v>2340</v>
      </c>
      <c r="AG33" s="646"/>
      <c r="AH33" s="645">
        <v>2340</v>
      </c>
      <c r="AI33" s="646"/>
      <c r="AJ33" s="645">
        <v>2340</v>
      </c>
      <c r="AK33" s="646"/>
      <c r="AL33" s="645">
        <v>2340</v>
      </c>
      <c r="AM33" s="646"/>
      <c r="AN33" s="645">
        <v>2340</v>
      </c>
      <c r="AO33" s="646"/>
      <c r="AP33" s="645">
        <v>2340</v>
      </c>
      <c r="AQ33" s="646"/>
      <c r="AR33" s="645">
        <v>2340</v>
      </c>
      <c r="AS33" s="646"/>
      <c r="AT33" s="645">
        <v>2340</v>
      </c>
      <c r="AU33" s="646"/>
      <c r="AV33" s="645">
        <v>2340</v>
      </c>
      <c r="AW33" s="646"/>
      <c r="AX33" s="645">
        <v>2340</v>
      </c>
      <c r="AY33" s="646"/>
      <c r="AZ33" s="645">
        <v>2340</v>
      </c>
      <c r="BA33" s="646"/>
      <c r="BB33" s="647">
        <v>2340</v>
      </c>
      <c r="BC33" s="648"/>
      <c r="BD33" s="641"/>
      <c r="BE33" s="642"/>
      <c r="BF33" s="642"/>
      <c r="BG33" s="643" t="s">
        <v>445</v>
      </c>
      <c r="BH33" s="642"/>
      <c r="BI33" s="642"/>
      <c r="BJ33" s="644"/>
      <c r="BK33" s="645">
        <v>2340</v>
      </c>
      <c r="BL33" s="646"/>
      <c r="BM33" s="645">
        <v>2340</v>
      </c>
      <c r="BN33" s="646"/>
      <c r="BO33" s="645">
        <v>2340</v>
      </c>
      <c r="BP33" s="646"/>
      <c r="BQ33" s="645">
        <v>2340</v>
      </c>
      <c r="BR33" s="646"/>
      <c r="BS33" s="645">
        <v>2340</v>
      </c>
      <c r="BT33" s="646"/>
      <c r="BU33" s="645">
        <v>2340</v>
      </c>
      <c r="BV33" s="646"/>
      <c r="BW33" s="645">
        <v>2340</v>
      </c>
      <c r="BX33" s="646"/>
      <c r="BY33" s="645">
        <v>2340</v>
      </c>
      <c r="BZ33" s="646"/>
      <c r="CA33" s="645">
        <v>2340</v>
      </c>
      <c r="CB33" s="646"/>
      <c r="CC33" s="645">
        <v>2340</v>
      </c>
      <c r="CD33" s="646"/>
      <c r="CE33" s="645">
        <v>2340</v>
      </c>
      <c r="CF33" s="646"/>
      <c r="CG33" s="645">
        <v>2056</v>
      </c>
      <c r="CH33" s="646"/>
      <c r="CI33" s="645">
        <v>2340</v>
      </c>
      <c r="CJ33" s="646"/>
      <c r="CK33" s="645">
        <v>2340</v>
      </c>
      <c r="CL33" s="646"/>
      <c r="CM33" s="645">
        <v>2340</v>
      </c>
      <c r="CN33" s="646"/>
      <c r="CO33" s="645">
        <v>2340</v>
      </c>
      <c r="CP33" s="646"/>
      <c r="CQ33" s="645">
        <v>2340</v>
      </c>
      <c r="CR33" s="646"/>
      <c r="CS33" s="645">
        <v>2340</v>
      </c>
      <c r="CT33" s="646"/>
      <c r="CU33" s="645">
        <v>2340</v>
      </c>
      <c r="CV33" s="646"/>
      <c r="CW33" s="645">
        <v>2340</v>
      </c>
      <c r="CX33" s="646"/>
      <c r="CY33" s="645">
        <v>2340</v>
      </c>
      <c r="CZ33" s="646"/>
      <c r="DA33" s="645">
        <v>2340</v>
      </c>
      <c r="DB33" s="646"/>
      <c r="DC33" s="645">
        <v>2340</v>
      </c>
      <c r="DD33" s="646"/>
      <c r="DE33" s="647">
        <v>2340</v>
      </c>
      <c r="DF33" s="648"/>
      <c r="DG33" s="641"/>
      <c r="DH33" s="642"/>
      <c r="DI33" s="642"/>
      <c r="DJ33" s="643" t="s">
        <v>325</v>
      </c>
      <c r="DK33" s="642"/>
      <c r="DL33" s="642"/>
      <c r="DM33" s="644"/>
      <c r="DN33" s="645">
        <v>2340</v>
      </c>
      <c r="DO33" s="646"/>
      <c r="DP33" s="645">
        <v>2340</v>
      </c>
      <c r="DQ33" s="646"/>
      <c r="DR33" s="645">
        <v>2340</v>
      </c>
      <c r="DS33" s="646"/>
      <c r="DT33" s="645">
        <v>2340</v>
      </c>
      <c r="DU33" s="646"/>
      <c r="DV33" s="645">
        <v>2340</v>
      </c>
      <c r="DW33" s="646"/>
      <c r="DX33" s="645">
        <v>2340</v>
      </c>
      <c r="DY33" s="646"/>
      <c r="DZ33" s="645">
        <v>2340</v>
      </c>
      <c r="EA33" s="646"/>
      <c r="EB33" s="645">
        <v>2340</v>
      </c>
      <c r="EC33" s="646"/>
      <c r="ED33" s="645">
        <v>2340</v>
      </c>
      <c r="EE33" s="646"/>
      <c r="EF33" s="645">
        <v>2340</v>
      </c>
      <c r="EG33" s="646"/>
      <c r="EH33" s="645">
        <v>2340</v>
      </c>
      <c r="EI33" s="646"/>
      <c r="EJ33" s="645">
        <v>2056</v>
      </c>
      <c r="EK33" s="646"/>
      <c r="EL33" s="645">
        <v>2340</v>
      </c>
      <c r="EM33" s="646"/>
      <c r="EN33" s="645">
        <v>2340</v>
      </c>
      <c r="EO33" s="646"/>
      <c r="EP33" s="645">
        <v>2340</v>
      </c>
      <c r="EQ33" s="646"/>
      <c r="ER33" s="645">
        <v>2340</v>
      </c>
      <c r="ES33" s="646"/>
      <c r="ET33" s="645">
        <v>2340</v>
      </c>
      <c r="EU33" s="646"/>
      <c r="EV33" s="645">
        <v>2340</v>
      </c>
      <c r="EW33" s="646"/>
      <c r="EX33" s="645">
        <v>2340</v>
      </c>
      <c r="EY33" s="646"/>
      <c r="EZ33" s="645">
        <v>2340</v>
      </c>
      <c r="FA33" s="646"/>
      <c r="FB33" s="645">
        <v>2340</v>
      </c>
      <c r="FC33" s="646"/>
      <c r="FD33" s="645">
        <v>2340</v>
      </c>
      <c r="FE33" s="646"/>
      <c r="FF33" s="645">
        <v>2340</v>
      </c>
      <c r="FG33" s="646"/>
      <c r="FH33" s="647">
        <v>2340</v>
      </c>
      <c r="FI33" s="649"/>
      <c r="FJ33" s="564"/>
      <c r="FK33" s="642"/>
      <c r="FL33" s="642"/>
      <c r="FM33" s="643" t="s">
        <v>445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784</v>
      </c>
      <c r="GL33" s="579"/>
      <c r="GM33" s="530"/>
      <c r="GN33" s="579"/>
      <c r="GO33" s="530"/>
      <c r="GP33" s="530"/>
      <c r="GQ33" s="530"/>
      <c r="GR33" s="579"/>
      <c r="GS33" s="530"/>
      <c r="GT33" s="763"/>
      <c r="GU33" s="811">
        <v>102</v>
      </c>
      <c r="GV33" s="812"/>
      <c r="GW33" s="813">
        <v>23.9</v>
      </c>
      <c r="GX33" s="814">
        <v>52.01</v>
      </c>
      <c r="GY33" s="814">
        <v>105.86</v>
      </c>
      <c r="GZ33" s="814">
        <v>0</v>
      </c>
      <c r="HA33" s="814">
        <v>181.76999999999998</v>
      </c>
      <c r="HB33" s="815">
        <v>73.8</v>
      </c>
      <c r="HC33" s="413"/>
      <c r="HD33" s="648"/>
      <c r="HE33" s="415"/>
      <c r="HF33" s="415"/>
    </row>
    <row r="34" spans="1:219" ht="20.100000000000001" customHeight="1">
      <c r="A34" s="816" t="s">
        <v>449</v>
      </c>
      <c r="B34" s="743"/>
      <c r="C34" s="817"/>
      <c r="D34" s="818"/>
      <c r="E34" s="817"/>
      <c r="F34" s="819"/>
      <c r="G34" s="740" t="s">
        <v>448</v>
      </c>
      <c r="H34" s="663" t="s">
        <v>428</v>
      </c>
      <c r="I34" s="741" t="s">
        <v>447</v>
      </c>
      <c r="J34" s="663" t="s">
        <v>430</v>
      </c>
      <c r="K34" s="742" t="s">
        <v>448</v>
      </c>
      <c r="L34" s="663" t="s">
        <v>430</v>
      </c>
      <c r="M34" s="742" t="s">
        <v>448</v>
      </c>
      <c r="N34" s="663" t="s">
        <v>430</v>
      </c>
      <c r="O34" s="742" t="s">
        <v>448</v>
      </c>
      <c r="P34" s="663" t="s">
        <v>430</v>
      </c>
      <c r="Q34" s="742" t="s">
        <v>448</v>
      </c>
      <c r="R34" s="663" t="s">
        <v>428</v>
      </c>
      <c r="S34" s="742" t="s">
        <v>448</v>
      </c>
      <c r="T34" s="663" t="s">
        <v>428</v>
      </c>
      <c r="U34" s="742" t="s">
        <v>448</v>
      </c>
      <c r="V34" s="663" t="s">
        <v>428</v>
      </c>
      <c r="W34" s="742" t="s">
        <v>448</v>
      </c>
      <c r="X34" s="663" t="s">
        <v>430</v>
      </c>
      <c r="Y34" s="742" t="s">
        <v>447</v>
      </c>
      <c r="Z34" s="663" t="s">
        <v>430</v>
      </c>
      <c r="AA34" s="742" t="s">
        <v>447</v>
      </c>
      <c r="AB34" s="663" t="s">
        <v>430</v>
      </c>
      <c r="AC34" s="742" t="s">
        <v>447</v>
      </c>
      <c r="AD34" s="663" t="s">
        <v>428</v>
      </c>
      <c r="AE34" s="742" t="s">
        <v>448</v>
      </c>
      <c r="AF34" s="663" t="s">
        <v>428</v>
      </c>
      <c r="AG34" s="742" t="s">
        <v>448</v>
      </c>
      <c r="AH34" s="663" t="s">
        <v>428</v>
      </c>
      <c r="AI34" s="742" t="s">
        <v>448</v>
      </c>
      <c r="AJ34" s="663" t="s">
        <v>428</v>
      </c>
      <c r="AK34" s="742" t="s">
        <v>448</v>
      </c>
      <c r="AL34" s="663" t="s">
        <v>428</v>
      </c>
      <c r="AM34" s="742" t="s">
        <v>448</v>
      </c>
      <c r="AN34" s="663" t="s">
        <v>428</v>
      </c>
      <c r="AO34" s="742" t="s">
        <v>447</v>
      </c>
      <c r="AP34" s="663" t="s">
        <v>428</v>
      </c>
      <c r="AQ34" s="742" t="s">
        <v>447</v>
      </c>
      <c r="AR34" s="663" t="s">
        <v>428</v>
      </c>
      <c r="AS34" s="742" t="s">
        <v>447</v>
      </c>
      <c r="AT34" s="663" t="s">
        <v>430</v>
      </c>
      <c r="AU34" s="742" t="s">
        <v>447</v>
      </c>
      <c r="AV34" s="663" t="s">
        <v>430</v>
      </c>
      <c r="AW34" s="742" t="s">
        <v>447</v>
      </c>
      <c r="AX34" s="663" t="s">
        <v>430</v>
      </c>
      <c r="AY34" s="742" t="s">
        <v>448</v>
      </c>
      <c r="AZ34" s="663" t="s">
        <v>430</v>
      </c>
      <c r="BA34" s="742" t="s">
        <v>448</v>
      </c>
      <c r="BB34" s="665" t="s">
        <v>428</v>
      </c>
      <c r="BC34" s="723"/>
      <c r="BD34" s="816" t="s">
        <v>449</v>
      </c>
      <c r="BE34" s="820"/>
      <c r="BF34" s="821"/>
      <c r="BG34" s="822"/>
      <c r="BH34" s="821"/>
      <c r="BI34" s="823"/>
      <c r="BJ34" s="740" t="s">
        <v>447</v>
      </c>
      <c r="BK34" s="663" t="s">
        <v>430</v>
      </c>
      <c r="BL34" s="741" t="s">
        <v>447</v>
      </c>
      <c r="BM34" s="663" t="s">
        <v>428</v>
      </c>
      <c r="BN34" s="742" t="s">
        <v>447</v>
      </c>
      <c r="BO34" s="663" t="s">
        <v>428</v>
      </c>
      <c r="BP34" s="742" t="s">
        <v>448</v>
      </c>
      <c r="BQ34" s="663" t="s">
        <v>430</v>
      </c>
      <c r="BR34" s="742" t="s">
        <v>447</v>
      </c>
      <c r="BS34" s="663" t="s">
        <v>428</v>
      </c>
      <c r="BT34" s="742" t="s">
        <v>447</v>
      </c>
      <c r="BU34" s="663" t="s">
        <v>428</v>
      </c>
      <c r="BV34" s="742" t="s">
        <v>447</v>
      </c>
      <c r="BW34" s="663" t="s">
        <v>430</v>
      </c>
      <c r="BX34" s="742" t="s">
        <v>447</v>
      </c>
      <c r="BY34" s="663" t="s">
        <v>430</v>
      </c>
      <c r="BZ34" s="742" t="s">
        <v>447</v>
      </c>
      <c r="CA34" s="663" t="s">
        <v>428</v>
      </c>
      <c r="CB34" s="742" t="s">
        <v>447</v>
      </c>
      <c r="CC34" s="663" t="s">
        <v>428</v>
      </c>
      <c r="CD34" s="742" t="s">
        <v>448</v>
      </c>
      <c r="CE34" s="663" t="s">
        <v>430</v>
      </c>
      <c r="CF34" s="742" t="s">
        <v>448</v>
      </c>
      <c r="CG34" s="663" t="s">
        <v>428</v>
      </c>
      <c r="CH34" s="742" t="s">
        <v>448</v>
      </c>
      <c r="CI34" s="663" t="s">
        <v>430</v>
      </c>
      <c r="CJ34" s="742" t="s">
        <v>447</v>
      </c>
      <c r="CK34" s="663" t="s">
        <v>428</v>
      </c>
      <c r="CL34" s="742" t="s">
        <v>447</v>
      </c>
      <c r="CM34" s="663" t="s">
        <v>428</v>
      </c>
      <c r="CN34" s="742" t="s">
        <v>447</v>
      </c>
      <c r="CO34" s="663" t="s">
        <v>428</v>
      </c>
      <c r="CP34" s="742" t="s">
        <v>447</v>
      </c>
      <c r="CQ34" s="663" t="s">
        <v>428</v>
      </c>
      <c r="CR34" s="742" t="s">
        <v>448</v>
      </c>
      <c r="CS34" s="663" t="s">
        <v>428</v>
      </c>
      <c r="CT34" s="742" t="s">
        <v>448</v>
      </c>
      <c r="CU34" s="663" t="s">
        <v>428</v>
      </c>
      <c r="CV34" s="742" t="s">
        <v>448</v>
      </c>
      <c r="CW34" s="663" t="s">
        <v>428</v>
      </c>
      <c r="CX34" s="742" t="s">
        <v>447</v>
      </c>
      <c r="CY34" s="663" t="s">
        <v>430</v>
      </c>
      <c r="CZ34" s="742" t="s">
        <v>447</v>
      </c>
      <c r="DA34" s="663" t="s">
        <v>430</v>
      </c>
      <c r="DB34" s="742" t="s">
        <v>447</v>
      </c>
      <c r="DC34" s="663" t="s">
        <v>430</v>
      </c>
      <c r="DD34" s="742" t="s">
        <v>448</v>
      </c>
      <c r="DE34" s="665" t="s">
        <v>428</v>
      </c>
      <c r="DF34" s="723"/>
      <c r="DG34" s="816" t="s">
        <v>449</v>
      </c>
      <c r="DH34" s="738"/>
      <c r="DI34" s="824"/>
      <c r="DJ34" s="825"/>
      <c r="DK34" s="824"/>
      <c r="DL34" s="826"/>
      <c r="DM34" s="740" t="s">
        <v>447</v>
      </c>
      <c r="DN34" s="663" t="s">
        <v>430</v>
      </c>
      <c r="DO34" s="741" t="s">
        <v>447</v>
      </c>
      <c r="DP34" s="663" t="s">
        <v>430</v>
      </c>
      <c r="DQ34" s="742" t="s">
        <v>447</v>
      </c>
      <c r="DR34" s="663" t="s">
        <v>428</v>
      </c>
      <c r="DS34" s="742" t="s">
        <v>448</v>
      </c>
      <c r="DT34" s="663" t="s">
        <v>428</v>
      </c>
      <c r="DU34" s="742" t="s">
        <v>448</v>
      </c>
      <c r="DV34" s="663" t="s">
        <v>428</v>
      </c>
      <c r="DW34" s="742" t="s">
        <v>448</v>
      </c>
      <c r="DX34" s="663" t="s">
        <v>428</v>
      </c>
      <c r="DY34" s="742" t="s">
        <v>448</v>
      </c>
      <c r="DZ34" s="663" t="s">
        <v>428</v>
      </c>
      <c r="EA34" s="742" t="s">
        <v>448</v>
      </c>
      <c r="EB34" s="663" t="s">
        <v>428</v>
      </c>
      <c r="EC34" s="742" t="s">
        <v>447</v>
      </c>
      <c r="ED34" s="663" t="s">
        <v>428</v>
      </c>
      <c r="EE34" s="742" t="s">
        <v>447</v>
      </c>
      <c r="EF34" s="663" t="s">
        <v>428</v>
      </c>
      <c r="EG34" s="742" t="s">
        <v>447</v>
      </c>
      <c r="EH34" s="663" t="s">
        <v>430</v>
      </c>
      <c r="EI34" s="742" t="s">
        <v>447</v>
      </c>
      <c r="EJ34" s="663" t="s">
        <v>430</v>
      </c>
      <c r="EK34" s="742" t="s">
        <v>447</v>
      </c>
      <c r="EL34" s="663" t="s">
        <v>430</v>
      </c>
      <c r="EM34" s="742" t="s">
        <v>448</v>
      </c>
      <c r="EN34" s="663" t="s">
        <v>430</v>
      </c>
      <c r="EO34" s="742" t="s">
        <v>448</v>
      </c>
      <c r="EP34" s="663" t="s">
        <v>428</v>
      </c>
      <c r="EQ34" s="742" t="s">
        <v>447</v>
      </c>
      <c r="ER34" s="663" t="s">
        <v>430</v>
      </c>
      <c r="ES34" s="742" t="s">
        <v>448</v>
      </c>
      <c r="ET34" s="663" t="s">
        <v>430</v>
      </c>
      <c r="EU34" s="742" t="s">
        <v>448</v>
      </c>
      <c r="EV34" s="663" t="s">
        <v>430</v>
      </c>
      <c r="EW34" s="742" t="s">
        <v>447</v>
      </c>
      <c r="EX34" s="663" t="s">
        <v>430</v>
      </c>
      <c r="EY34" s="742" t="s">
        <v>447</v>
      </c>
      <c r="EZ34" s="663" t="s">
        <v>430</v>
      </c>
      <c r="FA34" s="742" t="s">
        <v>448</v>
      </c>
      <c r="FB34" s="663" t="s">
        <v>430</v>
      </c>
      <c r="FC34" s="742" t="s">
        <v>448</v>
      </c>
      <c r="FD34" s="663" t="s">
        <v>428</v>
      </c>
      <c r="FE34" s="742" t="s">
        <v>447</v>
      </c>
      <c r="FF34" s="663" t="s">
        <v>428</v>
      </c>
      <c r="FG34" s="742" t="s">
        <v>448</v>
      </c>
      <c r="FH34" s="665" t="s">
        <v>428</v>
      </c>
      <c r="FI34" s="746"/>
      <c r="FJ34" s="827" t="s">
        <v>446</v>
      </c>
      <c r="FK34" s="738"/>
      <c r="FL34" s="824"/>
      <c r="FM34" s="825"/>
      <c r="FN34" s="824"/>
      <c r="FO34" s="826"/>
      <c r="FP34" s="747" t="s">
        <v>450</v>
      </c>
      <c r="FQ34" s="673" t="s">
        <v>448</v>
      </c>
      <c r="FR34" s="663" t="s">
        <v>434</v>
      </c>
      <c r="FS34" s="748" t="s">
        <v>450</v>
      </c>
      <c r="FT34" s="673" t="s">
        <v>448</v>
      </c>
      <c r="FU34" s="675" t="s">
        <v>434</v>
      </c>
      <c r="FV34" s="593"/>
      <c r="FW34" s="594"/>
      <c r="FX34" s="806"/>
      <c r="FY34" s="596"/>
      <c r="FZ34" s="807"/>
      <c r="GA34" s="598"/>
      <c r="GB34" s="808"/>
      <c r="GC34" s="600"/>
      <c r="GD34" s="808"/>
      <c r="GE34" s="601"/>
      <c r="GF34" s="749"/>
      <c r="GG34" s="750"/>
      <c r="GH34" s="750"/>
      <c r="GI34" s="750"/>
      <c r="GJ34" s="579"/>
      <c r="GK34" s="828" t="s">
        <v>564</v>
      </c>
      <c r="GL34" s="828"/>
      <c r="GM34" s="828"/>
      <c r="GN34" s="828"/>
      <c r="GO34" s="828"/>
      <c r="GP34" s="828"/>
      <c r="GQ34" s="615">
        <v>0</v>
      </c>
      <c r="GR34" s="579" t="s">
        <v>319</v>
      </c>
      <c r="GS34" s="580"/>
      <c r="GT34" s="763"/>
      <c r="GU34" s="829"/>
      <c r="GV34" s="830"/>
      <c r="GW34" s="831"/>
      <c r="GX34" s="633"/>
      <c r="GY34" s="633"/>
      <c r="GZ34" s="633"/>
      <c r="HA34" s="633"/>
      <c r="HB34" s="634"/>
      <c r="HC34" s="530"/>
      <c r="HD34" s="723"/>
      <c r="HE34" s="415"/>
      <c r="HF34" s="415"/>
    </row>
    <row r="35" spans="1:219" ht="20.100000000000001" customHeight="1">
      <c r="A35" s="832"/>
      <c r="B35" s="466" t="s">
        <v>767</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566</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327</v>
      </c>
      <c r="E36" s="642"/>
      <c r="F36" s="642"/>
      <c r="G36" s="845"/>
      <c r="H36" s="846">
        <v>0</v>
      </c>
      <c r="I36" s="847"/>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850">
        <v>0</v>
      </c>
      <c r="BC36" s="648"/>
      <c r="BD36" s="832"/>
      <c r="BE36" s="642"/>
      <c r="BF36" s="642"/>
      <c r="BG36" s="643" t="s">
        <v>453</v>
      </c>
      <c r="BH36" s="642"/>
      <c r="BI36" s="642"/>
      <c r="BJ36" s="845"/>
      <c r="BK36" s="846">
        <v>0</v>
      </c>
      <c r="BL36" s="847"/>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850">
        <v>0</v>
      </c>
      <c r="DF36" s="648"/>
      <c r="DG36" s="832"/>
      <c r="DH36" s="642"/>
      <c r="DI36" s="642"/>
      <c r="DJ36" s="643" t="s">
        <v>453</v>
      </c>
      <c r="DK36" s="642"/>
      <c r="DL36" s="642"/>
      <c r="DM36" s="845"/>
      <c r="DN36" s="846">
        <v>0</v>
      </c>
      <c r="DO36" s="847"/>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850">
        <v>0</v>
      </c>
      <c r="FI36" s="649"/>
      <c r="FJ36" s="841"/>
      <c r="FK36" s="642"/>
      <c r="FL36" s="642"/>
      <c r="FM36" s="643" t="s">
        <v>327</v>
      </c>
      <c r="FN36" s="642"/>
      <c r="FO36" s="642"/>
      <c r="FP36" s="650"/>
      <c r="FQ36" s="847"/>
      <c r="FR36" s="846">
        <v>0</v>
      </c>
      <c r="FS36" s="851"/>
      <c r="FT36" s="847"/>
      <c r="FU36" s="852">
        <v>0</v>
      </c>
      <c r="FV36" s="593"/>
      <c r="FW36" s="594"/>
      <c r="FX36" s="806"/>
      <c r="FY36" s="596"/>
      <c r="FZ36" s="807"/>
      <c r="GA36" s="598"/>
      <c r="GB36" s="808"/>
      <c r="GC36" s="600"/>
      <c r="GD36" s="808"/>
      <c r="GE36" s="601"/>
      <c r="GF36" s="654"/>
      <c r="GG36" s="655"/>
      <c r="GH36" s="655"/>
      <c r="GI36" s="655"/>
      <c r="GJ36" s="530"/>
      <c r="GK36" s="828" t="s">
        <v>785</v>
      </c>
      <c r="GL36" s="828"/>
      <c r="GM36" s="828"/>
      <c r="GN36" s="828"/>
      <c r="GO36" s="828"/>
      <c r="GP36" s="828"/>
      <c r="GQ36" s="615">
        <v>12.4</v>
      </c>
      <c r="GR36" s="579" t="s">
        <v>705</v>
      </c>
      <c r="GS36" s="530"/>
      <c r="GT36" s="763"/>
      <c r="GU36" s="829"/>
      <c r="GV36" s="830"/>
      <c r="GW36" s="831"/>
      <c r="GX36" s="633"/>
      <c r="GY36" s="633"/>
      <c r="GZ36" s="633"/>
      <c r="HA36" s="633"/>
      <c r="HB36" s="634"/>
      <c r="HC36" s="530"/>
      <c r="HD36" s="648"/>
      <c r="HE36" s="415"/>
      <c r="HF36" s="415"/>
    </row>
    <row r="37" spans="1:219" ht="24" customHeight="1">
      <c r="A37" s="853" t="s">
        <v>462</v>
      </c>
      <c r="B37" s="854"/>
      <c r="C37" s="855" t="s">
        <v>460</v>
      </c>
      <c r="D37" s="856"/>
      <c r="E37" s="857" t="s">
        <v>461</v>
      </c>
      <c r="F37" s="858"/>
      <c r="G37" s="662" t="s">
        <v>447</v>
      </c>
      <c r="H37" s="663" t="s">
        <v>328</v>
      </c>
      <c r="I37" s="664" t="s">
        <v>448</v>
      </c>
      <c r="J37" s="663" t="s">
        <v>459</v>
      </c>
      <c r="K37" s="664" t="s">
        <v>448</v>
      </c>
      <c r="L37" s="663" t="s">
        <v>459</v>
      </c>
      <c r="M37" s="664" t="s">
        <v>448</v>
      </c>
      <c r="N37" s="663" t="s">
        <v>458</v>
      </c>
      <c r="O37" s="664" t="s">
        <v>447</v>
      </c>
      <c r="P37" s="663" t="s">
        <v>459</v>
      </c>
      <c r="Q37" s="664" t="s">
        <v>448</v>
      </c>
      <c r="R37" s="663" t="s">
        <v>458</v>
      </c>
      <c r="S37" s="664" t="s">
        <v>448</v>
      </c>
      <c r="T37" s="663" t="s">
        <v>458</v>
      </c>
      <c r="U37" s="664" t="s">
        <v>448</v>
      </c>
      <c r="V37" s="663" t="s">
        <v>458</v>
      </c>
      <c r="W37" s="664" t="s">
        <v>448</v>
      </c>
      <c r="X37" s="663" t="s">
        <v>459</v>
      </c>
      <c r="Y37" s="664" t="s">
        <v>447</v>
      </c>
      <c r="Z37" s="663" t="s">
        <v>458</v>
      </c>
      <c r="AA37" s="664" t="s">
        <v>448</v>
      </c>
      <c r="AB37" s="663" t="s">
        <v>459</v>
      </c>
      <c r="AC37" s="664" t="s">
        <v>447</v>
      </c>
      <c r="AD37" s="663" t="s">
        <v>459</v>
      </c>
      <c r="AE37" s="664" t="s">
        <v>448</v>
      </c>
      <c r="AF37" s="663" t="s">
        <v>458</v>
      </c>
      <c r="AG37" s="664" t="s">
        <v>448</v>
      </c>
      <c r="AH37" s="663" t="s">
        <v>458</v>
      </c>
      <c r="AI37" s="664" t="s">
        <v>448</v>
      </c>
      <c r="AJ37" s="663" t="s">
        <v>459</v>
      </c>
      <c r="AK37" s="664" t="s">
        <v>448</v>
      </c>
      <c r="AL37" s="663" t="s">
        <v>458</v>
      </c>
      <c r="AM37" s="664" t="s">
        <v>447</v>
      </c>
      <c r="AN37" s="663" t="s">
        <v>459</v>
      </c>
      <c r="AO37" s="664" t="s">
        <v>447</v>
      </c>
      <c r="AP37" s="663" t="s">
        <v>458</v>
      </c>
      <c r="AQ37" s="664" t="s">
        <v>447</v>
      </c>
      <c r="AR37" s="663" t="s">
        <v>458</v>
      </c>
      <c r="AS37" s="664" t="s">
        <v>447</v>
      </c>
      <c r="AT37" s="663" t="s">
        <v>458</v>
      </c>
      <c r="AU37" s="664" t="s">
        <v>447</v>
      </c>
      <c r="AV37" s="663" t="s">
        <v>459</v>
      </c>
      <c r="AW37" s="664" t="s">
        <v>448</v>
      </c>
      <c r="AX37" s="663" t="s">
        <v>459</v>
      </c>
      <c r="AY37" s="664" t="s">
        <v>447</v>
      </c>
      <c r="AZ37" s="663" t="s">
        <v>459</v>
      </c>
      <c r="BA37" s="664" t="s">
        <v>447</v>
      </c>
      <c r="BB37" s="665" t="s">
        <v>458</v>
      </c>
      <c r="BC37" s="723"/>
      <c r="BD37" s="853" t="s">
        <v>462</v>
      </c>
      <c r="BE37" s="854"/>
      <c r="BF37" s="855" t="s">
        <v>460</v>
      </c>
      <c r="BG37" s="856"/>
      <c r="BH37" s="857" t="s">
        <v>461</v>
      </c>
      <c r="BI37" s="858"/>
      <c r="BJ37" s="662" t="s">
        <v>448</v>
      </c>
      <c r="BK37" s="663" t="s">
        <v>328</v>
      </c>
      <c r="BL37" s="664" t="s">
        <v>447</v>
      </c>
      <c r="BM37" s="663" t="s">
        <v>458</v>
      </c>
      <c r="BN37" s="664" t="s">
        <v>448</v>
      </c>
      <c r="BO37" s="663" t="s">
        <v>458</v>
      </c>
      <c r="BP37" s="664" t="s">
        <v>448</v>
      </c>
      <c r="BQ37" s="663" t="s">
        <v>458</v>
      </c>
      <c r="BR37" s="664" t="s">
        <v>448</v>
      </c>
      <c r="BS37" s="663" t="s">
        <v>458</v>
      </c>
      <c r="BT37" s="664" t="s">
        <v>447</v>
      </c>
      <c r="BU37" s="663" t="s">
        <v>458</v>
      </c>
      <c r="BV37" s="664" t="s">
        <v>448</v>
      </c>
      <c r="BW37" s="663" t="s">
        <v>458</v>
      </c>
      <c r="BX37" s="664" t="s">
        <v>447</v>
      </c>
      <c r="BY37" s="663" t="s">
        <v>459</v>
      </c>
      <c r="BZ37" s="664" t="s">
        <v>448</v>
      </c>
      <c r="CA37" s="663" t="s">
        <v>458</v>
      </c>
      <c r="CB37" s="664" t="s">
        <v>447</v>
      </c>
      <c r="CC37" s="663" t="s">
        <v>459</v>
      </c>
      <c r="CD37" s="664" t="s">
        <v>447</v>
      </c>
      <c r="CE37" s="663" t="s">
        <v>458</v>
      </c>
      <c r="CF37" s="664" t="s">
        <v>448</v>
      </c>
      <c r="CG37" s="663" t="s">
        <v>458</v>
      </c>
      <c r="CH37" s="664" t="s">
        <v>448</v>
      </c>
      <c r="CI37" s="663" t="s">
        <v>458</v>
      </c>
      <c r="CJ37" s="664" t="s">
        <v>447</v>
      </c>
      <c r="CK37" s="663" t="s">
        <v>458</v>
      </c>
      <c r="CL37" s="664" t="s">
        <v>448</v>
      </c>
      <c r="CM37" s="663" t="s">
        <v>459</v>
      </c>
      <c r="CN37" s="664" t="s">
        <v>447</v>
      </c>
      <c r="CO37" s="663" t="s">
        <v>459</v>
      </c>
      <c r="CP37" s="664" t="s">
        <v>448</v>
      </c>
      <c r="CQ37" s="663" t="s">
        <v>459</v>
      </c>
      <c r="CR37" s="664" t="s">
        <v>448</v>
      </c>
      <c r="CS37" s="663" t="s">
        <v>459</v>
      </c>
      <c r="CT37" s="664" t="s">
        <v>448</v>
      </c>
      <c r="CU37" s="663" t="s">
        <v>459</v>
      </c>
      <c r="CV37" s="664" t="s">
        <v>447</v>
      </c>
      <c r="CW37" s="663" t="s">
        <v>458</v>
      </c>
      <c r="CX37" s="664" t="s">
        <v>447</v>
      </c>
      <c r="CY37" s="663" t="s">
        <v>459</v>
      </c>
      <c r="CZ37" s="664" t="s">
        <v>447</v>
      </c>
      <c r="DA37" s="663" t="s">
        <v>459</v>
      </c>
      <c r="DB37" s="664" t="s">
        <v>448</v>
      </c>
      <c r="DC37" s="663" t="s">
        <v>459</v>
      </c>
      <c r="DD37" s="664" t="s">
        <v>448</v>
      </c>
      <c r="DE37" s="665" t="s">
        <v>459</v>
      </c>
      <c r="DF37" s="723"/>
      <c r="DG37" s="853" t="s">
        <v>454</v>
      </c>
      <c r="DH37" s="854"/>
      <c r="DI37" s="855" t="s">
        <v>455</v>
      </c>
      <c r="DJ37" s="856"/>
      <c r="DK37" s="857" t="s">
        <v>461</v>
      </c>
      <c r="DL37" s="858"/>
      <c r="DM37" s="662" t="s">
        <v>448</v>
      </c>
      <c r="DN37" s="663" t="s">
        <v>457</v>
      </c>
      <c r="DO37" s="664" t="s">
        <v>448</v>
      </c>
      <c r="DP37" s="663" t="s">
        <v>459</v>
      </c>
      <c r="DQ37" s="664" t="s">
        <v>448</v>
      </c>
      <c r="DR37" s="663" t="s">
        <v>458</v>
      </c>
      <c r="DS37" s="664" t="s">
        <v>448</v>
      </c>
      <c r="DT37" s="663" t="s">
        <v>458</v>
      </c>
      <c r="DU37" s="664" t="s">
        <v>448</v>
      </c>
      <c r="DV37" s="663" t="s">
        <v>458</v>
      </c>
      <c r="DW37" s="664" t="s">
        <v>448</v>
      </c>
      <c r="DX37" s="663" t="s">
        <v>459</v>
      </c>
      <c r="DY37" s="664" t="s">
        <v>447</v>
      </c>
      <c r="DZ37" s="663" t="s">
        <v>458</v>
      </c>
      <c r="EA37" s="664" t="s">
        <v>448</v>
      </c>
      <c r="EB37" s="663" t="s">
        <v>459</v>
      </c>
      <c r="EC37" s="664" t="s">
        <v>447</v>
      </c>
      <c r="ED37" s="663" t="s">
        <v>459</v>
      </c>
      <c r="EE37" s="664" t="s">
        <v>448</v>
      </c>
      <c r="EF37" s="663" t="s">
        <v>458</v>
      </c>
      <c r="EG37" s="664" t="s">
        <v>448</v>
      </c>
      <c r="EH37" s="663" t="s">
        <v>458</v>
      </c>
      <c r="EI37" s="664" t="s">
        <v>448</v>
      </c>
      <c r="EJ37" s="663" t="s">
        <v>459</v>
      </c>
      <c r="EK37" s="664" t="s">
        <v>448</v>
      </c>
      <c r="EL37" s="663" t="s">
        <v>458</v>
      </c>
      <c r="EM37" s="664" t="s">
        <v>447</v>
      </c>
      <c r="EN37" s="663" t="s">
        <v>459</v>
      </c>
      <c r="EO37" s="664" t="s">
        <v>447</v>
      </c>
      <c r="EP37" s="663" t="s">
        <v>458</v>
      </c>
      <c r="EQ37" s="664" t="s">
        <v>447</v>
      </c>
      <c r="ER37" s="663" t="s">
        <v>458</v>
      </c>
      <c r="ES37" s="664" t="s">
        <v>447</v>
      </c>
      <c r="ET37" s="663" t="s">
        <v>458</v>
      </c>
      <c r="EU37" s="664" t="s">
        <v>447</v>
      </c>
      <c r="EV37" s="663" t="s">
        <v>459</v>
      </c>
      <c r="EW37" s="664" t="s">
        <v>448</v>
      </c>
      <c r="EX37" s="663" t="s">
        <v>459</v>
      </c>
      <c r="EY37" s="664" t="s">
        <v>447</v>
      </c>
      <c r="EZ37" s="663" t="s">
        <v>459</v>
      </c>
      <c r="FA37" s="664" t="s">
        <v>447</v>
      </c>
      <c r="FB37" s="663" t="s">
        <v>458</v>
      </c>
      <c r="FC37" s="664" t="s">
        <v>447</v>
      </c>
      <c r="FD37" s="663" t="s">
        <v>458</v>
      </c>
      <c r="FE37" s="664" t="s">
        <v>447</v>
      </c>
      <c r="FF37" s="663" t="s">
        <v>458</v>
      </c>
      <c r="FG37" s="664" t="s">
        <v>448</v>
      </c>
      <c r="FH37" s="665" t="s">
        <v>458</v>
      </c>
      <c r="FI37" s="746"/>
      <c r="FJ37" s="827" t="s">
        <v>462</v>
      </c>
      <c r="FK37" s="854"/>
      <c r="FL37" s="855" t="s">
        <v>460</v>
      </c>
      <c r="FM37" s="856"/>
      <c r="FN37" s="857" t="s">
        <v>456</v>
      </c>
      <c r="FO37" s="858"/>
      <c r="FP37" s="672"/>
      <c r="FQ37" s="859" t="s">
        <v>311</v>
      </c>
      <c r="FR37" s="663" t="s">
        <v>458</v>
      </c>
      <c r="FS37" s="674"/>
      <c r="FT37" s="859" t="s">
        <v>463</v>
      </c>
      <c r="FU37" s="675" t="s">
        <v>458</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670</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v>18.149999999999999</v>
      </c>
      <c r="FM38" s="865"/>
      <c r="FN38" s="866">
        <v>1.1000000000000001</v>
      </c>
      <c r="FO38" s="867"/>
      <c r="FP38" s="685"/>
      <c r="FQ38" s="686">
        <v>15.9</v>
      </c>
      <c r="FR38" s="559">
        <v>317</v>
      </c>
      <c r="FS38" s="687"/>
      <c r="FT38" s="686">
        <v>15.9</v>
      </c>
      <c r="FU38" s="567">
        <v>317</v>
      </c>
      <c r="FV38" s="593"/>
      <c r="FW38" s="594"/>
      <c r="FX38" s="806"/>
      <c r="FY38" s="596"/>
      <c r="FZ38" s="807"/>
      <c r="GA38" s="598"/>
      <c r="GB38" s="808"/>
      <c r="GC38" s="600"/>
      <c r="GD38" s="808"/>
      <c r="GE38" s="601"/>
      <c r="GF38" s="688"/>
      <c r="GG38" s="602"/>
      <c r="GH38" s="602"/>
      <c r="GI38" s="602"/>
      <c r="GJ38" s="580"/>
      <c r="GK38" s="413" t="s">
        <v>569</v>
      </c>
      <c r="GL38" s="409"/>
      <c r="GM38" s="413"/>
      <c r="GN38" s="409"/>
      <c r="GO38" s="413"/>
      <c r="GP38" s="413"/>
      <c r="GQ38" s="413"/>
      <c r="GR38" s="413"/>
      <c r="GS38" s="580"/>
      <c r="GT38" s="861"/>
      <c r="GU38" s="872" t="s">
        <v>536</v>
      </c>
      <c r="GV38" s="873"/>
      <c r="GW38" s="873"/>
      <c r="GX38" s="873"/>
      <c r="GY38" s="873"/>
      <c r="GZ38" s="874"/>
      <c r="HA38" s="633">
        <v>181.76999999999998</v>
      </c>
      <c r="HB38" s="875">
        <v>73.8</v>
      </c>
      <c r="HC38" s="530"/>
      <c r="HD38" s="530"/>
      <c r="HE38" s="387"/>
      <c r="HF38" s="387"/>
      <c r="HK38" s="415"/>
    </row>
    <row r="39" spans="1:219" ht="20.100000000000001" customHeight="1">
      <c r="A39" s="832"/>
      <c r="B39" s="876" t="s">
        <v>465</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409"/>
      <c r="GK39" s="885"/>
      <c r="GL39" s="886"/>
      <c r="GM39" s="887" t="s">
        <v>570</v>
      </c>
      <c r="GN39" s="886"/>
      <c r="GO39" s="887" t="s">
        <v>592</v>
      </c>
      <c r="GP39" s="886"/>
      <c r="GQ39" s="887" t="s">
        <v>572</v>
      </c>
      <c r="GR39" s="888"/>
      <c r="GS39" s="413"/>
      <c r="GT39" s="689"/>
      <c r="GU39" s="530" t="s">
        <v>786</v>
      </c>
      <c r="GV39" s="530"/>
      <c r="GW39" s="530"/>
      <c r="GX39" s="530"/>
      <c r="GY39" s="530"/>
      <c r="GZ39" s="530"/>
      <c r="HA39" s="690">
        <v>2.46</v>
      </c>
      <c r="HB39" s="579"/>
      <c r="HC39" s="530"/>
      <c r="HD39" s="562"/>
    </row>
    <row r="40" spans="1:219" ht="20.100000000000001" customHeight="1">
      <c r="A40" s="889"/>
      <c r="B40" s="642"/>
      <c r="C40" s="642"/>
      <c r="D40" s="643" t="s">
        <v>329</v>
      </c>
      <c r="E40" s="642"/>
      <c r="F40" s="642"/>
      <c r="G40" s="845"/>
      <c r="H40" s="846">
        <v>0</v>
      </c>
      <c r="I40" s="847"/>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850">
        <v>0</v>
      </c>
      <c r="BC40" s="648"/>
      <c r="BD40" s="889"/>
      <c r="BE40" s="642"/>
      <c r="BF40" s="642"/>
      <c r="BG40" s="643" t="s">
        <v>466</v>
      </c>
      <c r="BH40" s="642"/>
      <c r="BI40" s="642"/>
      <c r="BJ40" s="845"/>
      <c r="BK40" s="846">
        <v>0</v>
      </c>
      <c r="BL40" s="847"/>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850">
        <v>0</v>
      </c>
      <c r="DF40" s="648"/>
      <c r="DG40" s="889"/>
      <c r="DH40" s="642"/>
      <c r="DI40" s="642"/>
      <c r="DJ40" s="643" t="s">
        <v>329</v>
      </c>
      <c r="DK40" s="642"/>
      <c r="DL40" s="642"/>
      <c r="DM40" s="845"/>
      <c r="DN40" s="846">
        <v>0</v>
      </c>
      <c r="DO40" s="847"/>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850">
        <v>0</v>
      </c>
      <c r="FI40" s="649"/>
      <c r="FJ40" s="841"/>
      <c r="FK40" s="642"/>
      <c r="FL40" s="642"/>
      <c r="FM40" s="643" t="s">
        <v>329</v>
      </c>
      <c r="FN40" s="642"/>
      <c r="FO40" s="642"/>
      <c r="FP40" s="650"/>
      <c r="FQ40" s="847"/>
      <c r="FR40" s="846">
        <v>317</v>
      </c>
      <c r="FS40" s="851"/>
      <c r="FT40" s="847"/>
      <c r="FU40" s="852">
        <v>317</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796</v>
      </c>
      <c r="GV40" s="530"/>
      <c r="GW40" s="530"/>
      <c r="GX40" s="530"/>
      <c r="GY40" s="530"/>
      <c r="GZ40" s="530"/>
      <c r="HA40" s="894">
        <v>48</v>
      </c>
      <c r="HB40" s="413"/>
      <c r="HC40" s="530"/>
      <c r="HD40" s="580"/>
      <c r="HK40" s="415"/>
    </row>
    <row r="41" spans="1:219" ht="20.100000000000001" customHeight="1">
      <c r="A41" s="862" t="s">
        <v>468</v>
      </c>
      <c r="B41" s="738"/>
      <c r="C41" s="895"/>
      <c r="D41" s="895"/>
      <c r="E41" s="895"/>
      <c r="F41" s="896"/>
      <c r="G41" s="740"/>
      <c r="H41" s="663" t="s">
        <v>430</v>
      </c>
      <c r="I41" s="741"/>
      <c r="J41" s="663" t="s">
        <v>428</v>
      </c>
      <c r="K41" s="742"/>
      <c r="L41" s="663" t="s">
        <v>428</v>
      </c>
      <c r="M41" s="742"/>
      <c r="N41" s="663" t="s">
        <v>428</v>
      </c>
      <c r="O41" s="742"/>
      <c r="P41" s="663" t="s">
        <v>430</v>
      </c>
      <c r="Q41" s="742"/>
      <c r="R41" s="663" t="s">
        <v>428</v>
      </c>
      <c r="S41" s="742"/>
      <c r="T41" s="663" t="s">
        <v>430</v>
      </c>
      <c r="U41" s="742"/>
      <c r="V41" s="663" t="s">
        <v>428</v>
      </c>
      <c r="W41" s="742"/>
      <c r="X41" s="663" t="s">
        <v>428</v>
      </c>
      <c r="Y41" s="742" t="s">
        <v>448</v>
      </c>
      <c r="Z41" s="663" t="s">
        <v>428</v>
      </c>
      <c r="AA41" s="742" t="s">
        <v>448</v>
      </c>
      <c r="AB41" s="663" t="s">
        <v>428</v>
      </c>
      <c r="AC41" s="742"/>
      <c r="AD41" s="663" t="s">
        <v>430</v>
      </c>
      <c r="AE41" s="742"/>
      <c r="AF41" s="663" t="s">
        <v>428</v>
      </c>
      <c r="AG41" s="742"/>
      <c r="AH41" s="663" t="s">
        <v>430</v>
      </c>
      <c r="AI41" s="742"/>
      <c r="AJ41" s="663" t="s">
        <v>430</v>
      </c>
      <c r="AK41" s="742"/>
      <c r="AL41" s="663" t="s">
        <v>428</v>
      </c>
      <c r="AM41" s="742"/>
      <c r="AN41" s="663" t="s">
        <v>428</v>
      </c>
      <c r="AO41" s="742"/>
      <c r="AP41" s="663" t="s">
        <v>428</v>
      </c>
      <c r="AQ41" s="742"/>
      <c r="AR41" s="663" t="s">
        <v>430</v>
      </c>
      <c r="AS41" s="742"/>
      <c r="AT41" s="663" t="s">
        <v>428</v>
      </c>
      <c r="AU41" s="742"/>
      <c r="AV41" s="663" t="s">
        <v>430</v>
      </c>
      <c r="AW41" s="742"/>
      <c r="AX41" s="663" t="s">
        <v>428</v>
      </c>
      <c r="AY41" s="742"/>
      <c r="AZ41" s="663" t="s">
        <v>428</v>
      </c>
      <c r="BA41" s="742"/>
      <c r="BB41" s="665" t="s">
        <v>428</v>
      </c>
      <c r="BC41" s="723"/>
      <c r="BD41" s="862" t="s">
        <v>467</v>
      </c>
      <c r="BE41" s="738"/>
      <c r="BF41" s="895"/>
      <c r="BG41" s="895"/>
      <c r="BH41" s="895"/>
      <c r="BI41" s="896"/>
      <c r="BJ41" s="740"/>
      <c r="BK41" s="663" t="s">
        <v>430</v>
      </c>
      <c r="BL41" s="741"/>
      <c r="BM41" s="663" t="s">
        <v>430</v>
      </c>
      <c r="BN41" s="742"/>
      <c r="BO41" s="663" t="s">
        <v>428</v>
      </c>
      <c r="BP41" s="742"/>
      <c r="BQ41" s="663" t="s">
        <v>428</v>
      </c>
      <c r="BR41" s="742"/>
      <c r="BS41" s="663" t="s">
        <v>428</v>
      </c>
      <c r="BT41" s="742"/>
      <c r="BU41" s="663" t="s">
        <v>430</v>
      </c>
      <c r="BV41" s="742"/>
      <c r="BW41" s="663" t="s">
        <v>428</v>
      </c>
      <c r="BX41" s="742"/>
      <c r="BY41" s="663" t="s">
        <v>430</v>
      </c>
      <c r="BZ41" s="742"/>
      <c r="CA41" s="663" t="s">
        <v>428</v>
      </c>
      <c r="CB41" s="742" t="s">
        <v>448</v>
      </c>
      <c r="CC41" s="663" t="s">
        <v>428</v>
      </c>
      <c r="CD41" s="742" t="s">
        <v>448</v>
      </c>
      <c r="CE41" s="663" t="s">
        <v>428</v>
      </c>
      <c r="CF41" s="742"/>
      <c r="CG41" s="663" t="s">
        <v>428</v>
      </c>
      <c r="CH41" s="742"/>
      <c r="CI41" s="663" t="s">
        <v>430</v>
      </c>
      <c r="CJ41" s="742"/>
      <c r="CK41" s="663" t="s">
        <v>428</v>
      </c>
      <c r="CL41" s="742"/>
      <c r="CM41" s="663" t="s">
        <v>430</v>
      </c>
      <c r="CN41" s="742"/>
      <c r="CO41" s="663" t="s">
        <v>430</v>
      </c>
      <c r="CP41" s="742"/>
      <c r="CQ41" s="663" t="s">
        <v>428</v>
      </c>
      <c r="CR41" s="742"/>
      <c r="CS41" s="663" t="s">
        <v>428</v>
      </c>
      <c r="CT41" s="742"/>
      <c r="CU41" s="663" t="s">
        <v>428</v>
      </c>
      <c r="CV41" s="742"/>
      <c r="CW41" s="663" t="s">
        <v>430</v>
      </c>
      <c r="CX41" s="742"/>
      <c r="CY41" s="663" t="s">
        <v>428</v>
      </c>
      <c r="CZ41" s="742"/>
      <c r="DA41" s="663" t="s">
        <v>430</v>
      </c>
      <c r="DB41" s="742"/>
      <c r="DC41" s="663" t="s">
        <v>428</v>
      </c>
      <c r="DD41" s="742"/>
      <c r="DE41" s="665" t="s">
        <v>428</v>
      </c>
      <c r="DF41" s="723"/>
      <c r="DG41" s="862" t="s">
        <v>467</v>
      </c>
      <c r="DH41" s="738"/>
      <c r="DI41" s="895"/>
      <c r="DJ41" s="895"/>
      <c r="DK41" s="895"/>
      <c r="DL41" s="896"/>
      <c r="DM41" s="740"/>
      <c r="DN41" s="663" t="s">
        <v>428</v>
      </c>
      <c r="DO41" s="741"/>
      <c r="DP41" s="663" t="s">
        <v>428</v>
      </c>
      <c r="DQ41" s="742"/>
      <c r="DR41" s="663" t="s">
        <v>430</v>
      </c>
      <c r="DS41" s="742"/>
      <c r="DT41" s="663" t="s">
        <v>428</v>
      </c>
      <c r="DU41" s="742"/>
      <c r="DV41" s="663" t="s">
        <v>428</v>
      </c>
      <c r="DW41" s="742"/>
      <c r="DX41" s="663" t="s">
        <v>428</v>
      </c>
      <c r="DY41" s="742"/>
      <c r="DZ41" s="663" t="s">
        <v>430</v>
      </c>
      <c r="EA41" s="742"/>
      <c r="EB41" s="663" t="s">
        <v>428</v>
      </c>
      <c r="EC41" s="742"/>
      <c r="ED41" s="663" t="s">
        <v>430</v>
      </c>
      <c r="EE41" s="742" t="s">
        <v>448</v>
      </c>
      <c r="EF41" s="663" t="s">
        <v>430</v>
      </c>
      <c r="EG41" s="742" t="s">
        <v>448</v>
      </c>
      <c r="EH41" s="663" t="s">
        <v>430</v>
      </c>
      <c r="EI41" s="742"/>
      <c r="EJ41" s="663" t="s">
        <v>430</v>
      </c>
      <c r="EK41" s="742"/>
      <c r="EL41" s="663" t="s">
        <v>428</v>
      </c>
      <c r="EM41" s="742"/>
      <c r="EN41" s="663" t="s">
        <v>430</v>
      </c>
      <c r="EO41" s="742"/>
      <c r="EP41" s="663" t="s">
        <v>428</v>
      </c>
      <c r="EQ41" s="742"/>
      <c r="ER41" s="663" t="s">
        <v>428</v>
      </c>
      <c r="ES41" s="742"/>
      <c r="ET41" s="663" t="s">
        <v>430</v>
      </c>
      <c r="EU41" s="742"/>
      <c r="EV41" s="663" t="s">
        <v>428</v>
      </c>
      <c r="EW41" s="742"/>
      <c r="EX41" s="663" t="s">
        <v>428</v>
      </c>
      <c r="EY41" s="742"/>
      <c r="EZ41" s="663" t="s">
        <v>428</v>
      </c>
      <c r="FA41" s="742"/>
      <c r="FB41" s="663" t="s">
        <v>430</v>
      </c>
      <c r="FC41" s="742"/>
      <c r="FD41" s="663" t="s">
        <v>428</v>
      </c>
      <c r="FE41" s="742"/>
      <c r="FF41" s="663" t="s">
        <v>430</v>
      </c>
      <c r="FG41" s="742"/>
      <c r="FH41" s="665" t="s">
        <v>428</v>
      </c>
      <c r="FI41" s="746"/>
      <c r="FJ41" s="827" t="s">
        <v>467</v>
      </c>
      <c r="FK41" s="743"/>
      <c r="FL41" s="897"/>
      <c r="FM41" s="897"/>
      <c r="FN41" s="897"/>
      <c r="FO41" s="898"/>
      <c r="FP41" s="747"/>
      <c r="FQ41" s="673"/>
      <c r="FR41" s="663" t="s">
        <v>451</v>
      </c>
      <c r="FS41" s="748"/>
      <c r="FT41" s="673"/>
      <c r="FU41" s="675" t="s">
        <v>451</v>
      </c>
      <c r="FV41" s="593"/>
      <c r="FW41" s="594"/>
      <c r="FX41" s="806"/>
      <c r="FY41" s="596"/>
      <c r="FZ41" s="807"/>
      <c r="GA41" s="598"/>
      <c r="GB41" s="808"/>
      <c r="GC41" s="600"/>
      <c r="GD41" s="808"/>
      <c r="GE41" s="601"/>
      <c r="GF41" s="749"/>
      <c r="GG41" s="750"/>
      <c r="GH41" s="750"/>
      <c r="GI41" s="750"/>
      <c r="GJ41" s="580"/>
      <c r="GK41" s="899" t="s">
        <v>574</v>
      </c>
      <c r="GL41" s="900"/>
      <c r="GM41" s="901" t="s">
        <v>575</v>
      </c>
      <c r="GN41" s="901"/>
      <c r="GO41" s="901" t="s">
        <v>576</v>
      </c>
      <c r="GP41" s="901"/>
      <c r="GQ41" s="901"/>
      <c r="GR41" s="902"/>
      <c r="GS41" s="861"/>
      <c r="GT41" s="689"/>
      <c r="GU41" s="530" t="s">
        <v>611</v>
      </c>
      <c r="GV41" s="530"/>
      <c r="GW41" s="530"/>
      <c r="GX41" s="530"/>
      <c r="GY41" s="530"/>
      <c r="GZ41" s="530"/>
      <c r="HA41" s="894">
        <v>35.299999999999997</v>
      </c>
      <c r="HB41" s="413"/>
      <c r="HC41" s="530"/>
      <c r="HD41" s="409"/>
    </row>
    <row r="42" spans="1:219" ht="20.100000000000001" customHeight="1">
      <c r="A42" s="832"/>
      <c r="B42" s="903" t="s">
        <v>469</v>
      </c>
      <c r="C42" s="904"/>
      <c r="D42" s="904"/>
      <c r="E42" s="905"/>
      <c r="F42" s="906"/>
      <c r="G42" s="836"/>
      <c r="H42" s="837"/>
      <c r="I42" s="838"/>
      <c r="J42" s="799"/>
      <c r="K42" s="839"/>
      <c r="L42" s="799"/>
      <c r="M42" s="839"/>
      <c r="N42" s="799"/>
      <c r="O42" s="839"/>
      <c r="P42" s="799"/>
      <c r="Q42" s="839"/>
      <c r="R42" s="799"/>
      <c r="S42" s="839"/>
      <c r="T42" s="799"/>
      <c r="U42" s="839"/>
      <c r="V42" s="799"/>
      <c r="W42" s="839"/>
      <c r="X42" s="799">
        <v>915</v>
      </c>
      <c r="Y42" s="839"/>
      <c r="Z42" s="799">
        <v>590</v>
      </c>
      <c r="AA42" s="839"/>
      <c r="AB42" s="799">
        <v>590</v>
      </c>
      <c r="AC42" s="839"/>
      <c r="AD42" s="799">
        <v>590</v>
      </c>
      <c r="AE42" s="839"/>
      <c r="AF42" s="799">
        <v>590</v>
      </c>
      <c r="AG42" s="839"/>
      <c r="AH42" s="799">
        <v>590</v>
      </c>
      <c r="AI42" s="839"/>
      <c r="AJ42" s="799">
        <v>590</v>
      </c>
      <c r="AK42" s="839"/>
      <c r="AL42" s="799">
        <v>590</v>
      </c>
      <c r="AM42" s="839"/>
      <c r="AN42" s="799">
        <v>590</v>
      </c>
      <c r="AO42" s="839"/>
      <c r="AP42" s="799">
        <v>590</v>
      </c>
      <c r="AQ42" s="839"/>
      <c r="AR42" s="799"/>
      <c r="AS42" s="839"/>
      <c r="AT42" s="799"/>
      <c r="AU42" s="839"/>
      <c r="AV42" s="799"/>
      <c r="AW42" s="839"/>
      <c r="AX42" s="799"/>
      <c r="AY42" s="839"/>
      <c r="AZ42" s="799"/>
      <c r="BA42" s="839"/>
      <c r="BB42" s="840"/>
      <c r="BC42" s="562"/>
      <c r="BD42" s="832"/>
      <c r="BE42" s="907" t="s">
        <v>469</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915</v>
      </c>
      <c r="CB42" s="839"/>
      <c r="CC42" s="799">
        <v>590</v>
      </c>
      <c r="CD42" s="839"/>
      <c r="CE42" s="799">
        <v>590</v>
      </c>
      <c r="CF42" s="839"/>
      <c r="CG42" s="799">
        <v>590</v>
      </c>
      <c r="CH42" s="839"/>
      <c r="CI42" s="799">
        <v>590</v>
      </c>
      <c r="CJ42" s="839"/>
      <c r="CK42" s="799">
        <v>590</v>
      </c>
      <c r="CL42" s="839"/>
      <c r="CM42" s="799">
        <v>590</v>
      </c>
      <c r="CN42" s="839"/>
      <c r="CO42" s="799">
        <v>590</v>
      </c>
      <c r="CP42" s="839"/>
      <c r="CQ42" s="799">
        <v>590</v>
      </c>
      <c r="CR42" s="839"/>
      <c r="CS42" s="799">
        <v>590</v>
      </c>
      <c r="CT42" s="839"/>
      <c r="CU42" s="799"/>
      <c r="CV42" s="839"/>
      <c r="CW42" s="799"/>
      <c r="CX42" s="839"/>
      <c r="CY42" s="799"/>
      <c r="CZ42" s="839"/>
      <c r="DA42" s="799"/>
      <c r="DB42" s="839"/>
      <c r="DC42" s="799"/>
      <c r="DD42" s="839"/>
      <c r="DE42" s="840"/>
      <c r="DF42" s="562"/>
      <c r="DG42" s="832"/>
      <c r="DH42" s="907" t="s">
        <v>470</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915</v>
      </c>
      <c r="EE42" s="839"/>
      <c r="EF42" s="799">
        <v>590</v>
      </c>
      <c r="EG42" s="839"/>
      <c r="EH42" s="799">
        <v>590</v>
      </c>
      <c r="EI42" s="839"/>
      <c r="EJ42" s="799">
        <v>590</v>
      </c>
      <c r="EK42" s="839"/>
      <c r="EL42" s="799">
        <v>590</v>
      </c>
      <c r="EM42" s="839"/>
      <c r="EN42" s="799">
        <v>590</v>
      </c>
      <c r="EO42" s="839"/>
      <c r="EP42" s="799">
        <v>590</v>
      </c>
      <c r="EQ42" s="839"/>
      <c r="ER42" s="799">
        <v>590</v>
      </c>
      <c r="ES42" s="839"/>
      <c r="ET42" s="799">
        <v>590</v>
      </c>
      <c r="EU42" s="839"/>
      <c r="EV42" s="799">
        <v>590</v>
      </c>
      <c r="EW42" s="839"/>
      <c r="EX42" s="799"/>
      <c r="EY42" s="839"/>
      <c r="EZ42" s="799"/>
      <c r="FA42" s="839"/>
      <c r="FB42" s="799"/>
      <c r="FC42" s="839"/>
      <c r="FD42" s="799"/>
      <c r="FE42" s="839"/>
      <c r="FF42" s="799"/>
      <c r="FG42" s="839"/>
      <c r="FH42" s="840"/>
      <c r="FI42" s="563"/>
      <c r="FJ42" s="841"/>
      <c r="FK42" s="907" t="s">
        <v>470</v>
      </c>
      <c r="FL42" s="904"/>
      <c r="FM42" s="904"/>
      <c r="FN42" s="905"/>
      <c r="FO42" s="906"/>
      <c r="FP42" s="842"/>
      <c r="FQ42" s="838"/>
      <c r="FR42" s="837">
        <v>207</v>
      </c>
      <c r="FS42" s="843"/>
      <c r="FT42" s="838"/>
      <c r="FU42" s="805">
        <v>207</v>
      </c>
      <c r="FV42" s="593"/>
      <c r="FW42" s="594"/>
      <c r="FX42" s="806"/>
      <c r="FY42" s="596"/>
      <c r="FZ42" s="807"/>
      <c r="GA42" s="598"/>
      <c r="GB42" s="808"/>
      <c r="GC42" s="600"/>
      <c r="GD42" s="808"/>
      <c r="GE42" s="601"/>
      <c r="GF42" s="844"/>
      <c r="GG42" s="602"/>
      <c r="GH42" s="602"/>
      <c r="GI42" s="602"/>
      <c r="GJ42" s="409"/>
      <c r="GK42" s="908"/>
      <c r="GL42" s="909"/>
      <c r="GM42" s="910">
        <v>0</v>
      </c>
      <c r="GN42" s="910"/>
      <c r="GO42" s="910">
        <v>12.4</v>
      </c>
      <c r="GP42" s="910"/>
      <c r="GQ42" s="910">
        <v>12.4</v>
      </c>
      <c r="GR42" s="911"/>
      <c r="GS42" s="580"/>
      <c r="GT42" s="500"/>
      <c r="GU42" s="500"/>
      <c r="GV42" s="500"/>
      <c r="GW42" s="579"/>
      <c r="GX42" s="579"/>
      <c r="GY42" s="579"/>
      <c r="GZ42" s="578"/>
      <c r="HA42" s="500"/>
      <c r="HB42" s="500"/>
      <c r="HC42" s="530"/>
      <c r="HD42" s="530"/>
    </row>
    <row r="43" spans="1:219" ht="20.100000000000001" customHeight="1">
      <c r="A43" s="832"/>
      <c r="B43" s="912" t="s">
        <v>471</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472</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472</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472</v>
      </c>
      <c r="FL43" s="913"/>
      <c r="FM43" s="913"/>
      <c r="FN43" s="913"/>
      <c r="FO43" s="914"/>
      <c r="FP43" s="696"/>
      <c r="FQ43" s="697"/>
      <c r="FR43" s="587">
        <v>856</v>
      </c>
      <c r="FS43" s="698"/>
      <c r="FT43" s="697"/>
      <c r="FU43" s="592">
        <v>856</v>
      </c>
      <c r="FV43" s="918"/>
      <c r="FW43" s="919"/>
      <c r="FX43" s="920"/>
      <c r="FY43" s="921"/>
      <c r="FZ43" s="922"/>
      <c r="GA43" s="923"/>
      <c r="GB43" s="924"/>
      <c r="GC43" s="925"/>
      <c r="GD43" s="924"/>
      <c r="GE43" s="926"/>
      <c r="GF43" s="688"/>
      <c r="GG43" s="602"/>
      <c r="GH43" s="602"/>
      <c r="GI43" s="602"/>
      <c r="GJ43" s="927"/>
      <c r="GK43" s="928" t="s">
        <v>787</v>
      </c>
      <c r="GL43" s="929"/>
      <c r="GM43" s="930" t="s">
        <v>575</v>
      </c>
      <c r="GN43" s="930"/>
      <c r="GO43" s="930" t="s">
        <v>578</v>
      </c>
      <c r="GP43" s="930"/>
      <c r="GQ43" s="930"/>
      <c r="GR43" s="931"/>
      <c r="GS43" s="580"/>
      <c r="GT43" s="609"/>
      <c r="GU43" s="530" t="s">
        <v>545</v>
      </c>
      <c r="GV43" s="413"/>
      <c r="GW43" s="409"/>
      <c r="GX43" s="413"/>
      <c r="GY43" s="413"/>
      <c r="GZ43" s="413"/>
      <c r="HA43" s="409"/>
      <c r="HB43" s="413"/>
      <c r="HC43" s="932"/>
      <c r="HD43" s="415"/>
    </row>
    <row r="44" spans="1:219" ht="20.100000000000001" customHeight="1" thickBot="1">
      <c r="A44" s="933"/>
      <c r="B44" s="642"/>
      <c r="C44" s="642"/>
      <c r="D44" s="643" t="s">
        <v>330</v>
      </c>
      <c r="E44" s="642"/>
      <c r="F44" s="642"/>
      <c r="G44" s="845"/>
      <c r="H44" s="846">
        <v>0</v>
      </c>
      <c r="I44" s="847"/>
      <c r="J44" s="848">
        <v>0</v>
      </c>
      <c r="K44" s="849"/>
      <c r="L44" s="848">
        <v>0</v>
      </c>
      <c r="M44" s="849"/>
      <c r="N44" s="848">
        <v>0</v>
      </c>
      <c r="O44" s="849"/>
      <c r="P44" s="848">
        <v>0</v>
      </c>
      <c r="Q44" s="849"/>
      <c r="R44" s="848">
        <v>0</v>
      </c>
      <c r="S44" s="849"/>
      <c r="T44" s="848">
        <v>0</v>
      </c>
      <c r="U44" s="849"/>
      <c r="V44" s="848">
        <v>0</v>
      </c>
      <c r="W44" s="849"/>
      <c r="X44" s="848">
        <v>915</v>
      </c>
      <c r="Y44" s="849"/>
      <c r="Z44" s="848">
        <v>590</v>
      </c>
      <c r="AA44" s="849"/>
      <c r="AB44" s="848">
        <v>590</v>
      </c>
      <c r="AC44" s="849"/>
      <c r="AD44" s="848">
        <v>590</v>
      </c>
      <c r="AE44" s="849"/>
      <c r="AF44" s="848">
        <v>590</v>
      </c>
      <c r="AG44" s="849"/>
      <c r="AH44" s="848">
        <v>590</v>
      </c>
      <c r="AI44" s="849"/>
      <c r="AJ44" s="848">
        <v>590</v>
      </c>
      <c r="AK44" s="849"/>
      <c r="AL44" s="848">
        <v>590</v>
      </c>
      <c r="AM44" s="849"/>
      <c r="AN44" s="848">
        <v>590</v>
      </c>
      <c r="AO44" s="849"/>
      <c r="AP44" s="848">
        <v>590</v>
      </c>
      <c r="AQ44" s="849"/>
      <c r="AR44" s="848">
        <v>0</v>
      </c>
      <c r="AS44" s="849"/>
      <c r="AT44" s="848">
        <v>0</v>
      </c>
      <c r="AU44" s="849"/>
      <c r="AV44" s="848">
        <v>0</v>
      </c>
      <c r="AW44" s="849"/>
      <c r="AX44" s="848">
        <v>0</v>
      </c>
      <c r="AY44" s="849"/>
      <c r="AZ44" s="848">
        <v>0</v>
      </c>
      <c r="BA44" s="849"/>
      <c r="BB44" s="850">
        <v>0</v>
      </c>
      <c r="BC44" s="648"/>
      <c r="BD44" s="933"/>
      <c r="BE44" s="642"/>
      <c r="BF44" s="642"/>
      <c r="BG44" s="643" t="s">
        <v>330</v>
      </c>
      <c r="BH44" s="642"/>
      <c r="BI44" s="642"/>
      <c r="BJ44" s="845"/>
      <c r="BK44" s="846">
        <v>0</v>
      </c>
      <c r="BL44" s="847"/>
      <c r="BM44" s="848">
        <v>0</v>
      </c>
      <c r="BN44" s="849"/>
      <c r="BO44" s="848">
        <v>0</v>
      </c>
      <c r="BP44" s="849"/>
      <c r="BQ44" s="848">
        <v>0</v>
      </c>
      <c r="BR44" s="849"/>
      <c r="BS44" s="848">
        <v>0</v>
      </c>
      <c r="BT44" s="849"/>
      <c r="BU44" s="848">
        <v>0</v>
      </c>
      <c r="BV44" s="849"/>
      <c r="BW44" s="848">
        <v>0</v>
      </c>
      <c r="BX44" s="849"/>
      <c r="BY44" s="848">
        <v>0</v>
      </c>
      <c r="BZ44" s="849"/>
      <c r="CA44" s="848">
        <v>915</v>
      </c>
      <c r="CB44" s="849"/>
      <c r="CC44" s="848">
        <v>590</v>
      </c>
      <c r="CD44" s="849"/>
      <c r="CE44" s="848">
        <v>590</v>
      </c>
      <c r="CF44" s="849"/>
      <c r="CG44" s="848">
        <v>590</v>
      </c>
      <c r="CH44" s="849"/>
      <c r="CI44" s="848">
        <v>590</v>
      </c>
      <c r="CJ44" s="849"/>
      <c r="CK44" s="848">
        <v>590</v>
      </c>
      <c r="CL44" s="849"/>
      <c r="CM44" s="848">
        <v>590</v>
      </c>
      <c r="CN44" s="849"/>
      <c r="CO44" s="848">
        <v>590</v>
      </c>
      <c r="CP44" s="849"/>
      <c r="CQ44" s="848">
        <v>590</v>
      </c>
      <c r="CR44" s="849"/>
      <c r="CS44" s="848">
        <v>590</v>
      </c>
      <c r="CT44" s="849"/>
      <c r="CU44" s="848">
        <v>0</v>
      </c>
      <c r="CV44" s="849"/>
      <c r="CW44" s="848">
        <v>0</v>
      </c>
      <c r="CX44" s="849"/>
      <c r="CY44" s="848">
        <v>0</v>
      </c>
      <c r="CZ44" s="849"/>
      <c r="DA44" s="848">
        <v>0</v>
      </c>
      <c r="DB44" s="849"/>
      <c r="DC44" s="848">
        <v>0</v>
      </c>
      <c r="DD44" s="849"/>
      <c r="DE44" s="850">
        <v>0</v>
      </c>
      <c r="DF44" s="648"/>
      <c r="DG44" s="933"/>
      <c r="DH44" s="642"/>
      <c r="DI44" s="642"/>
      <c r="DJ44" s="643" t="s">
        <v>672</v>
      </c>
      <c r="DK44" s="642"/>
      <c r="DL44" s="642"/>
      <c r="DM44" s="845"/>
      <c r="DN44" s="846">
        <v>0</v>
      </c>
      <c r="DO44" s="847"/>
      <c r="DP44" s="848">
        <v>0</v>
      </c>
      <c r="DQ44" s="849"/>
      <c r="DR44" s="848">
        <v>0</v>
      </c>
      <c r="DS44" s="849"/>
      <c r="DT44" s="848">
        <v>0</v>
      </c>
      <c r="DU44" s="849"/>
      <c r="DV44" s="848">
        <v>0</v>
      </c>
      <c r="DW44" s="849"/>
      <c r="DX44" s="848">
        <v>0</v>
      </c>
      <c r="DY44" s="849"/>
      <c r="DZ44" s="848">
        <v>0</v>
      </c>
      <c r="EA44" s="849"/>
      <c r="EB44" s="848">
        <v>0</v>
      </c>
      <c r="EC44" s="849"/>
      <c r="ED44" s="848">
        <v>915</v>
      </c>
      <c r="EE44" s="849"/>
      <c r="EF44" s="848">
        <v>590</v>
      </c>
      <c r="EG44" s="849"/>
      <c r="EH44" s="848">
        <v>590</v>
      </c>
      <c r="EI44" s="849"/>
      <c r="EJ44" s="848">
        <v>590</v>
      </c>
      <c r="EK44" s="849"/>
      <c r="EL44" s="848">
        <v>590</v>
      </c>
      <c r="EM44" s="849"/>
      <c r="EN44" s="848">
        <v>590</v>
      </c>
      <c r="EO44" s="849"/>
      <c r="EP44" s="848">
        <v>590</v>
      </c>
      <c r="EQ44" s="849"/>
      <c r="ER44" s="848">
        <v>590</v>
      </c>
      <c r="ES44" s="849"/>
      <c r="ET44" s="848">
        <v>590</v>
      </c>
      <c r="EU44" s="849"/>
      <c r="EV44" s="848">
        <v>590</v>
      </c>
      <c r="EW44" s="849"/>
      <c r="EX44" s="848">
        <v>0</v>
      </c>
      <c r="EY44" s="849"/>
      <c r="EZ44" s="848">
        <v>0</v>
      </c>
      <c r="FA44" s="849"/>
      <c r="FB44" s="848">
        <v>0</v>
      </c>
      <c r="FC44" s="849"/>
      <c r="FD44" s="848">
        <v>0</v>
      </c>
      <c r="FE44" s="849"/>
      <c r="FF44" s="848">
        <v>0</v>
      </c>
      <c r="FG44" s="849"/>
      <c r="FH44" s="850">
        <v>0</v>
      </c>
      <c r="FI44" s="649"/>
      <c r="FJ44" s="934"/>
      <c r="FK44" s="642"/>
      <c r="FL44" s="642"/>
      <c r="FM44" s="643" t="s">
        <v>672</v>
      </c>
      <c r="FN44" s="642"/>
      <c r="FO44" s="642"/>
      <c r="FP44" s="650"/>
      <c r="FQ44" s="847"/>
      <c r="FR44" s="846">
        <v>1063</v>
      </c>
      <c r="FS44" s="851"/>
      <c r="FT44" s="847"/>
      <c r="FU44" s="852">
        <v>1063</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0</v>
      </c>
      <c r="GN44" s="935"/>
      <c r="GO44" s="935">
        <v>8</v>
      </c>
      <c r="GP44" s="935"/>
      <c r="GQ44" s="910">
        <v>8</v>
      </c>
      <c r="GR44" s="911"/>
      <c r="GS44" s="936"/>
      <c r="GT44" s="937"/>
      <c r="GU44" s="530" t="s">
        <v>723</v>
      </c>
      <c r="GV44" s="615"/>
      <c r="GW44" s="615"/>
      <c r="GX44" s="615"/>
      <c r="GY44" s="413"/>
      <c r="GZ44" s="413"/>
      <c r="HA44" s="751">
        <v>1.5</v>
      </c>
      <c r="HB44" s="413" t="s">
        <v>550</v>
      </c>
      <c r="HC44" s="938"/>
      <c r="HD44" s="415"/>
    </row>
    <row r="45" spans="1:219" ht="20.100000000000001" customHeight="1" thickTop="1">
      <c r="A45" s="939" t="s">
        <v>476</v>
      </c>
      <c r="B45" s="940"/>
      <c r="C45" s="940"/>
      <c r="D45" s="940"/>
      <c r="E45" s="940"/>
      <c r="F45" s="941"/>
      <c r="G45" s="942"/>
      <c r="H45" s="943">
        <v>3395</v>
      </c>
      <c r="I45" s="944"/>
      <c r="J45" s="943">
        <v>3316</v>
      </c>
      <c r="K45" s="944"/>
      <c r="L45" s="943">
        <v>3290</v>
      </c>
      <c r="M45" s="944"/>
      <c r="N45" s="943">
        <v>3242</v>
      </c>
      <c r="O45" s="944"/>
      <c r="P45" s="943">
        <v>3240</v>
      </c>
      <c r="Q45" s="944"/>
      <c r="R45" s="943">
        <v>3358</v>
      </c>
      <c r="S45" s="944"/>
      <c r="T45" s="943">
        <v>3584</v>
      </c>
      <c r="U45" s="944"/>
      <c r="V45" s="943">
        <v>3843</v>
      </c>
      <c r="W45" s="944"/>
      <c r="X45" s="943">
        <v>5044</v>
      </c>
      <c r="Y45" s="944"/>
      <c r="Z45" s="943">
        <v>4982</v>
      </c>
      <c r="AA45" s="944"/>
      <c r="AB45" s="943">
        <v>5256</v>
      </c>
      <c r="AC45" s="944"/>
      <c r="AD45" s="943">
        <v>5316</v>
      </c>
      <c r="AE45" s="944"/>
      <c r="AF45" s="943">
        <v>5846</v>
      </c>
      <c r="AG45" s="944"/>
      <c r="AH45" s="943">
        <v>5932</v>
      </c>
      <c r="AI45" s="944"/>
      <c r="AJ45" s="943">
        <v>5813</v>
      </c>
      <c r="AK45" s="944"/>
      <c r="AL45" s="943">
        <v>5599</v>
      </c>
      <c r="AM45" s="944"/>
      <c r="AN45" s="943">
        <v>5252</v>
      </c>
      <c r="AO45" s="944"/>
      <c r="AP45" s="943">
        <v>4882</v>
      </c>
      <c r="AQ45" s="944"/>
      <c r="AR45" s="943">
        <v>3999</v>
      </c>
      <c r="AS45" s="944"/>
      <c r="AT45" s="943">
        <v>3794</v>
      </c>
      <c r="AU45" s="944"/>
      <c r="AV45" s="943">
        <v>3656</v>
      </c>
      <c r="AW45" s="944"/>
      <c r="AX45" s="943">
        <v>3577</v>
      </c>
      <c r="AY45" s="944"/>
      <c r="AZ45" s="943">
        <v>3492</v>
      </c>
      <c r="BA45" s="944"/>
      <c r="BB45" s="945">
        <v>3431</v>
      </c>
      <c r="BC45" s="648"/>
      <c r="BD45" s="939" t="s">
        <v>476</v>
      </c>
      <c r="BE45" s="940"/>
      <c r="BF45" s="940"/>
      <c r="BG45" s="940"/>
      <c r="BH45" s="940"/>
      <c r="BI45" s="941"/>
      <c r="BJ45" s="942"/>
      <c r="BK45" s="943">
        <v>3284</v>
      </c>
      <c r="BL45" s="944"/>
      <c r="BM45" s="943">
        <v>3223</v>
      </c>
      <c r="BN45" s="944"/>
      <c r="BO45" s="943">
        <v>3195</v>
      </c>
      <c r="BP45" s="944"/>
      <c r="BQ45" s="943">
        <v>3149</v>
      </c>
      <c r="BR45" s="944"/>
      <c r="BS45" s="943">
        <v>3152</v>
      </c>
      <c r="BT45" s="944"/>
      <c r="BU45" s="943">
        <v>3277</v>
      </c>
      <c r="BV45" s="944"/>
      <c r="BW45" s="943">
        <v>3494</v>
      </c>
      <c r="BX45" s="944"/>
      <c r="BY45" s="943">
        <v>3767</v>
      </c>
      <c r="BZ45" s="944"/>
      <c r="CA45" s="943">
        <v>4944</v>
      </c>
      <c r="CB45" s="944"/>
      <c r="CC45" s="943">
        <v>4826</v>
      </c>
      <c r="CD45" s="944"/>
      <c r="CE45" s="943">
        <v>5164</v>
      </c>
      <c r="CF45" s="944"/>
      <c r="CG45" s="943">
        <v>5337</v>
      </c>
      <c r="CH45" s="944"/>
      <c r="CI45" s="943">
        <v>5960</v>
      </c>
      <c r="CJ45" s="944"/>
      <c r="CK45" s="943">
        <v>6096</v>
      </c>
      <c r="CL45" s="944"/>
      <c r="CM45" s="943">
        <v>6084</v>
      </c>
      <c r="CN45" s="944"/>
      <c r="CO45" s="943">
        <v>5896</v>
      </c>
      <c r="CP45" s="944"/>
      <c r="CQ45" s="943">
        <v>5581</v>
      </c>
      <c r="CR45" s="944"/>
      <c r="CS45" s="943">
        <v>5134</v>
      </c>
      <c r="CT45" s="944"/>
      <c r="CU45" s="943">
        <v>4181</v>
      </c>
      <c r="CV45" s="944"/>
      <c r="CW45" s="943">
        <v>3868</v>
      </c>
      <c r="CX45" s="944"/>
      <c r="CY45" s="943">
        <v>3663</v>
      </c>
      <c r="CZ45" s="944"/>
      <c r="DA45" s="943">
        <v>3514</v>
      </c>
      <c r="DB45" s="944"/>
      <c r="DC45" s="943">
        <v>3434</v>
      </c>
      <c r="DD45" s="944"/>
      <c r="DE45" s="945">
        <v>3351</v>
      </c>
      <c r="DF45" s="648"/>
      <c r="DG45" s="939" t="s">
        <v>476</v>
      </c>
      <c r="DH45" s="940"/>
      <c r="DI45" s="940"/>
      <c r="DJ45" s="940"/>
      <c r="DK45" s="940"/>
      <c r="DL45" s="941"/>
      <c r="DM45" s="942"/>
      <c r="DN45" s="943">
        <v>3012</v>
      </c>
      <c r="DO45" s="944"/>
      <c r="DP45" s="943">
        <v>2986</v>
      </c>
      <c r="DQ45" s="944"/>
      <c r="DR45" s="943">
        <v>2962</v>
      </c>
      <c r="DS45" s="944"/>
      <c r="DT45" s="943">
        <v>2952</v>
      </c>
      <c r="DU45" s="944"/>
      <c r="DV45" s="943">
        <v>2952</v>
      </c>
      <c r="DW45" s="944"/>
      <c r="DX45" s="943">
        <v>3015</v>
      </c>
      <c r="DY45" s="944"/>
      <c r="DZ45" s="943">
        <v>3109</v>
      </c>
      <c r="EA45" s="944"/>
      <c r="EB45" s="943">
        <v>3353</v>
      </c>
      <c r="EC45" s="944"/>
      <c r="ED45" s="943">
        <v>4530</v>
      </c>
      <c r="EE45" s="944"/>
      <c r="EF45" s="943">
        <v>4713</v>
      </c>
      <c r="EG45" s="944"/>
      <c r="EH45" s="943">
        <v>5448</v>
      </c>
      <c r="EI45" s="944"/>
      <c r="EJ45" s="943">
        <v>5708</v>
      </c>
      <c r="EK45" s="944"/>
      <c r="EL45" s="943">
        <v>6247</v>
      </c>
      <c r="EM45" s="944"/>
      <c r="EN45" s="943">
        <v>6309</v>
      </c>
      <c r="EO45" s="944"/>
      <c r="EP45" s="943">
        <v>6171</v>
      </c>
      <c r="EQ45" s="944"/>
      <c r="ER45" s="943">
        <v>5803</v>
      </c>
      <c r="ES45" s="944"/>
      <c r="ET45" s="943">
        <v>5224</v>
      </c>
      <c r="EU45" s="944"/>
      <c r="EV45" s="943">
        <v>4578</v>
      </c>
      <c r="EW45" s="944"/>
      <c r="EX45" s="943">
        <v>3704</v>
      </c>
      <c r="EY45" s="944"/>
      <c r="EZ45" s="943">
        <v>3468</v>
      </c>
      <c r="FA45" s="944"/>
      <c r="FB45" s="943">
        <v>3314</v>
      </c>
      <c r="FC45" s="944"/>
      <c r="FD45" s="943">
        <v>3205</v>
      </c>
      <c r="FE45" s="944"/>
      <c r="FF45" s="943">
        <v>3148</v>
      </c>
      <c r="FG45" s="944"/>
      <c r="FH45" s="945">
        <v>3074</v>
      </c>
      <c r="FI45" s="648"/>
      <c r="FJ45" s="939" t="s">
        <v>673</v>
      </c>
      <c r="FK45" s="940"/>
      <c r="FL45" s="940"/>
      <c r="FM45" s="940"/>
      <c r="FN45" s="940"/>
      <c r="FO45" s="941"/>
      <c r="FP45" s="946"/>
      <c r="FQ45" s="947"/>
      <c r="FR45" s="943">
        <v>4908</v>
      </c>
      <c r="FS45" s="948"/>
      <c r="FT45" s="947"/>
      <c r="FU45" s="949">
        <v>4582</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724</v>
      </c>
      <c r="GV45" s="413"/>
      <c r="GW45" s="413"/>
      <c r="GX45" s="413"/>
      <c r="GY45" s="530"/>
      <c r="GZ45" s="733"/>
      <c r="HA45" s="751">
        <v>19</v>
      </c>
      <c r="HB45" s="413" t="s">
        <v>707</v>
      </c>
      <c r="HC45" s="938"/>
      <c r="HD45" s="415"/>
    </row>
    <row r="46" spans="1:219" ht="20.100000000000001" customHeight="1">
      <c r="A46" s="954" t="s">
        <v>336</v>
      </c>
      <c r="B46" s="955"/>
      <c r="C46" s="955"/>
      <c r="D46" s="955"/>
      <c r="E46" s="955"/>
      <c r="F46" s="956"/>
      <c r="G46" s="957" t="s">
        <v>477</v>
      </c>
      <c r="H46" s="958"/>
      <c r="I46" s="1287" t="s">
        <v>477</v>
      </c>
      <c r="J46" s="958"/>
      <c r="K46" s="1287" t="s">
        <v>477</v>
      </c>
      <c r="L46" s="958"/>
      <c r="M46" s="1287" t="s">
        <v>477</v>
      </c>
      <c r="N46" s="958"/>
      <c r="O46" s="1287" t="s">
        <v>477</v>
      </c>
      <c r="P46" s="958"/>
      <c r="Q46" s="1287" t="s">
        <v>477</v>
      </c>
      <c r="R46" s="958"/>
      <c r="S46" s="1287" t="s">
        <v>477</v>
      </c>
      <c r="T46" s="958"/>
      <c r="U46" s="1287" t="s">
        <v>477</v>
      </c>
      <c r="V46" s="958"/>
      <c r="W46" s="1287" t="s">
        <v>477</v>
      </c>
      <c r="X46" s="958"/>
      <c r="Y46" s="1287" t="s">
        <v>477</v>
      </c>
      <c r="Z46" s="958"/>
      <c r="AA46" s="1287" t="s">
        <v>477</v>
      </c>
      <c r="AB46" s="958"/>
      <c r="AC46" s="1287" t="s">
        <v>477</v>
      </c>
      <c r="AD46" s="958"/>
      <c r="AE46" s="1287" t="s">
        <v>477</v>
      </c>
      <c r="AF46" s="958"/>
      <c r="AG46" s="1287" t="s">
        <v>477</v>
      </c>
      <c r="AH46" s="958"/>
      <c r="AI46" s="1287" t="s">
        <v>477</v>
      </c>
      <c r="AJ46" s="958"/>
      <c r="AK46" s="1287" t="s">
        <v>477</v>
      </c>
      <c r="AL46" s="958"/>
      <c r="AM46" s="1287" t="s">
        <v>477</v>
      </c>
      <c r="AN46" s="958"/>
      <c r="AO46" s="1287" t="s">
        <v>477</v>
      </c>
      <c r="AP46" s="958"/>
      <c r="AQ46" s="1287" t="s">
        <v>477</v>
      </c>
      <c r="AR46" s="958"/>
      <c r="AS46" s="1287" t="s">
        <v>477</v>
      </c>
      <c r="AT46" s="958"/>
      <c r="AU46" s="1287" t="s">
        <v>477</v>
      </c>
      <c r="AV46" s="958"/>
      <c r="AW46" s="1287" t="s">
        <v>477</v>
      </c>
      <c r="AX46" s="958"/>
      <c r="AY46" s="1287" t="s">
        <v>477</v>
      </c>
      <c r="AZ46" s="960"/>
      <c r="BA46" s="961" t="s">
        <v>477</v>
      </c>
      <c r="BB46" s="962"/>
      <c r="BC46" s="963"/>
      <c r="BD46" s="954" t="s">
        <v>336</v>
      </c>
      <c r="BE46" s="955"/>
      <c r="BF46" s="955"/>
      <c r="BG46" s="955"/>
      <c r="BH46" s="955"/>
      <c r="BI46" s="956"/>
      <c r="BJ46" s="957" t="s">
        <v>477</v>
      </c>
      <c r="BK46" s="958"/>
      <c r="BL46" s="1287" t="s">
        <v>477</v>
      </c>
      <c r="BM46" s="958"/>
      <c r="BN46" s="1287" t="s">
        <v>477</v>
      </c>
      <c r="BO46" s="958"/>
      <c r="BP46" s="1287" t="s">
        <v>477</v>
      </c>
      <c r="BQ46" s="958"/>
      <c r="BR46" s="1287" t="s">
        <v>477</v>
      </c>
      <c r="BS46" s="958"/>
      <c r="BT46" s="1287" t="s">
        <v>477</v>
      </c>
      <c r="BU46" s="958"/>
      <c r="BV46" s="1287" t="s">
        <v>477</v>
      </c>
      <c r="BW46" s="958"/>
      <c r="BX46" s="1287" t="s">
        <v>477</v>
      </c>
      <c r="BY46" s="958"/>
      <c r="BZ46" s="1287" t="s">
        <v>477</v>
      </c>
      <c r="CA46" s="958"/>
      <c r="CB46" s="1287" t="s">
        <v>477</v>
      </c>
      <c r="CC46" s="958"/>
      <c r="CD46" s="1287" t="s">
        <v>477</v>
      </c>
      <c r="CE46" s="958"/>
      <c r="CF46" s="1287" t="s">
        <v>477</v>
      </c>
      <c r="CG46" s="958"/>
      <c r="CH46" s="1287" t="s">
        <v>477</v>
      </c>
      <c r="CI46" s="958"/>
      <c r="CJ46" s="1287" t="s">
        <v>477</v>
      </c>
      <c r="CK46" s="958"/>
      <c r="CL46" s="1287" t="s">
        <v>477</v>
      </c>
      <c r="CM46" s="958"/>
      <c r="CN46" s="1287" t="s">
        <v>477</v>
      </c>
      <c r="CO46" s="958"/>
      <c r="CP46" s="1287" t="s">
        <v>477</v>
      </c>
      <c r="CQ46" s="958"/>
      <c r="CR46" s="1287" t="s">
        <v>477</v>
      </c>
      <c r="CS46" s="958"/>
      <c r="CT46" s="1287" t="s">
        <v>477</v>
      </c>
      <c r="CU46" s="958"/>
      <c r="CV46" s="1287" t="s">
        <v>477</v>
      </c>
      <c r="CW46" s="958"/>
      <c r="CX46" s="1287" t="s">
        <v>477</v>
      </c>
      <c r="CY46" s="958"/>
      <c r="CZ46" s="1287" t="s">
        <v>477</v>
      </c>
      <c r="DA46" s="958"/>
      <c r="DB46" s="1287" t="s">
        <v>477</v>
      </c>
      <c r="DC46" s="960"/>
      <c r="DD46" s="961" t="s">
        <v>477</v>
      </c>
      <c r="DE46" s="962"/>
      <c r="DF46" s="963"/>
      <c r="DG46" s="954" t="s">
        <v>674</v>
      </c>
      <c r="DH46" s="955"/>
      <c r="DI46" s="955"/>
      <c r="DJ46" s="955"/>
      <c r="DK46" s="955"/>
      <c r="DL46" s="956"/>
      <c r="DM46" s="957" t="s">
        <v>477</v>
      </c>
      <c r="DN46" s="958"/>
      <c r="DO46" s="1287" t="s">
        <v>477</v>
      </c>
      <c r="DP46" s="958"/>
      <c r="DQ46" s="1287" t="s">
        <v>477</v>
      </c>
      <c r="DR46" s="958"/>
      <c r="DS46" s="1287" t="s">
        <v>477</v>
      </c>
      <c r="DT46" s="958"/>
      <c r="DU46" s="1287" t="s">
        <v>477</v>
      </c>
      <c r="DV46" s="958"/>
      <c r="DW46" s="1287" t="s">
        <v>477</v>
      </c>
      <c r="DX46" s="958"/>
      <c r="DY46" s="1287" t="s">
        <v>477</v>
      </c>
      <c r="DZ46" s="958"/>
      <c r="EA46" s="1287" t="s">
        <v>477</v>
      </c>
      <c r="EB46" s="958"/>
      <c r="EC46" s="1287" t="s">
        <v>477</v>
      </c>
      <c r="ED46" s="958"/>
      <c r="EE46" s="1287" t="s">
        <v>477</v>
      </c>
      <c r="EF46" s="958"/>
      <c r="EG46" s="1287" t="s">
        <v>477</v>
      </c>
      <c r="EH46" s="958"/>
      <c r="EI46" s="1287" t="s">
        <v>477</v>
      </c>
      <c r="EJ46" s="958"/>
      <c r="EK46" s="1287" t="s">
        <v>477</v>
      </c>
      <c r="EL46" s="958"/>
      <c r="EM46" s="1287" t="s">
        <v>477</v>
      </c>
      <c r="EN46" s="958"/>
      <c r="EO46" s="1287" t="s">
        <v>477</v>
      </c>
      <c r="EP46" s="958"/>
      <c r="EQ46" s="1287" t="s">
        <v>477</v>
      </c>
      <c r="ER46" s="958"/>
      <c r="ES46" s="1287" t="s">
        <v>477</v>
      </c>
      <c r="ET46" s="958"/>
      <c r="EU46" s="1287" t="s">
        <v>477</v>
      </c>
      <c r="EV46" s="958"/>
      <c r="EW46" s="1287" t="s">
        <v>477</v>
      </c>
      <c r="EX46" s="958"/>
      <c r="EY46" s="1287" t="s">
        <v>477</v>
      </c>
      <c r="EZ46" s="958"/>
      <c r="FA46" s="1287" t="s">
        <v>477</v>
      </c>
      <c r="FB46" s="958"/>
      <c r="FC46" s="1287" t="s">
        <v>477</v>
      </c>
      <c r="FD46" s="958"/>
      <c r="FE46" s="1287" t="s">
        <v>477</v>
      </c>
      <c r="FF46" s="960"/>
      <c r="FG46" s="961" t="s">
        <v>477</v>
      </c>
      <c r="FH46" s="962"/>
      <c r="FI46" s="963"/>
      <c r="FJ46" s="954" t="s">
        <v>480</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c r="GL46" s="413"/>
      <c r="GM46" s="750"/>
      <c r="GN46" s="750"/>
      <c r="GO46" s="750"/>
      <c r="GP46" s="750"/>
      <c r="GQ46" s="750"/>
      <c r="GR46" s="861"/>
      <c r="GS46" s="580"/>
      <c r="GT46" s="763"/>
      <c r="GU46" s="774" t="s">
        <v>582</v>
      </c>
      <c r="GV46" s="774"/>
      <c r="GW46" s="774"/>
      <c r="GX46" s="774"/>
      <c r="GY46" s="615"/>
      <c r="GZ46" s="775"/>
      <c r="HA46" s="751">
        <v>17.5</v>
      </c>
      <c r="HB46" s="413" t="s">
        <v>550</v>
      </c>
      <c r="HC46" s="938"/>
      <c r="HD46" s="415"/>
    </row>
    <row r="47" spans="1:219" ht="20.100000000000001" customHeight="1" thickBot="1">
      <c r="A47" s="970" t="s">
        <v>337</v>
      </c>
      <c r="B47" s="971"/>
      <c r="C47" s="971"/>
      <c r="D47" s="972"/>
      <c r="E47" s="973"/>
      <c r="F47" s="973"/>
      <c r="G47" s="974"/>
      <c r="H47" s="975">
        <v>3565</v>
      </c>
      <c r="I47" s="976"/>
      <c r="J47" s="975">
        <v>3482</v>
      </c>
      <c r="K47" s="976"/>
      <c r="L47" s="975">
        <v>3455</v>
      </c>
      <c r="M47" s="976"/>
      <c r="N47" s="975">
        <v>3404</v>
      </c>
      <c r="O47" s="976"/>
      <c r="P47" s="975">
        <v>3402</v>
      </c>
      <c r="Q47" s="976"/>
      <c r="R47" s="975">
        <v>3526</v>
      </c>
      <c r="S47" s="976"/>
      <c r="T47" s="975">
        <v>3763</v>
      </c>
      <c r="U47" s="976"/>
      <c r="V47" s="975">
        <v>4035</v>
      </c>
      <c r="W47" s="976"/>
      <c r="X47" s="975">
        <v>5296</v>
      </c>
      <c r="Y47" s="976"/>
      <c r="Z47" s="975">
        <v>5231</v>
      </c>
      <c r="AA47" s="976"/>
      <c r="AB47" s="975">
        <v>5519</v>
      </c>
      <c r="AC47" s="976"/>
      <c r="AD47" s="975">
        <v>5582</v>
      </c>
      <c r="AE47" s="976"/>
      <c r="AF47" s="975">
        <v>6138</v>
      </c>
      <c r="AG47" s="976"/>
      <c r="AH47" s="975">
        <v>6229</v>
      </c>
      <c r="AI47" s="976"/>
      <c r="AJ47" s="975">
        <v>6104</v>
      </c>
      <c r="AK47" s="976"/>
      <c r="AL47" s="975">
        <v>5879</v>
      </c>
      <c r="AM47" s="976"/>
      <c r="AN47" s="975">
        <v>5515</v>
      </c>
      <c r="AO47" s="976"/>
      <c r="AP47" s="975">
        <v>5126</v>
      </c>
      <c r="AQ47" s="976"/>
      <c r="AR47" s="975">
        <v>4199</v>
      </c>
      <c r="AS47" s="976"/>
      <c r="AT47" s="975">
        <v>3984</v>
      </c>
      <c r="AU47" s="976"/>
      <c r="AV47" s="975">
        <v>3839</v>
      </c>
      <c r="AW47" s="976"/>
      <c r="AX47" s="975">
        <v>3756</v>
      </c>
      <c r="AY47" s="977"/>
      <c r="AZ47" s="978">
        <v>3667</v>
      </c>
      <c r="BA47" s="979"/>
      <c r="BB47" s="980">
        <v>3603</v>
      </c>
      <c r="BC47" s="981"/>
      <c r="BD47" s="970" t="s">
        <v>768</v>
      </c>
      <c r="BE47" s="971"/>
      <c r="BF47" s="971"/>
      <c r="BG47" s="972"/>
      <c r="BH47" s="973"/>
      <c r="BI47" s="973"/>
      <c r="BJ47" s="974"/>
      <c r="BK47" s="975">
        <v>3448</v>
      </c>
      <c r="BL47" s="976"/>
      <c r="BM47" s="975">
        <v>3384</v>
      </c>
      <c r="BN47" s="976"/>
      <c r="BO47" s="975">
        <v>3355</v>
      </c>
      <c r="BP47" s="976"/>
      <c r="BQ47" s="975">
        <v>3306</v>
      </c>
      <c r="BR47" s="976"/>
      <c r="BS47" s="975">
        <v>3310</v>
      </c>
      <c r="BT47" s="976"/>
      <c r="BU47" s="975">
        <v>3441</v>
      </c>
      <c r="BV47" s="976"/>
      <c r="BW47" s="975">
        <v>3669</v>
      </c>
      <c r="BX47" s="976"/>
      <c r="BY47" s="975">
        <v>3955</v>
      </c>
      <c r="BZ47" s="976"/>
      <c r="CA47" s="975">
        <v>5191</v>
      </c>
      <c r="CB47" s="976"/>
      <c r="CC47" s="975">
        <v>5067</v>
      </c>
      <c r="CD47" s="976"/>
      <c r="CE47" s="975">
        <v>5422</v>
      </c>
      <c r="CF47" s="976"/>
      <c r="CG47" s="975">
        <v>5604</v>
      </c>
      <c r="CH47" s="976"/>
      <c r="CI47" s="975">
        <v>6258</v>
      </c>
      <c r="CJ47" s="976"/>
      <c r="CK47" s="975">
        <v>6401</v>
      </c>
      <c r="CL47" s="976"/>
      <c r="CM47" s="975">
        <v>6388</v>
      </c>
      <c r="CN47" s="976"/>
      <c r="CO47" s="975">
        <v>6191</v>
      </c>
      <c r="CP47" s="976"/>
      <c r="CQ47" s="975">
        <v>5860</v>
      </c>
      <c r="CR47" s="976"/>
      <c r="CS47" s="975">
        <v>5391</v>
      </c>
      <c r="CT47" s="976"/>
      <c r="CU47" s="975">
        <v>4390</v>
      </c>
      <c r="CV47" s="976"/>
      <c r="CW47" s="975">
        <v>4061</v>
      </c>
      <c r="CX47" s="976"/>
      <c r="CY47" s="975">
        <v>3846</v>
      </c>
      <c r="CZ47" s="976"/>
      <c r="DA47" s="975">
        <v>3690</v>
      </c>
      <c r="DB47" s="977"/>
      <c r="DC47" s="978">
        <v>3606</v>
      </c>
      <c r="DD47" s="979"/>
      <c r="DE47" s="980">
        <v>3519</v>
      </c>
      <c r="DF47" s="981"/>
      <c r="DG47" s="970" t="s">
        <v>337</v>
      </c>
      <c r="DH47" s="971"/>
      <c r="DI47" s="971"/>
      <c r="DJ47" s="972"/>
      <c r="DK47" s="973"/>
      <c r="DL47" s="973"/>
      <c r="DM47" s="974"/>
      <c r="DN47" s="975">
        <v>3163</v>
      </c>
      <c r="DO47" s="976"/>
      <c r="DP47" s="975">
        <v>3135</v>
      </c>
      <c r="DQ47" s="976"/>
      <c r="DR47" s="975">
        <v>3110</v>
      </c>
      <c r="DS47" s="976"/>
      <c r="DT47" s="975">
        <v>3100</v>
      </c>
      <c r="DU47" s="976"/>
      <c r="DV47" s="975">
        <v>3100</v>
      </c>
      <c r="DW47" s="976"/>
      <c r="DX47" s="975">
        <v>3166</v>
      </c>
      <c r="DY47" s="976"/>
      <c r="DZ47" s="975">
        <v>3264</v>
      </c>
      <c r="EA47" s="976"/>
      <c r="EB47" s="975">
        <v>3521</v>
      </c>
      <c r="EC47" s="976"/>
      <c r="ED47" s="975">
        <v>4757</v>
      </c>
      <c r="EE47" s="976"/>
      <c r="EF47" s="975">
        <v>4949</v>
      </c>
      <c r="EG47" s="976"/>
      <c r="EH47" s="975">
        <v>5720</v>
      </c>
      <c r="EI47" s="976"/>
      <c r="EJ47" s="975">
        <v>5993</v>
      </c>
      <c r="EK47" s="976"/>
      <c r="EL47" s="975">
        <v>6559</v>
      </c>
      <c r="EM47" s="976"/>
      <c r="EN47" s="975">
        <v>6624</v>
      </c>
      <c r="EO47" s="976"/>
      <c r="EP47" s="975">
        <v>6480</v>
      </c>
      <c r="EQ47" s="976"/>
      <c r="ER47" s="975">
        <v>6093</v>
      </c>
      <c r="ES47" s="976"/>
      <c r="ET47" s="975">
        <v>5485</v>
      </c>
      <c r="EU47" s="976"/>
      <c r="EV47" s="975">
        <v>4807</v>
      </c>
      <c r="EW47" s="976"/>
      <c r="EX47" s="975">
        <v>3889</v>
      </c>
      <c r="EY47" s="976"/>
      <c r="EZ47" s="975">
        <v>3641</v>
      </c>
      <c r="FA47" s="976"/>
      <c r="FB47" s="975">
        <v>3480</v>
      </c>
      <c r="FC47" s="976"/>
      <c r="FD47" s="975">
        <v>3365</v>
      </c>
      <c r="FE47" s="977"/>
      <c r="FF47" s="978">
        <v>3305</v>
      </c>
      <c r="FG47" s="979"/>
      <c r="FH47" s="980">
        <v>3228</v>
      </c>
      <c r="FI47" s="981"/>
      <c r="FJ47" s="970" t="s">
        <v>337</v>
      </c>
      <c r="FK47" s="971"/>
      <c r="FL47" s="971"/>
      <c r="FM47" s="972"/>
      <c r="FN47" s="973"/>
      <c r="FO47" s="973"/>
      <c r="FP47" s="982"/>
      <c r="FQ47" s="983"/>
      <c r="FR47" s="975">
        <v>4908</v>
      </c>
      <c r="FS47" s="984"/>
      <c r="FT47" s="983"/>
      <c r="FU47" s="985">
        <v>4582</v>
      </c>
      <c r="FV47" s="986">
        <v>14</v>
      </c>
      <c r="FW47" s="975">
        <v>6229</v>
      </c>
      <c r="FX47" s="987">
        <v>14</v>
      </c>
      <c r="FY47" s="975">
        <v>6401</v>
      </c>
      <c r="FZ47" s="987">
        <v>14</v>
      </c>
      <c r="GA47" s="975">
        <v>6624</v>
      </c>
      <c r="GB47" s="988" t="s">
        <v>366</v>
      </c>
      <c r="GC47" s="975">
        <v>6229</v>
      </c>
      <c r="GD47" s="988" t="s">
        <v>368</v>
      </c>
      <c r="GE47" s="989">
        <v>4908</v>
      </c>
      <c r="GF47" s="688"/>
      <c r="GG47" s="990"/>
      <c r="GH47" s="990"/>
      <c r="GI47" s="990"/>
      <c r="GJ47" s="893"/>
      <c r="GK47" s="413" t="s">
        <v>584</v>
      </c>
      <c r="GL47" s="893"/>
      <c r="GM47" s="530"/>
      <c r="GN47" s="893"/>
      <c r="GO47" s="530"/>
      <c r="GP47" s="530"/>
      <c r="GQ47" s="530"/>
      <c r="GR47" s="893"/>
      <c r="GS47" s="530"/>
      <c r="GT47" s="763"/>
      <c r="GU47" s="774" t="s">
        <v>585</v>
      </c>
      <c r="GV47" s="774"/>
      <c r="GW47" s="774"/>
      <c r="GX47" s="774"/>
      <c r="GY47" s="530"/>
      <c r="GZ47" s="413"/>
      <c r="HA47" s="778">
        <v>-0.15</v>
      </c>
      <c r="HB47" s="413"/>
      <c r="HC47" s="981"/>
      <c r="HD47" s="415"/>
    </row>
    <row r="48" spans="1:219" ht="20.100000000000001" customHeight="1">
      <c r="A48" s="991" t="s">
        <v>482</v>
      </c>
      <c r="B48" s="992" t="s">
        <v>677</v>
      </c>
      <c r="C48" s="895"/>
      <c r="D48" s="825"/>
      <c r="E48" s="825"/>
      <c r="F48" s="826"/>
      <c r="G48" s="740" t="s">
        <v>484</v>
      </c>
      <c r="H48" s="663" t="s">
        <v>430</v>
      </c>
      <c r="I48" s="742" t="s">
        <v>678</v>
      </c>
      <c r="J48" s="993" t="s">
        <v>430</v>
      </c>
      <c r="K48" s="742" t="s">
        <v>678</v>
      </c>
      <c r="L48" s="993" t="s">
        <v>430</v>
      </c>
      <c r="M48" s="742" t="s">
        <v>678</v>
      </c>
      <c r="N48" s="993" t="s">
        <v>428</v>
      </c>
      <c r="O48" s="742" t="s">
        <v>484</v>
      </c>
      <c r="P48" s="993" t="s">
        <v>430</v>
      </c>
      <c r="Q48" s="742" t="s">
        <v>484</v>
      </c>
      <c r="R48" s="993" t="s">
        <v>430</v>
      </c>
      <c r="S48" s="742" t="s">
        <v>484</v>
      </c>
      <c r="T48" s="993" t="s">
        <v>430</v>
      </c>
      <c r="U48" s="742" t="s">
        <v>484</v>
      </c>
      <c r="V48" s="993" t="s">
        <v>428</v>
      </c>
      <c r="W48" s="742" t="s">
        <v>678</v>
      </c>
      <c r="X48" s="993" t="s">
        <v>428</v>
      </c>
      <c r="Y48" s="742" t="s">
        <v>484</v>
      </c>
      <c r="Z48" s="993" t="s">
        <v>428</v>
      </c>
      <c r="AA48" s="742" t="s">
        <v>678</v>
      </c>
      <c r="AB48" s="993" t="s">
        <v>428</v>
      </c>
      <c r="AC48" s="742" t="s">
        <v>678</v>
      </c>
      <c r="AD48" s="993" t="s">
        <v>430</v>
      </c>
      <c r="AE48" s="742" t="s">
        <v>484</v>
      </c>
      <c r="AF48" s="993" t="s">
        <v>428</v>
      </c>
      <c r="AG48" s="742" t="s">
        <v>484</v>
      </c>
      <c r="AH48" s="993" t="s">
        <v>430</v>
      </c>
      <c r="AI48" s="742" t="s">
        <v>484</v>
      </c>
      <c r="AJ48" s="993" t="s">
        <v>430</v>
      </c>
      <c r="AK48" s="742" t="s">
        <v>678</v>
      </c>
      <c r="AL48" s="993" t="s">
        <v>428</v>
      </c>
      <c r="AM48" s="742" t="s">
        <v>484</v>
      </c>
      <c r="AN48" s="993" t="s">
        <v>430</v>
      </c>
      <c r="AO48" s="742" t="s">
        <v>484</v>
      </c>
      <c r="AP48" s="993" t="s">
        <v>430</v>
      </c>
      <c r="AQ48" s="742" t="s">
        <v>484</v>
      </c>
      <c r="AR48" s="993" t="s">
        <v>430</v>
      </c>
      <c r="AS48" s="742" t="s">
        <v>484</v>
      </c>
      <c r="AT48" s="993" t="s">
        <v>430</v>
      </c>
      <c r="AU48" s="742" t="s">
        <v>484</v>
      </c>
      <c r="AV48" s="993" t="s">
        <v>430</v>
      </c>
      <c r="AW48" s="742" t="s">
        <v>678</v>
      </c>
      <c r="AX48" s="993" t="s">
        <v>428</v>
      </c>
      <c r="AY48" s="742" t="s">
        <v>484</v>
      </c>
      <c r="AZ48" s="994" t="s">
        <v>430</v>
      </c>
      <c r="BA48" s="995" t="s">
        <v>484</v>
      </c>
      <c r="BB48" s="996" t="s">
        <v>428</v>
      </c>
      <c r="BC48" s="932"/>
      <c r="BD48" s="991" t="s">
        <v>482</v>
      </c>
      <c r="BE48" s="992" t="s">
        <v>483</v>
      </c>
      <c r="BF48" s="895"/>
      <c r="BG48" s="825"/>
      <c r="BH48" s="825"/>
      <c r="BI48" s="826"/>
      <c r="BJ48" s="740" t="s">
        <v>484</v>
      </c>
      <c r="BK48" s="663" t="s">
        <v>428</v>
      </c>
      <c r="BL48" s="742" t="s">
        <v>678</v>
      </c>
      <c r="BM48" s="993" t="s">
        <v>430</v>
      </c>
      <c r="BN48" s="742" t="s">
        <v>484</v>
      </c>
      <c r="BO48" s="993" t="s">
        <v>430</v>
      </c>
      <c r="BP48" s="742" t="s">
        <v>484</v>
      </c>
      <c r="BQ48" s="993" t="s">
        <v>428</v>
      </c>
      <c r="BR48" s="742" t="s">
        <v>484</v>
      </c>
      <c r="BS48" s="993" t="s">
        <v>430</v>
      </c>
      <c r="BT48" s="742" t="s">
        <v>484</v>
      </c>
      <c r="BU48" s="993" t="s">
        <v>428</v>
      </c>
      <c r="BV48" s="742" t="s">
        <v>678</v>
      </c>
      <c r="BW48" s="993" t="s">
        <v>430</v>
      </c>
      <c r="BX48" s="742" t="s">
        <v>678</v>
      </c>
      <c r="BY48" s="993" t="s">
        <v>430</v>
      </c>
      <c r="BZ48" s="742" t="s">
        <v>678</v>
      </c>
      <c r="CA48" s="993" t="s">
        <v>428</v>
      </c>
      <c r="CB48" s="742" t="s">
        <v>678</v>
      </c>
      <c r="CC48" s="993" t="s">
        <v>428</v>
      </c>
      <c r="CD48" s="742" t="s">
        <v>484</v>
      </c>
      <c r="CE48" s="993" t="s">
        <v>430</v>
      </c>
      <c r="CF48" s="742" t="s">
        <v>484</v>
      </c>
      <c r="CG48" s="993" t="s">
        <v>430</v>
      </c>
      <c r="CH48" s="742" t="s">
        <v>484</v>
      </c>
      <c r="CI48" s="993" t="s">
        <v>428</v>
      </c>
      <c r="CJ48" s="742" t="s">
        <v>678</v>
      </c>
      <c r="CK48" s="993" t="s">
        <v>428</v>
      </c>
      <c r="CL48" s="742" t="s">
        <v>484</v>
      </c>
      <c r="CM48" s="993" t="s">
        <v>428</v>
      </c>
      <c r="CN48" s="742" t="s">
        <v>678</v>
      </c>
      <c r="CO48" s="993" t="s">
        <v>428</v>
      </c>
      <c r="CP48" s="742" t="s">
        <v>678</v>
      </c>
      <c r="CQ48" s="993" t="s">
        <v>430</v>
      </c>
      <c r="CR48" s="742" t="s">
        <v>484</v>
      </c>
      <c r="CS48" s="993" t="s">
        <v>428</v>
      </c>
      <c r="CT48" s="742" t="s">
        <v>484</v>
      </c>
      <c r="CU48" s="993" t="s">
        <v>430</v>
      </c>
      <c r="CV48" s="742" t="s">
        <v>484</v>
      </c>
      <c r="CW48" s="993" t="s">
        <v>430</v>
      </c>
      <c r="CX48" s="742" t="s">
        <v>678</v>
      </c>
      <c r="CY48" s="993" t="s">
        <v>428</v>
      </c>
      <c r="CZ48" s="742" t="s">
        <v>484</v>
      </c>
      <c r="DA48" s="993" t="s">
        <v>430</v>
      </c>
      <c r="DB48" s="742" t="s">
        <v>484</v>
      </c>
      <c r="DC48" s="994" t="s">
        <v>430</v>
      </c>
      <c r="DD48" s="995" t="s">
        <v>484</v>
      </c>
      <c r="DE48" s="996" t="s">
        <v>430</v>
      </c>
      <c r="DF48" s="932"/>
      <c r="DG48" s="991" t="s">
        <v>676</v>
      </c>
      <c r="DH48" s="992" t="s">
        <v>483</v>
      </c>
      <c r="DI48" s="895"/>
      <c r="DJ48" s="825"/>
      <c r="DK48" s="825"/>
      <c r="DL48" s="826"/>
      <c r="DM48" s="740" t="s">
        <v>484</v>
      </c>
      <c r="DN48" s="663" t="s">
        <v>430</v>
      </c>
      <c r="DO48" s="742" t="s">
        <v>484</v>
      </c>
      <c r="DP48" s="993" t="s">
        <v>428</v>
      </c>
      <c r="DQ48" s="742" t="s">
        <v>678</v>
      </c>
      <c r="DR48" s="993" t="s">
        <v>428</v>
      </c>
      <c r="DS48" s="742" t="s">
        <v>484</v>
      </c>
      <c r="DT48" s="993" t="s">
        <v>430</v>
      </c>
      <c r="DU48" s="742" t="s">
        <v>678</v>
      </c>
      <c r="DV48" s="993" t="s">
        <v>430</v>
      </c>
      <c r="DW48" s="742" t="s">
        <v>484</v>
      </c>
      <c r="DX48" s="993" t="s">
        <v>428</v>
      </c>
      <c r="DY48" s="742" t="s">
        <v>678</v>
      </c>
      <c r="DZ48" s="993" t="s">
        <v>430</v>
      </c>
      <c r="EA48" s="742" t="s">
        <v>484</v>
      </c>
      <c r="EB48" s="993" t="s">
        <v>430</v>
      </c>
      <c r="EC48" s="742" t="s">
        <v>484</v>
      </c>
      <c r="ED48" s="993" t="s">
        <v>428</v>
      </c>
      <c r="EE48" s="742" t="s">
        <v>484</v>
      </c>
      <c r="EF48" s="993" t="s">
        <v>430</v>
      </c>
      <c r="EG48" s="742" t="s">
        <v>484</v>
      </c>
      <c r="EH48" s="993" t="s">
        <v>428</v>
      </c>
      <c r="EI48" s="742" t="s">
        <v>678</v>
      </c>
      <c r="EJ48" s="993" t="s">
        <v>430</v>
      </c>
      <c r="EK48" s="742" t="s">
        <v>678</v>
      </c>
      <c r="EL48" s="993" t="s">
        <v>430</v>
      </c>
      <c r="EM48" s="742" t="s">
        <v>678</v>
      </c>
      <c r="EN48" s="993" t="s">
        <v>428</v>
      </c>
      <c r="EO48" s="742" t="s">
        <v>678</v>
      </c>
      <c r="EP48" s="993" t="s">
        <v>428</v>
      </c>
      <c r="EQ48" s="742" t="s">
        <v>484</v>
      </c>
      <c r="ER48" s="993" t="s">
        <v>430</v>
      </c>
      <c r="ES48" s="742" t="s">
        <v>484</v>
      </c>
      <c r="ET48" s="993" t="s">
        <v>430</v>
      </c>
      <c r="EU48" s="742" t="s">
        <v>484</v>
      </c>
      <c r="EV48" s="993" t="s">
        <v>428</v>
      </c>
      <c r="EW48" s="742" t="s">
        <v>678</v>
      </c>
      <c r="EX48" s="993" t="s">
        <v>428</v>
      </c>
      <c r="EY48" s="742" t="s">
        <v>484</v>
      </c>
      <c r="EZ48" s="993" t="s">
        <v>428</v>
      </c>
      <c r="FA48" s="742" t="s">
        <v>678</v>
      </c>
      <c r="FB48" s="993" t="s">
        <v>428</v>
      </c>
      <c r="FC48" s="742" t="s">
        <v>678</v>
      </c>
      <c r="FD48" s="993" t="s">
        <v>430</v>
      </c>
      <c r="FE48" s="742" t="s">
        <v>484</v>
      </c>
      <c r="FF48" s="994" t="s">
        <v>428</v>
      </c>
      <c r="FG48" s="995" t="s">
        <v>484</v>
      </c>
      <c r="FH48" s="996" t="s">
        <v>430</v>
      </c>
      <c r="FI48" s="932"/>
      <c r="FJ48" s="991" t="s">
        <v>482</v>
      </c>
      <c r="FK48" s="738" t="s">
        <v>483</v>
      </c>
      <c r="FL48" s="895"/>
      <c r="FM48" s="825"/>
      <c r="FN48" s="825"/>
      <c r="FO48" s="826"/>
      <c r="FP48" s="747" t="s">
        <v>450</v>
      </c>
      <c r="FQ48" s="673" t="s">
        <v>484</v>
      </c>
      <c r="FR48" s="663" t="s">
        <v>451</v>
      </c>
      <c r="FS48" s="997" t="s">
        <v>433</v>
      </c>
      <c r="FT48" s="673" t="s">
        <v>484</v>
      </c>
      <c r="FU48" s="998" t="s">
        <v>451</v>
      </c>
      <c r="FV48" s="999"/>
      <c r="FW48" s="993" t="s">
        <v>323</v>
      </c>
      <c r="FX48" s="997"/>
      <c r="FY48" s="993" t="s">
        <v>323</v>
      </c>
      <c r="FZ48" s="997"/>
      <c r="GA48" s="993" t="s">
        <v>323</v>
      </c>
      <c r="GB48" s="997"/>
      <c r="GC48" s="993" t="s">
        <v>323</v>
      </c>
      <c r="GD48" s="997"/>
      <c r="GE48" s="1000" t="s">
        <v>324</v>
      </c>
      <c r="GF48" s="688"/>
      <c r="GG48" s="655"/>
      <c r="GH48" s="655"/>
      <c r="GI48" s="655"/>
      <c r="GJ48" s="530"/>
      <c r="GK48" s="615" t="s">
        <v>586</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435</v>
      </c>
      <c r="C49" s="1002"/>
      <c r="D49" s="754">
        <v>68</v>
      </c>
      <c r="E49" s="755">
        <v>8</v>
      </c>
      <c r="F49" s="1003" t="s">
        <v>436</v>
      </c>
      <c r="G49" s="757">
        <v>1</v>
      </c>
      <c r="H49" s="559">
        <v>544</v>
      </c>
      <c r="I49" s="758">
        <v>1</v>
      </c>
      <c r="J49" s="559">
        <v>544</v>
      </c>
      <c r="K49" s="758">
        <v>1</v>
      </c>
      <c r="L49" s="559">
        <v>544</v>
      </c>
      <c r="M49" s="758">
        <v>1</v>
      </c>
      <c r="N49" s="559">
        <v>544</v>
      </c>
      <c r="O49" s="758">
        <v>1</v>
      </c>
      <c r="P49" s="559">
        <v>544</v>
      </c>
      <c r="Q49" s="758">
        <v>1</v>
      </c>
      <c r="R49" s="559">
        <v>544</v>
      </c>
      <c r="S49" s="758">
        <v>1</v>
      </c>
      <c r="T49" s="559">
        <v>544</v>
      </c>
      <c r="U49" s="758">
        <v>1</v>
      </c>
      <c r="V49" s="559">
        <v>544</v>
      </c>
      <c r="W49" s="758">
        <v>1</v>
      </c>
      <c r="X49" s="559">
        <v>544</v>
      </c>
      <c r="Y49" s="758">
        <v>1</v>
      </c>
      <c r="Z49" s="559">
        <v>544</v>
      </c>
      <c r="AA49" s="758">
        <v>1</v>
      </c>
      <c r="AB49" s="559">
        <v>544</v>
      </c>
      <c r="AC49" s="758">
        <v>0.5</v>
      </c>
      <c r="AD49" s="559">
        <v>272</v>
      </c>
      <c r="AE49" s="758">
        <v>1</v>
      </c>
      <c r="AF49" s="559">
        <v>544</v>
      </c>
      <c r="AG49" s="758">
        <v>1</v>
      </c>
      <c r="AH49" s="559">
        <v>544</v>
      </c>
      <c r="AI49" s="758">
        <v>1</v>
      </c>
      <c r="AJ49" s="559">
        <v>544</v>
      </c>
      <c r="AK49" s="758">
        <v>1</v>
      </c>
      <c r="AL49" s="559">
        <v>544</v>
      </c>
      <c r="AM49" s="758">
        <v>1</v>
      </c>
      <c r="AN49" s="559">
        <v>544</v>
      </c>
      <c r="AO49" s="758">
        <v>1</v>
      </c>
      <c r="AP49" s="559">
        <v>544</v>
      </c>
      <c r="AQ49" s="758">
        <v>1</v>
      </c>
      <c r="AR49" s="559">
        <v>544</v>
      </c>
      <c r="AS49" s="758">
        <v>1</v>
      </c>
      <c r="AT49" s="559">
        <v>544</v>
      </c>
      <c r="AU49" s="758">
        <v>1</v>
      </c>
      <c r="AV49" s="559">
        <v>544</v>
      </c>
      <c r="AW49" s="758">
        <v>1</v>
      </c>
      <c r="AX49" s="559">
        <v>544</v>
      </c>
      <c r="AY49" s="1004">
        <v>1</v>
      </c>
      <c r="AZ49" s="1005">
        <v>544</v>
      </c>
      <c r="BA49" s="1006">
        <v>1</v>
      </c>
      <c r="BB49" s="1007">
        <v>544</v>
      </c>
      <c r="BC49" s="938"/>
      <c r="BD49" s="1001"/>
      <c r="BE49" s="752" t="s">
        <v>437</v>
      </c>
      <c r="BF49" s="1002"/>
      <c r="BG49" s="754"/>
      <c r="BH49" s="755">
        <v>8</v>
      </c>
      <c r="BI49" s="1003" t="s">
        <v>436</v>
      </c>
      <c r="BJ49" s="757">
        <v>1</v>
      </c>
      <c r="BK49" s="559">
        <v>544</v>
      </c>
      <c r="BL49" s="758">
        <v>1</v>
      </c>
      <c r="BM49" s="559">
        <v>544</v>
      </c>
      <c r="BN49" s="758">
        <v>1</v>
      </c>
      <c r="BO49" s="559">
        <v>544</v>
      </c>
      <c r="BP49" s="758">
        <v>1</v>
      </c>
      <c r="BQ49" s="559">
        <v>544</v>
      </c>
      <c r="BR49" s="758">
        <v>1</v>
      </c>
      <c r="BS49" s="559">
        <v>544</v>
      </c>
      <c r="BT49" s="758">
        <v>1</v>
      </c>
      <c r="BU49" s="559">
        <v>544</v>
      </c>
      <c r="BV49" s="758">
        <v>1</v>
      </c>
      <c r="BW49" s="559">
        <v>544</v>
      </c>
      <c r="BX49" s="758">
        <v>1</v>
      </c>
      <c r="BY49" s="559">
        <v>544</v>
      </c>
      <c r="BZ49" s="758">
        <v>1</v>
      </c>
      <c r="CA49" s="559">
        <v>544</v>
      </c>
      <c r="CB49" s="758">
        <v>1</v>
      </c>
      <c r="CC49" s="559">
        <v>544</v>
      </c>
      <c r="CD49" s="758">
        <v>1</v>
      </c>
      <c r="CE49" s="559">
        <v>544</v>
      </c>
      <c r="CF49" s="758">
        <v>0.5</v>
      </c>
      <c r="CG49" s="559">
        <v>272</v>
      </c>
      <c r="CH49" s="758">
        <v>1</v>
      </c>
      <c r="CI49" s="559">
        <v>544</v>
      </c>
      <c r="CJ49" s="758">
        <v>1</v>
      </c>
      <c r="CK49" s="559">
        <v>544</v>
      </c>
      <c r="CL49" s="758">
        <v>1</v>
      </c>
      <c r="CM49" s="559">
        <v>544</v>
      </c>
      <c r="CN49" s="758">
        <v>1</v>
      </c>
      <c r="CO49" s="559">
        <v>544</v>
      </c>
      <c r="CP49" s="758">
        <v>1</v>
      </c>
      <c r="CQ49" s="559">
        <v>544</v>
      </c>
      <c r="CR49" s="758">
        <v>1</v>
      </c>
      <c r="CS49" s="559">
        <v>544</v>
      </c>
      <c r="CT49" s="758">
        <v>1</v>
      </c>
      <c r="CU49" s="559">
        <v>544</v>
      </c>
      <c r="CV49" s="758">
        <v>1</v>
      </c>
      <c r="CW49" s="559">
        <v>544</v>
      </c>
      <c r="CX49" s="758">
        <v>1</v>
      </c>
      <c r="CY49" s="559">
        <v>544</v>
      </c>
      <c r="CZ49" s="758">
        <v>1</v>
      </c>
      <c r="DA49" s="559">
        <v>544</v>
      </c>
      <c r="DB49" s="1004">
        <v>1</v>
      </c>
      <c r="DC49" s="1005">
        <v>544</v>
      </c>
      <c r="DD49" s="1006">
        <v>1</v>
      </c>
      <c r="DE49" s="1007">
        <v>544</v>
      </c>
      <c r="DF49" s="938"/>
      <c r="DG49" s="1001"/>
      <c r="DH49" s="752" t="s">
        <v>435</v>
      </c>
      <c r="DI49" s="1002"/>
      <c r="DJ49" s="754"/>
      <c r="DK49" s="755">
        <v>8</v>
      </c>
      <c r="DL49" s="1003" t="s">
        <v>436</v>
      </c>
      <c r="DM49" s="757">
        <v>1</v>
      </c>
      <c r="DN49" s="559">
        <v>544</v>
      </c>
      <c r="DO49" s="758">
        <v>1</v>
      </c>
      <c r="DP49" s="559">
        <v>544</v>
      </c>
      <c r="DQ49" s="758">
        <v>1</v>
      </c>
      <c r="DR49" s="559">
        <v>544</v>
      </c>
      <c r="DS49" s="758">
        <v>1</v>
      </c>
      <c r="DT49" s="559">
        <v>544</v>
      </c>
      <c r="DU49" s="758">
        <v>1</v>
      </c>
      <c r="DV49" s="559">
        <v>544</v>
      </c>
      <c r="DW49" s="758">
        <v>1</v>
      </c>
      <c r="DX49" s="559">
        <v>544</v>
      </c>
      <c r="DY49" s="758">
        <v>1</v>
      </c>
      <c r="DZ49" s="559">
        <v>544</v>
      </c>
      <c r="EA49" s="758">
        <v>1</v>
      </c>
      <c r="EB49" s="559">
        <v>544</v>
      </c>
      <c r="EC49" s="758">
        <v>1</v>
      </c>
      <c r="ED49" s="559">
        <v>544</v>
      </c>
      <c r="EE49" s="758">
        <v>1</v>
      </c>
      <c r="EF49" s="559">
        <v>544</v>
      </c>
      <c r="EG49" s="758">
        <v>1</v>
      </c>
      <c r="EH49" s="559">
        <v>544</v>
      </c>
      <c r="EI49" s="758">
        <v>0.5</v>
      </c>
      <c r="EJ49" s="559">
        <v>272</v>
      </c>
      <c r="EK49" s="758">
        <v>1</v>
      </c>
      <c r="EL49" s="559">
        <v>544</v>
      </c>
      <c r="EM49" s="758">
        <v>1</v>
      </c>
      <c r="EN49" s="559">
        <v>544</v>
      </c>
      <c r="EO49" s="758">
        <v>1</v>
      </c>
      <c r="EP49" s="559">
        <v>544</v>
      </c>
      <c r="EQ49" s="758">
        <v>1</v>
      </c>
      <c r="ER49" s="559">
        <v>544</v>
      </c>
      <c r="ES49" s="758">
        <v>1</v>
      </c>
      <c r="ET49" s="559">
        <v>544</v>
      </c>
      <c r="EU49" s="758">
        <v>1</v>
      </c>
      <c r="EV49" s="559">
        <v>544</v>
      </c>
      <c r="EW49" s="758">
        <v>1</v>
      </c>
      <c r="EX49" s="559">
        <v>544</v>
      </c>
      <c r="EY49" s="758">
        <v>1</v>
      </c>
      <c r="EZ49" s="559">
        <v>544</v>
      </c>
      <c r="FA49" s="758">
        <v>1</v>
      </c>
      <c r="FB49" s="559">
        <v>544</v>
      </c>
      <c r="FC49" s="758">
        <v>1</v>
      </c>
      <c r="FD49" s="559">
        <v>544</v>
      </c>
      <c r="FE49" s="1004">
        <v>1</v>
      </c>
      <c r="FF49" s="1005">
        <v>544</v>
      </c>
      <c r="FG49" s="1006">
        <v>1</v>
      </c>
      <c r="FH49" s="1007">
        <v>544</v>
      </c>
      <c r="FI49" s="938"/>
      <c r="FJ49" s="1001"/>
      <c r="FK49" s="752" t="s">
        <v>437</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587</v>
      </c>
      <c r="GL49" s="580"/>
      <c r="GM49" s="413"/>
      <c r="GN49" s="580"/>
      <c r="GO49" s="413"/>
      <c r="GP49" s="413"/>
      <c r="GQ49" s="413"/>
      <c r="GR49" s="580"/>
      <c r="GS49" s="530"/>
      <c r="GT49" s="861"/>
      <c r="GU49" s="530" t="s">
        <v>562</v>
      </c>
      <c r="GV49" s="615"/>
      <c r="GW49" s="530"/>
      <c r="GX49" s="615"/>
      <c r="GY49" s="530"/>
      <c r="GZ49" s="391"/>
      <c r="HA49" s="580"/>
      <c r="HB49" s="391"/>
      <c r="HC49" s="1017"/>
      <c r="HD49" s="415"/>
    </row>
    <row r="50" spans="1:212" ht="20.100000000000001" customHeight="1">
      <c r="A50" s="1001"/>
      <c r="B50" s="764" t="s">
        <v>449</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446</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449</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446</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588</v>
      </c>
      <c r="GL50" s="580"/>
      <c r="GM50" s="413"/>
      <c r="GN50" s="580"/>
      <c r="GO50" s="413"/>
      <c r="GP50" s="413"/>
      <c r="GQ50" s="413"/>
      <c r="GR50" s="580"/>
      <c r="GS50" s="953"/>
      <c r="GT50" s="937"/>
      <c r="GU50" s="580" t="s">
        <v>564</v>
      </c>
      <c r="GV50" s="580"/>
      <c r="GW50" s="580"/>
      <c r="GX50" s="580"/>
      <c r="GY50" s="615"/>
      <c r="GZ50" s="579"/>
      <c r="HA50" s="615">
        <v>0</v>
      </c>
      <c r="HB50" s="579" t="s">
        <v>319</v>
      </c>
      <c r="HC50" s="1038"/>
      <c r="HD50" s="415"/>
    </row>
    <row r="51" spans="1:212" ht="20.100000000000001" customHeight="1" thickBot="1">
      <c r="A51" s="1039"/>
      <c r="B51" s="466" t="s">
        <v>679</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679</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506</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679</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450</v>
      </c>
      <c r="GM51" s="1047" t="s">
        <v>590</v>
      </c>
      <c r="GN51" s="1048" t="s">
        <v>343</v>
      </c>
      <c r="GO51" s="1049" t="s">
        <v>788</v>
      </c>
      <c r="GP51" s="1049" t="s">
        <v>592</v>
      </c>
      <c r="GQ51" s="1050" t="s">
        <v>789</v>
      </c>
      <c r="GR51" s="733"/>
      <c r="GS51" s="953"/>
      <c r="GT51" s="763"/>
      <c r="GU51" s="580"/>
      <c r="GV51" s="580"/>
      <c r="GW51" s="580"/>
      <c r="GX51" s="580"/>
      <c r="GY51" s="413"/>
      <c r="GZ51" s="1051"/>
      <c r="HA51" s="615">
        <v>0</v>
      </c>
      <c r="HB51" s="579" t="s">
        <v>319</v>
      </c>
      <c r="HC51" s="1052"/>
      <c r="HD51" s="415"/>
    </row>
    <row r="52" spans="1:212" ht="20.100000000000001" customHeight="1" thickBot="1">
      <c r="A52" s="1053" t="s">
        <v>508</v>
      </c>
      <c r="B52" s="1054"/>
      <c r="C52" s="1055"/>
      <c r="D52" s="1055"/>
      <c r="E52" s="1056"/>
      <c r="F52" s="1055"/>
      <c r="G52" s="1057"/>
      <c r="H52" s="1058">
        <v>544</v>
      </c>
      <c r="I52" s="1059"/>
      <c r="J52" s="1058">
        <v>544</v>
      </c>
      <c r="K52" s="1059"/>
      <c r="L52" s="1058">
        <v>544</v>
      </c>
      <c r="M52" s="1059"/>
      <c r="N52" s="1058">
        <v>544</v>
      </c>
      <c r="O52" s="1059"/>
      <c r="P52" s="1058">
        <v>544</v>
      </c>
      <c r="Q52" s="1059"/>
      <c r="R52" s="1058">
        <v>544</v>
      </c>
      <c r="S52" s="1059"/>
      <c r="T52" s="1058">
        <v>544</v>
      </c>
      <c r="U52" s="1059"/>
      <c r="V52" s="1058">
        <v>544</v>
      </c>
      <c r="W52" s="1059"/>
      <c r="X52" s="1058">
        <v>544</v>
      </c>
      <c r="Y52" s="1059"/>
      <c r="Z52" s="1058">
        <v>544</v>
      </c>
      <c r="AA52" s="1059"/>
      <c r="AB52" s="1058">
        <v>544</v>
      </c>
      <c r="AC52" s="1059"/>
      <c r="AD52" s="1058">
        <v>272</v>
      </c>
      <c r="AE52" s="1059"/>
      <c r="AF52" s="1058">
        <v>544</v>
      </c>
      <c r="AG52" s="1059"/>
      <c r="AH52" s="1058">
        <v>544</v>
      </c>
      <c r="AI52" s="1059"/>
      <c r="AJ52" s="1058">
        <v>544</v>
      </c>
      <c r="AK52" s="1059"/>
      <c r="AL52" s="1058">
        <v>544</v>
      </c>
      <c r="AM52" s="1059"/>
      <c r="AN52" s="1058">
        <v>544</v>
      </c>
      <c r="AO52" s="1059"/>
      <c r="AP52" s="1058">
        <v>544</v>
      </c>
      <c r="AQ52" s="1059"/>
      <c r="AR52" s="1058">
        <v>544</v>
      </c>
      <c r="AS52" s="1059"/>
      <c r="AT52" s="1058">
        <v>544</v>
      </c>
      <c r="AU52" s="1059"/>
      <c r="AV52" s="1058">
        <v>544</v>
      </c>
      <c r="AW52" s="1059"/>
      <c r="AX52" s="1058">
        <v>544</v>
      </c>
      <c r="AY52" s="1060"/>
      <c r="AZ52" s="1061">
        <v>544</v>
      </c>
      <c r="BA52" s="1062"/>
      <c r="BB52" s="1063">
        <v>544</v>
      </c>
      <c r="BC52" s="981"/>
      <c r="BD52" s="1053" t="s">
        <v>680</v>
      </c>
      <c r="BE52" s="1054"/>
      <c r="BF52" s="1055"/>
      <c r="BG52" s="1055"/>
      <c r="BH52" s="1056"/>
      <c r="BI52" s="1055"/>
      <c r="BJ52" s="1057"/>
      <c r="BK52" s="1058">
        <v>544</v>
      </c>
      <c r="BL52" s="1059"/>
      <c r="BM52" s="1058">
        <v>544</v>
      </c>
      <c r="BN52" s="1059"/>
      <c r="BO52" s="1058">
        <v>544</v>
      </c>
      <c r="BP52" s="1059"/>
      <c r="BQ52" s="1058">
        <v>544</v>
      </c>
      <c r="BR52" s="1059"/>
      <c r="BS52" s="1058">
        <v>544</v>
      </c>
      <c r="BT52" s="1059"/>
      <c r="BU52" s="1058">
        <v>544</v>
      </c>
      <c r="BV52" s="1059"/>
      <c r="BW52" s="1058">
        <v>544</v>
      </c>
      <c r="BX52" s="1059"/>
      <c r="BY52" s="1058">
        <v>544</v>
      </c>
      <c r="BZ52" s="1059"/>
      <c r="CA52" s="1058">
        <v>544</v>
      </c>
      <c r="CB52" s="1059"/>
      <c r="CC52" s="1058">
        <v>544</v>
      </c>
      <c r="CD52" s="1059"/>
      <c r="CE52" s="1058">
        <v>544</v>
      </c>
      <c r="CF52" s="1059"/>
      <c r="CG52" s="1058">
        <v>272</v>
      </c>
      <c r="CH52" s="1059"/>
      <c r="CI52" s="1058">
        <v>544</v>
      </c>
      <c r="CJ52" s="1059"/>
      <c r="CK52" s="1058">
        <v>544</v>
      </c>
      <c r="CL52" s="1059"/>
      <c r="CM52" s="1058">
        <v>544</v>
      </c>
      <c r="CN52" s="1059"/>
      <c r="CO52" s="1058">
        <v>544</v>
      </c>
      <c r="CP52" s="1059"/>
      <c r="CQ52" s="1058">
        <v>544</v>
      </c>
      <c r="CR52" s="1059"/>
      <c r="CS52" s="1058">
        <v>544</v>
      </c>
      <c r="CT52" s="1059"/>
      <c r="CU52" s="1058">
        <v>544</v>
      </c>
      <c r="CV52" s="1059"/>
      <c r="CW52" s="1058">
        <v>544</v>
      </c>
      <c r="CX52" s="1059"/>
      <c r="CY52" s="1058">
        <v>544</v>
      </c>
      <c r="CZ52" s="1059"/>
      <c r="DA52" s="1058">
        <v>544</v>
      </c>
      <c r="DB52" s="1060"/>
      <c r="DC52" s="1061">
        <v>544</v>
      </c>
      <c r="DD52" s="1062"/>
      <c r="DE52" s="1063">
        <v>544</v>
      </c>
      <c r="DF52" s="981"/>
      <c r="DG52" s="1053" t="s">
        <v>508</v>
      </c>
      <c r="DH52" s="1054"/>
      <c r="DI52" s="1055"/>
      <c r="DJ52" s="1055"/>
      <c r="DK52" s="1056"/>
      <c r="DL52" s="1055"/>
      <c r="DM52" s="1057"/>
      <c r="DN52" s="1058">
        <v>544</v>
      </c>
      <c r="DO52" s="1059"/>
      <c r="DP52" s="1058">
        <v>544</v>
      </c>
      <c r="DQ52" s="1059"/>
      <c r="DR52" s="1058">
        <v>544</v>
      </c>
      <c r="DS52" s="1059"/>
      <c r="DT52" s="1058">
        <v>544</v>
      </c>
      <c r="DU52" s="1059"/>
      <c r="DV52" s="1058">
        <v>544</v>
      </c>
      <c r="DW52" s="1059"/>
      <c r="DX52" s="1058">
        <v>544</v>
      </c>
      <c r="DY52" s="1059"/>
      <c r="DZ52" s="1058">
        <v>544</v>
      </c>
      <c r="EA52" s="1059"/>
      <c r="EB52" s="1058">
        <v>544</v>
      </c>
      <c r="EC52" s="1059"/>
      <c r="ED52" s="1058">
        <v>544</v>
      </c>
      <c r="EE52" s="1059"/>
      <c r="EF52" s="1058">
        <v>544</v>
      </c>
      <c r="EG52" s="1059"/>
      <c r="EH52" s="1058">
        <v>544</v>
      </c>
      <c r="EI52" s="1059"/>
      <c r="EJ52" s="1058">
        <v>272</v>
      </c>
      <c r="EK52" s="1059"/>
      <c r="EL52" s="1058">
        <v>544</v>
      </c>
      <c r="EM52" s="1059"/>
      <c r="EN52" s="1058">
        <v>544</v>
      </c>
      <c r="EO52" s="1059"/>
      <c r="EP52" s="1058">
        <v>544</v>
      </c>
      <c r="EQ52" s="1059"/>
      <c r="ER52" s="1058">
        <v>544</v>
      </c>
      <c r="ES52" s="1059"/>
      <c r="ET52" s="1058">
        <v>544</v>
      </c>
      <c r="EU52" s="1059"/>
      <c r="EV52" s="1058">
        <v>544</v>
      </c>
      <c r="EW52" s="1059"/>
      <c r="EX52" s="1058">
        <v>544</v>
      </c>
      <c r="EY52" s="1059"/>
      <c r="EZ52" s="1058">
        <v>544</v>
      </c>
      <c r="FA52" s="1059"/>
      <c r="FB52" s="1058">
        <v>544</v>
      </c>
      <c r="FC52" s="1059"/>
      <c r="FD52" s="1058">
        <v>544</v>
      </c>
      <c r="FE52" s="1060"/>
      <c r="FF52" s="1061">
        <v>544</v>
      </c>
      <c r="FG52" s="1062"/>
      <c r="FH52" s="1063">
        <v>544</v>
      </c>
      <c r="FI52" s="981"/>
      <c r="FJ52" s="1053" t="s">
        <v>508</v>
      </c>
      <c r="FK52" s="1054"/>
      <c r="FL52" s="1055"/>
      <c r="FM52" s="1055"/>
      <c r="FN52" s="1056"/>
      <c r="FO52" s="1055"/>
      <c r="FP52" s="1064"/>
      <c r="FQ52" s="1065"/>
      <c r="FR52" s="1058">
        <v>0</v>
      </c>
      <c r="FS52" s="1066"/>
      <c r="FT52" s="1065"/>
      <c r="FU52" s="1067">
        <v>0</v>
      </c>
      <c r="FV52" s="1068">
        <v>14</v>
      </c>
      <c r="FW52" s="1069">
        <v>544</v>
      </c>
      <c r="FX52" s="1070">
        <v>14</v>
      </c>
      <c r="FY52" s="1069">
        <v>544</v>
      </c>
      <c r="FZ52" s="1070">
        <v>14</v>
      </c>
      <c r="GA52" s="1069">
        <v>544</v>
      </c>
      <c r="GB52" s="1071" t="s">
        <v>366</v>
      </c>
      <c r="GC52" s="1072">
        <v>544</v>
      </c>
      <c r="GD52" s="1071" t="s">
        <v>368</v>
      </c>
      <c r="GE52" s="1073">
        <v>0</v>
      </c>
      <c r="GF52" s="688"/>
      <c r="GG52" s="990"/>
      <c r="GH52" s="990"/>
      <c r="GI52" s="990"/>
      <c r="GJ52" s="936"/>
      <c r="GK52" s="733"/>
      <c r="GL52" s="1074"/>
      <c r="GM52" s="1075"/>
      <c r="GN52" s="1075"/>
      <c r="GO52" s="1076"/>
      <c r="GP52" s="1076"/>
      <c r="GQ52" s="1077"/>
      <c r="GR52" s="953"/>
      <c r="GS52" s="893"/>
      <c r="GT52" s="861"/>
      <c r="GU52" s="530" t="s">
        <v>790</v>
      </c>
      <c r="GV52" s="733"/>
      <c r="GW52" s="936"/>
      <c r="GX52" s="733"/>
      <c r="GY52" s="413"/>
      <c r="GZ52" s="1078"/>
      <c r="HA52" s="953"/>
      <c r="HB52" s="1078"/>
      <c r="HC52" s="562"/>
      <c r="HD52" s="415"/>
    </row>
    <row r="53" spans="1:212" ht="20.100000000000001" customHeight="1" thickTop="1">
      <c r="A53" s="1079" t="s">
        <v>344</v>
      </c>
      <c r="B53" s="1080"/>
      <c r="C53" s="1081"/>
      <c r="D53" s="1081"/>
      <c r="E53" s="1082"/>
      <c r="F53" s="1083"/>
      <c r="G53" s="1084"/>
      <c r="H53" s="1085">
        <v>4109</v>
      </c>
      <c r="I53" s="1086"/>
      <c r="J53" s="1085">
        <v>4026</v>
      </c>
      <c r="K53" s="1086"/>
      <c r="L53" s="1085">
        <v>3999</v>
      </c>
      <c r="M53" s="1086"/>
      <c r="N53" s="1085">
        <v>3948</v>
      </c>
      <c r="O53" s="1086"/>
      <c r="P53" s="1085">
        <v>3946</v>
      </c>
      <c r="Q53" s="1086"/>
      <c r="R53" s="1085">
        <v>4070</v>
      </c>
      <c r="S53" s="1086"/>
      <c r="T53" s="1085">
        <v>4307</v>
      </c>
      <c r="U53" s="1086"/>
      <c r="V53" s="1085">
        <v>4579</v>
      </c>
      <c r="W53" s="1086"/>
      <c r="X53" s="1085">
        <v>5840</v>
      </c>
      <c r="Y53" s="1086"/>
      <c r="Z53" s="1085">
        <v>5775</v>
      </c>
      <c r="AA53" s="1086"/>
      <c r="AB53" s="1085">
        <v>6063</v>
      </c>
      <c r="AC53" s="1086"/>
      <c r="AD53" s="1085">
        <v>5854</v>
      </c>
      <c r="AE53" s="1086"/>
      <c r="AF53" s="1085">
        <v>6682</v>
      </c>
      <c r="AG53" s="1086"/>
      <c r="AH53" s="1085">
        <v>6773</v>
      </c>
      <c r="AI53" s="1086"/>
      <c r="AJ53" s="1085">
        <v>6648</v>
      </c>
      <c r="AK53" s="1086"/>
      <c r="AL53" s="1085">
        <v>6423</v>
      </c>
      <c r="AM53" s="1086"/>
      <c r="AN53" s="1085">
        <v>6059</v>
      </c>
      <c r="AO53" s="1086"/>
      <c r="AP53" s="1085">
        <v>5670</v>
      </c>
      <c r="AQ53" s="1086"/>
      <c r="AR53" s="1085">
        <v>4743</v>
      </c>
      <c r="AS53" s="1086"/>
      <c r="AT53" s="1085">
        <v>4528</v>
      </c>
      <c r="AU53" s="1086"/>
      <c r="AV53" s="1085">
        <v>4383</v>
      </c>
      <c r="AW53" s="1086"/>
      <c r="AX53" s="1085">
        <v>4300</v>
      </c>
      <c r="AY53" s="1087"/>
      <c r="AZ53" s="1088">
        <v>4211</v>
      </c>
      <c r="BA53" s="1089"/>
      <c r="BB53" s="1090">
        <v>4147</v>
      </c>
      <c r="BC53" s="981"/>
      <c r="BD53" s="1079" t="s">
        <v>344</v>
      </c>
      <c r="BE53" s="1080"/>
      <c r="BF53" s="1081"/>
      <c r="BG53" s="1081"/>
      <c r="BH53" s="1082"/>
      <c r="BI53" s="1083"/>
      <c r="BJ53" s="1084"/>
      <c r="BK53" s="1085">
        <v>3992</v>
      </c>
      <c r="BL53" s="1086"/>
      <c r="BM53" s="1085">
        <v>3928</v>
      </c>
      <c r="BN53" s="1086"/>
      <c r="BO53" s="1085">
        <v>3899</v>
      </c>
      <c r="BP53" s="1086"/>
      <c r="BQ53" s="1085">
        <v>3850</v>
      </c>
      <c r="BR53" s="1086"/>
      <c r="BS53" s="1085">
        <v>3854</v>
      </c>
      <c r="BT53" s="1086"/>
      <c r="BU53" s="1085">
        <v>3985</v>
      </c>
      <c r="BV53" s="1086"/>
      <c r="BW53" s="1085">
        <v>4213</v>
      </c>
      <c r="BX53" s="1086"/>
      <c r="BY53" s="1085">
        <v>4499</v>
      </c>
      <c r="BZ53" s="1086"/>
      <c r="CA53" s="1085">
        <v>5735</v>
      </c>
      <c r="CB53" s="1086"/>
      <c r="CC53" s="1085">
        <v>5611</v>
      </c>
      <c r="CD53" s="1086"/>
      <c r="CE53" s="1085">
        <v>5966</v>
      </c>
      <c r="CF53" s="1086"/>
      <c r="CG53" s="1085">
        <v>5876</v>
      </c>
      <c r="CH53" s="1086"/>
      <c r="CI53" s="1085">
        <v>6802</v>
      </c>
      <c r="CJ53" s="1086"/>
      <c r="CK53" s="1085">
        <v>6945</v>
      </c>
      <c r="CL53" s="1086"/>
      <c r="CM53" s="1085">
        <v>6932</v>
      </c>
      <c r="CN53" s="1086"/>
      <c r="CO53" s="1085">
        <v>6735</v>
      </c>
      <c r="CP53" s="1086"/>
      <c r="CQ53" s="1085">
        <v>6404</v>
      </c>
      <c r="CR53" s="1086"/>
      <c r="CS53" s="1085">
        <v>5935</v>
      </c>
      <c r="CT53" s="1086"/>
      <c r="CU53" s="1085">
        <v>4934</v>
      </c>
      <c r="CV53" s="1086"/>
      <c r="CW53" s="1085">
        <v>4605</v>
      </c>
      <c r="CX53" s="1086"/>
      <c r="CY53" s="1085">
        <v>4390</v>
      </c>
      <c r="CZ53" s="1086"/>
      <c r="DA53" s="1085">
        <v>4234</v>
      </c>
      <c r="DB53" s="1087"/>
      <c r="DC53" s="1088">
        <v>4150</v>
      </c>
      <c r="DD53" s="1089"/>
      <c r="DE53" s="1090">
        <v>4063</v>
      </c>
      <c r="DF53" s="981"/>
      <c r="DG53" s="1079" t="s">
        <v>681</v>
      </c>
      <c r="DH53" s="1080"/>
      <c r="DI53" s="1081"/>
      <c r="DJ53" s="1081"/>
      <c r="DK53" s="1082"/>
      <c r="DL53" s="1083"/>
      <c r="DM53" s="1084"/>
      <c r="DN53" s="1085">
        <v>3707</v>
      </c>
      <c r="DO53" s="1086"/>
      <c r="DP53" s="1085">
        <v>3679</v>
      </c>
      <c r="DQ53" s="1086"/>
      <c r="DR53" s="1085">
        <v>3654</v>
      </c>
      <c r="DS53" s="1086"/>
      <c r="DT53" s="1085">
        <v>3644</v>
      </c>
      <c r="DU53" s="1086"/>
      <c r="DV53" s="1085">
        <v>3644</v>
      </c>
      <c r="DW53" s="1086"/>
      <c r="DX53" s="1085">
        <v>3710</v>
      </c>
      <c r="DY53" s="1086"/>
      <c r="DZ53" s="1085">
        <v>3808</v>
      </c>
      <c r="EA53" s="1086"/>
      <c r="EB53" s="1085">
        <v>4065</v>
      </c>
      <c r="EC53" s="1086"/>
      <c r="ED53" s="1085">
        <v>5301</v>
      </c>
      <c r="EE53" s="1086"/>
      <c r="EF53" s="1085">
        <v>5493</v>
      </c>
      <c r="EG53" s="1086"/>
      <c r="EH53" s="1085">
        <v>6264</v>
      </c>
      <c r="EI53" s="1086"/>
      <c r="EJ53" s="1085">
        <v>6265</v>
      </c>
      <c r="EK53" s="1086"/>
      <c r="EL53" s="1085">
        <v>7103</v>
      </c>
      <c r="EM53" s="1086"/>
      <c r="EN53" s="1085">
        <v>7168</v>
      </c>
      <c r="EO53" s="1086"/>
      <c r="EP53" s="1085">
        <v>7024</v>
      </c>
      <c r="EQ53" s="1086"/>
      <c r="ER53" s="1085">
        <v>6637</v>
      </c>
      <c r="ES53" s="1086"/>
      <c r="ET53" s="1085">
        <v>6029</v>
      </c>
      <c r="EU53" s="1086"/>
      <c r="EV53" s="1085">
        <v>5351</v>
      </c>
      <c r="EW53" s="1086"/>
      <c r="EX53" s="1085">
        <v>4433</v>
      </c>
      <c r="EY53" s="1086"/>
      <c r="EZ53" s="1085">
        <v>4185</v>
      </c>
      <c r="FA53" s="1086"/>
      <c r="FB53" s="1085">
        <v>4024</v>
      </c>
      <c r="FC53" s="1086"/>
      <c r="FD53" s="1085">
        <v>3909</v>
      </c>
      <c r="FE53" s="1087"/>
      <c r="FF53" s="1088">
        <v>3849</v>
      </c>
      <c r="FG53" s="1089"/>
      <c r="FH53" s="1090">
        <v>3772</v>
      </c>
      <c r="FI53" s="981"/>
      <c r="FJ53" s="1079" t="s">
        <v>344</v>
      </c>
      <c r="FK53" s="1080"/>
      <c r="FL53" s="1081"/>
      <c r="FM53" s="1081"/>
      <c r="FN53" s="1082"/>
      <c r="FO53" s="1083"/>
      <c r="FP53" s="1091"/>
      <c r="FQ53" s="1092"/>
      <c r="FR53" s="1085">
        <v>4908</v>
      </c>
      <c r="FS53" s="1093"/>
      <c r="FT53" s="1092"/>
      <c r="FU53" s="1094">
        <v>4582</v>
      </c>
      <c r="FV53" s="1095">
        <v>14</v>
      </c>
      <c r="FW53" s="1096">
        <v>6773</v>
      </c>
      <c r="FX53" s="1097">
        <v>14</v>
      </c>
      <c r="FY53" s="1096">
        <v>6945</v>
      </c>
      <c r="FZ53" s="1097">
        <v>14</v>
      </c>
      <c r="GA53" s="1096">
        <v>7168</v>
      </c>
      <c r="GB53" s="1098" t="s">
        <v>366</v>
      </c>
      <c r="GC53" s="1096">
        <v>6773</v>
      </c>
      <c r="GD53" s="1098" t="s">
        <v>368</v>
      </c>
      <c r="GE53" s="1099">
        <v>4908</v>
      </c>
      <c r="GF53" s="688"/>
      <c r="GG53" s="990"/>
      <c r="GH53" s="990"/>
      <c r="GI53" s="990"/>
      <c r="GJ53" s="953"/>
      <c r="GK53" s="413"/>
      <c r="GL53" s="1100">
        <v>10</v>
      </c>
      <c r="GM53" s="1101">
        <v>1</v>
      </c>
      <c r="GN53" s="1102">
        <v>0.92</v>
      </c>
      <c r="GO53" s="1103">
        <v>0</v>
      </c>
      <c r="GP53" s="1103">
        <v>8</v>
      </c>
      <c r="GQ53" s="1104">
        <v>8</v>
      </c>
      <c r="GR53" s="580"/>
      <c r="GS53" s="483"/>
      <c r="GT53" s="861"/>
      <c r="GU53" s="580" t="s">
        <v>791</v>
      </c>
      <c r="GV53" s="580"/>
      <c r="GW53" s="580"/>
      <c r="GX53" s="580"/>
      <c r="GY53" s="413"/>
      <c r="GZ53" s="409"/>
      <c r="HA53" s="615">
        <v>2.8</v>
      </c>
      <c r="HB53" s="579" t="s">
        <v>319</v>
      </c>
      <c r="HC53" s="799"/>
      <c r="HD53" s="415"/>
    </row>
    <row r="54" spans="1:212" ht="20.100000000000001" customHeight="1">
      <c r="A54" s="1105" t="s">
        <v>345</v>
      </c>
      <c r="B54" s="1106"/>
      <c r="C54" s="1107"/>
      <c r="D54" s="1108"/>
      <c r="E54" s="1109"/>
      <c r="F54" s="1110"/>
      <c r="G54" s="1111"/>
      <c r="H54" s="1112">
        <v>55.7</v>
      </c>
      <c r="I54" s="1113"/>
      <c r="J54" s="1112">
        <v>54.6</v>
      </c>
      <c r="K54" s="1113"/>
      <c r="L54" s="1112">
        <v>54.2</v>
      </c>
      <c r="M54" s="1113"/>
      <c r="N54" s="1112">
        <v>53.5</v>
      </c>
      <c r="O54" s="1113"/>
      <c r="P54" s="1112">
        <v>53.5</v>
      </c>
      <c r="Q54" s="1113"/>
      <c r="R54" s="1112">
        <v>55.1</v>
      </c>
      <c r="S54" s="1113"/>
      <c r="T54" s="1112">
        <v>58.4</v>
      </c>
      <c r="U54" s="1113"/>
      <c r="V54" s="1112">
        <v>62</v>
      </c>
      <c r="W54" s="1113"/>
      <c r="X54" s="1112">
        <v>79.099999999999994</v>
      </c>
      <c r="Y54" s="1113"/>
      <c r="Z54" s="1112">
        <v>78.3</v>
      </c>
      <c r="AA54" s="1113"/>
      <c r="AB54" s="1112">
        <v>82.2</v>
      </c>
      <c r="AC54" s="1113"/>
      <c r="AD54" s="1112">
        <v>79.3</v>
      </c>
      <c r="AE54" s="1113"/>
      <c r="AF54" s="1112">
        <v>90.5</v>
      </c>
      <c r="AG54" s="1113"/>
      <c r="AH54" s="1112">
        <v>91.8</v>
      </c>
      <c r="AI54" s="1113"/>
      <c r="AJ54" s="1112">
        <v>90.1</v>
      </c>
      <c r="AK54" s="1113"/>
      <c r="AL54" s="1112">
        <v>87</v>
      </c>
      <c r="AM54" s="1113"/>
      <c r="AN54" s="1112">
        <v>82.1</v>
      </c>
      <c r="AO54" s="1113"/>
      <c r="AP54" s="1112">
        <v>76.8</v>
      </c>
      <c r="AQ54" s="1113"/>
      <c r="AR54" s="1112">
        <v>64.3</v>
      </c>
      <c r="AS54" s="1113"/>
      <c r="AT54" s="1112">
        <v>61.4</v>
      </c>
      <c r="AU54" s="1113"/>
      <c r="AV54" s="1112">
        <v>59.4</v>
      </c>
      <c r="AW54" s="1113"/>
      <c r="AX54" s="1112">
        <v>58.3</v>
      </c>
      <c r="AY54" s="1113"/>
      <c r="AZ54" s="1112">
        <v>57.1</v>
      </c>
      <c r="BA54" s="1113"/>
      <c r="BB54" s="1114">
        <v>56.2</v>
      </c>
      <c r="BC54" s="1017"/>
      <c r="BD54" s="1105" t="s">
        <v>682</v>
      </c>
      <c r="BE54" s="1106"/>
      <c r="BF54" s="1107"/>
      <c r="BG54" s="1108"/>
      <c r="BH54" s="1109"/>
      <c r="BI54" s="1110"/>
      <c r="BJ54" s="1111"/>
      <c r="BK54" s="1112">
        <v>54.1</v>
      </c>
      <c r="BL54" s="1113"/>
      <c r="BM54" s="1112">
        <v>53.2</v>
      </c>
      <c r="BN54" s="1113"/>
      <c r="BO54" s="1112">
        <v>52.8</v>
      </c>
      <c r="BP54" s="1113"/>
      <c r="BQ54" s="1112">
        <v>52.2</v>
      </c>
      <c r="BR54" s="1113"/>
      <c r="BS54" s="1112">
        <v>52.2</v>
      </c>
      <c r="BT54" s="1113"/>
      <c r="BU54" s="1112">
        <v>54</v>
      </c>
      <c r="BV54" s="1113"/>
      <c r="BW54" s="1112">
        <v>57.1</v>
      </c>
      <c r="BX54" s="1113"/>
      <c r="BY54" s="1112">
        <v>61</v>
      </c>
      <c r="BZ54" s="1113"/>
      <c r="CA54" s="1112">
        <v>77.7</v>
      </c>
      <c r="CB54" s="1113"/>
      <c r="CC54" s="1112">
        <v>76</v>
      </c>
      <c r="CD54" s="1113"/>
      <c r="CE54" s="1112">
        <v>80.8</v>
      </c>
      <c r="CF54" s="1113"/>
      <c r="CG54" s="1112">
        <v>79.599999999999994</v>
      </c>
      <c r="CH54" s="1113"/>
      <c r="CI54" s="1112">
        <v>92.2</v>
      </c>
      <c r="CJ54" s="1113"/>
      <c r="CK54" s="1112">
        <v>94.1</v>
      </c>
      <c r="CL54" s="1113"/>
      <c r="CM54" s="1112">
        <v>93.9</v>
      </c>
      <c r="CN54" s="1113"/>
      <c r="CO54" s="1112">
        <v>91.3</v>
      </c>
      <c r="CP54" s="1113"/>
      <c r="CQ54" s="1112">
        <v>86.8</v>
      </c>
      <c r="CR54" s="1113"/>
      <c r="CS54" s="1112">
        <v>80.400000000000006</v>
      </c>
      <c r="CT54" s="1113"/>
      <c r="CU54" s="1112">
        <v>66.900000000000006</v>
      </c>
      <c r="CV54" s="1113"/>
      <c r="CW54" s="1112">
        <v>62.4</v>
      </c>
      <c r="CX54" s="1113"/>
      <c r="CY54" s="1112">
        <v>59.5</v>
      </c>
      <c r="CZ54" s="1113"/>
      <c r="DA54" s="1112">
        <v>57.4</v>
      </c>
      <c r="DB54" s="1113"/>
      <c r="DC54" s="1112">
        <v>56.2</v>
      </c>
      <c r="DD54" s="1113"/>
      <c r="DE54" s="1114">
        <v>55.1</v>
      </c>
      <c r="DF54" s="1017"/>
      <c r="DG54" s="1105" t="s">
        <v>682</v>
      </c>
      <c r="DH54" s="1106"/>
      <c r="DI54" s="1107"/>
      <c r="DJ54" s="1108"/>
      <c r="DK54" s="1109"/>
      <c r="DL54" s="1110"/>
      <c r="DM54" s="1111"/>
      <c r="DN54" s="1112">
        <v>50.2</v>
      </c>
      <c r="DO54" s="1113"/>
      <c r="DP54" s="1112">
        <v>49.9</v>
      </c>
      <c r="DQ54" s="1113"/>
      <c r="DR54" s="1112">
        <v>49.5</v>
      </c>
      <c r="DS54" s="1113"/>
      <c r="DT54" s="1112">
        <v>49.4</v>
      </c>
      <c r="DU54" s="1113"/>
      <c r="DV54" s="1112">
        <v>49.4</v>
      </c>
      <c r="DW54" s="1113"/>
      <c r="DX54" s="1112">
        <v>50.3</v>
      </c>
      <c r="DY54" s="1113"/>
      <c r="DZ54" s="1112">
        <v>51.6</v>
      </c>
      <c r="EA54" s="1113"/>
      <c r="EB54" s="1112">
        <v>55.1</v>
      </c>
      <c r="EC54" s="1113"/>
      <c r="ED54" s="1112">
        <v>71.8</v>
      </c>
      <c r="EE54" s="1113"/>
      <c r="EF54" s="1112">
        <v>74.400000000000006</v>
      </c>
      <c r="EG54" s="1113"/>
      <c r="EH54" s="1112">
        <v>84.9</v>
      </c>
      <c r="EI54" s="1113"/>
      <c r="EJ54" s="1112">
        <v>84.9</v>
      </c>
      <c r="EK54" s="1113"/>
      <c r="EL54" s="1112">
        <v>96.2</v>
      </c>
      <c r="EM54" s="1113"/>
      <c r="EN54" s="1112">
        <v>97.1</v>
      </c>
      <c r="EO54" s="1113"/>
      <c r="EP54" s="1112">
        <v>95.2</v>
      </c>
      <c r="EQ54" s="1113"/>
      <c r="ER54" s="1112">
        <v>89.9</v>
      </c>
      <c r="ES54" s="1113"/>
      <c r="ET54" s="1112">
        <v>81.7</v>
      </c>
      <c r="EU54" s="1113"/>
      <c r="EV54" s="1112">
        <v>72.5</v>
      </c>
      <c r="EW54" s="1113"/>
      <c r="EX54" s="1112">
        <v>60.1</v>
      </c>
      <c r="EY54" s="1113"/>
      <c r="EZ54" s="1112">
        <v>56.7</v>
      </c>
      <c r="FA54" s="1113"/>
      <c r="FB54" s="1112">
        <v>54.5</v>
      </c>
      <c r="FC54" s="1113"/>
      <c r="FD54" s="1112">
        <v>53</v>
      </c>
      <c r="FE54" s="1113"/>
      <c r="FF54" s="1112">
        <v>52.2</v>
      </c>
      <c r="FG54" s="1113"/>
      <c r="FH54" s="1114">
        <v>51.1</v>
      </c>
      <c r="FI54" s="1017"/>
      <c r="FJ54" s="1105" t="s">
        <v>682</v>
      </c>
      <c r="FK54" s="1106"/>
      <c r="FL54" s="1107"/>
      <c r="FM54" s="1108"/>
      <c r="FN54" s="1109"/>
      <c r="FO54" s="1110"/>
      <c r="FP54" s="1115"/>
      <c r="FQ54" s="1113"/>
      <c r="FR54" s="1112">
        <v>66.5</v>
      </c>
      <c r="FS54" s="1116"/>
      <c r="FT54" s="1113"/>
      <c r="FU54" s="1117">
        <v>62.1</v>
      </c>
      <c r="FV54" s="1116"/>
      <c r="FW54" s="1112">
        <f>IF(面積=0,0,ROUND(FW53/面積,1))</f>
        <v>91.8</v>
      </c>
      <c r="FX54" s="1116"/>
      <c r="FY54" s="1112">
        <f>IF(面積=0,0,ROUND(FY53/面積,1))</f>
        <v>94.1</v>
      </c>
      <c r="FZ54" s="1116"/>
      <c r="GA54" s="1112">
        <f>IF(面積=0,0,ROUND(GA53/面積,1))</f>
        <v>97.1</v>
      </c>
      <c r="GB54" s="1116"/>
      <c r="GC54" s="1112">
        <f>IF(面積=0,0,ROUND(GC53/面積,1))</f>
        <v>91.8</v>
      </c>
      <c r="GD54" s="1116"/>
      <c r="GE54" s="1114">
        <f>IF(面積=0,0,ROUND(GE53/面積,1))</f>
        <v>66.5</v>
      </c>
      <c r="GF54" s="688"/>
      <c r="GG54" s="937"/>
      <c r="GH54" s="937"/>
      <c r="GI54" s="937"/>
      <c r="GJ54" s="580"/>
      <c r="GK54" s="579"/>
      <c r="GL54" s="1100">
        <v>11</v>
      </c>
      <c r="GM54" s="1101">
        <v>2</v>
      </c>
      <c r="GN54" s="1102">
        <v>0.85</v>
      </c>
      <c r="GO54" s="1103">
        <v>0</v>
      </c>
      <c r="GP54" s="1103">
        <v>8</v>
      </c>
      <c r="GQ54" s="1104">
        <v>8</v>
      </c>
      <c r="GR54" s="530"/>
      <c r="GS54" s="580"/>
      <c r="GT54" s="861"/>
      <c r="GU54" s="1118" t="s">
        <v>728</v>
      </c>
      <c r="GV54" s="1118"/>
      <c r="GW54" s="1118"/>
      <c r="GX54" s="1118"/>
      <c r="GY54" s="775"/>
      <c r="GZ54" s="1119"/>
      <c r="HA54" s="1120">
        <v>2.8</v>
      </c>
      <c r="HB54" s="1121" t="s">
        <v>705</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0</v>
      </c>
      <c r="GP55" s="1103">
        <v>8</v>
      </c>
      <c r="GQ55" s="1104">
        <v>8</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758</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0</v>
      </c>
      <c r="GP56" s="1103">
        <v>8</v>
      </c>
      <c r="GQ56" s="1104">
        <v>8</v>
      </c>
      <c r="GR56" s="530"/>
      <c r="GS56" s="529"/>
      <c r="GT56" s="1127" t="s">
        <v>792</v>
      </c>
      <c r="GU56" s="530"/>
      <c r="GV56" s="579"/>
      <c r="GW56" s="530"/>
      <c r="GX56" s="579"/>
      <c r="GY56" s="391"/>
      <c r="GZ56" s="529"/>
      <c r="HA56" s="580"/>
      <c r="HB56" s="529"/>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0</v>
      </c>
      <c r="GP57" s="1103">
        <v>8</v>
      </c>
      <c r="GQ57" s="1104">
        <v>8</v>
      </c>
      <c r="GR57" s="953"/>
      <c r="GS57" s="529"/>
      <c r="GT57" s="1127"/>
      <c r="GU57" s="580"/>
      <c r="GV57" s="580"/>
      <c r="GW57" s="409" t="s">
        <v>729</v>
      </c>
      <c r="GX57" s="392"/>
      <c r="GY57" s="579"/>
      <c r="GZ57" s="529"/>
      <c r="HA57" s="1162">
        <v>317</v>
      </c>
      <c r="HB57" s="409" t="s">
        <v>730</v>
      </c>
      <c r="HC57" s="1052"/>
    </row>
    <row r="58" spans="1:212" ht="20.100000000000001" customHeight="1">
      <c r="A58" s="1163" t="s">
        <v>612</v>
      </c>
      <c r="B58" s="1164"/>
      <c r="C58" s="1164"/>
      <c r="D58" s="1164"/>
      <c r="E58" s="1165"/>
      <c r="F58" s="1166"/>
      <c r="G58" s="1167"/>
      <c r="H58" s="1168">
        <v>80</v>
      </c>
      <c r="I58" s="1169"/>
      <c r="J58" s="1168">
        <v>80</v>
      </c>
      <c r="K58" s="1169"/>
      <c r="L58" s="1168">
        <v>80</v>
      </c>
      <c r="M58" s="1169"/>
      <c r="N58" s="1168">
        <v>80</v>
      </c>
      <c r="O58" s="1169"/>
      <c r="P58" s="1168">
        <v>80</v>
      </c>
      <c r="Q58" s="1169"/>
      <c r="R58" s="1168">
        <v>80</v>
      </c>
      <c r="S58" s="1169"/>
      <c r="T58" s="1168">
        <v>80</v>
      </c>
      <c r="U58" s="1169"/>
      <c r="V58" s="1168">
        <v>80</v>
      </c>
      <c r="W58" s="1169"/>
      <c r="X58" s="1168">
        <v>240</v>
      </c>
      <c r="Y58" s="1169"/>
      <c r="Z58" s="1168">
        <v>240</v>
      </c>
      <c r="AA58" s="1169"/>
      <c r="AB58" s="1168">
        <v>240</v>
      </c>
      <c r="AC58" s="1169"/>
      <c r="AD58" s="1168">
        <v>240</v>
      </c>
      <c r="AE58" s="1169"/>
      <c r="AF58" s="1168">
        <v>240</v>
      </c>
      <c r="AG58" s="1169"/>
      <c r="AH58" s="1168">
        <v>240</v>
      </c>
      <c r="AI58" s="1169"/>
      <c r="AJ58" s="1168">
        <v>240</v>
      </c>
      <c r="AK58" s="1169"/>
      <c r="AL58" s="1168">
        <v>240</v>
      </c>
      <c r="AM58" s="1169"/>
      <c r="AN58" s="1168">
        <v>240</v>
      </c>
      <c r="AO58" s="1169"/>
      <c r="AP58" s="1168">
        <v>240</v>
      </c>
      <c r="AQ58" s="1169"/>
      <c r="AR58" s="1168">
        <v>80</v>
      </c>
      <c r="AS58" s="1169"/>
      <c r="AT58" s="1168">
        <v>80</v>
      </c>
      <c r="AU58" s="1169"/>
      <c r="AV58" s="1168">
        <v>80</v>
      </c>
      <c r="AW58" s="1169"/>
      <c r="AX58" s="1168">
        <v>80</v>
      </c>
      <c r="AY58" s="1169"/>
      <c r="AZ58" s="1168">
        <v>80</v>
      </c>
      <c r="BA58" s="1169"/>
      <c r="BB58" s="561">
        <v>80</v>
      </c>
      <c r="BC58" s="563"/>
      <c r="BD58" s="1163" t="s">
        <v>612</v>
      </c>
      <c r="BE58" s="1164"/>
      <c r="BF58" s="1164"/>
      <c r="BG58" s="1164"/>
      <c r="BH58" s="1165"/>
      <c r="BI58" s="1166"/>
      <c r="BJ58" s="1167"/>
      <c r="BK58" s="1168">
        <v>80</v>
      </c>
      <c r="BL58" s="1169"/>
      <c r="BM58" s="1168">
        <v>80</v>
      </c>
      <c r="BN58" s="1169"/>
      <c r="BO58" s="1168">
        <v>80</v>
      </c>
      <c r="BP58" s="1169"/>
      <c r="BQ58" s="1168">
        <v>80</v>
      </c>
      <c r="BR58" s="1169"/>
      <c r="BS58" s="1168">
        <v>80</v>
      </c>
      <c r="BT58" s="1169"/>
      <c r="BU58" s="1168">
        <v>80</v>
      </c>
      <c r="BV58" s="1169"/>
      <c r="BW58" s="1168">
        <v>80</v>
      </c>
      <c r="BX58" s="1169"/>
      <c r="BY58" s="1168">
        <v>80</v>
      </c>
      <c r="BZ58" s="1169"/>
      <c r="CA58" s="1168">
        <v>240</v>
      </c>
      <c r="CB58" s="1169"/>
      <c r="CC58" s="1168">
        <v>240</v>
      </c>
      <c r="CD58" s="1169"/>
      <c r="CE58" s="1168">
        <v>240</v>
      </c>
      <c r="CF58" s="1169"/>
      <c r="CG58" s="1168">
        <v>240</v>
      </c>
      <c r="CH58" s="1169"/>
      <c r="CI58" s="1168">
        <v>240</v>
      </c>
      <c r="CJ58" s="1169"/>
      <c r="CK58" s="1168">
        <v>240</v>
      </c>
      <c r="CL58" s="1169"/>
      <c r="CM58" s="1168">
        <v>240</v>
      </c>
      <c r="CN58" s="1169"/>
      <c r="CO58" s="1168">
        <v>240</v>
      </c>
      <c r="CP58" s="1169"/>
      <c r="CQ58" s="1168">
        <v>240</v>
      </c>
      <c r="CR58" s="1169"/>
      <c r="CS58" s="1168">
        <v>240</v>
      </c>
      <c r="CT58" s="1169"/>
      <c r="CU58" s="1168">
        <v>80</v>
      </c>
      <c r="CV58" s="1169"/>
      <c r="CW58" s="1168">
        <v>80</v>
      </c>
      <c r="CX58" s="1169"/>
      <c r="CY58" s="1168">
        <v>80</v>
      </c>
      <c r="CZ58" s="1169"/>
      <c r="DA58" s="1168">
        <v>80</v>
      </c>
      <c r="DB58" s="1169"/>
      <c r="DC58" s="1168">
        <v>80</v>
      </c>
      <c r="DD58" s="1169"/>
      <c r="DE58" s="561">
        <v>80</v>
      </c>
      <c r="DF58" s="562"/>
      <c r="DG58" s="1163" t="s">
        <v>737</v>
      </c>
      <c r="DH58" s="1164"/>
      <c r="DI58" s="1164"/>
      <c r="DJ58" s="1164"/>
      <c r="DK58" s="1165"/>
      <c r="DL58" s="1166"/>
      <c r="DM58" s="1167"/>
      <c r="DN58" s="1168">
        <v>80</v>
      </c>
      <c r="DO58" s="1169"/>
      <c r="DP58" s="1168">
        <v>80</v>
      </c>
      <c r="DQ58" s="1169"/>
      <c r="DR58" s="1168">
        <v>80</v>
      </c>
      <c r="DS58" s="1169"/>
      <c r="DT58" s="1168">
        <v>80</v>
      </c>
      <c r="DU58" s="1169"/>
      <c r="DV58" s="1168">
        <v>80</v>
      </c>
      <c r="DW58" s="1169"/>
      <c r="DX58" s="1168">
        <v>80</v>
      </c>
      <c r="DY58" s="1169"/>
      <c r="DZ58" s="1168">
        <v>80</v>
      </c>
      <c r="EA58" s="1169"/>
      <c r="EB58" s="1168">
        <v>80</v>
      </c>
      <c r="EC58" s="1169"/>
      <c r="ED58" s="1168">
        <v>240</v>
      </c>
      <c r="EE58" s="1169"/>
      <c r="EF58" s="1168">
        <v>240</v>
      </c>
      <c r="EG58" s="1169"/>
      <c r="EH58" s="1168">
        <v>240</v>
      </c>
      <c r="EI58" s="1169"/>
      <c r="EJ58" s="1168">
        <v>240</v>
      </c>
      <c r="EK58" s="1169"/>
      <c r="EL58" s="1168">
        <v>240</v>
      </c>
      <c r="EM58" s="1169"/>
      <c r="EN58" s="1168">
        <v>240</v>
      </c>
      <c r="EO58" s="1169"/>
      <c r="EP58" s="1168">
        <v>240</v>
      </c>
      <c r="EQ58" s="1169"/>
      <c r="ER58" s="1168">
        <v>240</v>
      </c>
      <c r="ES58" s="1169"/>
      <c r="ET58" s="1168">
        <v>240</v>
      </c>
      <c r="EU58" s="1169"/>
      <c r="EV58" s="1168">
        <v>240</v>
      </c>
      <c r="EW58" s="1169"/>
      <c r="EX58" s="1168">
        <v>80</v>
      </c>
      <c r="EY58" s="1169"/>
      <c r="EZ58" s="1168">
        <v>80</v>
      </c>
      <c r="FA58" s="1169"/>
      <c r="FB58" s="1168">
        <v>80</v>
      </c>
      <c r="FC58" s="1169"/>
      <c r="FD58" s="1168">
        <v>80</v>
      </c>
      <c r="FE58" s="1169"/>
      <c r="FF58" s="1168">
        <v>80</v>
      </c>
      <c r="FG58" s="1169"/>
      <c r="FH58" s="561">
        <v>80</v>
      </c>
      <c r="FI58" s="563"/>
      <c r="FJ58" s="1163" t="s">
        <v>737</v>
      </c>
      <c r="FK58" s="1164"/>
      <c r="FL58" s="1164"/>
      <c r="FM58" s="1164"/>
      <c r="FN58" s="1165"/>
      <c r="FO58" s="1166"/>
      <c r="FP58" s="1170"/>
      <c r="FQ58" s="1171"/>
      <c r="FR58" s="1168">
        <v>240</v>
      </c>
      <c r="FS58" s="1172"/>
      <c r="FT58" s="1171"/>
      <c r="FU58" s="1173">
        <v>240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0</v>
      </c>
      <c r="GP58" s="1103">
        <v>8</v>
      </c>
      <c r="GQ58" s="1104">
        <v>8</v>
      </c>
      <c r="GR58" s="953"/>
      <c r="GS58" s="530"/>
      <c r="GT58" s="689"/>
      <c r="GU58" s="893"/>
      <c r="GV58" s="580"/>
      <c r="GW58" s="1178" t="s">
        <v>599</v>
      </c>
      <c r="GX58" s="392"/>
      <c r="GY58" s="1051"/>
      <c r="GZ58" s="391"/>
      <c r="HA58" s="1162">
        <v>0</v>
      </c>
      <c r="HB58" s="409" t="s">
        <v>355</v>
      </c>
      <c r="HC58" s="562"/>
      <c r="HD58" s="1179"/>
    </row>
    <row r="59" spans="1:212" ht="20.100000000000001" customHeight="1">
      <c r="A59" s="1180" t="s">
        <v>738</v>
      </c>
      <c r="B59" s="1181"/>
      <c r="C59" s="1181"/>
      <c r="D59" s="1182" t="s">
        <v>615</v>
      </c>
      <c r="E59" s="1183"/>
      <c r="F59" s="1021"/>
      <c r="G59" s="1184">
        <v>24.4</v>
      </c>
      <c r="H59" s="585">
        <v>651</v>
      </c>
      <c r="I59" s="1185">
        <v>24</v>
      </c>
      <c r="J59" s="587">
        <v>640</v>
      </c>
      <c r="K59" s="1185">
        <v>23.8</v>
      </c>
      <c r="L59" s="587">
        <v>635</v>
      </c>
      <c r="M59" s="1185">
        <v>23.3</v>
      </c>
      <c r="N59" s="587">
        <v>621</v>
      </c>
      <c r="O59" s="1185">
        <v>23</v>
      </c>
      <c r="P59" s="587">
        <v>613</v>
      </c>
      <c r="Q59" s="1185">
        <v>23.5</v>
      </c>
      <c r="R59" s="587">
        <v>627</v>
      </c>
      <c r="S59" s="1185">
        <v>24.3</v>
      </c>
      <c r="T59" s="587">
        <v>648</v>
      </c>
      <c r="U59" s="1185">
        <v>25.2</v>
      </c>
      <c r="V59" s="587">
        <v>672</v>
      </c>
      <c r="W59" s="1185">
        <v>26.1</v>
      </c>
      <c r="X59" s="587">
        <v>2088</v>
      </c>
      <c r="Y59" s="1185">
        <v>27</v>
      </c>
      <c r="Z59" s="587">
        <v>2160</v>
      </c>
      <c r="AA59" s="1185">
        <v>27.3</v>
      </c>
      <c r="AB59" s="587">
        <v>2184</v>
      </c>
      <c r="AC59" s="1185">
        <v>28.6</v>
      </c>
      <c r="AD59" s="587">
        <v>2288</v>
      </c>
      <c r="AE59" s="1185">
        <v>28.2</v>
      </c>
      <c r="AF59" s="587">
        <v>2256</v>
      </c>
      <c r="AG59" s="1185">
        <v>27.5</v>
      </c>
      <c r="AH59" s="587">
        <v>2200</v>
      </c>
      <c r="AI59" s="1185">
        <v>27.5</v>
      </c>
      <c r="AJ59" s="587">
        <v>2200</v>
      </c>
      <c r="AK59" s="1185">
        <v>27.2</v>
      </c>
      <c r="AL59" s="587">
        <v>2176</v>
      </c>
      <c r="AM59" s="1185">
        <v>26.5</v>
      </c>
      <c r="AN59" s="587">
        <v>2120</v>
      </c>
      <c r="AO59" s="1185">
        <v>25.8</v>
      </c>
      <c r="AP59" s="587">
        <v>2064</v>
      </c>
      <c r="AQ59" s="1185">
        <v>24.9</v>
      </c>
      <c r="AR59" s="587">
        <v>664</v>
      </c>
      <c r="AS59" s="1185">
        <v>24.5</v>
      </c>
      <c r="AT59" s="587">
        <v>653</v>
      </c>
      <c r="AU59" s="1185">
        <v>24.7</v>
      </c>
      <c r="AV59" s="587">
        <v>659</v>
      </c>
      <c r="AW59" s="1185">
        <v>24.6</v>
      </c>
      <c r="AX59" s="587">
        <v>656</v>
      </c>
      <c r="AY59" s="1185">
        <v>24.6</v>
      </c>
      <c r="AZ59" s="587">
        <v>656</v>
      </c>
      <c r="BA59" s="1185">
        <v>24.7</v>
      </c>
      <c r="BB59" s="589">
        <v>659</v>
      </c>
      <c r="BC59" s="563"/>
      <c r="BD59" s="1180" t="s">
        <v>738</v>
      </c>
      <c r="BE59" s="1181"/>
      <c r="BF59" s="1181"/>
      <c r="BG59" s="1182" t="s">
        <v>615</v>
      </c>
      <c r="BH59" s="1183"/>
      <c r="BI59" s="1021"/>
      <c r="BJ59" s="1184">
        <v>19.100000000000001</v>
      </c>
      <c r="BK59" s="585">
        <v>509</v>
      </c>
      <c r="BL59" s="1185">
        <v>19</v>
      </c>
      <c r="BM59" s="587">
        <v>507</v>
      </c>
      <c r="BN59" s="1185">
        <v>18.8</v>
      </c>
      <c r="BO59" s="587">
        <v>501</v>
      </c>
      <c r="BP59" s="1185">
        <v>18.600000000000001</v>
      </c>
      <c r="BQ59" s="587">
        <v>496</v>
      </c>
      <c r="BR59" s="1185">
        <v>18.3</v>
      </c>
      <c r="BS59" s="587">
        <v>488</v>
      </c>
      <c r="BT59" s="1185">
        <v>18.600000000000001</v>
      </c>
      <c r="BU59" s="587">
        <v>496</v>
      </c>
      <c r="BV59" s="1185">
        <v>19.2</v>
      </c>
      <c r="BW59" s="587">
        <v>512</v>
      </c>
      <c r="BX59" s="1185">
        <v>20.2</v>
      </c>
      <c r="BY59" s="587">
        <v>539</v>
      </c>
      <c r="BZ59" s="1185">
        <v>21</v>
      </c>
      <c r="CA59" s="587">
        <v>1680</v>
      </c>
      <c r="CB59" s="1185">
        <v>21.8</v>
      </c>
      <c r="CC59" s="587">
        <v>1744</v>
      </c>
      <c r="CD59" s="1185">
        <v>22.7</v>
      </c>
      <c r="CE59" s="587">
        <v>1816</v>
      </c>
      <c r="CF59" s="1185">
        <v>23.4</v>
      </c>
      <c r="CG59" s="587">
        <v>1872</v>
      </c>
      <c r="CH59" s="1185">
        <v>23.8</v>
      </c>
      <c r="CI59" s="587">
        <v>1904</v>
      </c>
      <c r="CJ59" s="1185">
        <v>23.1</v>
      </c>
      <c r="CK59" s="587">
        <v>1848</v>
      </c>
      <c r="CL59" s="1185">
        <v>22.9</v>
      </c>
      <c r="CM59" s="587">
        <v>1832</v>
      </c>
      <c r="CN59" s="1185">
        <v>22.7</v>
      </c>
      <c r="CO59" s="587">
        <v>1816</v>
      </c>
      <c r="CP59" s="1185">
        <v>22.7</v>
      </c>
      <c r="CQ59" s="587">
        <v>1816</v>
      </c>
      <c r="CR59" s="1185">
        <v>22</v>
      </c>
      <c r="CS59" s="587">
        <v>1760</v>
      </c>
      <c r="CT59" s="1185">
        <v>21</v>
      </c>
      <c r="CU59" s="587">
        <v>560</v>
      </c>
      <c r="CV59" s="1185">
        <v>20.2</v>
      </c>
      <c r="CW59" s="587">
        <v>539</v>
      </c>
      <c r="CX59" s="1185">
        <v>19.8</v>
      </c>
      <c r="CY59" s="587">
        <v>528</v>
      </c>
      <c r="CZ59" s="1185">
        <v>19.5</v>
      </c>
      <c r="DA59" s="587">
        <v>520</v>
      </c>
      <c r="DB59" s="1185">
        <v>19.600000000000001</v>
      </c>
      <c r="DC59" s="587">
        <v>523</v>
      </c>
      <c r="DD59" s="1185">
        <v>19.600000000000001</v>
      </c>
      <c r="DE59" s="589">
        <v>523</v>
      </c>
      <c r="DF59" s="562"/>
      <c r="DG59" s="1180" t="s">
        <v>738</v>
      </c>
      <c r="DH59" s="1181"/>
      <c r="DI59" s="1181"/>
      <c r="DJ59" s="1182" t="s">
        <v>615</v>
      </c>
      <c r="DK59" s="1183"/>
      <c r="DL59" s="1021"/>
      <c r="DM59" s="1184">
        <v>14</v>
      </c>
      <c r="DN59" s="585">
        <v>373</v>
      </c>
      <c r="DO59" s="1185">
        <v>13.4</v>
      </c>
      <c r="DP59" s="587">
        <v>357</v>
      </c>
      <c r="DQ59" s="1185">
        <v>12.9</v>
      </c>
      <c r="DR59" s="587">
        <v>344</v>
      </c>
      <c r="DS59" s="1185">
        <v>12.2</v>
      </c>
      <c r="DT59" s="587">
        <v>325</v>
      </c>
      <c r="DU59" s="1185">
        <v>11.3</v>
      </c>
      <c r="DV59" s="587">
        <v>301</v>
      </c>
      <c r="DW59" s="1185">
        <v>11</v>
      </c>
      <c r="DX59" s="587">
        <v>293</v>
      </c>
      <c r="DY59" s="1185">
        <v>11.4</v>
      </c>
      <c r="DZ59" s="587">
        <v>304</v>
      </c>
      <c r="EA59" s="1185">
        <v>11.9</v>
      </c>
      <c r="EB59" s="587">
        <v>317</v>
      </c>
      <c r="EC59" s="1185">
        <v>12.2</v>
      </c>
      <c r="ED59" s="587">
        <v>976</v>
      </c>
      <c r="EE59" s="1185">
        <v>13.3</v>
      </c>
      <c r="EF59" s="587">
        <v>1064</v>
      </c>
      <c r="EG59" s="1185">
        <v>13.4</v>
      </c>
      <c r="EH59" s="587">
        <v>1072</v>
      </c>
      <c r="EI59" s="1185">
        <v>13.8</v>
      </c>
      <c r="EJ59" s="587">
        <v>1104</v>
      </c>
      <c r="EK59" s="1185">
        <v>13.5</v>
      </c>
      <c r="EL59" s="587">
        <v>1080</v>
      </c>
      <c r="EM59" s="1185">
        <v>13</v>
      </c>
      <c r="EN59" s="587">
        <v>1040</v>
      </c>
      <c r="EO59" s="1185">
        <v>12.8</v>
      </c>
      <c r="EP59" s="587">
        <v>1024</v>
      </c>
      <c r="EQ59" s="1185">
        <v>12.9</v>
      </c>
      <c r="ER59" s="587">
        <v>1032</v>
      </c>
      <c r="ES59" s="1185">
        <v>12.4</v>
      </c>
      <c r="ET59" s="587">
        <v>992</v>
      </c>
      <c r="EU59" s="1185">
        <v>12.9</v>
      </c>
      <c r="EV59" s="587">
        <v>1032</v>
      </c>
      <c r="EW59" s="1185">
        <v>13.8</v>
      </c>
      <c r="EX59" s="587">
        <v>368</v>
      </c>
      <c r="EY59" s="1185">
        <v>15.3</v>
      </c>
      <c r="EZ59" s="587">
        <v>408</v>
      </c>
      <c r="FA59" s="1185">
        <v>16.2</v>
      </c>
      <c r="FB59" s="587">
        <v>432</v>
      </c>
      <c r="FC59" s="1185">
        <v>16.3</v>
      </c>
      <c r="FD59" s="587">
        <v>435</v>
      </c>
      <c r="FE59" s="1185">
        <v>15.6</v>
      </c>
      <c r="FF59" s="587">
        <v>416</v>
      </c>
      <c r="FG59" s="1185">
        <v>14.9</v>
      </c>
      <c r="FH59" s="589">
        <v>397</v>
      </c>
      <c r="FI59" s="563"/>
      <c r="FJ59" s="1180" t="s">
        <v>738</v>
      </c>
      <c r="FK59" s="1181"/>
      <c r="FL59" s="1181"/>
      <c r="FM59" s="1182" t="s">
        <v>615</v>
      </c>
      <c r="FN59" s="1183"/>
      <c r="FO59" s="1021"/>
      <c r="FP59" s="625">
        <v>5</v>
      </c>
      <c r="FQ59" s="1186">
        <v>6.5</v>
      </c>
      <c r="FR59" s="1187">
        <v>520</v>
      </c>
      <c r="FS59" s="1188">
        <v>5</v>
      </c>
      <c r="FT59" s="1186">
        <v>5.8</v>
      </c>
      <c r="FU59" s="1189">
        <v>464</v>
      </c>
      <c r="FV59" s="1190">
        <v>14</v>
      </c>
      <c r="FW59" s="1191">
        <v>2200</v>
      </c>
      <c r="FX59" s="1192">
        <v>14</v>
      </c>
      <c r="FY59" s="1191">
        <v>1848</v>
      </c>
      <c r="FZ59" s="1192">
        <v>14</v>
      </c>
      <c r="GA59" s="1191">
        <v>1040</v>
      </c>
      <c r="GB59" s="1192" t="s">
        <v>797</v>
      </c>
      <c r="GC59" s="1191">
        <v>2200</v>
      </c>
      <c r="GD59" s="1192" t="s">
        <v>739</v>
      </c>
      <c r="GE59" s="1193">
        <v>520</v>
      </c>
      <c r="GF59" s="688"/>
      <c r="GG59" s="1194"/>
      <c r="GH59" s="1194"/>
      <c r="GI59" s="1194"/>
      <c r="GJ59" s="893"/>
      <c r="GK59" s="409"/>
      <c r="GL59" s="1124">
        <v>16</v>
      </c>
      <c r="GM59" s="1125">
        <v>7</v>
      </c>
      <c r="GN59" s="1102">
        <v>0.56000000000000005</v>
      </c>
      <c r="GO59" s="1103">
        <v>0</v>
      </c>
      <c r="GP59" s="1103">
        <v>8</v>
      </c>
      <c r="GQ59" s="1104">
        <v>8</v>
      </c>
      <c r="GR59" s="893"/>
      <c r="GS59" s="391"/>
      <c r="GT59" s="750"/>
      <c r="GU59" s="391"/>
      <c r="GV59" s="893"/>
      <c r="GW59" s="409" t="s">
        <v>699</v>
      </c>
      <c r="GX59" s="392"/>
      <c r="GY59" s="1078"/>
      <c r="GZ59" s="486"/>
      <c r="HA59" s="1162">
        <v>317</v>
      </c>
      <c r="HB59" s="409" t="s">
        <v>355</v>
      </c>
      <c r="HC59" s="1179"/>
      <c r="HD59" s="1195"/>
    </row>
    <row r="60" spans="1:212" ht="20.100000000000001" customHeight="1">
      <c r="A60" s="1180"/>
      <c r="B60" s="1181"/>
      <c r="C60" s="1181"/>
      <c r="D60" s="1196"/>
      <c r="E60" s="1196"/>
      <c r="F60" s="1197">
        <v>0</v>
      </c>
      <c r="G60" s="584"/>
      <c r="H60" s="585">
        <v>0</v>
      </c>
      <c r="I60" s="588"/>
      <c r="J60" s="587">
        <v>0</v>
      </c>
      <c r="K60" s="588"/>
      <c r="L60" s="587">
        <v>0</v>
      </c>
      <c r="M60" s="588"/>
      <c r="N60" s="587">
        <v>0</v>
      </c>
      <c r="O60" s="588"/>
      <c r="P60" s="587">
        <v>0</v>
      </c>
      <c r="Q60" s="588"/>
      <c r="R60" s="587">
        <v>0</v>
      </c>
      <c r="S60" s="588"/>
      <c r="T60" s="587">
        <v>0</v>
      </c>
      <c r="U60" s="588"/>
      <c r="V60" s="587">
        <v>0</v>
      </c>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v>0</v>
      </c>
      <c r="AS60" s="588"/>
      <c r="AT60" s="587">
        <v>0</v>
      </c>
      <c r="AU60" s="588"/>
      <c r="AV60" s="587">
        <v>0</v>
      </c>
      <c r="AW60" s="588"/>
      <c r="AX60" s="587">
        <v>0</v>
      </c>
      <c r="AY60" s="588"/>
      <c r="AZ60" s="587">
        <v>0</v>
      </c>
      <c r="BA60" s="588"/>
      <c r="BB60" s="589">
        <v>0</v>
      </c>
      <c r="BC60" s="563"/>
      <c r="BD60" s="1180"/>
      <c r="BE60" s="1181"/>
      <c r="BF60" s="1181"/>
      <c r="BG60" s="1196"/>
      <c r="BH60" s="1196"/>
      <c r="BI60" s="1197"/>
      <c r="BJ60" s="584"/>
      <c r="BK60" s="585">
        <v>0</v>
      </c>
      <c r="BL60" s="588"/>
      <c r="BM60" s="587">
        <v>0</v>
      </c>
      <c r="BN60" s="588"/>
      <c r="BO60" s="587">
        <v>0</v>
      </c>
      <c r="BP60" s="588"/>
      <c r="BQ60" s="587">
        <v>0</v>
      </c>
      <c r="BR60" s="588"/>
      <c r="BS60" s="587">
        <v>0</v>
      </c>
      <c r="BT60" s="588"/>
      <c r="BU60" s="587">
        <v>0</v>
      </c>
      <c r="BV60" s="588"/>
      <c r="BW60" s="587">
        <v>0</v>
      </c>
      <c r="BX60" s="588"/>
      <c r="BY60" s="587">
        <v>0</v>
      </c>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v>0</v>
      </c>
      <c r="CV60" s="588"/>
      <c r="CW60" s="587">
        <v>0</v>
      </c>
      <c r="CX60" s="588"/>
      <c r="CY60" s="587">
        <v>0</v>
      </c>
      <c r="CZ60" s="588"/>
      <c r="DA60" s="587">
        <v>0</v>
      </c>
      <c r="DB60" s="588"/>
      <c r="DC60" s="587">
        <v>0</v>
      </c>
      <c r="DD60" s="588"/>
      <c r="DE60" s="589">
        <v>0</v>
      </c>
      <c r="DF60" s="562"/>
      <c r="DG60" s="1180"/>
      <c r="DH60" s="1181"/>
      <c r="DI60" s="1181"/>
      <c r="DJ60" s="1196"/>
      <c r="DK60" s="1196"/>
      <c r="DL60" s="1197"/>
      <c r="DM60" s="584"/>
      <c r="DN60" s="585">
        <v>0</v>
      </c>
      <c r="DO60" s="588"/>
      <c r="DP60" s="587">
        <v>0</v>
      </c>
      <c r="DQ60" s="588"/>
      <c r="DR60" s="587">
        <v>0</v>
      </c>
      <c r="DS60" s="588"/>
      <c r="DT60" s="587">
        <v>0</v>
      </c>
      <c r="DU60" s="588"/>
      <c r="DV60" s="587">
        <v>0</v>
      </c>
      <c r="DW60" s="588"/>
      <c r="DX60" s="587">
        <v>0</v>
      </c>
      <c r="DY60" s="588"/>
      <c r="DZ60" s="587">
        <v>0</v>
      </c>
      <c r="EA60" s="588"/>
      <c r="EB60" s="587">
        <v>0</v>
      </c>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v>0</v>
      </c>
      <c r="EY60" s="588"/>
      <c r="EZ60" s="587">
        <v>0</v>
      </c>
      <c r="FA60" s="588"/>
      <c r="FB60" s="587">
        <v>0</v>
      </c>
      <c r="FC60" s="588"/>
      <c r="FD60" s="587">
        <v>0</v>
      </c>
      <c r="FE60" s="588"/>
      <c r="FF60" s="587">
        <v>0</v>
      </c>
      <c r="FG60" s="588"/>
      <c r="FH60" s="589">
        <v>0</v>
      </c>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0</v>
      </c>
      <c r="GP60" s="1103">
        <v>8</v>
      </c>
      <c r="GQ60" s="1104">
        <v>8</v>
      </c>
      <c r="GR60" s="391"/>
      <c r="GS60" s="483"/>
      <c r="GT60" s="1200"/>
      <c r="GU60" s="483" t="s">
        <v>793</v>
      </c>
      <c r="GV60" s="486"/>
      <c r="GW60" s="483"/>
      <c r="GX60" s="486"/>
      <c r="GY60" s="409"/>
      <c r="GZ60" s="413"/>
      <c r="HA60" s="580"/>
      <c r="HB60" s="413"/>
      <c r="HC60" s="1201"/>
      <c r="HD60" s="1038"/>
    </row>
    <row r="61" spans="1:212" ht="20.100000000000001" customHeight="1">
      <c r="A61" s="1202" t="s">
        <v>621</v>
      </c>
      <c r="B61" s="1203"/>
      <c r="C61" s="1203"/>
      <c r="D61" s="1203"/>
      <c r="E61" s="1203"/>
      <c r="F61" s="1204"/>
      <c r="G61" s="1205"/>
      <c r="H61" s="1206">
        <v>4760</v>
      </c>
      <c r="I61" s="1207"/>
      <c r="J61" s="1208">
        <v>4666</v>
      </c>
      <c r="K61" s="1207"/>
      <c r="L61" s="1208">
        <v>4634</v>
      </c>
      <c r="M61" s="1207"/>
      <c r="N61" s="1208">
        <v>4569</v>
      </c>
      <c r="O61" s="1207"/>
      <c r="P61" s="1208">
        <v>4559</v>
      </c>
      <c r="Q61" s="1207"/>
      <c r="R61" s="1208">
        <v>4697</v>
      </c>
      <c r="S61" s="1207"/>
      <c r="T61" s="1208">
        <v>4955</v>
      </c>
      <c r="U61" s="1207"/>
      <c r="V61" s="1208">
        <v>5251</v>
      </c>
      <c r="W61" s="1207"/>
      <c r="X61" s="1208">
        <v>7928</v>
      </c>
      <c r="Y61" s="1207"/>
      <c r="Z61" s="1208">
        <v>7935</v>
      </c>
      <c r="AA61" s="1207"/>
      <c r="AB61" s="1208">
        <v>8247</v>
      </c>
      <c r="AC61" s="1207"/>
      <c r="AD61" s="1208">
        <v>8142</v>
      </c>
      <c r="AE61" s="1207"/>
      <c r="AF61" s="1208">
        <v>8938</v>
      </c>
      <c r="AG61" s="1207"/>
      <c r="AH61" s="1208">
        <v>8973</v>
      </c>
      <c r="AI61" s="1207"/>
      <c r="AJ61" s="1208">
        <v>8848</v>
      </c>
      <c r="AK61" s="1207"/>
      <c r="AL61" s="1208">
        <v>8599</v>
      </c>
      <c r="AM61" s="1207"/>
      <c r="AN61" s="1208">
        <v>8179</v>
      </c>
      <c r="AO61" s="1207"/>
      <c r="AP61" s="1208">
        <v>7734</v>
      </c>
      <c r="AQ61" s="1207"/>
      <c r="AR61" s="1208">
        <v>5407</v>
      </c>
      <c r="AS61" s="1207"/>
      <c r="AT61" s="1208">
        <v>5181</v>
      </c>
      <c r="AU61" s="1207"/>
      <c r="AV61" s="1208">
        <v>5042</v>
      </c>
      <c r="AW61" s="1207"/>
      <c r="AX61" s="1208">
        <v>4956</v>
      </c>
      <c r="AY61" s="1207"/>
      <c r="AZ61" s="1208">
        <v>4867</v>
      </c>
      <c r="BA61" s="1207"/>
      <c r="BB61" s="1209">
        <v>4806</v>
      </c>
      <c r="BC61" s="563"/>
      <c r="BD61" s="1202" t="s">
        <v>621</v>
      </c>
      <c r="BE61" s="1203"/>
      <c r="BF61" s="1203"/>
      <c r="BG61" s="1203"/>
      <c r="BH61" s="1203"/>
      <c r="BI61" s="1204"/>
      <c r="BJ61" s="1205"/>
      <c r="BK61" s="1206">
        <v>4501</v>
      </c>
      <c r="BL61" s="1207"/>
      <c r="BM61" s="1208">
        <v>4435</v>
      </c>
      <c r="BN61" s="1207"/>
      <c r="BO61" s="1208">
        <v>4400</v>
      </c>
      <c r="BP61" s="1207"/>
      <c r="BQ61" s="1208">
        <v>4346</v>
      </c>
      <c r="BR61" s="1207"/>
      <c r="BS61" s="1208">
        <v>4342</v>
      </c>
      <c r="BT61" s="1207"/>
      <c r="BU61" s="1208">
        <v>4481</v>
      </c>
      <c r="BV61" s="1207"/>
      <c r="BW61" s="1208">
        <v>4725</v>
      </c>
      <c r="BX61" s="1207"/>
      <c r="BY61" s="1208">
        <v>5038</v>
      </c>
      <c r="BZ61" s="1207"/>
      <c r="CA61" s="1208">
        <v>7415</v>
      </c>
      <c r="CB61" s="1207"/>
      <c r="CC61" s="1208">
        <v>7355</v>
      </c>
      <c r="CD61" s="1207"/>
      <c r="CE61" s="1208">
        <v>7782</v>
      </c>
      <c r="CF61" s="1207"/>
      <c r="CG61" s="1208">
        <v>7748</v>
      </c>
      <c r="CH61" s="1207"/>
      <c r="CI61" s="1208">
        <v>8706</v>
      </c>
      <c r="CJ61" s="1207"/>
      <c r="CK61" s="1208">
        <v>8793</v>
      </c>
      <c r="CL61" s="1207"/>
      <c r="CM61" s="1208">
        <v>8764</v>
      </c>
      <c r="CN61" s="1207"/>
      <c r="CO61" s="1208">
        <v>8551</v>
      </c>
      <c r="CP61" s="1207"/>
      <c r="CQ61" s="1208">
        <v>8220</v>
      </c>
      <c r="CR61" s="1207"/>
      <c r="CS61" s="1208">
        <v>7695</v>
      </c>
      <c r="CT61" s="1207"/>
      <c r="CU61" s="1208">
        <v>5494</v>
      </c>
      <c r="CV61" s="1207"/>
      <c r="CW61" s="1208">
        <v>5144</v>
      </c>
      <c r="CX61" s="1207"/>
      <c r="CY61" s="1208">
        <v>4918</v>
      </c>
      <c r="CZ61" s="1207"/>
      <c r="DA61" s="1208">
        <v>4754</v>
      </c>
      <c r="DB61" s="1207"/>
      <c r="DC61" s="1208">
        <v>4673</v>
      </c>
      <c r="DD61" s="1207"/>
      <c r="DE61" s="1209">
        <v>4586</v>
      </c>
      <c r="DF61" s="562"/>
      <c r="DG61" s="1202" t="s">
        <v>621</v>
      </c>
      <c r="DH61" s="1203"/>
      <c r="DI61" s="1203"/>
      <c r="DJ61" s="1203"/>
      <c r="DK61" s="1203"/>
      <c r="DL61" s="1204"/>
      <c r="DM61" s="1205"/>
      <c r="DN61" s="1206">
        <v>4080</v>
      </c>
      <c r="DO61" s="1207"/>
      <c r="DP61" s="1208">
        <v>4036</v>
      </c>
      <c r="DQ61" s="1207"/>
      <c r="DR61" s="1208">
        <v>3998</v>
      </c>
      <c r="DS61" s="1207"/>
      <c r="DT61" s="1208">
        <v>3969</v>
      </c>
      <c r="DU61" s="1207"/>
      <c r="DV61" s="1208">
        <v>3945</v>
      </c>
      <c r="DW61" s="1207"/>
      <c r="DX61" s="1208">
        <v>4003</v>
      </c>
      <c r="DY61" s="1207"/>
      <c r="DZ61" s="1208">
        <v>4112</v>
      </c>
      <c r="EA61" s="1207"/>
      <c r="EB61" s="1208">
        <v>4382</v>
      </c>
      <c r="EC61" s="1207"/>
      <c r="ED61" s="1208">
        <v>6277</v>
      </c>
      <c r="EE61" s="1207"/>
      <c r="EF61" s="1208">
        <v>6557</v>
      </c>
      <c r="EG61" s="1207"/>
      <c r="EH61" s="1208">
        <v>7336</v>
      </c>
      <c r="EI61" s="1207"/>
      <c r="EJ61" s="1208">
        <v>7369</v>
      </c>
      <c r="EK61" s="1207"/>
      <c r="EL61" s="1208">
        <v>8183</v>
      </c>
      <c r="EM61" s="1207"/>
      <c r="EN61" s="1208">
        <v>8208</v>
      </c>
      <c r="EO61" s="1207"/>
      <c r="EP61" s="1208">
        <v>8048</v>
      </c>
      <c r="EQ61" s="1207"/>
      <c r="ER61" s="1208">
        <v>7669</v>
      </c>
      <c r="ES61" s="1207"/>
      <c r="ET61" s="1208">
        <v>7021</v>
      </c>
      <c r="EU61" s="1207"/>
      <c r="EV61" s="1208">
        <v>6383</v>
      </c>
      <c r="EW61" s="1207"/>
      <c r="EX61" s="1208">
        <v>4801</v>
      </c>
      <c r="EY61" s="1207"/>
      <c r="EZ61" s="1208">
        <v>4593</v>
      </c>
      <c r="FA61" s="1207"/>
      <c r="FB61" s="1208">
        <v>4456</v>
      </c>
      <c r="FC61" s="1207"/>
      <c r="FD61" s="1208">
        <v>4344</v>
      </c>
      <c r="FE61" s="1207"/>
      <c r="FF61" s="1208">
        <v>4265</v>
      </c>
      <c r="FG61" s="1207"/>
      <c r="FH61" s="1209">
        <v>4169</v>
      </c>
      <c r="FI61" s="563"/>
      <c r="FJ61" s="1202" t="s">
        <v>740</v>
      </c>
      <c r="FK61" s="1203"/>
      <c r="FL61" s="1203"/>
      <c r="FM61" s="1203"/>
      <c r="FN61" s="1203"/>
      <c r="FO61" s="1203"/>
      <c r="FP61" s="1210"/>
      <c r="FQ61" s="1211"/>
      <c r="FR61" s="1212">
        <v>5428</v>
      </c>
      <c r="FS61" s="1213"/>
      <c r="FT61" s="1211"/>
      <c r="FU61" s="1214">
        <v>5046</v>
      </c>
      <c r="FV61" s="1215">
        <v>14</v>
      </c>
      <c r="FW61" s="1216">
        <v>8973</v>
      </c>
      <c r="FX61" s="1217">
        <v>14</v>
      </c>
      <c r="FY61" s="1216">
        <v>8793</v>
      </c>
      <c r="FZ61" s="1217">
        <v>14</v>
      </c>
      <c r="GA61" s="1216">
        <v>8208</v>
      </c>
      <c r="GB61" s="1218" t="s">
        <v>622</v>
      </c>
      <c r="GC61" s="1216">
        <v>8973</v>
      </c>
      <c r="GD61" s="1218" t="s">
        <v>739</v>
      </c>
      <c r="GE61" s="1219">
        <v>5428</v>
      </c>
      <c r="GF61" s="688"/>
      <c r="GG61" s="483"/>
      <c r="GH61" s="483"/>
      <c r="GI61" s="483"/>
      <c r="GJ61" s="483"/>
      <c r="GK61" s="486"/>
      <c r="GL61" s="1124">
        <v>18</v>
      </c>
      <c r="GM61" s="1220">
        <v>9</v>
      </c>
      <c r="GN61" s="1102">
        <v>0.47</v>
      </c>
      <c r="GO61" s="1103">
        <v>0</v>
      </c>
      <c r="GP61" s="1103">
        <v>8</v>
      </c>
      <c r="GQ61" s="1104">
        <v>8</v>
      </c>
      <c r="GR61" s="483"/>
      <c r="GS61" s="580"/>
      <c r="GT61" s="750"/>
      <c r="GU61" s="1221" t="s">
        <v>732</v>
      </c>
      <c r="GV61" s="1221"/>
      <c r="GW61" s="1221"/>
      <c r="GX61" s="1221"/>
      <c r="GY61" s="391"/>
      <c r="GZ61" s="529"/>
      <c r="HA61" s="751">
        <v>1.7</v>
      </c>
      <c r="HB61" s="529"/>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391"/>
      <c r="GU62" s="1221" t="s">
        <v>733</v>
      </c>
      <c r="GV62" s="1221"/>
      <c r="GW62" s="1221"/>
      <c r="GX62" s="1221"/>
      <c r="GY62" s="486"/>
      <c r="GZ62" s="529"/>
      <c r="HA62" s="751">
        <v>3.7</v>
      </c>
      <c r="HB62" s="529"/>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759</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127" t="s">
        <v>596</v>
      </c>
      <c r="GK63" s="1127"/>
      <c r="GL63" s="580"/>
      <c r="GM63" s="413"/>
      <c r="GN63" s="580"/>
      <c r="GO63" s="413"/>
      <c r="GP63" s="413"/>
      <c r="GQ63" s="413"/>
      <c r="GR63" s="580"/>
      <c r="GS63" s="530"/>
      <c r="GT63" s="486"/>
      <c r="GU63" s="530" t="s">
        <v>604</v>
      </c>
      <c r="GV63" s="529"/>
      <c r="GW63" s="530"/>
      <c r="GX63" s="529"/>
      <c r="GY63" s="413"/>
      <c r="GZ63" s="529"/>
      <c r="HA63" s="751">
        <v>2</v>
      </c>
      <c r="HB63" s="529"/>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29"/>
      <c r="GK64" s="529" t="s">
        <v>794</v>
      </c>
      <c r="GL64" s="530"/>
      <c r="GM64" s="529"/>
      <c r="GN64" s="530"/>
      <c r="GO64" s="529"/>
      <c r="GP64" s="529"/>
      <c r="GQ64" s="529"/>
      <c r="GR64" s="530"/>
      <c r="GS64" s="409"/>
      <c r="GT64" s="861"/>
      <c r="GU64" s="580" t="s">
        <v>606</v>
      </c>
      <c r="GV64" s="413"/>
      <c r="GW64" s="580"/>
      <c r="GX64" s="413"/>
      <c r="GY64" s="529"/>
      <c r="GZ64" s="391"/>
      <c r="HA64" s="1231">
        <v>0.9</v>
      </c>
      <c r="HB64" s="391"/>
      <c r="HC64" s="562"/>
    </row>
    <row r="65" spans="1:211" ht="20.100000000000001" customHeight="1">
      <c r="A65" s="1163"/>
      <c r="B65" s="1164"/>
      <c r="C65" s="1164"/>
      <c r="D65" s="1232"/>
      <c r="E65" s="1233"/>
      <c r="F65" s="1234"/>
      <c r="G65" s="1235"/>
      <c r="H65" s="1168">
        <v>0</v>
      </c>
      <c r="I65" s="1236"/>
      <c r="J65" s="1237">
        <v>0</v>
      </c>
      <c r="K65" s="1238"/>
      <c r="L65" s="1237">
        <v>0</v>
      </c>
      <c r="M65" s="1238"/>
      <c r="N65" s="1237">
        <v>0</v>
      </c>
      <c r="O65" s="1238"/>
      <c r="P65" s="1237">
        <v>0</v>
      </c>
      <c r="Q65" s="1238"/>
      <c r="R65" s="1237">
        <v>0</v>
      </c>
      <c r="S65" s="1238"/>
      <c r="T65" s="1237">
        <v>0</v>
      </c>
      <c r="U65" s="1238"/>
      <c r="V65" s="1237">
        <v>0</v>
      </c>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v>0</v>
      </c>
      <c r="AS65" s="1238"/>
      <c r="AT65" s="1237">
        <v>0</v>
      </c>
      <c r="AU65" s="1238"/>
      <c r="AV65" s="1237">
        <v>0</v>
      </c>
      <c r="AW65" s="1238"/>
      <c r="AX65" s="1237">
        <v>0</v>
      </c>
      <c r="AY65" s="1238"/>
      <c r="AZ65" s="1237">
        <v>0</v>
      </c>
      <c r="BA65" s="1238"/>
      <c r="BB65" s="561">
        <v>0</v>
      </c>
      <c r="BC65" s="563"/>
      <c r="BD65" s="1163"/>
      <c r="BE65" s="1164"/>
      <c r="BF65" s="1164"/>
      <c r="BG65" s="1232"/>
      <c r="BH65" s="1233"/>
      <c r="BI65" s="1234"/>
      <c r="BJ65" s="1235"/>
      <c r="BK65" s="1168">
        <v>0</v>
      </c>
      <c r="BL65" s="1236"/>
      <c r="BM65" s="1237">
        <v>0</v>
      </c>
      <c r="BN65" s="1238"/>
      <c r="BO65" s="1237">
        <v>0</v>
      </c>
      <c r="BP65" s="1238"/>
      <c r="BQ65" s="1237">
        <v>0</v>
      </c>
      <c r="BR65" s="1238"/>
      <c r="BS65" s="1237">
        <v>0</v>
      </c>
      <c r="BT65" s="1238"/>
      <c r="BU65" s="1237">
        <v>0</v>
      </c>
      <c r="BV65" s="1238"/>
      <c r="BW65" s="1237">
        <v>0</v>
      </c>
      <c r="BX65" s="1238"/>
      <c r="BY65" s="1237">
        <v>0</v>
      </c>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v>0</v>
      </c>
      <c r="CV65" s="1238"/>
      <c r="CW65" s="1237">
        <v>0</v>
      </c>
      <c r="CX65" s="1238"/>
      <c r="CY65" s="1237">
        <v>0</v>
      </c>
      <c r="CZ65" s="1238"/>
      <c r="DA65" s="1237">
        <v>0</v>
      </c>
      <c r="DB65" s="1238"/>
      <c r="DC65" s="1237">
        <v>0</v>
      </c>
      <c r="DD65" s="1238"/>
      <c r="DE65" s="561">
        <v>0</v>
      </c>
      <c r="DF65" s="562"/>
      <c r="DG65" s="1163"/>
      <c r="DH65" s="1164"/>
      <c r="DI65" s="1164"/>
      <c r="DJ65" s="1232"/>
      <c r="DK65" s="1233"/>
      <c r="DL65" s="1234"/>
      <c r="DM65" s="1235"/>
      <c r="DN65" s="1168">
        <v>0</v>
      </c>
      <c r="DO65" s="1236"/>
      <c r="DP65" s="1237">
        <v>0</v>
      </c>
      <c r="DQ65" s="1238"/>
      <c r="DR65" s="1237">
        <v>0</v>
      </c>
      <c r="DS65" s="1238"/>
      <c r="DT65" s="1237">
        <v>0</v>
      </c>
      <c r="DU65" s="1238"/>
      <c r="DV65" s="1237">
        <v>0</v>
      </c>
      <c r="DW65" s="1238"/>
      <c r="DX65" s="1237">
        <v>0</v>
      </c>
      <c r="DY65" s="1238"/>
      <c r="DZ65" s="1237">
        <v>0</v>
      </c>
      <c r="EA65" s="1238"/>
      <c r="EB65" s="1237">
        <v>0</v>
      </c>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v>0</v>
      </c>
      <c r="EY65" s="1238"/>
      <c r="EZ65" s="1237">
        <v>0</v>
      </c>
      <c r="FA65" s="1238"/>
      <c r="FB65" s="1237">
        <v>0</v>
      </c>
      <c r="FC65" s="1238"/>
      <c r="FD65" s="1237">
        <v>0</v>
      </c>
      <c r="FE65" s="1238"/>
      <c r="FF65" s="1237">
        <v>0</v>
      </c>
      <c r="FG65" s="1238"/>
      <c r="FH65" s="561">
        <v>0</v>
      </c>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391"/>
      <c r="GK65" s="529"/>
      <c r="GL65" s="529"/>
      <c r="GM65" s="529"/>
      <c r="GN65" s="529"/>
      <c r="GO65" s="529"/>
      <c r="GP65" s="529"/>
      <c r="GQ65" s="529"/>
      <c r="GR65" s="529"/>
      <c r="GS65" s="409"/>
      <c r="GT65" s="1194"/>
      <c r="GU65" s="529" t="s">
        <v>607</v>
      </c>
      <c r="GV65" s="529"/>
      <c r="GW65" s="529"/>
      <c r="GX65" s="529"/>
      <c r="GY65" s="529"/>
      <c r="GZ65" s="486"/>
      <c r="HA65" s="391"/>
      <c r="HB65" s="486"/>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798</v>
      </c>
      <c r="FK66" s="1203"/>
      <c r="FL66" s="1249"/>
      <c r="FM66" s="1250" t="s">
        <v>624</v>
      </c>
      <c r="FN66" s="1251"/>
      <c r="FO66" s="1204"/>
      <c r="FP66" s="1210">
        <v>5</v>
      </c>
      <c r="FQ66" s="1252">
        <v>0</v>
      </c>
      <c r="FR66" s="1253">
        <v>0</v>
      </c>
      <c r="FS66" s="1213">
        <v>5</v>
      </c>
      <c r="FT66" s="1252">
        <v>0</v>
      </c>
      <c r="FU66" s="1254">
        <v>0</v>
      </c>
      <c r="FV66" s="1255"/>
      <c r="FW66" s="1256"/>
      <c r="FX66" s="1256"/>
      <c r="FY66" s="1256"/>
      <c r="FZ66" s="1256"/>
      <c r="GA66" s="1256"/>
      <c r="GB66" s="1256"/>
      <c r="GC66" s="1257"/>
      <c r="GD66" s="1213"/>
      <c r="GE66" s="1258">
        <v>0</v>
      </c>
      <c r="GF66" s="688"/>
      <c r="GG66" s="391"/>
      <c r="GH66" s="391"/>
      <c r="GI66" s="391"/>
      <c r="GJ66" s="483"/>
      <c r="GK66" s="529"/>
      <c r="GL66" s="530"/>
      <c r="GM66" s="529"/>
      <c r="GN66" s="530"/>
      <c r="GO66" s="529"/>
      <c r="GP66" s="529"/>
      <c r="GQ66" s="529"/>
      <c r="GR66" s="530"/>
      <c r="GT66" s="1194"/>
      <c r="GU66" s="391" t="s">
        <v>795</v>
      </c>
      <c r="GV66" s="391"/>
      <c r="GW66" s="391"/>
      <c r="GX66" s="391"/>
      <c r="GY66" s="391"/>
      <c r="GZ66" s="413"/>
      <c r="HA66" s="529">
        <v>856</v>
      </c>
      <c r="HB66" s="409" t="s">
        <v>598</v>
      </c>
      <c r="HC66" s="406"/>
    </row>
    <row r="67" spans="1:211" ht="20.100000000000001" customHeight="1" thickBot="1">
      <c r="BC67" s="389"/>
      <c r="DF67" s="389"/>
      <c r="FI67" s="389"/>
      <c r="GD67" s="688"/>
      <c r="GE67" s="799"/>
      <c r="GF67" s="688"/>
      <c r="GG67" s="483"/>
      <c r="GH67" s="483"/>
      <c r="GI67" s="483"/>
      <c r="GJ67" s="391"/>
      <c r="GT67" s="689"/>
      <c r="GU67" s="529"/>
      <c r="GV67" s="529"/>
      <c r="GW67" s="529"/>
      <c r="GX67" s="529"/>
      <c r="GY67" s="529"/>
      <c r="HA67" s="530"/>
      <c r="HC67" s="406"/>
    </row>
    <row r="68" spans="1:211" ht="20.100000000000001" customHeight="1">
      <c r="A68" s="1260" t="s">
        <v>360</v>
      </c>
      <c r="B68" s="1261"/>
      <c r="C68" s="1261"/>
      <c r="D68" s="1261"/>
      <c r="E68" s="825"/>
      <c r="F68" s="825"/>
      <c r="G68" s="1262"/>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f>$G68</f>
        <v>0</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f>$G68</f>
        <v>0</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391"/>
      <c r="GU68" s="1118" t="s">
        <v>609</v>
      </c>
      <c r="GV68" s="1118"/>
      <c r="GW68" s="1118"/>
      <c r="GX68" s="1118"/>
      <c r="GY68" s="1119"/>
      <c r="GZ68" s="1272"/>
      <c r="HA68" s="1272">
        <v>856</v>
      </c>
      <c r="HB68" s="1051" t="s">
        <v>598</v>
      </c>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22">
    <mergeCell ref="DM68:FH68"/>
    <mergeCell ref="FJ68:FM68"/>
    <mergeCell ref="FP68:FU68"/>
    <mergeCell ref="FV68:GC68"/>
    <mergeCell ref="GD68:GE68"/>
    <mergeCell ref="GU68:GX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GU61:GX61"/>
    <mergeCell ref="GU62:GX62"/>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813</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9時-18時</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9時-18時</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825</v>
      </c>
      <c r="GZ1" s="376" t="s">
        <v>812</v>
      </c>
      <c r="HA1" s="376"/>
      <c r="HB1" s="379"/>
      <c r="HC1" s="1276" t="s">
        <v>769</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817</v>
      </c>
      <c r="B3" s="394">
        <v>104</v>
      </c>
      <c r="C3" s="395" t="s">
        <v>818</v>
      </c>
      <c r="D3" s="396" t="s">
        <v>819</v>
      </c>
      <c r="E3" s="396"/>
      <c r="F3" s="396"/>
      <c r="G3" s="396"/>
      <c r="H3" s="396"/>
      <c r="I3" s="396"/>
      <c r="J3" s="397"/>
      <c r="K3" s="398" t="s">
        <v>820</v>
      </c>
      <c r="L3" s="399"/>
      <c r="M3" s="398" t="s">
        <v>385</v>
      </c>
      <c r="N3" s="399"/>
      <c r="O3" s="400" t="s">
        <v>382</v>
      </c>
      <c r="P3" s="401"/>
      <c r="Q3" s="401"/>
      <c r="R3" s="401"/>
      <c r="S3" s="401"/>
      <c r="T3" s="401"/>
      <c r="U3" s="401"/>
      <c r="V3" s="402"/>
      <c r="W3" s="403" t="s">
        <v>383</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384</v>
      </c>
      <c r="BE3" s="394">
        <v>104</v>
      </c>
      <c r="BF3" s="395" t="s">
        <v>373</v>
      </c>
      <c r="BG3" s="407" t="s">
        <v>810</v>
      </c>
      <c r="BH3" s="407"/>
      <c r="BI3" s="407"/>
      <c r="BJ3" s="407"/>
      <c r="BK3" s="407"/>
      <c r="BL3" s="407"/>
      <c r="BM3" s="408"/>
      <c r="BN3" s="398" t="s">
        <v>381</v>
      </c>
      <c r="BO3" s="399"/>
      <c r="BP3" s="398" t="s">
        <v>377</v>
      </c>
      <c r="BQ3" s="399"/>
      <c r="BR3" s="400" t="s">
        <v>378</v>
      </c>
      <c r="BS3" s="401"/>
      <c r="BT3" s="401"/>
      <c r="BU3" s="401"/>
      <c r="BV3" s="401"/>
      <c r="BW3" s="401"/>
      <c r="BX3" s="401"/>
      <c r="BY3" s="402"/>
      <c r="BZ3" s="403" t="s">
        <v>383</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384</v>
      </c>
      <c r="DH3" s="394">
        <v>104</v>
      </c>
      <c r="DI3" s="395" t="s">
        <v>373</v>
      </c>
      <c r="DJ3" s="407" t="s">
        <v>810</v>
      </c>
      <c r="DK3" s="407"/>
      <c r="DL3" s="407"/>
      <c r="DM3" s="407"/>
      <c r="DN3" s="407"/>
      <c r="DO3" s="407"/>
      <c r="DP3" s="408"/>
      <c r="DQ3" s="398" t="s">
        <v>376</v>
      </c>
      <c r="DR3" s="399"/>
      <c r="DS3" s="398" t="s">
        <v>377</v>
      </c>
      <c r="DT3" s="399"/>
      <c r="DU3" s="400" t="s">
        <v>378</v>
      </c>
      <c r="DV3" s="401"/>
      <c r="DW3" s="401"/>
      <c r="DX3" s="401"/>
      <c r="DY3" s="401"/>
      <c r="DZ3" s="401"/>
      <c r="EA3" s="401"/>
      <c r="EB3" s="402"/>
      <c r="EC3" s="403" t="s">
        <v>379</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380</v>
      </c>
      <c r="FK3" s="394">
        <v>104</v>
      </c>
      <c r="FL3" s="395" t="s">
        <v>373</v>
      </c>
      <c r="FM3" s="407" t="s">
        <v>810</v>
      </c>
      <c r="FN3" s="407"/>
      <c r="FO3" s="407"/>
      <c r="FP3" s="407"/>
      <c r="FQ3" s="407"/>
      <c r="FR3" s="407"/>
      <c r="FS3" s="408"/>
      <c r="FT3" s="398" t="s">
        <v>381</v>
      </c>
      <c r="FU3" s="399"/>
      <c r="FV3" s="398" t="s">
        <v>377</v>
      </c>
      <c r="FW3" s="399"/>
      <c r="FX3" s="400" t="s">
        <v>1103</v>
      </c>
      <c r="FY3" s="401"/>
      <c r="FZ3" s="401"/>
      <c r="GA3" s="401"/>
      <c r="GB3" s="401"/>
      <c r="GC3" s="401"/>
      <c r="GD3" s="401"/>
      <c r="GE3" s="402"/>
      <c r="GF3" s="403" t="s">
        <v>379</v>
      </c>
      <c r="GG3" s="404"/>
      <c r="GH3" s="405"/>
      <c r="GI3" s="409"/>
      <c r="GJ3" s="410" t="s">
        <v>770</v>
      </c>
      <c r="GK3" s="411"/>
      <c r="GL3" s="411"/>
      <c r="GM3" s="411"/>
      <c r="GN3" s="411"/>
      <c r="GO3" s="411"/>
      <c r="GP3" s="411"/>
      <c r="GQ3" s="411"/>
      <c r="GR3" s="412"/>
      <c r="GS3" s="413"/>
      <c r="GT3" s="410" t="s">
        <v>771</v>
      </c>
      <c r="GU3" s="411"/>
      <c r="GV3" s="411"/>
      <c r="GW3" s="411"/>
      <c r="GX3" s="411"/>
      <c r="GY3" s="411"/>
      <c r="GZ3" s="411"/>
      <c r="HA3" s="411"/>
      <c r="HB3" s="412"/>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387</v>
      </c>
      <c r="P4" s="425"/>
      <c r="Q4" s="426" t="s">
        <v>391</v>
      </c>
      <c r="R4" s="425"/>
      <c r="S4" s="427" t="s">
        <v>392</v>
      </c>
      <c r="T4" s="428"/>
      <c r="U4" s="429" t="s">
        <v>390</v>
      </c>
      <c r="V4" s="430"/>
      <c r="W4" s="431" t="s">
        <v>821</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653</v>
      </c>
      <c r="BS4" s="425"/>
      <c r="BT4" s="426" t="s">
        <v>388</v>
      </c>
      <c r="BU4" s="425"/>
      <c r="BV4" s="427" t="s">
        <v>389</v>
      </c>
      <c r="BW4" s="428"/>
      <c r="BX4" s="429" t="s">
        <v>390</v>
      </c>
      <c r="BY4" s="430"/>
      <c r="BZ4" s="431" t="s">
        <v>822</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653</v>
      </c>
      <c r="DV4" s="425"/>
      <c r="DW4" s="426" t="s">
        <v>388</v>
      </c>
      <c r="DX4" s="425"/>
      <c r="DY4" s="427" t="s">
        <v>389</v>
      </c>
      <c r="DZ4" s="428"/>
      <c r="EA4" s="429" t="s">
        <v>393</v>
      </c>
      <c r="EB4" s="430"/>
      <c r="EC4" s="431" t="s">
        <v>822</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653</v>
      </c>
      <c r="FY4" s="425"/>
      <c r="FZ4" s="426" t="s">
        <v>388</v>
      </c>
      <c r="GA4" s="425"/>
      <c r="GB4" s="427" t="s">
        <v>392</v>
      </c>
      <c r="GC4" s="428"/>
      <c r="GD4" s="429" t="s">
        <v>393</v>
      </c>
      <c r="GE4" s="430"/>
      <c r="GF4" s="431" t="s">
        <v>811</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c r="MO4" s="392" t="s">
        <v>811</v>
      </c>
    </row>
    <row r="5" spans="1:353" ht="24.95" customHeight="1" thickBot="1">
      <c r="A5" s="438" t="s">
        <v>395</v>
      </c>
      <c r="B5" s="439">
        <v>1</v>
      </c>
      <c r="C5" s="440" t="s">
        <v>397</v>
      </c>
      <c r="D5" s="441">
        <v>62.09</v>
      </c>
      <c r="E5" s="442" t="s">
        <v>398</v>
      </c>
      <c r="F5" s="443">
        <v>4</v>
      </c>
      <c r="G5" s="444" t="s">
        <v>404</v>
      </c>
      <c r="H5" s="445"/>
      <c r="I5" s="446">
        <v>248.4</v>
      </c>
      <c r="J5" s="447"/>
      <c r="K5" s="448">
        <v>130</v>
      </c>
      <c r="L5" s="449"/>
      <c r="M5" s="448">
        <v>80</v>
      </c>
      <c r="N5" s="449"/>
      <c r="O5" s="450" t="s">
        <v>405</v>
      </c>
      <c r="P5" s="451"/>
      <c r="Q5" s="452" t="s">
        <v>409</v>
      </c>
      <c r="R5" s="453"/>
      <c r="S5" s="454" t="s">
        <v>402</v>
      </c>
      <c r="T5" s="455"/>
      <c r="U5" s="456" t="s">
        <v>823</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408</v>
      </c>
      <c r="BE5" s="439">
        <v>1</v>
      </c>
      <c r="BF5" s="440" t="s">
        <v>278</v>
      </c>
      <c r="BG5" s="441">
        <v>62.09</v>
      </c>
      <c r="BH5" s="442" t="s">
        <v>410</v>
      </c>
      <c r="BI5" s="443">
        <v>4</v>
      </c>
      <c r="BJ5" s="444" t="s">
        <v>404</v>
      </c>
      <c r="BK5" s="445"/>
      <c r="BL5" s="446">
        <v>248.4</v>
      </c>
      <c r="BM5" s="447"/>
      <c r="BN5" s="448">
        <v>130</v>
      </c>
      <c r="BO5" s="449"/>
      <c r="BP5" s="448">
        <v>80</v>
      </c>
      <c r="BQ5" s="449"/>
      <c r="BR5" s="450" t="s">
        <v>400</v>
      </c>
      <c r="BS5" s="451"/>
      <c r="BT5" s="452" t="s">
        <v>409</v>
      </c>
      <c r="BU5" s="453"/>
      <c r="BV5" s="454" t="s">
        <v>406</v>
      </c>
      <c r="BW5" s="455"/>
      <c r="BX5" s="456" t="s">
        <v>823</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408</v>
      </c>
      <c r="DH5" s="439">
        <v>1</v>
      </c>
      <c r="DI5" s="440" t="s">
        <v>278</v>
      </c>
      <c r="DJ5" s="441">
        <v>62.09</v>
      </c>
      <c r="DK5" s="442" t="s">
        <v>410</v>
      </c>
      <c r="DL5" s="443">
        <v>4</v>
      </c>
      <c r="DM5" s="444" t="s">
        <v>404</v>
      </c>
      <c r="DN5" s="445"/>
      <c r="DO5" s="446">
        <v>248.4</v>
      </c>
      <c r="DP5" s="447"/>
      <c r="DQ5" s="448">
        <v>130</v>
      </c>
      <c r="DR5" s="449"/>
      <c r="DS5" s="448">
        <v>80</v>
      </c>
      <c r="DT5" s="449"/>
      <c r="DU5" s="450" t="s">
        <v>405</v>
      </c>
      <c r="DV5" s="451"/>
      <c r="DW5" s="452" t="s">
        <v>401</v>
      </c>
      <c r="DX5" s="453"/>
      <c r="DY5" s="454" t="s">
        <v>402</v>
      </c>
      <c r="DZ5" s="455"/>
      <c r="EA5" s="456" t="s">
        <v>403</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395</v>
      </c>
      <c r="FK5" s="439">
        <v>1</v>
      </c>
      <c r="FL5" s="440" t="s">
        <v>278</v>
      </c>
      <c r="FM5" s="441">
        <v>62.09</v>
      </c>
      <c r="FN5" s="442" t="s">
        <v>398</v>
      </c>
      <c r="FO5" s="443">
        <v>4</v>
      </c>
      <c r="FP5" s="444" t="s">
        <v>404</v>
      </c>
      <c r="FQ5" s="445"/>
      <c r="FR5" s="446">
        <v>248.4</v>
      </c>
      <c r="FS5" s="447"/>
      <c r="FT5" s="448">
        <v>130</v>
      </c>
      <c r="FU5" s="449"/>
      <c r="FV5" s="448">
        <v>80</v>
      </c>
      <c r="FW5" s="449"/>
      <c r="FX5" s="1430" t="s">
        <v>1099</v>
      </c>
      <c r="FY5" s="451"/>
      <c r="FZ5" s="1431" t="s">
        <v>1100</v>
      </c>
      <c r="GA5" s="453"/>
      <c r="GB5" s="1432" t="s">
        <v>1101</v>
      </c>
      <c r="GC5" s="455"/>
      <c r="GD5" s="1433" t="s">
        <v>1102</v>
      </c>
      <c r="GE5" s="457"/>
      <c r="GF5" s="458"/>
      <c r="GG5" s="459"/>
      <c r="GH5" s="460"/>
      <c r="GI5" s="462"/>
      <c r="GJ5" s="409"/>
      <c r="GK5" s="463" t="s">
        <v>772</v>
      </c>
      <c r="GL5" s="463"/>
      <c r="GM5" s="463"/>
      <c r="GN5" s="409" t="s">
        <v>826</v>
      </c>
      <c r="GO5" s="464"/>
      <c r="GP5" s="464"/>
      <c r="GQ5" s="464"/>
      <c r="GR5" s="409"/>
      <c r="GS5" s="409"/>
      <c r="GT5" s="413"/>
      <c r="GU5" s="463" t="s">
        <v>519</v>
      </c>
      <c r="GV5" s="463"/>
      <c r="GW5" s="463"/>
      <c r="GX5" s="409" t="s">
        <v>827</v>
      </c>
      <c r="GY5" s="464"/>
      <c r="GZ5" s="464"/>
      <c r="HA5" s="464"/>
      <c r="HB5" s="409"/>
      <c r="HC5" s="465"/>
      <c r="HD5" s="437"/>
      <c r="HE5" s="437"/>
      <c r="HF5" s="504"/>
      <c r="HG5" s="386"/>
    </row>
    <row r="6" spans="1:353" ht="20.100000000000001" customHeight="1" thickBot="1">
      <c r="A6" s="466" t="s">
        <v>415</v>
      </c>
      <c r="B6" s="467"/>
      <c r="C6" s="468" t="s">
        <v>416</v>
      </c>
      <c r="D6" s="468"/>
      <c r="E6" s="468"/>
      <c r="F6" s="469">
        <v>0</v>
      </c>
      <c r="G6" s="469"/>
      <c r="H6" s="468" t="s">
        <v>417</v>
      </c>
      <c r="I6" s="468"/>
      <c r="J6" s="468"/>
      <c r="K6" s="468"/>
      <c r="L6" s="468"/>
      <c r="M6" s="470">
        <v>0</v>
      </c>
      <c r="N6" s="470"/>
      <c r="O6" s="471"/>
      <c r="P6" s="472"/>
      <c r="Q6" s="472" t="s">
        <v>418</v>
      </c>
      <c r="R6" s="473">
        <v>0</v>
      </c>
      <c r="S6" s="473"/>
      <c r="T6" s="474"/>
      <c r="U6" s="475" t="s">
        <v>419</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666</v>
      </c>
      <c r="BC6" s="479"/>
      <c r="BD6" s="466" t="s">
        <v>664</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34</v>
      </c>
      <c r="DF6" s="481"/>
      <c r="DG6" s="466" t="s">
        <v>664</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423</v>
      </c>
      <c r="FI6" s="481"/>
      <c r="FJ6" s="466" t="s">
        <v>424</v>
      </c>
      <c r="FK6" s="467"/>
      <c r="FL6" s="468" t="s">
        <v>416</v>
      </c>
      <c r="FM6" s="468"/>
      <c r="FN6" s="468"/>
      <c r="FO6" s="469">
        <v>0</v>
      </c>
      <c r="FP6" s="469"/>
      <c r="FQ6" s="468" t="s">
        <v>417</v>
      </c>
      <c r="FR6" s="468"/>
      <c r="FS6" s="468"/>
      <c r="FT6" s="468"/>
      <c r="FU6" s="468"/>
      <c r="FV6" s="470">
        <v>0</v>
      </c>
      <c r="FW6" s="470"/>
      <c r="FX6" s="471"/>
      <c r="FY6" s="472"/>
      <c r="FZ6" s="472" t="s">
        <v>425</v>
      </c>
      <c r="GA6" s="473">
        <v>0</v>
      </c>
      <c r="GB6" s="473"/>
      <c r="GC6" s="474"/>
      <c r="GD6" s="475" t="s">
        <v>426</v>
      </c>
      <c r="GE6" s="476">
        <v>0</v>
      </c>
      <c r="GF6" s="476"/>
      <c r="GG6" s="477"/>
      <c r="GH6" s="472"/>
      <c r="GI6" s="472"/>
      <c r="GJ6" s="483"/>
      <c r="GK6" s="484" t="s">
        <v>828</v>
      </c>
      <c r="GL6" s="484"/>
      <c r="GM6" s="484"/>
      <c r="GN6" s="485">
        <v>2</v>
      </c>
      <c r="GO6" s="486"/>
      <c r="GP6" s="486"/>
      <c r="GQ6" s="486"/>
      <c r="GR6" s="483"/>
      <c r="GS6" s="483"/>
      <c r="GT6" s="413"/>
      <c r="GU6" s="484" t="s">
        <v>773</v>
      </c>
      <c r="GV6" s="484"/>
      <c r="GW6" s="484"/>
      <c r="GX6" s="485">
        <v>2</v>
      </c>
      <c r="GY6" s="413"/>
      <c r="GZ6" s="413"/>
      <c r="HA6" s="486"/>
      <c r="HB6" s="486"/>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469</v>
      </c>
      <c r="GK8" s="528"/>
      <c r="GL8" s="529"/>
      <c r="GM8" s="530"/>
      <c r="GN8" s="529"/>
      <c r="GO8" s="530"/>
      <c r="GP8" s="529"/>
      <c r="GQ8" s="529"/>
      <c r="GR8" s="529"/>
      <c r="GS8" s="529"/>
      <c r="GT8" s="528" t="s">
        <v>470</v>
      </c>
      <c r="GU8" s="528"/>
      <c r="GV8" s="413"/>
      <c r="GW8" s="483"/>
      <c r="GX8" s="486"/>
      <c r="GY8" s="483"/>
      <c r="GZ8" s="486"/>
      <c r="HA8" s="530"/>
      <c r="HB8" s="530"/>
      <c r="HC8" s="530"/>
      <c r="HD8" s="437"/>
      <c r="HE8" s="437"/>
      <c r="HF8" s="1275"/>
      <c r="HG8" s="1275"/>
    </row>
    <row r="9" spans="1:353" ht="22.5" customHeight="1">
      <c r="A9" s="532" t="s">
        <v>289</v>
      </c>
      <c r="B9" s="533" t="s">
        <v>290</v>
      </c>
      <c r="C9" s="534" t="s">
        <v>291</v>
      </c>
      <c r="D9" s="534" t="s">
        <v>308</v>
      </c>
      <c r="E9" s="535" t="s">
        <v>799</v>
      </c>
      <c r="F9" s="536" t="s">
        <v>294</v>
      </c>
      <c r="G9" s="537" t="s">
        <v>800</v>
      </c>
      <c r="H9" s="538" t="s">
        <v>801</v>
      </c>
      <c r="I9" s="539" t="s">
        <v>297</v>
      </c>
      <c r="J9" s="538" t="s">
        <v>628</v>
      </c>
      <c r="K9" s="539" t="s">
        <v>297</v>
      </c>
      <c r="L9" s="538" t="s">
        <v>801</v>
      </c>
      <c r="M9" s="539" t="s">
        <v>297</v>
      </c>
      <c r="N9" s="538" t="s">
        <v>628</v>
      </c>
      <c r="O9" s="539" t="s">
        <v>297</v>
      </c>
      <c r="P9" s="538" t="s">
        <v>801</v>
      </c>
      <c r="Q9" s="539" t="s">
        <v>297</v>
      </c>
      <c r="R9" s="538" t="s">
        <v>802</v>
      </c>
      <c r="S9" s="539" t="s">
        <v>297</v>
      </c>
      <c r="T9" s="538" t="s">
        <v>801</v>
      </c>
      <c r="U9" s="539" t="s">
        <v>297</v>
      </c>
      <c r="V9" s="538" t="s">
        <v>802</v>
      </c>
      <c r="W9" s="539" t="s">
        <v>297</v>
      </c>
      <c r="X9" s="538" t="s">
        <v>801</v>
      </c>
      <c r="Y9" s="539" t="s">
        <v>297</v>
      </c>
      <c r="Z9" s="538" t="s">
        <v>801</v>
      </c>
      <c r="AA9" s="539" t="s">
        <v>297</v>
      </c>
      <c r="AB9" s="538" t="s">
        <v>801</v>
      </c>
      <c r="AC9" s="539" t="s">
        <v>297</v>
      </c>
      <c r="AD9" s="538" t="s">
        <v>628</v>
      </c>
      <c r="AE9" s="539" t="s">
        <v>297</v>
      </c>
      <c r="AF9" s="538" t="s">
        <v>801</v>
      </c>
      <c r="AG9" s="539" t="s">
        <v>297</v>
      </c>
      <c r="AH9" s="538" t="s">
        <v>628</v>
      </c>
      <c r="AI9" s="539" t="s">
        <v>297</v>
      </c>
      <c r="AJ9" s="538" t="s">
        <v>801</v>
      </c>
      <c r="AK9" s="539" t="s">
        <v>297</v>
      </c>
      <c r="AL9" s="538" t="s">
        <v>801</v>
      </c>
      <c r="AM9" s="539" t="s">
        <v>297</v>
      </c>
      <c r="AN9" s="538" t="s">
        <v>801</v>
      </c>
      <c r="AO9" s="539" t="s">
        <v>297</v>
      </c>
      <c r="AP9" s="538" t="s">
        <v>802</v>
      </c>
      <c r="AQ9" s="539" t="s">
        <v>297</v>
      </c>
      <c r="AR9" s="538" t="s">
        <v>628</v>
      </c>
      <c r="AS9" s="539" t="s">
        <v>297</v>
      </c>
      <c r="AT9" s="538" t="s">
        <v>628</v>
      </c>
      <c r="AU9" s="539" t="s">
        <v>297</v>
      </c>
      <c r="AV9" s="538" t="s">
        <v>628</v>
      </c>
      <c r="AW9" s="539" t="s">
        <v>297</v>
      </c>
      <c r="AX9" s="538" t="s">
        <v>801</v>
      </c>
      <c r="AY9" s="539" t="s">
        <v>297</v>
      </c>
      <c r="AZ9" s="538" t="s">
        <v>801</v>
      </c>
      <c r="BA9" s="539" t="s">
        <v>297</v>
      </c>
      <c r="BB9" s="540" t="s">
        <v>298</v>
      </c>
      <c r="BC9" s="503"/>
      <c r="BD9" s="532" t="s">
        <v>289</v>
      </c>
      <c r="BE9" s="533" t="s">
        <v>290</v>
      </c>
      <c r="BF9" s="534" t="s">
        <v>291</v>
      </c>
      <c r="BG9" s="534" t="s">
        <v>308</v>
      </c>
      <c r="BH9" s="535" t="s">
        <v>803</v>
      </c>
      <c r="BI9" s="536" t="s">
        <v>294</v>
      </c>
      <c r="BJ9" s="537" t="s">
        <v>800</v>
      </c>
      <c r="BK9" s="538" t="s">
        <v>801</v>
      </c>
      <c r="BL9" s="539" t="s">
        <v>297</v>
      </c>
      <c r="BM9" s="538" t="s">
        <v>801</v>
      </c>
      <c r="BN9" s="539" t="s">
        <v>297</v>
      </c>
      <c r="BO9" s="538" t="s">
        <v>801</v>
      </c>
      <c r="BP9" s="539" t="s">
        <v>297</v>
      </c>
      <c r="BQ9" s="538" t="s">
        <v>628</v>
      </c>
      <c r="BR9" s="539" t="s">
        <v>297</v>
      </c>
      <c r="BS9" s="538" t="s">
        <v>801</v>
      </c>
      <c r="BT9" s="539" t="s">
        <v>297</v>
      </c>
      <c r="BU9" s="538" t="s">
        <v>801</v>
      </c>
      <c r="BV9" s="539" t="s">
        <v>297</v>
      </c>
      <c r="BW9" s="538" t="s">
        <v>801</v>
      </c>
      <c r="BX9" s="539" t="s">
        <v>297</v>
      </c>
      <c r="BY9" s="538" t="s">
        <v>801</v>
      </c>
      <c r="BZ9" s="539" t="s">
        <v>297</v>
      </c>
      <c r="CA9" s="538" t="s">
        <v>801</v>
      </c>
      <c r="CB9" s="539" t="s">
        <v>297</v>
      </c>
      <c r="CC9" s="538" t="s">
        <v>801</v>
      </c>
      <c r="CD9" s="539" t="s">
        <v>297</v>
      </c>
      <c r="CE9" s="538" t="s">
        <v>802</v>
      </c>
      <c r="CF9" s="539" t="s">
        <v>297</v>
      </c>
      <c r="CG9" s="538" t="s">
        <v>802</v>
      </c>
      <c r="CH9" s="539" t="s">
        <v>297</v>
      </c>
      <c r="CI9" s="538" t="s">
        <v>801</v>
      </c>
      <c r="CJ9" s="539" t="s">
        <v>297</v>
      </c>
      <c r="CK9" s="538" t="s">
        <v>801</v>
      </c>
      <c r="CL9" s="539" t="s">
        <v>297</v>
      </c>
      <c r="CM9" s="538" t="s">
        <v>801</v>
      </c>
      <c r="CN9" s="539" t="s">
        <v>297</v>
      </c>
      <c r="CO9" s="538" t="s">
        <v>802</v>
      </c>
      <c r="CP9" s="539" t="s">
        <v>297</v>
      </c>
      <c r="CQ9" s="538" t="s">
        <v>801</v>
      </c>
      <c r="CR9" s="539" t="s">
        <v>297</v>
      </c>
      <c r="CS9" s="538" t="s">
        <v>801</v>
      </c>
      <c r="CT9" s="539" t="s">
        <v>297</v>
      </c>
      <c r="CU9" s="538" t="s">
        <v>801</v>
      </c>
      <c r="CV9" s="539" t="s">
        <v>297</v>
      </c>
      <c r="CW9" s="538" t="s">
        <v>801</v>
      </c>
      <c r="CX9" s="539" t="s">
        <v>297</v>
      </c>
      <c r="CY9" s="538" t="s">
        <v>801</v>
      </c>
      <c r="CZ9" s="539" t="s">
        <v>297</v>
      </c>
      <c r="DA9" s="538" t="s">
        <v>801</v>
      </c>
      <c r="DB9" s="539" t="s">
        <v>297</v>
      </c>
      <c r="DC9" s="538" t="s">
        <v>801</v>
      </c>
      <c r="DD9" s="539" t="s">
        <v>297</v>
      </c>
      <c r="DE9" s="540" t="s">
        <v>298</v>
      </c>
      <c r="DF9" s="503"/>
      <c r="DG9" s="532" t="s">
        <v>289</v>
      </c>
      <c r="DH9" s="533" t="s">
        <v>290</v>
      </c>
      <c r="DI9" s="534" t="s">
        <v>291</v>
      </c>
      <c r="DJ9" s="534" t="s">
        <v>308</v>
      </c>
      <c r="DK9" s="535" t="s">
        <v>626</v>
      </c>
      <c r="DL9" s="536" t="s">
        <v>294</v>
      </c>
      <c r="DM9" s="537" t="s">
        <v>627</v>
      </c>
      <c r="DN9" s="538" t="s">
        <v>628</v>
      </c>
      <c r="DO9" s="539" t="s">
        <v>297</v>
      </c>
      <c r="DP9" s="538" t="s">
        <v>802</v>
      </c>
      <c r="DQ9" s="539" t="s">
        <v>297</v>
      </c>
      <c r="DR9" s="538" t="s">
        <v>801</v>
      </c>
      <c r="DS9" s="539" t="s">
        <v>297</v>
      </c>
      <c r="DT9" s="538" t="s">
        <v>801</v>
      </c>
      <c r="DU9" s="539" t="s">
        <v>297</v>
      </c>
      <c r="DV9" s="538" t="s">
        <v>628</v>
      </c>
      <c r="DW9" s="539" t="s">
        <v>297</v>
      </c>
      <c r="DX9" s="538" t="s">
        <v>802</v>
      </c>
      <c r="DY9" s="539" t="s">
        <v>297</v>
      </c>
      <c r="DZ9" s="538" t="s">
        <v>801</v>
      </c>
      <c r="EA9" s="539" t="s">
        <v>297</v>
      </c>
      <c r="EB9" s="538" t="s">
        <v>628</v>
      </c>
      <c r="EC9" s="539" t="s">
        <v>297</v>
      </c>
      <c r="ED9" s="538" t="s">
        <v>801</v>
      </c>
      <c r="EE9" s="539" t="s">
        <v>297</v>
      </c>
      <c r="EF9" s="538" t="s">
        <v>801</v>
      </c>
      <c r="EG9" s="539" t="s">
        <v>297</v>
      </c>
      <c r="EH9" s="538" t="s">
        <v>801</v>
      </c>
      <c r="EI9" s="539" t="s">
        <v>297</v>
      </c>
      <c r="EJ9" s="538" t="s">
        <v>801</v>
      </c>
      <c r="EK9" s="539" t="s">
        <v>297</v>
      </c>
      <c r="EL9" s="538" t="s">
        <v>628</v>
      </c>
      <c r="EM9" s="539" t="s">
        <v>297</v>
      </c>
      <c r="EN9" s="538" t="s">
        <v>801</v>
      </c>
      <c r="EO9" s="539" t="s">
        <v>297</v>
      </c>
      <c r="EP9" s="538" t="s">
        <v>802</v>
      </c>
      <c r="EQ9" s="539" t="s">
        <v>297</v>
      </c>
      <c r="ER9" s="538" t="s">
        <v>801</v>
      </c>
      <c r="ES9" s="539" t="s">
        <v>297</v>
      </c>
      <c r="ET9" s="538" t="s">
        <v>801</v>
      </c>
      <c r="EU9" s="539" t="s">
        <v>297</v>
      </c>
      <c r="EV9" s="538" t="s">
        <v>801</v>
      </c>
      <c r="EW9" s="539" t="s">
        <v>297</v>
      </c>
      <c r="EX9" s="538" t="s">
        <v>802</v>
      </c>
      <c r="EY9" s="539" t="s">
        <v>297</v>
      </c>
      <c r="EZ9" s="538" t="s">
        <v>628</v>
      </c>
      <c r="FA9" s="539" t="s">
        <v>297</v>
      </c>
      <c r="FB9" s="538" t="s">
        <v>628</v>
      </c>
      <c r="FC9" s="539" t="s">
        <v>297</v>
      </c>
      <c r="FD9" s="538" t="s">
        <v>802</v>
      </c>
      <c r="FE9" s="539" t="s">
        <v>297</v>
      </c>
      <c r="FF9" s="538" t="s">
        <v>801</v>
      </c>
      <c r="FG9" s="539" t="s">
        <v>297</v>
      </c>
      <c r="FH9" s="540" t="s">
        <v>298</v>
      </c>
      <c r="FI9" s="541"/>
      <c r="FJ9" s="542" t="s">
        <v>289</v>
      </c>
      <c r="FK9" s="533" t="s">
        <v>290</v>
      </c>
      <c r="FL9" s="534" t="s">
        <v>291</v>
      </c>
      <c r="FM9" s="534" t="s">
        <v>308</v>
      </c>
      <c r="FN9" s="535" t="s">
        <v>803</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523</v>
      </c>
      <c r="GL9" s="529"/>
      <c r="GM9" s="530"/>
      <c r="GN9" s="529"/>
      <c r="GO9" s="549">
        <v>0.92</v>
      </c>
      <c r="GP9" s="529"/>
      <c r="GQ9" s="529"/>
      <c r="GR9" s="529"/>
      <c r="GS9" s="529"/>
      <c r="GT9" s="550"/>
      <c r="GU9" s="483" t="s">
        <v>524</v>
      </c>
      <c r="GV9" s="413"/>
      <c r="GW9" s="483"/>
      <c r="GX9" s="551">
        <v>1</v>
      </c>
      <c r="GY9" s="483"/>
      <c r="GZ9" s="486"/>
      <c r="HA9" s="530"/>
      <c r="HB9" s="530"/>
      <c r="HC9" s="530"/>
      <c r="HD9" s="437"/>
      <c r="HE9" s="437"/>
      <c r="HF9" s="1279"/>
      <c r="HG9" s="1279"/>
    </row>
    <row r="10" spans="1:353" ht="20.100000000000001" customHeight="1">
      <c r="A10" s="552"/>
      <c r="B10" s="553"/>
      <c r="C10" s="554"/>
      <c r="D10" s="555"/>
      <c r="E10" s="553"/>
      <c r="F10" s="554"/>
      <c r="G10" s="556"/>
      <c r="H10" s="557"/>
      <c r="I10" s="558"/>
      <c r="J10" s="559"/>
      <c r="K10" s="560"/>
      <c r="L10" s="559"/>
      <c r="M10" s="560"/>
      <c r="N10" s="559"/>
      <c r="O10" s="560"/>
      <c r="P10" s="559"/>
      <c r="Q10" s="560"/>
      <c r="R10" s="559"/>
      <c r="S10" s="560"/>
      <c r="T10" s="559"/>
      <c r="U10" s="560"/>
      <c r="V10" s="559"/>
      <c r="W10" s="560"/>
      <c r="X10" s="559"/>
      <c r="Y10" s="560"/>
      <c r="Z10" s="559"/>
      <c r="AA10" s="560"/>
      <c r="AB10" s="559"/>
      <c r="AC10" s="560"/>
      <c r="AD10" s="559"/>
      <c r="AE10" s="560"/>
      <c r="AF10" s="559"/>
      <c r="AG10" s="560"/>
      <c r="AH10" s="559"/>
      <c r="AI10" s="560"/>
      <c r="AJ10" s="559"/>
      <c r="AK10" s="560"/>
      <c r="AL10" s="559"/>
      <c r="AM10" s="560"/>
      <c r="AN10" s="559"/>
      <c r="AO10" s="560"/>
      <c r="AP10" s="559"/>
      <c r="AQ10" s="560"/>
      <c r="AR10" s="559"/>
      <c r="AS10" s="560"/>
      <c r="AT10" s="559"/>
      <c r="AU10" s="560"/>
      <c r="AV10" s="559"/>
      <c r="AW10" s="560"/>
      <c r="AX10" s="559"/>
      <c r="AY10" s="560"/>
      <c r="AZ10" s="559"/>
      <c r="BA10" s="560"/>
      <c r="BB10" s="561"/>
      <c r="BC10" s="562"/>
      <c r="BD10" s="552"/>
      <c r="BE10" s="553"/>
      <c r="BF10" s="554"/>
      <c r="BG10" s="555"/>
      <c r="BH10" s="553"/>
      <c r="BI10" s="554"/>
      <c r="BJ10" s="556"/>
      <c r="BK10" s="557"/>
      <c r="BL10" s="558"/>
      <c r="BM10" s="559"/>
      <c r="BN10" s="560"/>
      <c r="BO10" s="559"/>
      <c r="BP10" s="560"/>
      <c r="BQ10" s="559"/>
      <c r="BR10" s="560"/>
      <c r="BS10" s="559"/>
      <c r="BT10" s="560"/>
      <c r="BU10" s="559"/>
      <c r="BV10" s="560"/>
      <c r="BW10" s="559"/>
      <c r="BX10" s="560"/>
      <c r="BY10" s="559"/>
      <c r="BZ10" s="560"/>
      <c r="CA10" s="559"/>
      <c r="CB10" s="560"/>
      <c r="CC10" s="559"/>
      <c r="CD10" s="560"/>
      <c r="CE10" s="559"/>
      <c r="CF10" s="560"/>
      <c r="CG10" s="559"/>
      <c r="CH10" s="560"/>
      <c r="CI10" s="559"/>
      <c r="CJ10" s="560"/>
      <c r="CK10" s="559"/>
      <c r="CL10" s="560"/>
      <c r="CM10" s="559"/>
      <c r="CN10" s="560"/>
      <c r="CO10" s="559"/>
      <c r="CP10" s="560"/>
      <c r="CQ10" s="559"/>
      <c r="CR10" s="560"/>
      <c r="CS10" s="559"/>
      <c r="CT10" s="560"/>
      <c r="CU10" s="559"/>
      <c r="CV10" s="560"/>
      <c r="CW10" s="559"/>
      <c r="CX10" s="560"/>
      <c r="CY10" s="559"/>
      <c r="CZ10" s="560"/>
      <c r="DA10" s="559"/>
      <c r="DB10" s="560"/>
      <c r="DC10" s="559"/>
      <c r="DD10" s="560"/>
      <c r="DE10" s="561"/>
      <c r="DF10" s="562"/>
      <c r="DG10" s="552"/>
      <c r="DH10" s="553"/>
      <c r="DI10" s="554"/>
      <c r="DJ10" s="555"/>
      <c r="DK10" s="553"/>
      <c r="DL10" s="554"/>
      <c r="DM10" s="556"/>
      <c r="DN10" s="557"/>
      <c r="DO10" s="558"/>
      <c r="DP10" s="559"/>
      <c r="DQ10" s="560"/>
      <c r="DR10" s="559"/>
      <c r="DS10" s="560"/>
      <c r="DT10" s="559"/>
      <c r="DU10" s="560"/>
      <c r="DV10" s="559"/>
      <c r="DW10" s="560"/>
      <c r="DX10" s="559"/>
      <c r="DY10" s="560"/>
      <c r="DZ10" s="559"/>
      <c r="EA10" s="560"/>
      <c r="EB10" s="559"/>
      <c r="EC10" s="560"/>
      <c r="ED10" s="559"/>
      <c r="EE10" s="560"/>
      <c r="EF10" s="559"/>
      <c r="EG10" s="560"/>
      <c r="EH10" s="559"/>
      <c r="EI10" s="560"/>
      <c r="EJ10" s="559"/>
      <c r="EK10" s="560"/>
      <c r="EL10" s="559"/>
      <c r="EM10" s="560"/>
      <c r="EN10" s="559"/>
      <c r="EO10" s="560"/>
      <c r="EP10" s="559"/>
      <c r="EQ10" s="560"/>
      <c r="ER10" s="559"/>
      <c r="ES10" s="560"/>
      <c r="ET10" s="559"/>
      <c r="EU10" s="560"/>
      <c r="EV10" s="559"/>
      <c r="EW10" s="560"/>
      <c r="EX10" s="559"/>
      <c r="EY10" s="560"/>
      <c r="EZ10" s="559"/>
      <c r="FA10" s="560"/>
      <c r="FB10" s="559"/>
      <c r="FC10" s="560"/>
      <c r="FD10" s="559"/>
      <c r="FE10" s="560"/>
      <c r="FF10" s="559"/>
      <c r="FG10" s="560"/>
      <c r="FH10" s="561"/>
      <c r="FI10" s="563"/>
      <c r="FJ10" s="564"/>
      <c r="FK10" s="553"/>
      <c r="FL10" s="554"/>
      <c r="FM10" s="555"/>
      <c r="FN10" s="553"/>
      <c r="FO10" s="554"/>
      <c r="FP10" s="565"/>
      <c r="FQ10" s="558"/>
      <c r="FR10" s="557" t="s">
        <v>304</v>
      </c>
      <c r="FS10" s="566"/>
      <c r="FT10" s="558"/>
      <c r="FU10" s="567" t="s">
        <v>629</v>
      </c>
      <c r="FV10" s="568" t="s">
        <v>301</v>
      </c>
      <c r="FW10" s="1280"/>
      <c r="FX10" s="1288" t="s">
        <v>302</v>
      </c>
      <c r="FY10" s="1282"/>
      <c r="FZ10" s="1289" t="s">
        <v>303</v>
      </c>
      <c r="GA10" s="1284"/>
      <c r="GB10" s="1290" t="s">
        <v>814</v>
      </c>
      <c r="GC10" s="1286"/>
      <c r="GD10" s="576" t="s">
        <v>816</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629</v>
      </c>
      <c r="FS11" s="591"/>
      <c r="FT11" s="586"/>
      <c r="FU11" s="592" t="s">
        <v>804</v>
      </c>
      <c r="FV11" s="593"/>
      <c r="FW11" s="594"/>
      <c r="FX11" s="595"/>
      <c r="FY11" s="596"/>
      <c r="FZ11" s="597"/>
      <c r="GA11" s="598"/>
      <c r="GB11" s="599"/>
      <c r="GC11" s="600"/>
      <c r="GD11" s="599"/>
      <c r="GE11" s="601"/>
      <c r="GF11" s="499"/>
      <c r="GG11" s="602"/>
      <c r="GH11" s="602"/>
      <c r="GI11" s="602"/>
      <c r="GJ11" s="529"/>
      <c r="GK11" s="580" t="s">
        <v>829</v>
      </c>
      <c r="GL11" s="413"/>
      <c r="GM11" s="483"/>
      <c r="GN11" s="486"/>
      <c r="GO11" s="483"/>
      <c r="GP11" s="413"/>
      <c r="GQ11" s="529"/>
      <c r="GR11" s="529"/>
      <c r="GS11" s="529"/>
      <c r="GT11" s="548"/>
      <c r="GU11" s="580" t="s">
        <v>830</v>
      </c>
      <c r="GV11" s="413"/>
      <c r="GW11" s="483"/>
      <c r="GX11" s="486"/>
      <c r="GY11" s="483"/>
      <c r="GZ11" s="413"/>
      <c r="HA11" s="530"/>
      <c r="HB11" s="530"/>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304</v>
      </c>
      <c r="FS12" s="591"/>
      <c r="FT12" s="586"/>
      <c r="FU12" s="592" t="s">
        <v>805</v>
      </c>
      <c r="FV12" s="593"/>
      <c r="FW12" s="594"/>
      <c r="FX12" s="595"/>
      <c r="FY12" s="596"/>
      <c r="FZ12" s="597"/>
      <c r="GA12" s="598"/>
      <c r="GB12" s="599"/>
      <c r="GC12" s="600"/>
      <c r="GD12" s="599"/>
      <c r="GE12" s="601"/>
      <c r="GF12" s="499"/>
      <c r="GG12" s="602"/>
      <c r="GH12" s="602"/>
      <c r="GI12" s="602"/>
      <c r="GJ12" s="413"/>
      <c r="GK12" s="603" t="s">
        <v>384</v>
      </c>
      <c r="GL12" s="604"/>
      <c r="GM12" s="605" t="s">
        <v>774</v>
      </c>
      <c r="GN12" s="606" t="s">
        <v>831</v>
      </c>
      <c r="GO12" s="607" t="s">
        <v>832</v>
      </c>
      <c r="GP12" s="608" t="s">
        <v>530</v>
      </c>
      <c r="GQ12" s="607" t="s">
        <v>531</v>
      </c>
      <c r="GR12" s="607" t="s">
        <v>694</v>
      </c>
      <c r="GS12" s="609"/>
      <c r="GT12" s="548"/>
      <c r="GU12" s="603" t="s">
        <v>384</v>
      </c>
      <c r="GV12" s="604"/>
      <c r="GW12" s="605" t="s">
        <v>774</v>
      </c>
      <c r="GX12" s="610" t="s">
        <v>695</v>
      </c>
      <c r="GY12" s="611"/>
      <c r="GZ12" s="612" t="s">
        <v>832</v>
      </c>
      <c r="HA12" s="613" t="s">
        <v>696</v>
      </c>
      <c r="HB12" s="614"/>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805</v>
      </c>
      <c r="FS13" s="626"/>
      <c r="FT13" s="621"/>
      <c r="FU13" s="627" t="s">
        <v>304</v>
      </c>
      <c r="FV13" s="593"/>
      <c r="FW13" s="594"/>
      <c r="FX13" s="595"/>
      <c r="FY13" s="596"/>
      <c r="FZ13" s="597"/>
      <c r="GA13" s="598"/>
      <c r="GB13" s="599"/>
      <c r="GC13" s="600"/>
      <c r="GD13" s="599"/>
      <c r="GE13" s="601"/>
      <c r="GF13" s="499"/>
      <c r="GG13" s="602"/>
      <c r="GH13" s="602"/>
      <c r="GI13" s="602"/>
      <c r="GJ13" s="413"/>
      <c r="GK13" s="628"/>
      <c r="GL13" s="629"/>
      <c r="GM13" s="630"/>
      <c r="GN13" s="631"/>
      <c r="GO13" s="632"/>
      <c r="GP13" s="632"/>
      <c r="GQ13" s="633">
        <v>0</v>
      </c>
      <c r="GR13" s="634">
        <v>0</v>
      </c>
      <c r="GS13" s="578"/>
      <c r="GT13" s="413"/>
      <c r="GU13" s="628"/>
      <c r="GV13" s="629"/>
      <c r="GW13" s="635"/>
      <c r="GX13" s="636"/>
      <c r="GY13" s="637"/>
      <c r="GZ13" s="638"/>
      <c r="HA13" s="639">
        <v>0</v>
      </c>
      <c r="HB13" s="640"/>
      <c r="HC13" s="530"/>
      <c r="HD13" s="799"/>
      <c r="HE13" s="437"/>
      <c r="HF13" s="386"/>
      <c r="HG13" s="386"/>
    </row>
    <row r="14" spans="1:353" ht="20.100000000000001" customHeight="1">
      <c r="A14" s="641"/>
      <c r="B14" s="642"/>
      <c r="C14" s="642"/>
      <c r="D14" s="643" t="s">
        <v>306</v>
      </c>
      <c r="E14" s="642"/>
      <c r="F14" s="642"/>
      <c r="G14" s="644"/>
      <c r="H14" s="645">
        <f>SUM(H10:H13)</f>
        <v>0</v>
      </c>
      <c r="I14" s="1291"/>
      <c r="J14" s="645">
        <f>SUM(J10:J13)</f>
        <v>0</v>
      </c>
      <c r="K14" s="1291"/>
      <c r="L14" s="645">
        <f>SUM(L10:L13)</f>
        <v>0</v>
      </c>
      <c r="M14" s="1291"/>
      <c r="N14" s="645">
        <f>SUM(N10:N13)</f>
        <v>0</v>
      </c>
      <c r="O14" s="1291"/>
      <c r="P14" s="645">
        <f>SUM(P10:P13)</f>
        <v>0</v>
      </c>
      <c r="Q14" s="1291"/>
      <c r="R14" s="645">
        <f>SUM(R10:R13)</f>
        <v>0</v>
      </c>
      <c r="S14" s="1291"/>
      <c r="T14" s="645">
        <f>SUM(T10:T13)</f>
        <v>0</v>
      </c>
      <c r="U14" s="1291"/>
      <c r="V14" s="645">
        <f>SUM(V10:V13)</f>
        <v>0</v>
      </c>
      <c r="W14" s="1291"/>
      <c r="X14" s="645">
        <f>SUM(X10:X13)</f>
        <v>0</v>
      </c>
      <c r="Y14" s="1291"/>
      <c r="Z14" s="645">
        <f>SUM(Z10:Z13)</f>
        <v>0</v>
      </c>
      <c r="AA14" s="1291"/>
      <c r="AB14" s="645">
        <f>SUM(AB10:AB13)</f>
        <v>0</v>
      </c>
      <c r="AC14" s="1291"/>
      <c r="AD14" s="645">
        <f>SUM(AD10:AD13)</f>
        <v>0</v>
      </c>
      <c r="AE14" s="1291"/>
      <c r="AF14" s="645">
        <f>SUM(AF10:AF13)</f>
        <v>0</v>
      </c>
      <c r="AG14" s="1291"/>
      <c r="AH14" s="645">
        <f>SUM(AH10:AH13)</f>
        <v>0</v>
      </c>
      <c r="AI14" s="1291"/>
      <c r="AJ14" s="645">
        <f>SUM(AJ10:AJ13)</f>
        <v>0</v>
      </c>
      <c r="AK14" s="1291"/>
      <c r="AL14" s="645">
        <f>SUM(AL10:AL13)</f>
        <v>0</v>
      </c>
      <c r="AM14" s="1291"/>
      <c r="AN14" s="645">
        <f>SUM(AN10:AN13)</f>
        <v>0</v>
      </c>
      <c r="AO14" s="1291"/>
      <c r="AP14" s="645">
        <f>SUM(AP10:AP13)</f>
        <v>0</v>
      </c>
      <c r="AQ14" s="1291"/>
      <c r="AR14" s="645">
        <f>SUM(AR10:AR13)</f>
        <v>0</v>
      </c>
      <c r="AS14" s="1291"/>
      <c r="AT14" s="645">
        <f>SUM(AT10:AT13)</f>
        <v>0</v>
      </c>
      <c r="AU14" s="1291"/>
      <c r="AV14" s="645">
        <f>SUM(AV10:AV13)</f>
        <v>0</v>
      </c>
      <c r="AW14" s="1291"/>
      <c r="AX14" s="645">
        <f>SUM(AX10:AX13)</f>
        <v>0</v>
      </c>
      <c r="AY14" s="1291"/>
      <c r="AZ14" s="645">
        <f>SUM(AZ10:AZ13)</f>
        <v>0</v>
      </c>
      <c r="BA14" s="1291"/>
      <c r="BB14" s="647">
        <f>SUM(BB10:BB13)</f>
        <v>0</v>
      </c>
      <c r="BC14" s="648"/>
      <c r="BD14" s="641"/>
      <c r="BE14" s="642"/>
      <c r="BF14" s="642"/>
      <c r="BG14" s="643" t="s">
        <v>305</v>
      </c>
      <c r="BH14" s="642"/>
      <c r="BI14" s="642"/>
      <c r="BJ14" s="644"/>
      <c r="BK14" s="645">
        <f>SUM(BK10:BK13)</f>
        <v>0</v>
      </c>
      <c r="BL14" s="1291"/>
      <c r="BM14" s="645">
        <f>SUM(BM10:BM13)</f>
        <v>0</v>
      </c>
      <c r="BN14" s="1291"/>
      <c r="BO14" s="645">
        <f>SUM(BO10:BO13)</f>
        <v>0</v>
      </c>
      <c r="BP14" s="1291"/>
      <c r="BQ14" s="645">
        <f>SUM(BQ10:BQ13)</f>
        <v>0</v>
      </c>
      <c r="BR14" s="1291"/>
      <c r="BS14" s="645">
        <f>SUM(BS10:BS13)</f>
        <v>0</v>
      </c>
      <c r="BT14" s="1291"/>
      <c r="BU14" s="645">
        <f>SUM(BU10:BU13)</f>
        <v>0</v>
      </c>
      <c r="BV14" s="1291"/>
      <c r="BW14" s="645">
        <f>SUM(BW10:BW13)</f>
        <v>0</v>
      </c>
      <c r="BX14" s="1291"/>
      <c r="BY14" s="645">
        <f>SUM(BY10:BY13)</f>
        <v>0</v>
      </c>
      <c r="BZ14" s="1291"/>
      <c r="CA14" s="645">
        <f>SUM(CA10:CA13)</f>
        <v>0</v>
      </c>
      <c r="CB14" s="1291"/>
      <c r="CC14" s="645">
        <f>SUM(CC10:CC13)</f>
        <v>0</v>
      </c>
      <c r="CD14" s="1291"/>
      <c r="CE14" s="645">
        <f>SUM(CE10:CE13)</f>
        <v>0</v>
      </c>
      <c r="CF14" s="1291"/>
      <c r="CG14" s="645">
        <f>SUM(CG10:CG13)</f>
        <v>0</v>
      </c>
      <c r="CH14" s="1291"/>
      <c r="CI14" s="645">
        <f>SUM(CI10:CI13)</f>
        <v>0</v>
      </c>
      <c r="CJ14" s="1291"/>
      <c r="CK14" s="645">
        <f>SUM(CK10:CK13)</f>
        <v>0</v>
      </c>
      <c r="CL14" s="1291"/>
      <c r="CM14" s="645">
        <f>SUM(CM10:CM13)</f>
        <v>0</v>
      </c>
      <c r="CN14" s="1291"/>
      <c r="CO14" s="645">
        <f>SUM(CO10:CO13)</f>
        <v>0</v>
      </c>
      <c r="CP14" s="1291"/>
      <c r="CQ14" s="645">
        <f>SUM(CQ10:CQ13)</f>
        <v>0</v>
      </c>
      <c r="CR14" s="1291"/>
      <c r="CS14" s="645">
        <f>SUM(CS10:CS13)</f>
        <v>0</v>
      </c>
      <c r="CT14" s="1291"/>
      <c r="CU14" s="645">
        <f>SUM(CU10:CU13)</f>
        <v>0</v>
      </c>
      <c r="CV14" s="1291"/>
      <c r="CW14" s="645">
        <f>SUM(CW10:CW13)</f>
        <v>0</v>
      </c>
      <c r="CX14" s="1291"/>
      <c r="CY14" s="645">
        <f>SUM(CY10:CY13)</f>
        <v>0</v>
      </c>
      <c r="CZ14" s="1291"/>
      <c r="DA14" s="645">
        <f>SUM(DA10:DA13)</f>
        <v>0</v>
      </c>
      <c r="DB14" s="1291"/>
      <c r="DC14" s="645">
        <f>SUM(DC10:DC13)</f>
        <v>0</v>
      </c>
      <c r="DD14" s="1291"/>
      <c r="DE14" s="647">
        <f>SUM(DE10:DE13)</f>
        <v>0</v>
      </c>
      <c r="DF14" s="648"/>
      <c r="DG14" s="641"/>
      <c r="DH14" s="642"/>
      <c r="DI14" s="642"/>
      <c r="DJ14" s="643" t="s">
        <v>806</v>
      </c>
      <c r="DK14" s="642"/>
      <c r="DL14" s="642"/>
      <c r="DM14" s="644"/>
      <c r="DN14" s="645">
        <f>SUM(DN10:DN13)</f>
        <v>0</v>
      </c>
      <c r="DO14" s="1291"/>
      <c r="DP14" s="645">
        <f>SUM(DP10:DP13)</f>
        <v>0</v>
      </c>
      <c r="DQ14" s="1291"/>
      <c r="DR14" s="645">
        <f>SUM(DR10:DR13)</f>
        <v>0</v>
      </c>
      <c r="DS14" s="1291"/>
      <c r="DT14" s="645">
        <f>SUM(DT10:DT13)</f>
        <v>0</v>
      </c>
      <c r="DU14" s="1291"/>
      <c r="DV14" s="645">
        <f>SUM(DV10:DV13)</f>
        <v>0</v>
      </c>
      <c r="DW14" s="1291"/>
      <c r="DX14" s="645">
        <f>SUM(DX10:DX13)</f>
        <v>0</v>
      </c>
      <c r="DY14" s="1291"/>
      <c r="DZ14" s="645">
        <f>SUM(DZ10:DZ13)</f>
        <v>0</v>
      </c>
      <c r="EA14" s="1291"/>
      <c r="EB14" s="645">
        <f>SUM(EB10:EB13)</f>
        <v>0</v>
      </c>
      <c r="EC14" s="1291"/>
      <c r="ED14" s="645">
        <f>SUM(ED10:ED13)</f>
        <v>0</v>
      </c>
      <c r="EE14" s="1291"/>
      <c r="EF14" s="645">
        <f>SUM(EF10:EF13)</f>
        <v>0</v>
      </c>
      <c r="EG14" s="1291"/>
      <c r="EH14" s="645">
        <f>SUM(EH10:EH13)</f>
        <v>0</v>
      </c>
      <c r="EI14" s="1291"/>
      <c r="EJ14" s="645">
        <f>SUM(EJ10:EJ13)</f>
        <v>0</v>
      </c>
      <c r="EK14" s="1291"/>
      <c r="EL14" s="645">
        <f>SUM(EL10:EL13)</f>
        <v>0</v>
      </c>
      <c r="EM14" s="1291"/>
      <c r="EN14" s="645">
        <f>SUM(EN10:EN13)</f>
        <v>0</v>
      </c>
      <c r="EO14" s="1291"/>
      <c r="EP14" s="645">
        <f>SUM(EP10:EP13)</f>
        <v>0</v>
      </c>
      <c r="EQ14" s="1291"/>
      <c r="ER14" s="645">
        <f>SUM(ER10:ER13)</f>
        <v>0</v>
      </c>
      <c r="ES14" s="1291"/>
      <c r="ET14" s="645">
        <f>SUM(ET10:ET13)</f>
        <v>0</v>
      </c>
      <c r="EU14" s="1291"/>
      <c r="EV14" s="645">
        <f>SUM(EV10:EV13)</f>
        <v>0</v>
      </c>
      <c r="EW14" s="1291"/>
      <c r="EX14" s="645">
        <f>SUM(EX10:EX13)</f>
        <v>0</v>
      </c>
      <c r="EY14" s="1291"/>
      <c r="EZ14" s="645">
        <f>SUM(EZ10:EZ13)</f>
        <v>0</v>
      </c>
      <c r="FA14" s="1291"/>
      <c r="FB14" s="645">
        <f>SUM(FB10:FB13)</f>
        <v>0</v>
      </c>
      <c r="FC14" s="1291"/>
      <c r="FD14" s="645">
        <f>SUM(FD10:FD13)</f>
        <v>0</v>
      </c>
      <c r="FE14" s="1291"/>
      <c r="FF14" s="645">
        <f>SUM(FF10:FF13)</f>
        <v>0</v>
      </c>
      <c r="FG14" s="1291"/>
      <c r="FH14" s="647">
        <f>SUM(FH10:FH13)</f>
        <v>0</v>
      </c>
      <c r="FI14" s="649"/>
      <c r="FJ14" s="564"/>
      <c r="FK14" s="642"/>
      <c r="FL14" s="642"/>
      <c r="FM14" s="643" t="s">
        <v>806</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c r="GV14" s="629"/>
      <c r="GW14" s="635"/>
      <c r="GX14" s="636"/>
      <c r="GY14" s="637"/>
      <c r="GZ14" s="638"/>
      <c r="HA14" s="639">
        <v>0</v>
      </c>
      <c r="HB14" s="640"/>
      <c r="HC14" s="530"/>
      <c r="HD14" s="1278"/>
      <c r="HE14" s="415"/>
      <c r="HF14" s="415"/>
      <c r="HG14" s="415"/>
    </row>
    <row r="15" spans="1:353" ht="24" customHeight="1">
      <c r="A15" s="532" t="s">
        <v>307</v>
      </c>
      <c r="B15" s="658" t="s">
        <v>290</v>
      </c>
      <c r="C15" s="659" t="s">
        <v>291</v>
      </c>
      <c r="D15" s="660" t="s">
        <v>308</v>
      </c>
      <c r="E15" s="660" t="s">
        <v>309</v>
      </c>
      <c r="F15" s="661" t="s">
        <v>310</v>
      </c>
      <c r="G15" s="662" t="s">
        <v>311</v>
      </c>
      <c r="H15" s="663" t="s">
        <v>314</v>
      </c>
      <c r="I15" s="664" t="s">
        <v>313</v>
      </c>
      <c r="J15" s="663" t="s">
        <v>314</v>
      </c>
      <c r="K15" s="664" t="s">
        <v>313</v>
      </c>
      <c r="L15" s="663" t="s">
        <v>314</v>
      </c>
      <c r="M15" s="664" t="s">
        <v>313</v>
      </c>
      <c r="N15" s="663" t="s">
        <v>635</v>
      </c>
      <c r="O15" s="664" t="s">
        <v>313</v>
      </c>
      <c r="P15" s="663" t="s">
        <v>314</v>
      </c>
      <c r="Q15" s="664" t="s">
        <v>313</v>
      </c>
      <c r="R15" s="663" t="s">
        <v>314</v>
      </c>
      <c r="S15" s="664" t="s">
        <v>313</v>
      </c>
      <c r="T15" s="663" t="s">
        <v>314</v>
      </c>
      <c r="U15" s="664" t="s">
        <v>313</v>
      </c>
      <c r="V15" s="663" t="s">
        <v>314</v>
      </c>
      <c r="W15" s="664" t="s">
        <v>313</v>
      </c>
      <c r="X15" s="663" t="s">
        <v>638</v>
      </c>
      <c r="Y15" s="664" t="s">
        <v>313</v>
      </c>
      <c r="Z15" s="663" t="s">
        <v>635</v>
      </c>
      <c r="AA15" s="664" t="s">
        <v>313</v>
      </c>
      <c r="AB15" s="663" t="s">
        <v>638</v>
      </c>
      <c r="AC15" s="664" t="s">
        <v>313</v>
      </c>
      <c r="AD15" s="663" t="s">
        <v>314</v>
      </c>
      <c r="AE15" s="664" t="s">
        <v>313</v>
      </c>
      <c r="AF15" s="663" t="s">
        <v>635</v>
      </c>
      <c r="AG15" s="664" t="s">
        <v>313</v>
      </c>
      <c r="AH15" s="663" t="s">
        <v>635</v>
      </c>
      <c r="AI15" s="664" t="s">
        <v>313</v>
      </c>
      <c r="AJ15" s="663" t="s">
        <v>314</v>
      </c>
      <c r="AK15" s="664" t="s">
        <v>313</v>
      </c>
      <c r="AL15" s="663" t="s">
        <v>314</v>
      </c>
      <c r="AM15" s="664" t="s">
        <v>313</v>
      </c>
      <c r="AN15" s="663" t="s">
        <v>635</v>
      </c>
      <c r="AO15" s="664" t="s">
        <v>313</v>
      </c>
      <c r="AP15" s="663" t="s">
        <v>637</v>
      </c>
      <c r="AQ15" s="664" t="s">
        <v>313</v>
      </c>
      <c r="AR15" s="663" t="s">
        <v>314</v>
      </c>
      <c r="AS15" s="664" t="s">
        <v>313</v>
      </c>
      <c r="AT15" s="663" t="s">
        <v>314</v>
      </c>
      <c r="AU15" s="664" t="s">
        <v>313</v>
      </c>
      <c r="AV15" s="663" t="s">
        <v>635</v>
      </c>
      <c r="AW15" s="664" t="s">
        <v>313</v>
      </c>
      <c r="AX15" s="663" t="s">
        <v>314</v>
      </c>
      <c r="AY15" s="664" t="s">
        <v>313</v>
      </c>
      <c r="AZ15" s="663" t="s">
        <v>637</v>
      </c>
      <c r="BA15" s="664" t="s">
        <v>313</v>
      </c>
      <c r="BB15" s="665" t="s">
        <v>316</v>
      </c>
      <c r="BC15" s="666"/>
      <c r="BD15" s="532" t="s">
        <v>307</v>
      </c>
      <c r="BE15" s="658" t="s">
        <v>290</v>
      </c>
      <c r="BF15" s="659" t="s">
        <v>291</v>
      </c>
      <c r="BG15" s="660" t="s">
        <v>308</v>
      </c>
      <c r="BH15" s="660" t="s">
        <v>309</v>
      </c>
      <c r="BI15" s="661" t="s">
        <v>310</v>
      </c>
      <c r="BJ15" s="662" t="s">
        <v>311</v>
      </c>
      <c r="BK15" s="663" t="s">
        <v>314</v>
      </c>
      <c r="BL15" s="664" t="s">
        <v>313</v>
      </c>
      <c r="BM15" s="663" t="s">
        <v>314</v>
      </c>
      <c r="BN15" s="664" t="s">
        <v>313</v>
      </c>
      <c r="BO15" s="663" t="s">
        <v>807</v>
      </c>
      <c r="BP15" s="664" t="s">
        <v>313</v>
      </c>
      <c r="BQ15" s="663" t="s">
        <v>312</v>
      </c>
      <c r="BR15" s="664" t="s">
        <v>313</v>
      </c>
      <c r="BS15" s="663" t="s">
        <v>312</v>
      </c>
      <c r="BT15" s="664" t="s">
        <v>313</v>
      </c>
      <c r="BU15" s="663" t="s">
        <v>635</v>
      </c>
      <c r="BV15" s="664" t="s">
        <v>313</v>
      </c>
      <c r="BW15" s="663" t="s">
        <v>314</v>
      </c>
      <c r="BX15" s="664" t="s">
        <v>313</v>
      </c>
      <c r="BY15" s="663" t="s">
        <v>314</v>
      </c>
      <c r="BZ15" s="664" t="s">
        <v>313</v>
      </c>
      <c r="CA15" s="663" t="s">
        <v>635</v>
      </c>
      <c r="CB15" s="664" t="s">
        <v>313</v>
      </c>
      <c r="CC15" s="663" t="s">
        <v>637</v>
      </c>
      <c r="CD15" s="664" t="s">
        <v>313</v>
      </c>
      <c r="CE15" s="663" t="s">
        <v>314</v>
      </c>
      <c r="CF15" s="664" t="s">
        <v>313</v>
      </c>
      <c r="CG15" s="663" t="s">
        <v>635</v>
      </c>
      <c r="CH15" s="664" t="s">
        <v>313</v>
      </c>
      <c r="CI15" s="663" t="s">
        <v>314</v>
      </c>
      <c r="CJ15" s="664" t="s">
        <v>313</v>
      </c>
      <c r="CK15" s="663" t="s">
        <v>314</v>
      </c>
      <c r="CL15" s="664" t="s">
        <v>313</v>
      </c>
      <c r="CM15" s="663" t="s">
        <v>314</v>
      </c>
      <c r="CN15" s="664" t="s">
        <v>313</v>
      </c>
      <c r="CO15" s="663" t="s">
        <v>638</v>
      </c>
      <c r="CP15" s="664" t="s">
        <v>313</v>
      </c>
      <c r="CQ15" s="663" t="s">
        <v>635</v>
      </c>
      <c r="CR15" s="664" t="s">
        <v>313</v>
      </c>
      <c r="CS15" s="663" t="s">
        <v>638</v>
      </c>
      <c r="CT15" s="664" t="s">
        <v>313</v>
      </c>
      <c r="CU15" s="663" t="s">
        <v>637</v>
      </c>
      <c r="CV15" s="664" t="s">
        <v>313</v>
      </c>
      <c r="CW15" s="663" t="s">
        <v>314</v>
      </c>
      <c r="CX15" s="664" t="s">
        <v>313</v>
      </c>
      <c r="CY15" s="663" t="s">
        <v>637</v>
      </c>
      <c r="CZ15" s="664" t="s">
        <v>313</v>
      </c>
      <c r="DA15" s="663" t="s">
        <v>314</v>
      </c>
      <c r="DB15" s="664" t="s">
        <v>313</v>
      </c>
      <c r="DC15" s="663" t="s">
        <v>635</v>
      </c>
      <c r="DD15" s="664" t="s">
        <v>313</v>
      </c>
      <c r="DE15" s="665" t="s">
        <v>316</v>
      </c>
      <c r="DF15" s="666"/>
      <c r="DG15" s="532" t="s">
        <v>307</v>
      </c>
      <c r="DH15" s="667" t="s">
        <v>290</v>
      </c>
      <c r="DI15" s="668" t="s">
        <v>291</v>
      </c>
      <c r="DJ15" s="669" t="s">
        <v>639</v>
      </c>
      <c r="DK15" s="669" t="s">
        <v>309</v>
      </c>
      <c r="DL15" s="670" t="s">
        <v>310</v>
      </c>
      <c r="DM15" s="662" t="s">
        <v>808</v>
      </c>
      <c r="DN15" s="663" t="s">
        <v>635</v>
      </c>
      <c r="DO15" s="664" t="s">
        <v>313</v>
      </c>
      <c r="DP15" s="663" t="s">
        <v>314</v>
      </c>
      <c r="DQ15" s="664" t="s">
        <v>313</v>
      </c>
      <c r="DR15" s="663" t="s">
        <v>314</v>
      </c>
      <c r="DS15" s="664" t="s">
        <v>313</v>
      </c>
      <c r="DT15" s="663" t="s">
        <v>314</v>
      </c>
      <c r="DU15" s="664" t="s">
        <v>313</v>
      </c>
      <c r="DV15" s="663" t="s">
        <v>635</v>
      </c>
      <c r="DW15" s="664" t="s">
        <v>313</v>
      </c>
      <c r="DX15" s="663" t="s">
        <v>314</v>
      </c>
      <c r="DY15" s="664" t="s">
        <v>313</v>
      </c>
      <c r="DZ15" s="663" t="s">
        <v>314</v>
      </c>
      <c r="EA15" s="664" t="s">
        <v>313</v>
      </c>
      <c r="EB15" s="663" t="s">
        <v>314</v>
      </c>
      <c r="EC15" s="664" t="s">
        <v>313</v>
      </c>
      <c r="ED15" s="663" t="s">
        <v>314</v>
      </c>
      <c r="EE15" s="664" t="s">
        <v>313</v>
      </c>
      <c r="EF15" s="663" t="s">
        <v>638</v>
      </c>
      <c r="EG15" s="664" t="s">
        <v>313</v>
      </c>
      <c r="EH15" s="663" t="s">
        <v>635</v>
      </c>
      <c r="EI15" s="664" t="s">
        <v>313</v>
      </c>
      <c r="EJ15" s="663" t="s">
        <v>638</v>
      </c>
      <c r="EK15" s="664" t="s">
        <v>313</v>
      </c>
      <c r="EL15" s="663" t="s">
        <v>314</v>
      </c>
      <c r="EM15" s="664" t="s">
        <v>313</v>
      </c>
      <c r="EN15" s="663" t="s">
        <v>635</v>
      </c>
      <c r="EO15" s="664" t="s">
        <v>313</v>
      </c>
      <c r="EP15" s="663" t="s">
        <v>635</v>
      </c>
      <c r="EQ15" s="664" t="s">
        <v>313</v>
      </c>
      <c r="ER15" s="663" t="s">
        <v>314</v>
      </c>
      <c r="ES15" s="664" t="s">
        <v>313</v>
      </c>
      <c r="ET15" s="663" t="s">
        <v>314</v>
      </c>
      <c r="EU15" s="664" t="s">
        <v>313</v>
      </c>
      <c r="EV15" s="663" t="s">
        <v>635</v>
      </c>
      <c r="EW15" s="664" t="s">
        <v>313</v>
      </c>
      <c r="EX15" s="663" t="s">
        <v>637</v>
      </c>
      <c r="EY15" s="664" t="s">
        <v>313</v>
      </c>
      <c r="EZ15" s="663" t="s">
        <v>314</v>
      </c>
      <c r="FA15" s="664" t="s">
        <v>313</v>
      </c>
      <c r="FB15" s="663" t="s">
        <v>314</v>
      </c>
      <c r="FC15" s="664" t="s">
        <v>313</v>
      </c>
      <c r="FD15" s="663" t="s">
        <v>635</v>
      </c>
      <c r="FE15" s="664" t="s">
        <v>313</v>
      </c>
      <c r="FF15" s="663" t="s">
        <v>314</v>
      </c>
      <c r="FG15" s="664" t="s">
        <v>313</v>
      </c>
      <c r="FH15" s="665" t="s">
        <v>316</v>
      </c>
      <c r="FI15" s="671"/>
      <c r="FJ15" s="542" t="s">
        <v>307</v>
      </c>
      <c r="FK15" s="658" t="s">
        <v>290</v>
      </c>
      <c r="FL15" s="659" t="s">
        <v>291</v>
      </c>
      <c r="FM15" s="660" t="s">
        <v>809</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353" ht="20.100000000000001" customHeight="1">
      <c r="A16" s="552"/>
      <c r="B16" s="554" t="s">
        <v>219</v>
      </c>
      <c r="C16" s="679" t="s">
        <v>68</v>
      </c>
      <c r="D16" s="555">
        <v>42.66</v>
      </c>
      <c r="E16" s="680">
        <v>0.64</v>
      </c>
      <c r="F16" s="681"/>
      <c r="G16" s="682">
        <v>0</v>
      </c>
      <c r="H16" s="559">
        <f>ROUND(42.66*0.64*0,0)</f>
        <v>0</v>
      </c>
      <c r="I16" s="683">
        <v>0</v>
      </c>
      <c r="J16" s="559">
        <f>ROUND(42.66*0.64*0,0)</f>
        <v>0</v>
      </c>
      <c r="K16" s="683">
        <v>0</v>
      </c>
      <c r="L16" s="559">
        <f>ROUND(42.66*0.64*0,0)</f>
        <v>0</v>
      </c>
      <c r="M16" s="683">
        <v>0</v>
      </c>
      <c r="N16" s="559">
        <f>ROUND(42.66*0.64*0,0)</f>
        <v>0</v>
      </c>
      <c r="O16" s="683">
        <v>0</v>
      </c>
      <c r="P16" s="559">
        <f>ROUND(42.66*0.64*0,0)</f>
        <v>0</v>
      </c>
      <c r="Q16" s="683">
        <v>0</v>
      </c>
      <c r="R16" s="559">
        <f>ROUND(42.66*0.64*0,0)</f>
        <v>0</v>
      </c>
      <c r="S16" s="683">
        <v>0</v>
      </c>
      <c r="T16" s="559">
        <f>ROUND(42.66*0.64*0,0)</f>
        <v>0</v>
      </c>
      <c r="U16" s="683">
        <v>0</v>
      </c>
      <c r="V16" s="559">
        <f>ROUND(42.66*0.64*0,0)</f>
        <v>0</v>
      </c>
      <c r="W16" s="683">
        <v>5.0999999999999996</v>
      </c>
      <c r="X16" s="559">
        <f>ROUND(42.66*0.64*5.1,0)</f>
        <v>139</v>
      </c>
      <c r="Y16" s="683">
        <v>6.4</v>
      </c>
      <c r="Z16" s="559">
        <f>ROUND(42.66*0.64*6.4,0)</f>
        <v>175</v>
      </c>
      <c r="AA16" s="683">
        <v>7.6</v>
      </c>
      <c r="AB16" s="559">
        <f>ROUND(42.66*0.64*7.6,0)</f>
        <v>207</v>
      </c>
      <c r="AC16" s="683">
        <v>8.6</v>
      </c>
      <c r="AD16" s="559">
        <f>ROUND(42.66*0.64*8.6,0)</f>
        <v>235</v>
      </c>
      <c r="AE16" s="683">
        <v>9.4</v>
      </c>
      <c r="AF16" s="559">
        <f>ROUND(42.66*0.64*9.4,0)</f>
        <v>257</v>
      </c>
      <c r="AG16" s="683">
        <v>10</v>
      </c>
      <c r="AH16" s="559">
        <f>ROUND(42.66*0.64*10,0)</f>
        <v>273</v>
      </c>
      <c r="AI16" s="683">
        <v>10.1</v>
      </c>
      <c r="AJ16" s="559">
        <f>ROUND(42.66*0.64*10.1,0)</f>
        <v>276</v>
      </c>
      <c r="AK16" s="683">
        <v>9.8000000000000007</v>
      </c>
      <c r="AL16" s="559">
        <f>ROUND(42.66*0.64*9.8,0)</f>
        <v>268</v>
      </c>
      <c r="AM16" s="683">
        <v>9.1</v>
      </c>
      <c r="AN16" s="559">
        <f>ROUND(42.66*0.64*9.1,0)</f>
        <v>248</v>
      </c>
      <c r="AO16" s="683">
        <v>7.8</v>
      </c>
      <c r="AP16" s="559">
        <f>ROUND(42.66*0.64*7.8,0)</f>
        <v>213</v>
      </c>
      <c r="AQ16" s="683">
        <v>0</v>
      </c>
      <c r="AR16" s="559">
        <f>ROUND(42.66*0.64*0,0)</f>
        <v>0</v>
      </c>
      <c r="AS16" s="683">
        <v>0</v>
      </c>
      <c r="AT16" s="559">
        <f>ROUND(42.66*0.64*0,0)</f>
        <v>0</v>
      </c>
      <c r="AU16" s="683">
        <v>0</v>
      </c>
      <c r="AV16" s="559">
        <f>ROUND(42.66*0.64*0,0)</f>
        <v>0</v>
      </c>
      <c r="AW16" s="683">
        <v>0</v>
      </c>
      <c r="AX16" s="559">
        <f>ROUND(42.66*0.64*0,0)</f>
        <v>0</v>
      </c>
      <c r="AY16" s="683">
        <v>0</v>
      </c>
      <c r="AZ16" s="559">
        <f>ROUND(42.66*0.64*0,0)</f>
        <v>0</v>
      </c>
      <c r="BA16" s="683">
        <v>0</v>
      </c>
      <c r="BB16" s="684">
        <f>ROUND(42.66*0.64*0,0)</f>
        <v>0</v>
      </c>
      <c r="BC16" s="562"/>
      <c r="BD16" s="552"/>
      <c r="BE16" s="554" t="s">
        <v>219</v>
      </c>
      <c r="BF16" s="679" t="s">
        <v>68</v>
      </c>
      <c r="BG16" s="555">
        <v>42.66</v>
      </c>
      <c r="BH16" s="680">
        <v>0.64</v>
      </c>
      <c r="BI16" s="681"/>
      <c r="BJ16" s="682">
        <v>0</v>
      </c>
      <c r="BK16" s="559">
        <f>ROUND(42.66*0.64*0,0)</f>
        <v>0</v>
      </c>
      <c r="BL16" s="683">
        <v>0</v>
      </c>
      <c r="BM16" s="559">
        <f>ROUND(42.66*0.64*0,0)</f>
        <v>0</v>
      </c>
      <c r="BN16" s="683">
        <v>0</v>
      </c>
      <c r="BO16" s="559">
        <f>ROUND(42.66*0.64*0,0)</f>
        <v>0</v>
      </c>
      <c r="BP16" s="683">
        <v>0</v>
      </c>
      <c r="BQ16" s="559">
        <f>ROUND(42.66*0.64*0,0)</f>
        <v>0</v>
      </c>
      <c r="BR16" s="683">
        <v>0</v>
      </c>
      <c r="BS16" s="559">
        <f>ROUND(42.66*0.64*0,0)</f>
        <v>0</v>
      </c>
      <c r="BT16" s="683">
        <v>0</v>
      </c>
      <c r="BU16" s="559">
        <f>ROUND(42.66*0.64*0,0)</f>
        <v>0</v>
      </c>
      <c r="BV16" s="683">
        <v>0</v>
      </c>
      <c r="BW16" s="559">
        <f>ROUND(42.66*0.64*0,0)</f>
        <v>0</v>
      </c>
      <c r="BX16" s="683">
        <v>0</v>
      </c>
      <c r="BY16" s="559">
        <f>ROUND(42.66*0.64*0,0)</f>
        <v>0</v>
      </c>
      <c r="BZ16" s="683">
        <v>6.9</v>
      </c>
      <c r="CA16" s="559">
        <f>ROUND(42.66*0.64*6.9,0)</f>
        <v>188</v>
      </c>
      <c r="CB16" s="683">
        <v>7.6</v>
      </c>
      <c r="CC16" s="559">
        <f>ROUND(42.66*0.64*7.6,0)</f>
        <v>207</v>
      </c>
      <c r="CD16" s="683">
        <v>7.9</v>
      </c>
      <c r="CE16" s="559">
        <f>ROUND(42.66*0.64*7.9,0)</f>
        <v>216</v>
      </c>
      <c r="CF16" s="683">
        <v>8.4</v>
      </c>
      <c r="CG16" s="559">
        <f>ROUND(42.66*0.64*8.4,0)</f>
        <v>229</v>
      </c>
      <c r="CH16" s="683">
        <v>8.8000000000000007</v>
      </c>
      <c r="CI16" s="559">
        <f>ROUND(42.66*0.64*8.8,0)</f>
        <v>240</v>
      </c>
      <c r="CJ16" s="683">
        <v>9.1999999999999993</v>
      </c>
      <c r="CK16" s="559">
        <f>ROUND(42.66*0.64*9.2,0)</f>
        <v>251</v>
      </c>
      <c r="CL16" s="683">
        <v>9.1999999999999993</v>
      </c>
      <c r="CM16" s="559">
        <f>ROUND(42.66*0.64*9.2,0)</f>
        <v>251</v>
      </c>
      <c r="CN16" s="683">
        <v>9</v>
      </c>
      <c r="CO16" s="559">
        <f>ROUND(42.66*0.64*9,0)</f>
        <v>246</v>
      </c>
      <c r="CP16" s="683">
        <v>8.3000000000000007</v>
      </c>
      <c r="CQ16" s="559">
        <f>ROUND(42.66*0.64*8.3,0)</f>
        <v>227</v>
      </c>
      <c r="CR16" s="683">
        <v>7.4</v>
      </c>
      <c r="CS16" s="559">
        <f>ROUND(42.66*0.64*7.4,0)</f>
        <v>202</v>
      </c>
      <c r="CT16" s="683">
        <v>0</v>
      </c>
      <c r="CU16" s="559">
        <f>ROUND(42.66*0.64*0,0)</f>
        <v>0</v>
      </c>
      <c r="CV16" s="683">
        <v>0</v>
      </c>
      <c r="CW16" s="559">
        <f>ROUND(42.66*0.64*0,0)</f>
        <v>0</v>
      </c>
      <c r="CX16" s="683">
        <v>0</v>
      </c>
      <c r="CY16" s="559">
        <f>ROUND(42.66*0.64*0,0)</f>
        <v>0</v>
      </c>
      <c r="CZ16" s="683">
        <v>0</v>
      </c>
      <c r="DA16" s="559">
        <f>ROUND(42.66*0.64*0,0)</f>
        <v>0</v>
      </c>
      <c r="DB16" s="683">
        <v>0</v>
      </c>
      <c r="DC16" s="559">
        <f>ROUND(42.66*0.64*0,0)</f>
        <v>0</v>
      </c>
      <c r="DD16" s="683">
        <v>0</v>
      </c>
      <c r="DE16" s="684">
        <f>ROUND(42.66*0.64*0,0)</f>
        <v>0</v>
      </c>
      <c r="DF16" s="562"/>
      <c r="DG16" s="552"/>
      <c r="DH16" s="554" t="s">
        <v>219</v>
      </c>
      <c r="DI16" s="679" t="s">
        <v>68</v>
      </c>
      <c r="DJ16" s="555">
        <v>42.66</v>
      </c>
      <c r="DK16" s="680">
        <v>0.64</v>
      </c>
      <c r="DL16" s="681"/>
      <c r="DM16" s="682">
        <v>0</v>
      </c>
      <c r="DN16" s="559">
        <f>ROUND(42.66*0.64*0,0)</f>
        <v>0</v>
      </c>
      <c r="DO16" s="683">
        <v>0</v>
      </c>
      <c r="DP16" s="559">
        <f>ROUND(42.66*0.64*0,0)</f>
        <v>0</v>
      </c>
      <c r="DQ16" s="683">
        <v>0</v>
      </c>
      <c r="DR16" s="559">
        <f>ROUND(42.66*0.64*0,0)</f>
        <v>0</v>
      </c>
      <c r="DS16" s="683">
        <v>0</v>
      </c>
      <c r="DT16" s="559">
        <f>ROUND(42.66*0.64*0,0)</f>
        <v>0</v>
      </c>
      <c r="DU16" s="683">
        <v>0</v>
      </c>
      <c r="DV16" s="559">
        <f>ROUND(42.66*0.64*0,0)</f>
        <v>0</v>
      </c>
      <c r="DW16" s="683">
        <v>0</v>
      </c>
      <c r="DX16" s="559">
        <f>ROUND(42.66*0.64*0,0)</f>
        <v>0</v>
      </c>
      <c r="DY16" s="683">
        <v>0</v>
      </c>
      <c r="DZ16" s="559">
        <f>ROUND(42.66*0.64*0,0)</f>
        <v>0</v>
      </c>
      <c r="EA16" s="683">
        <v>0</v>
      </c>
      <c r="EB16" s="559">
        <f>ROUND(42.66*0.64*0,0)</f>
        <v>0</v>
      </c>
      <c r="EC16" s="683">
        <v>1.1000000000000001</v>
      </c>
      <c r="ED16" s="559">
        <f>ROUND(42.66*0.64*1.1,0)</f>
        <v>30</v>
      </c>
      <c r="EE16" s="683">
        <v>2.2000000000000002</v>
      </c>
      <c r="EF16" s="559">
        <f>ROUND(42.66*0.64*2.2,0)</f>
        <v>60</v>
      </c>
      <c r="EG16" s="683">
        <v>3.6</v>
      </c>
      <c r="EH16" s="559">
        <f>ROUND(42.66*0.64*3.6,0)</f>
        <v>98</v>
      </c>
      <c r="EI16" s="683">
        <v>4.7</v>
      </c>
      <c r="EJ16" s="559">
        <f>ROUND(42.66*0.64*4.7,0)</f>
        <v>128</v>
      </c>
      <c r="EK16" s="683">
        <v>5.7</v>
      </c>
      <c r="EL16" s="559">
        <f>ROUND(42.66*0.64*5.7,0)</f>
        <v>156</v>
      </c>
      <c r="EM16" s="683">
        <v>6.4</v>
      </c>
      <c r="EN16" s="559">
        <f>ROUND(42.66*0.64*6.4,0)</f>
        <v>175</v>
      </c>
      <c r="EO16" s="683">
        <v>6.5</v>
      </c>
      <c r="EP16" s="559">
        <f>ROUND(42.66*0.64*6.5,0)</f>
        <v>177</v>
      </c>
      <c r="EQ16" s="683">
        <v>6.3</v>
      </c>
      <c r="ER16" s="559">
        <f>ROUND(42.66*0.64*6.3,0)</f>
        <v>172</v>
      </c>
      <c r="ES16" s="683">
        <v>5.6</v>
      </c>
      <c r="ET16" s="559">
        <f>ROUND(42.66*0.64*5.6,0)</f>
        <v>153</v>
      </c>
      <c r="EU16" s="683">
        <v>4.5</v>
      </c>
      <c r="EV16" s="559">
        <f>ROUND(42.66*0.64*4.5,0)</f>
        <v>123</v>
      </c>
      <c r="EW16" s="683">
        <v>0</v>
      </c>
      <c r="EX16" s="559">
        <f>ROUND(42.66*0.64*0,0)</f>
        <v>0</v>
      </c>
      <c r="EY16" s="683">
        <v>0</v>
      </c>
      <c r="EZ16" s="559">
        <f>ROUND(42.66*0.64*0,0)</f>
        <v>0</v>
      </c>
      <c r="FA16" s="683">
        <v>0</v>
      </c>
      <c r="FB16" s="559">
        <f>ROUND(42.66*0.64*0,0)</f>
        <v>0</v>
      </c>
      <c r="FC16" s="683">
        <v>0</v>
      </c>
      <c r="FD16" s="559">
        <f>ROUND(42.66*0.64*0,0)</f>
        <v>0</v>
      </c>
      <c r="FE16" s="683">
        <v>0</v>
      </c>
      <c r="FF16" s="559">
        <f>ROUND(42.66*0.64*0,0)</f>
        <v>0</v>
      </c>
      <c r="FG16" s="683">
        <v>0</v>
      </c>
      <c r="FH16" s="684">
        <f>ROUND(42.66*0.64*0,0)</f>
        <v>0</v>
      </c>
      <c r="FI16" s="563"/>
      <c r="FJ16" s="564"/>
      <c r="FK16" s="554" t="s">
        <v>219</v>
      </c>
      <c r="FL16" s="679" t="s">
        <v>68</v>
      </c>
      <c r="FM16" s="555">
        <v>42.66</v>
      </c>
      <c r="FN16" s="680">
        <v>0.64</v>
      </c>
      <c r="FO16" s="681"/>
      <c r="FP16" s="685">
        <v>9</v>
      </c>
      <c r="FQ16" s="686">
        <v>17</v>
      </c>
      <c r="FR16" s="559">
        <f>ROUND(42.66*0.64*17,0)</f>
        <v>464</v>
      </c>
      <c r="FS16" s="687">
        <v>9</v>
      </c>
      <c r="FT16" s="686">
        <v>17.5</v>
      </c>
      <c r="FU16" s="567">
        <f>ROUND(42.66*0.64*17.5,0)</f>
        <v>478</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250</v>
      </c>
      <c r="C17" s="691"/>
      <c r="D17" s="583">
        <v>25.2</v>
      </c>
      <c r="E17" s="692">
        <v>2.35</v>
      </c>
      <c r="F17" s="693"/>
      <c r="G17" s="694">
        <v>0</v>
      </c>
      <c r="H17" s="587">
        <f>ROUND(25.2*2.35*0,0)</f>
        <v>0</v>
      </c>
      <c r="I17" s="695">
        <v>0</v>
      </c>
      <c r="J17" s="587">
        <f>ROUND(25.2*2.35*0,0)</f>
        <v>0</v>
      </c>
      <c r="K17" s="695">
        <v>0</v>
      </c>
      <c r="L17" s="587">
        <f>ROUND(25.2*2.35*0,0)</f>
        <v>0</v>
      </c>
      <c r="M17" s="695">
        <v>0</v>
      </c>
      <c r="N17" s="587">
        <f>ROUND(25.2*2.35*0,0)</f>
        <v>0</v>
      </c>
      <c r="O17" s="695">
        <v>0</v>
      </c>
      <c r="P17" s="587">
        <f>ROUND(25.2*2.35*0,0)</f>
        <v>0</v>
      </c>
      <c r="Q17" s="695">
        <v>0</v>
      </c>
      <c r="R17" s="587">
        <f>ROUND(25.2*2.35*0,0)</f>
        <v>0</v>
      </c>
      <c r="S17" s="695">
        <v>0</v>
      </c>
      <c r="T17" s="587">
        <f>ROUND(25.2*2.35*0,0)</f>
        <v>0</v>
      </c>
      <c r="U17" s="695">
        <v>0</v>
      </c>
      <c r="V17" s="587">
        <f>ROUND(25.2*2.35*0,0)</f>
        <v>0</v>
      </c>
      <c r="W17" s="695">
        <v>3.3</v>
      </c>
      <c r="X17" s="587">
        <f>ROUND(25.2*2.35*3.3,0)</f>
        <v>195</v>
      </c>
      <c r="Y17" s="695">
        <v>4.5</v>
      </c>
      <c r="Z17" s="587">
        <f>ROUND(25.2*2.35*4.5,0)</f>
        <v>266</v>
      </c>
      <c r="AA17" s="695">
        <v>5.2</v>
      </c>
      <c r="AB17" s="587">
        <f>ROUND(25.2*2.35*5.2,0)</f>
        <v>308</v>
      </c>
      <c r="AC17" s="695">
        <v>5.7</v>
      </c>
      <c r="AD17" s="587">
        <f>ROUND(25.2*2.35*5.7,0)</f>
        <v>338</v>
      </c>
      <c r="AE17" s="695">
        <v>5.9</v>
      </c>
      <c r="AF17" s="587">
        <f>ROUND(25.2*2.35*5.9,0)</f>
        <v>349</v>
      </c>
      <c r="AG17" s="695">
        <v>5.9</v>
      </c>
      <c r="AH17" s="587">
        <f>ROUND(25.2*2.35*5.9,0)</f>
        <v>349</v>
      </c>
      <c r="AI17" s="695">
        <v>5.4</v>
      </c>
      <c r="AJ17" s="587">
        <f>ROUND(25.2*2.35*5.4,0)</f>
        <v>320</v>
      </c>
      <c r="AK17" s="695">
        <v>4.9000000000000004</v>
      </c>
      <c r="AL17" s="587">
        <f>ROUND(25.2*2.35*4.9,0)</f>
        <v>290</v>
      </c>
      <c r="AM17" s="695">
        <v>4</v>
      </c>
      <c r="AN17" s="587">
        <f>ROUND(25.2*2.35*4,0)</f>
        <v>237</v>
      </c>
      <c r="AO17" s="695">
        <v>3.3</v>
      </c>
      <c r="AP17" s="587">
        <f>ROUND(25.2*2.35*3.3,0)</f>
        <v>195</v>
      </c>
      <c r="AQ17" s="695">
        <v>0</v>
      </c>
      <c r="AR17" s="587">
        <f>ROUND(25.2*2.35*0,0)</f>
        <v>0</v>
      </c>
      <c r="AS17" s="695">
        <v>0</v>
      </c>
      <c r="AT17" s="587">
        <f>ROUND(25.2*2.35*0,0)</f>
        <v>0</v>
      </c>
      <c r="AU17" s="695">
        <v>0</v>
      </c>
      <c r="AV17" s="587">
        <f>ROUND(25.2*2.35*0,0)</f>
        <v>0</v>
      </c>
      <c r="AW17" s="695">
        <v>0</v>
      </c>
      <c r="AX17" s="587">
        <f>ROUND(25.2*2.35*0,0)</f>
        <v>0</v>
      </c>
      <c r="AY17" s="695">
        <v>0</v>
      </c>
      <c r="AZ17" s="587">
        <f>ROUND(25.2*2.35*0,0)</f>
        <v>0</v>
      </c>
      <c r="BA17" s="695">
        <v>0</v>
      </c>
      <c r="BB17" s="589">
        <f>ROUND(25.2*2.35*0,0)</f>
        <v>0</v>
      </c>
      <c r="BC17" s="562"/>
      <c r="BD17" s="552"/>
      <c r="BE17" s="582" t="s">
        <v>250</v>
      </c>
      <c r="BF17" s="691"/>
      <c r="BG17" s="583">
        <v>25.2</v>
      </c>
      <c r="BH17" s="692">
        <v>2.35</v>
      </c>
      <c r="BI17" s="693"/>
      <c r="BJ17" s="694">
        <v>0</v>
      </c>
      <c r="BK17" s="587">
        <f>ROUND(25.2*2.35*0,0)</f>
        <v>0</v>
      </c>
      <c r="BL17" s="695">
        <v>0</v>
      </c>
      <c r="BM17" s="587">
        <f>ROUND(25.2*2.35*0,0)</f>
        <v>0</v>
      </c>
      <c r="BN17" s="695">
        <v>0</v>
      </c>
      <c r="BO17" s="587">
        <f>ROUND(25.2*2.35*0,0)</f>
        <v>0</v>
      </c>
      <c r="BP17" s="695">
        <v>0</v>
      </c>
      <c r="BQ17" s="587">
        <f>ROUND(25.2*2.35*0,0)</f>
        <v>0</v>
      </c>
      <c r="BR17" s="695">
        <v>0</v>
      </c>
      <c r="BS17" s="587">
        <f>ROUND(25.2*2.35*0,0)</f>
        <v>0</v>
      </c>
      <c r="BT17" s="695">
        <v>0</v>
      </c>
      <c r="BU17" s="587">
        <f>ROUND(25.2*2.35*0,0)</f>
        <v>0</v>
      </c>
      <c r="BV17" s="695">
        <v>0</v>
      </c>
      <c r="BW17" s="587">
        <f>ROUND(25.2*2.35*0,0)</f>
        <v>0</v>
      </c>
      <c r="BX17" s="695">
        <v>0</v>
      </c>
      <c r="BY17" s="587">
        <f>ROUND(25.2*2.35*0,0)</f>
        <v>0</v>
      </c>
      <c r="BZ17" s="695">
        <v>3.1</v>
      </c>
      <c r="CA17" s="587">
        <f>ROUND(25.2*2.35*3.1,0)</f>
        <v>184</v>
      </c>
      <c r="CB17" s="695">
        <v>4.0999999999999996</v>
      </c>
      <c r="CC17" s="587">
        <f>ROUND(25.2*2.35*4.1,0)</f>
        <v>243</v>
      </c>
      <c r="CD17" s="695">
        <v>5</v>
      </c>
      <c r="CE17" s="587">
        <f>ROUND(25.2*2.35*5,0)</f>
        <v>296</v>
      </c>
      <c r="CF17" s="695">
        <v>5.4</v>
      </c>
      <c r="CG17" s="587">
        <f>ROUND(25.2*2.35*5.4,0)</f>
        <v>320</v>
      </c>
      <c r="CH17" s="695">
        <v>5.6</v>
      </c>
      <c r="CI17" s="587">
        <f>ROUND(25.2*2.35*5.6,0)</f>
        <v>332</v>
      </c>
      <c r="CJ17" s="695">
        <v>5.4</v>
      </c>
      <c r="CK17" s="587">
        <f>ROUND(25.2*2.35*5.4,0)</f>
        <v>320</v>
      </c>
      <c r="CL17" s="695">
        <v>4.9000000000000004</v>
      </c>
      <c r="CM17" s="587">
        <f>ROUND(25.2*2.35*4.9,0)</f>
        <v>290</v>
      </c>
      <c r="CN17" s="695">
        <v>4.5</v>
      </c>
      <c r="CO17" s="587">
        <f>ROUND(25.2*2.35*4.5,0)</f>
        <v>266</v>
      </c>
      <c r="CP17" s="695">
        <v>4</v>
      </c>
      <c r="CQ17" s="587">
        <f>ROUND(25.2*2.35*4,0)</f>
        <v>237</v>
      </c>
      <c r="CR17" s="695">
        <v>3.1</v>
      </c>
      <c r="CS17" s="587">
        <f>ROUND(25.2*2.35*3.1,0)</f>
        <v>184</v>
      </c>
      <c r="CT17" s="695">
        <v>0</v>
      </c>
      <c r="CU17" s="587">
        <f>ROUND(25.2*2.35*0,0)</f>
        <v>0</v>
      </c>
      <c r="CV17" s="695">
        <v>0</v>
      </c>
      <c r="CW17" s="587">
        <f>ROUND(25.2*2.35*0,0)</f>
        <v>0</v>
      </c>
      <c r="CX17" s="695">
        <v>0</v>
      </c>
      <c r="CY17" s="587">
        <f>ROUND(25.2*2.35*0,0)</f>
        <v>0</v>
      </c>
      <c r="CZ17" s="695">
        <v>0</v>
      </c>
      <c r="DA17" s="587">
        <f>ROUND(25.2*2.35*0,0)</f>
        <v>0</v>
      </c>
      <c r="DB17" s="695">
        <v>0</v>
      </c>
      <c r="DC17" s="587">
        <f>ROUND(25.2*2.35*0,0)</f>
        <v>0</v>
      </c>
      <c r="DD17" s="695">
        <v>0</v>
      </c>
      <c r="DE17" s="589">
        <f>ROUND(25.2*2.35*0,0)</f>
        <v>0</v>
      </c>
      <c r="DF17" s="562"/>
      <c r="DG17" s="552"/>
      <c r="DH17" s="582" t="s">
        <v>250</v>
      </c>
      <c r="DI17" s="691"/>
      <c r="DJ17" s="583">
        <v>25.2</v>
      </c>
      <c r="DK17" s="692">
        <v>2.35</v>
      </c>
      <c r="DL17" s="693"/>
      <c r="DM17" s="694">
        <v>0</v>
      </c>
      <c r="DN17" s="587">
        <f>ROUND(25.2*2.35*0,0)</f>
        <v>0</v>
      </c>
      <c r="DO17" s="695">
        <v>0</v>
      </c>
      <c r="DP17" s="587">
        <f>ROUND(25.2*2.35*0,0)</f>
        <v>0</v>
      </c>
      <c r="DQ17" s="695">
        <v>0</v>
      </c>
      <c r="DR17" s="587">
        <f>ROUND(25.2*2.35*0,0)</f>
        <v>0</v>
      </c>
      <c r="DS17" s="695">
        <v>0</v>
      </c>
      <c r="DT17" s="587">
        <f>ROUND(25.2*2.35*0,0)</f>
        <v>0</v>
      </c>
      <c r="DU17" s="695">
        <v>0</v>
      </c>
      <c r="DV17" s="587">
        <f>ROUND(25.2*2.35*0,0)</f>
        <v>0</v>
      </c>
      <c r="DW17" s="695">
        <v>0</v>
      </c>
      <c r="DX17" s="587">
        <f>ROUND(25.2*2.35*0,0)</f>
        <v>0</v>
      </c>
      <c r="DY17" s="695">
        <v>0</v>
      </c>
      <c r="DZ17" s="587">
        <f>ROUND(25.2*2.35*0,0)</f>
        <v>0</v>
      </c>
      <c r="EA17" s="695">
        <v>0</v>
      </c>
      <c r="EB17" s="587">
        <f>ROUND(25.2*2.35*0,0)</f>
        <v>0</v>
      </c>
      <c r="EC17" s="695">
        <v>0.8</v>
      </c>
      <c r="ED17" s="587">
        <f>ROUND(25.2*2.35*0.8,0)</f>
        <v>47</v>
      </c>
      <c r="EE17" s="695">
        <v>2.1</v>
      </c>
      <c r="EF17" s="587">
        <f>ROUND(25.2*2.35*2.1,0)</f>
        <v>124</v>
      </c>
      <c r="EG17" s="695">
        <v>2.9</v>
      </c>
      <c r="EH17" s="587">
        <f>ROUND(25.2*2.35*2.9,0)</f>
        <v>172</v>
      </c>
      <c r="EI17" s="695">
        <v>3.6</v>
      </c>
      <c r="EJ17" s="587">
        <f>ROUND(25.2*2.35*3.6,0)</f>
        <v>213</v>
      </c>
      <c r="EK17" s="695">
        <v>3.8</v>
      </c>
      <c r="EL17" s="587">
        <f>ROUND(25.2*2.35*3.8,0)</f>
        <v>225</v>
      </c>
      <c r="EM17" s="695">
        <v>3.5</v>
      </c>
      <c r="EN17" s="587">
        <f>ROUND(25.2*2.35*3.5,0)</f>
        <v>207</v>
      </c>
      <c r="EO17" s="695">
        <v>3.1</v>
      </c>
      <c r="EP17" s="587">
        <f>ROUND(25.2*2.35*3.1,0)</f>
        <v>184</v>
      </c>
      <c r="EQ17" s="695">
        <v>2.7</v>
      </c>
      <c r="ER17" s="587">
        <f>ROUND(25.2*2.35*2.7,0)</f>
        <v>160</v>
      </c>
      <c r="ES17" s="695">
        <v>1.7</v>
      </c>
      <c r="ET17" s="587">
        <f>ROUND(25.2*2.35*1.7,0)</f>
        <v>101</v>
      </c>
      <c r="EU17" s="695">
        <v>0.7</v>
      </c>
      <c r="EV17" s="587">
        <f>ROUND(25.2*2.35*0.7,0)</f>
        <v>41</v>
      </c>
      <c r="EW17" s="695">
        <v>0</v>
      </c>
      <c r="EX17" s="587">
        <f>ROUND(25.2*2.35*0,0)</f>
        <v>0</v>
      </c>
      <c r="EY17" s="695">
        <v>0</v>
      </c>
      <c r="EZ17" s="587">
        <f>ROUND(25.2*2.35*0,0)</f>
        <v>0</v>
      </c>
      <c r="FA17" s="695">
        <v>0</v>
      </c>
      <c r="FB17" s="587">
        <f>ROUND(25.2*2.35*0,0)</f>
        <v>0</v>
      </c>
      <c r="FC17" s="695">
        <v>0</v>
      </c>
      <c r="FD17" s="587">
        <f>ROUND(25.2*2.35*0,0)</f>
        <v>0</v>
      </c>
      <c r="FE17" s="695">
        <v>0</v>
      </c>
      <c r="FF17" s="587">
        <f>ROUND(25.2*2.35*0,0)</f>
        <v>0</v>
      </c>
      <c r="FG17" s="695">
        <v>0</v>
      </c>
      <c r="FH17" s="589">
        <f>ROUND(25.2*2.35*0,0)</f>
        <v>0</v>
      </c>
      <c r="FI17" s="563"/>
      <c r="FJ17" s="564"/>
      <c r="FK17" s="582" t="s">
        <v>250</v>
      </c>
      <c r="FL17" s="691"/>
      <c r="FM17" s="583">
        <v>25.2</v>
      </c>
      <c r="FN17" s="692">
        <v>2.35</v>
      </c>
      <c r="FO17" s="693"/>
      <c r="FP17" s="696">
        <v>9</v>
      </c>
      <c r="FQ17" s="697">
        <v>17</v>
      </c>
      <c r="FR17" s="587">
        <f>ROUND(25.2*2.35*17,0)</f>
        <v>1007</v>
      </c>
      <c r="FS17" s="698">
        <v>9</v>
      </c>
      <c r="FT17" s="697">
        <v>17.5</v>
      </c>
      <c r="FU17" s="592">
        <f>ROUND(25.2*2.35*17.5,0)</f>
        <v>1036</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250</v>
      </c>
      <c r="C18" s="691"/>
      <c r="D18" s="583">
        <v>3.5</v>
      </c>
      <c r="E18" s="692">
        <v>2.35</v>
      </c>
      <c r="F18" s="693"/>
      <c r="G18" s="694">
        <v>0</v>
      </c>
      <c r="H18" s="587">
        <f>ROUND(3.5*2.35*0,0)</f>
        <v>0</v>
      </c>
      <c r="I18" s="695">
        <v>0</v>
      </c>
      <c r="J18" s="587">
        <f>ROUND(3.5*2.35*0,0)</f>
        <v>0</v>
      </c>
      <c r="K18" s="695">
        <v>0</v>
      </c>
      <c r="L18" s="587">
        <f>ROUND(3.5*2.35*0,0)</f>
        <v>0</v>
      </c>
      <c r="M18" s="695">
        <v>0</v>
      </c>
      <c r="N18" s="587">
        <f>ROUND(3.5*2.35*0,0)</f>
        <v>0</v>
      </c>
      <c r="O18" s="695">
        <v>0</v>
      </c>
      <c r="P18" s="587">
        <f>ROUND(3.5*2.35*0,0)</f>
        <v>0</v>
      </c>
      <c r="Q18" s="695">
        <v>0</v>
      </c>
      <c r="R18" s="587">
        <f>ROUND(3.5*2.35*0,0)</f>
        <v>0</v>
      </c>
      <c r="S18" s="695">
        <v>0</v>
      </c>
      <c r="T18" s="587">
        <f>ROUND(3.5*2.35*0,0)</f>
        <v>0</v>
      </c>
      <c r="U18" s="695">
        <v>0</v>
      </c>
      <c r="V18" s="587">
        <f>ROUND(3.5*2.35*0,0)</f>
        <v>0</v>
      </c>
      <c r="W18" s="695">
        <v>1.7</v>
      </c>
      <c r="X18" s="587">
        <f>ROUND(3.5*2.35*1.7,0)</f>
        <v>14</v>
      </c>
      <c r="Y18" s="695">
        <v>2.2000000000000002</v>
      </c>
      <c r="Z18" s="587">
        <f>ROUND(3.5*2.35*2.2,0)</f>
        <v>18</v>
      </c>
      <c r="AA18" s="695">
        <v>2.6</v>
      </c>
      <c r="AB18" s="587">
        <f>ROUND(3.5*2.35*2.6,0)</f>
        <v>21</v>
      </c>
      <c r="AC18" s="695">
        <v>2.9</v>
      </c>
      <c r="AD18" s="587">
        <f>ROUND(3.5*2.35*2.9,0)</f>
        <v>24</v>
      </c>
      <c r="AE18" s="695">
        <v>2.9</v>
      </c>
      <c r="AF18" s="587">
        <f>ROUND(3.5*2.35*2.9,0)</f>
        <v>24</v>
      </c>
      <c r="AG18" s="695">
        <v>2.9</v>
      </c>
      <c r="AH18" s="587">
        <f>ROUND(3.5*2.35*2.9,0)</f>
        <v>24</v>
      </c>
      <c r="AI18" s="695">
        <v>2.7</v>
      </c>
      <c r="AJ18" s="587">
        <f>ROUND(3.5*2.35*2.7,0)</f>
        <v>22</v>
      </c>
      <c r="AK18" s="695">
        <v>2.4</v>
      </c>
      <c r="AL18" s="587">
        <f>ROUND(3.5*2.35*2.4,0)</f>
        <v>20</v>
      </c>
      <c r="AM18" s="695">
        <v>2</v>
      </c>
      <c r="AN18" s="587">
        <f>ROUND(3.5*2.35*2,0)</f>
        <v>16</v>
      </c>
      <c r="AO18" s="695">
        <v>1.7</v>
      </c>
      <c r="AP18" s="587">
        <f>ROUND(3.5*2.35*1.7,0)</f>
        <v>14</v>
      </c>
      <c r="AQ18" s="695">
        <v>0</v>
      </c>
      <c r="AR18" s="587">
        <f>ROUND(3.5*2.35*0,0)</f>
        <v>0</v>
      </c>
      <c r="AS18" s="695">
        <v>0</v>
      </c>
      <c r="AT18" s="587">
        <f>ROUND(3.5*2.35*0,0)</f>
        <v>0</v>
      </c>
      <c r="AU18" s="695">
        <v>0</v>
      </c>
      <c r="AV18" s="587">
        <f>ROUND(3.5*2.35*0,0)</f>
        <v>0</v>
      </c>
      <c r="AW18" s="695">
        <v>0</v>
      </c>
      <c r="AX18" s="587">
        <f>ROUND(3.5*2.35*0,0)</f>
        <v>0</v>
      </c>
      <c r="AY18" s="695">
        <v>0</v>
      </c>
      <c r="AZ18" s="587">
        <f>ROUND(3.5*2.35*0,0)</f>
        <v>0</v>
      </c>
      <c r="BA18" s="695">
        <v>0</v>
      </c>
      <c r="BB18" s="589">
        <f>ROUND(3.5*2.35*0,0)</f>
        <v>0</v>
      </c>
      <c r="BC18" s="562"/>
      <c r="BD18" s="552"/>
      <c r="BE18" s="700" t="s">
        <v>250</v>
      </c>
      <c r="BF18" s="691"/>
      <c r="BG18" s="583">
        <v>3.5</v>
      </c>
      <c r="BH18" s="692">
        <v>2.35</v>
      </c>
      <c r="BI18" s="693"/>
      <c r="BJ18" s="694">
        <v>0</v>
      </c>
      <c r="BK18" s="587">
        <f>ROUND(3.5*2.35*0,0)</f>
        <v>0</v>
      </c>
      <c r="BL18" s="695">
        <v>0</v>
      </c>
      <c r="BM18" s="587">
        <f>ROUND(3.5*2.35*0,0)</f>
        <v>0</v>
      </c>
      <c r="BN18" s="695">
        <v>0</v>
      </c>
      <c r="BO18" s="587">
        <f>ROUND(3.5*2.35*0,0)</f>
        <v>0</v>
      </c>
      <c r="BP18" s="695">
        <v>0</v>
      </c>
      <c r="BQ18" s="587">
        <f>ROUND(3.5*2.35*0,0)</f>
        <v>0</v>
      </c>
      <c r="BR18" s="695">
        <v>0</v>
      </c>
      <c r="BS18" s="587">
        <f>ROUND(3.5*2.35*0,0)</f>
        <v>0</v>
      </c>
      <c r="BT18" s="695">
        <v>0</v>
      </c>
      <c r="BU18" s="587">
        <f>ROUND(3.5*2.35*0,0)</f>
        <v>0</v>
      </c>
      <c r="BV18" s="695">
        <v>0</v>
      </c>
      <c r="BW18" s="587">
        <f>ROUND(3.5*2.35*0,0)</f>
        <v>0</v>
      </c>
      <c r="BX18" s="695">
        <v>0</v>
      </c>
      <c r="BY18" s="587">
        <f>ROUND(3.5*2.35*0,0)</f>
        <v>0</v>
      </c>
      <c r="BZ18" s="695">
        <v>1.6</v>
      </c>
      <c r="CA18" s="587">
        <f>ROUND(3.5*2.35*1.6,0)</f>
        <v>13</v>
      </c>
      <c r="CB18" s="695">
        <v>2.1</v>
      </c>
      <c r="CC18" s="587">
        <f>ROUND(3.5*2.35*2.1,0)</f>
        <v>17</v>
      </c>
      <c r="CD18" s="695">
        <v>2.5</v>
      </c>
      <c r="CE18" s="587">
        <f>ROUND(3.5*2.35*2.5,0)</f>
        <v>21</v>
      </c>
      <c r="CF18" s="695">
        <v>2.7</v>
      </c>
      <c r="CG18" s="587">
        <f>ROUND(3.5*2.35*2.7,0)</f>
        <v>22</v>
      </c>
      <c r="CH18" s="695">
        <v>2.8</v>
      </c>
      <c r="CI18" s="587">
        <f>ROUND(3.5*2.35*2.8,0)</f>
        <v>23</v>
      </c>
      <c r="CJ18" s="695">
        <v>2.7</v>
      </c>
      <c r="CK18" s="587">
        <f>ROUND(3.5*2.35*2.7,0)</f>
        <v>22</v>
      </c>
      <c r="CL18" s="695">
        <v>2.4</v>
      </c>
      <c r="CM18" s="587">
        <f>ROUND(3.5*2.35*2.4,0)</f>
        <v>20</v>
      </c>
      <c r="CN18" s="695">
        <v>2.2000000000000002</v>
      </c>
      <c r="CO18" s="587">
        <f>ROUND(3.5*2.35*2.2,0)</f>
        <v>18</v>
      </c>
      <c r="CP18" s="695">
        <v>2</v>
      </c>
      <c r="CQ18" s="587">
        <f>ROUND(3.5*2.35*2,0)</f>
        <v>16</v>
      </c>
      <c r="CR18" s="695">
        <v>1.6</v>
      </c>
      <c r="CS18" s="587">
        <f>ROUND(3.5*2.35*1.6,0)</f>
        <v>13</v>
      </c>
      <c r="CT18" s="695">
        <v>0</v>
      </c>
      <c r="CU18" s="587">
        <f>ROUND(3.5*2.35*0,0)</f>
        <v>0</v>
      </c>
      <c r="CV18" s="695">
        <v>0</v>
      </c>
      <c r="CW18" s="587">
        <f>ROUND(3.5*2.35*0,0)</f>
        <v>0</v>
      </c>
      <c r="CX18" s="695">
        <v>0</v>
      </c>
      <c r="CY18" s="587">
        <f>ROUND(3.5*2.35*0,0)</f>
        <v>0</v>
      </c>
      <c r="CZ18" s="695">
        <v>0</v>
      </c>
      <c r="DA18" s="587">
        <f>ROUND(3.5*2.35*0,0)</f>
        <v>0</v>
      </c>
      <c r="DB18" s="695">
        <v>0</v>
      </c>
      <c r="DC18" s="587">
        <f>ROUND(3.5*2.35*0,0)</f>
        <v>0</v>
      </c>
      <c r="DD18" s="695">
        <v>0</v>
      </c>
      <c r="DE18" s="589">
        <f>ROUND(3.5*2.35*0,0)</f>
        <v>0</v>
      </c>
      <c r="DF18" s="562"/>
      <c r="DG18" s="552"/>
      <c r="DH18" s="700" t="s">
        <v>250</v>
      </c>
      <c r="DI18" s="691"/>
      <c r="DJ18" s="583">
        <v>3.5</v>
      </c>
      <c r="DK18" s="692">
        <v>2.35</v>
      </c>
      <c r="DL18" s="693"/>
      <c r="DM18" s="694">
        <v>0</v>
      </c>
      <c r="DN18" s="587">
        <f>ROUND(3.5*2.35*0,0)</f>
        <v>0</v>
      </c>
      <c r="DO18" s="695">
        <v>0</v>
      </c>
      <c r="DP18" s="587">
        <f>ROUND(3.5*2.35*0,0)</f>
        <v>0</v>
      </c>
      <c r="DQ18" s="695">
        <v>0</v>
      </c>
      <c r="DR18" s="587">
        <f>ROUND(3.5*2.35*0,0)</f>
        <v>0</v>
      </c>
      <c r="DS18" s="695">
        <v>0</v>
      </c>
      <c r="DT18" s="587">
        <f>ROUND(3.5*2.35*0,0)</f>
        <v>0</v>
      </c>
      <c r="DU18" s="695">
        <v>0</v>
      </c>
      <c r="DV18" s="587">
        <f>ROUND(3.5*2.35*0,0)</f>
        <v>0</v>
      </c>
      <c r="DW18" s="695">
        <v>0</v>
      </c>
      <c r="DX18" s="587">
        <f>ROUND(3.5*2.35*0,0)</f>
        <v>0</v>
      </c>
      <c r="DY18" s="695">
        <v>0</v>
      </c>
      <c r="DZ18" s="587">
        <f>ROUND(3.5*2.35*0,0)</f>
        <v>0</v>
      </c>
      <c r="EA18" s="695">
        <v>0</v>
      </c>
      <c r="EB18" s="587">
        <f>ROUND(3.5*2.35*0,0)</f>
        <v>0</v>
      </c>
      <c r="EC18" s="695">
        <v>0.4</v>
      </c>
      <c r="ED18" s="587">
        <f>ROUND(3.5*2.35*0.4,0)</f>
        <v>3</v>
      </c>
      <c r="EE18" s="695">
        <v>1.1000000000000001</v>
      </c>
      <c r="EF18" s="587">
        <f>ROUND(3.5*2.35*1.1,0)</f>
        <v>9</v>
      </c>
      <c r="EG18" s="695">
        <v>1.4</v>
      </c>
      <c r="EH18" s="587">
        <f>ROUND(3.5*2.35*1.4,0)</f>
        <v>12</v>
      </c>
      <c r="EI18" s="695">
        <v>1.8</v>
      </c>
      <c r="EJ18" s="587">
        <f>ROUND(3.5*2.35*1.8,0)</f>
        <v>15</v>
      </c>
      <c r="EK18" s="695">
        <v>1.9</v>
      </c>
      <c r="EL18" s="587">
        <f>ROUND(3.5*2.35*1.9,0)</f>
        <v>16</v>
      </c>
      <c r="EM18" s="695">
        <v>1.8</v>
      </c>
      <c r="EN18" s="587">
        <f>ROUND(3.5*2.35*1.8,0)</f>
        <v>15</v>
      </c>
      <c r="EO18" s="695">
        <v>1.6</v>
      </c>
      <c r="EP18" s="587">
        <f>ROUND(3.5*2.35*1.6,0)</f>
        <v>13</v>
      </c>
      <c r="EQ18" s="695">
        <v>1.3</v>
      </c>
      <c r="ER18" s="587">
        <f>ROUND(3.5*2.35*1.3,0)</f>
        <v>11</v>
      </c>
      <c r="ES18" s="695">
        <v>0.8</v>
      </c>
      <c r="ET18" s="587">
        <f>ROUND(3.5*2.35*0.8,0)</f>
        <v>7</v>
      </c>
      <c r="EU18" s="695">
        <v>0.3</v>
      </c>
      <c r="EV18" s="587">
        <f>ROUND(3.5*2.35*0.3,0)</f>
        <v>2</v>
      </c>
      <c r="EW18" s="695">
        <v>0</v>
      </c>
      <c r="EX18" s="587">
        <f>ROUND(3.5*2.35*0,0)</f>
        <v>0</v>
      </c>
      <c r="EY18" s="695">
        <v>0</v>
      </c>
      <c r="EZ18" s="587">
        <f>ROUND(3.5*2.35*0,0)</f>
        <v>0</v>
      </c>
      <c r="FA18" s="695">
        <v>0</v>
      </c>
      <c r="FB18" s="587">
        <f>ROUND(3.5*2.35*0,0)</f>
        <v>0</v>
      </c>
      <c r="FC18" s="695">
        <v>0</v>
      </c>
      <c r="FD18" s="587">
        <f>ROUND(3.5*2.35*0,0)</f>
        <v>0</v>
      </c>
      <c r="FE18" s="695">
        <v>0</v>
      </c>
      <c r="FF18" s="587">
        <f>ROUND(3.5*2.35*0,0)</f>
        <v>0</v>
      </c>
      <c r="FG18" s="695">
        <v>0</v>
      </c>
      <c r="FH18" s="589">
        <f>ROUND(3.5*2.35*0,0)</f>
        <v>0</v>
      </c>
      <c r="FI18" s="563"/>
      <c r="FJ18" s="564"/>
      <c r="FK18" s="700" t="s">
        <v>250</v>
      </c>
      <c r="FL18" s="691"/>
      <c r="FM18" s="583">
        <v>3.5</v>
      </c>
      <c r="FN18" s="692">
        <v>2.35</v>
      </c>
      <c r="FO18" s="693"/>
      <c r="FP18" s="696">
        <v>9</v>
      </c>
      <c r="FQ18" s="697">
        <v>8.5</v>
      </c>
      <c r="FR18" s="587">
        <f>ROUND(3.5*2.35*8.5,0)</f>
        <v>70</v>
      </c>
      <c r="FS18" s="698">
        <v>9</v>
      </c>
      <c r="FT18" s="697">
        <v>8.8000000000000007</v>
      </c>
      <c r="FU18" s="592">
        <f>ROUND(3.5*2.35*8.8,0)</f>
        <v>72</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t="s">
        <v>255</v>
      </c>
      <c r="C19" s="691"/>
      <c r="D19" s="583">
        <v>24.51</v>
      </c>
      <c r="E19" s="692">
        <v>2.08</v>
      </c>
      <c r="F19" s="693"/>
      <c r="G19" s="694">
        <v>0</v>
      </c>
      <c r="H19" s="587">
        <f>ROUND(24.51*2.08*0,0)</f>
        <v>0</v>
      </c>
      <c r="I19" s="695">
        <v>0</v>
      </c>
      <c r="J19" s="587">
        <f>ROUND(24.51*2.08*0,0)</f>
        <v>0</v>
      </c>
      <c r="K19" s="695">
        <v>0</v>
      </c>
      <c r="L19" s="587">
        <f>ROUND(24.51*2.08*0,0)</f>
        <v>0</v>
      </c>
      <c r="M19" s="695">
        <v>0</v>
      </c>
      <c r="N19" s="587">
        <f>ROUND(24.51*2.08*0,0)</f>
        <v>0</v>
      </c>
      <c r="O19" s="695">
        <v>0</v>
      </c>
      <c r="P19" s="587">
        <f>ROUND(24.51*2.08*0,0)</f>
        <v>0</v>
      </c>
      <c r="Q19" s="695">
        <v>0</v>
      </c>
      <c r="R19" s="587">
        <f>ROUND(24.51*2.08*0,0)</f>
        <v>0</v>
      </c>
      <c r="S19" s="695">
        <v>0</v>
      </c>
      <c r="T19" s="587">
        <f>ROUND(24.51*2.08*0,0)</f>
        <v>0</v>
      </c>
      <c r="U19" s="695">
        <v>0</v>
      </c>
      <c r="V19" s="587">
        <f>ROUND(24.51*2.08*0,0)</f>
        <v>0</v>
      </c>
      <c r="W19" s="695">
        <v>1</v>
      </c>
      <c r="X19" s="587">
        <f>ROUND(24.51*2.08*1,0)</f>
        <v>51</v>
      </c>
      <c r="Y19" s="695">
        <v>1.3</v>
      </c>
      <c r="Z19" s="587">
        <f>ROUND(24.51*2.08*1.3,0)</f>
        <v>66</v>
      </c>
      <c r="AA19" s="695">
        <v>1.6</v>
      </c>
      <c r="AB19" s="587">
        <f>ROUND(24.51*2.08*1.6,0)</f>
        <v>82</v>
      </c>
      <c r="AC19" s="695">
        <v>1.7</v>
      </c>
      <c r="AD19" s="587">
        <f>ROUND(24.51*2.08*1.7,0)</f>
        <v>87</v>
      </c>
      <c r="AE19" s="695">
        <v>1.8</v>
      </c>
      <c r="AF19" s="587">
        <f>ROUND(24.51*2.08*1.8,0)</f>
        <v>92</v>
      </c>
      <c r="AG19" s="695">
        <v>1.8</v>
      </c>
      <c r="AH19" s="587">
        <f>ROUND(24.51*2.08*1.8,0)</f>
        <v>92</v>
      </c>
      <c r="AI19" s="695">
        <v>1.6</v>
      </c>
      <c r="AJ19" s="587">
        <f>ROUND(24.51*2.08*1.6,0)</f>
        <v>82</v>
      </c>
      <c r="AK19" s="695">
        <v>1.5</v>
      </c>
      <c r="AL19" s="587">
        <f>ROUND(24.51*2.08*1.5,0)</f>
        <v>76</v>
      </c>
      <c r="AM19" s="695">
        <v>1.2</v>
      </c>
      <c r="AN19" s="587">
        <f>ROUND(24.51*2.08*1.2,0)</f>
        <v>61</v>
      </c>
      <c r="AO19" s="695">
        <v>1</v>
      </c>
      <c r="AP19" s="587">
        <f>ROUND(24.51*2.08*1,0)</f>
        <v>51</v>
      </c>
      <c r="AQ19" s="695">
        <v>0</v>
      </c>
      <c r="AR19" s="587">
        <f>ROUND(24.51*2.08*0,0)</f>
        <v>0</v>
      </c>
      <c r="AS19" s="695">
        <v>0</v>
      </c>
      <c r="AT19" s="587">
        <f>ROUND(24.51*2.08*0,0)</f>
        <v>0</v>
      </c>
      <c r="AU19" s="695">
        <v>0</v>
      </c>
      <c r="AV19" s="587">
        <f>ROUND(24.51*2.08*0,0)</f>
        <v>0</v>
      </c>
      <c r="AW19" s="695">
        <v>0</v>
      </c>
      <c r="AX19" s="587">
        <f>ROUND(24.51*2.08*0,0)</f>
        <v>0</v>
      </c>
      <c r="AY19" s="695">
        <v>0</v>
      </c>
      <c r="AZ19" s="587">
        <f>ROUND(24.51*2.08*0,0)</f>
        <v>0</v>
      </c>
      <c r="BA19" s="695">
        <v>0</v>
      </c>
      <c r="BB19" s="589">
        <f>ROUND(24.51*2.08*0,0)</f>
        <v>0</v>
      </c>
      <c r="BC19" s="562"/>
      <c r="BD19" s="552"/>
      <c r="BE19" s="700" t="s">
        <v>255</v>
      </c>
      <c r="BF19" s="691"/>
      <c r="BG19" s="583">
        <v>24.51</v>
      </c>
      <c r="BH19" s="692">
        <v>2.08</v>
      </c>
      <c r="BI19" s="693"/>
      <c r="BJ19" s="694">
        <v>0</v>
      </c>
      <c r="BK19" s="587">
        <f>ROUND(24.51*2.08*0,0)</f>
        <v>0</v>
      </c>
      <c r="BL19" s="695">
        <v>0</v>
      </c>
      <c r="BM19" s="587">
        <f>ROUND(24.51*2.08*0,0)</f>
        <v>0</v>
      </c>
      <c r="BN19" s="695">
        <v>0</v>
      </c>
      <c r="BO19" s="587">
        <f>ROUND(24.51*2.08*0,0)</f>
        <v>0</v>
      </c>
      <c r="BP19" s="695">
        <v>0</v>
      </c>
      <c r="BQ19" s="587">
        <f>ROUND(24.51*2.08*0,0)</f>
        <v>0</v>
      </c>
      <c r="BR19" s="695">
        <v>0</v>
      </c>
      <c r="BS19" s="587">
        <f>ROUND(24.51*2.08*0,0)</f>
        <v>0</v>
      </c>
      <c r="BT19" s="695">
        <v>0</v>
      </c>
      <c r="BU19" s="587">
        <f>ROUND(24.51*2.08*0,0)</f>
        <v>0</v>
      </c>
      <c r="BV19" s="695">
        <v>0</v>
      </c>
      <c r="BW19" s="587">
        <f>ROUND(24.51*2.08*0,0)</f>
        <v>0</v>
      </c>
      <c r="BX19" s="695">
        <v>0</v>
      </c>
      <c r="BY19" s="587">
        <f>ROUND(24.51*2.08*0,0)</f>
        <v>0</v>
      </c>
      <c r="BZ19" s="695">
        <v>0.9</v>
      </c>
      <c r="CA19" s="587">
        <f>ROUND(24.51*2.08*0.9,0)</f>
        <v>46</v>
      </c>
      <c r="CB19" s="695">
        <v>1.2</v>
      </c>
      <c r="CC19" s="587">
        <f>ROUND(24.51*2.08*1.2,0)</f>
        <v>61</v>
      </c>
      <c r="CD19" s="695">
        <v>1.5</v>
      </c>
      <c r="CE19" s="587">
        <f>ROUND(24.51*2.08*1.5,0)</f>
        <v>76</v>
      </c>
      <c r="CF19" s="695">
        <v>1.6</v>
      </c>
      <c r="CG19" s="587">
        <f>ROUND(24.51*2.08*1.6,0)</f>
        <v>82</v>
      </c>
      <c r="CH19" s="695">
        <v>1.7</v>
      </c>
      <c r="CI19" s="587">
        <f>ROUND(24.51*2.08*1.7,0)</f>
        <v>87</v>
      </c>
      <c r="CJ19" s="695">
        <v>1.6</v>
      </c>
      <c r="CK19" s="587">
        <f>ROUND(24.51*2.08*1.6,0)</f>
        <v>82</v>
      </c>
      <c r="CL19" s="695">
        <v>1.5</v>
      </c>
      <c r="CM19" s="587">
        <f>ROUND(24.51*2.08*1.5,0)</f>
        <v>76</v>
      </c>
      <c r="CN19" s="695">
        <v>1.3</v>
      </c>
      <c r="CO19" s="587">
        <f>ROUND(24.51*2.08*1.3,0)</f>
        <v>66</v>
      </c>
      <c r="CP19" s="695">
        <v>1.2</v>
      </c>
      <c r="CQ19" s="587">
        <f>ROUND(24.51*2.08*1.2,0)</f>
        <v>61</v>
      </c>
      <c r="CR19" s="695">
        <v>0.9</v>
      </c>
      <c r="CS19" s="587">
        <f>ROUND(24.51*2.08*0.9,0)</f>
        <v>46</v>
      </c>
      <c r="CT19" s="695">
        <v>0</v>
      </c>
      <c r="CU19" s="587">
        <f>ROUND(24.51*2.08*0,0)</f>
        <v>0</v>
      </c>
      <c r="CV19" s="695">
        <v>0</v>
      </c>
      <c r="CW19" s="587">
        <f>ROUND(24.51*2.08*0,0)</f>
        <v>0</v>
      </c>
      <c r="CX19" s="695">
        <v>0</v>
      </c>
      <c r="CY19" s="587">
        <f>ROUND(24.51*2.08*0,0)</f>
        <v>0</v>
      </c>
      <c r="CZ19" s="695">
        <v>0</v>
      </c>
      <c r="DA19" s="587">
        <f>ROUND(24.51*2.08*0,0)</f>
        <v>0</v>
      </c>
      <c r="DB19" s="695">
        <v>0</v>
      </c>
      <c r="DC19" s="587">
        <f>ROUND(24.51*2.08*0,0)</f>
        <v>0</v>
      </c>
      <c r="DD19" s="695">
        <v>0</v>
      </c>
      <c r="DE19" s="589">
        <f>ROUND(24.51*2.08*0,0)</f>
        <v>0</v>
      </c>
      <c r="DF19" s="562"/>
      <c r="DG19" s="552"/>
      <c r="DH19" s="700" t="s">
        <v>255</v>
      </c>
      <c r="DI19" s="691"/>
      <c r="DJ19" s="583">
        <v>24.51</v>
      </c>
      <c r="DK19" s="692">
        <v>2.08</v>
      </c>
      <c r="DL19" s="693"/>
      <c r="DM19" s="694">
        <v>0</v>
      </c>
      <c r="DN19" s="587">
        <f>ROUND(24.51*2.08*0,0)</f>
        <v>0</v>
      </c>
      <c r="DO19" s="695">
        <v>0</v>
      </c>
      <c r="DP19" s="587">
        <f>ROUND(24.51*2.08*0,0)</f>
        <v>0</v>
      </c>
      <c r="DQ19" s="695">
        <v>0</v>
      </c>
      <c r="DR19" s="587">
        <f>ROUND(24.51*2.08*0,0)</f>
        <v>0</v>
      </c>
      <c r="DS19" s="695">
        <v>0</v>
      </c>
      <c r="DT19" s="587">
        <f>ROUND(24.51*2.08*0,0)</f>
        <v>0</v>
      </c>
      <c r="DU19" s="695">
        <v>0</v>
      </c>
      <c r="DV19" s="587">
        <f>ROUND(24.51*2.08*0,0)</f>
        <v>0</v>
      </c>
      <c r="DW19" s="695">
        <v>0</v>
      </c>
      <c r="DX19" s="587">
        <f>ROUND(24.51*2.08*0,0)</f>
        <v>0</v>
      </c>
      <c r="DY19" s="695">
        <v>0</v>
      </c>
      <c r="DZ19" s="587">
        <f>ROUND(24.51*2.08*0,0)</f>
        <v>0</v>
      </c>
      <c r="EA19" s="695">
        <v>0</v>
      </c>
      <c r="EB19" s="587">
        <f>ROUND(24.51*2.08*0,0)</f>
        <v>0</v>
      </c>
      <c r="EC19" s="695">
        <v>0.2</v>
      </c>
      <c r="ED19" s="587">
        <f>ROUND(24.51*2.08*0.2,0)</f>
        <v>10</v>
      </c>
      <c r="EE19" s="695">
        <v>0.6</v>
      </c>
      <c r="EF19" s="587">
        <f>ROUND(24.51*2.08*0.6,0)</f>
        <v>31</v>
      </c>
      <c r="EG19" s="695">
        <v>0.9</v>
      </c>
      <c r="EH19" s="587">
        <f>ROUND(24.51*2.08*0.9,0)</f>
        <v>46</v>
      </c>
      <c r="EI19" s="695">
        <v>1.1000000000000001</v>
      </c>
      <c r="EJ19" s="587">
        <f>ROUND(24.51*2.08*1.1,0)</f>
        <v>56</v>
      </c>
      <c r="EK19" s="695">
        <v>1.1000000000000001</v>
      </c>
      <c r="EL19" s="587">
        <f>ROUND(24.51*2.08*1.1,0)</f>
        <v>56</v>
      </c>
      <c r="EM19" s="695">
        <v>1</v>
      </c>
      <c r="EN19" s="587">
        <f>ROUND(24.51*2.08*1,0)</f>
        <v>51</v>
      </c>
      <c r="EO19" s="695">
        <v>0.9</v>
      </c>
      <c r="EP19" s="587">
        <f>ROUND(24.51*2.08*0.9,0)</f>
        <v>46</v>
      </c>
      <c r="EQ19" s="695">
        <v>0.8</v>
      </c>
      <c r="ER19" s="587">
        <f>ROUND(24.51*2.08*0.8,0)</f>
        <v>41</v>
      </c>
      <c r="ES19" s="695">
        <v>0.5</v>
      </c>
      <c r="ET19" s="587">
        <f>ROUND(24.51*2.08*0.5,0)</f>
        <v>25</v>
      </c>
      <c r="EU19" s="695">
        <v>0.2</v>
      </c>
      <c r="EV19" s="587">
        <f>ROUND(24.51*2.08*0.2,0)</f>
        <v>10</v>
      </c>
      <c r="EW19" s="695">
        <v>0</v>
      </c>
      <c r="EX19" s="587">
        <f>ROUND(24.51*2.08*0,0)</f>
        <v>0</v>
      </c>
      <c r="EY19" s="695">
        <v>0</v>
      </c>
      <c r="EZ19" s="587">
        <f>ROUND(24.51*2.08*0,0)</f>
        <v>0</v>
      </c>
      <c r="FA19" s="695">
        <v>0</v>
      </c>
      <c r="FB19" s="587">
        <f>ROUND(24.51*2.08*0,0)</f>
        <v>0</v>
      </c>
      <c r="FC19" s="695">
        <v>0</v>
      </c>
      <c r="FD19" s="587">
        <f>ROUND(24.51*2.08*0,0)</f>
        <v>0</v>
      </c>
      <c r="FE19" s="695">
        <v>0</v>
      </c>
      <c r="FF19" s="587">
        <f>ROUND(24.51*2.08*0,0)</f>
        <v>0</v>
      </c>
      <c r="FG19" s="695">
        <v>0</v>
      </c>
      <c r="FH19" s="589">
        <f>ROUND(24.51*2.08*0,0)</f>
        <v>0</v>
      </c>
      <c r="FI19" s="563"/>
      <c r="FJ19" s="564"/>
      <c r="FK19" s="700" t="s">
        <v>255</v>
      </c>
      <c r="FL19" s="691"/>
      <c r="FM19" s="583">
        <v>24.51</v>
      </c>
      <c r="FN19" s="692">
        <v>2.08</v>
      </c>
      <c r="FO19" s="693"/>
      <c r="FP19" s="696">
        <v>9</v>
      </c>
      <c r="FQ19" s="697">
        <v>5.0999999999999996</v>
      </c>
      <c r="FR19" s="587">
        <f>ROUND(24.51*2.08*5.1,0)</f>
        <v>260</v>
      </c>
      <c r="FS19" s="698">
        <v>9</v>
      </c>
      <c r="FT19" s="697">
        <v>5.2</v>
      </c>
      <c r="FU19" s="592">
        <f>ROUND(24.51*2.08*5.2,0)</f>
        <v>265</v>
      </c>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t="s">
        <v>261</v>
      </c>
      <c r="C20" s="691"/>
      <c r="D20" s="583">
        <v>17.96</v>
      </c>
      <c r="E20" s="692">
        <v>2.84</v>
      </c>
      <c r="F20" s="693"/>
      <c r="G20" s="694">
        <v>0</v>
      </c>
      <c r="H20" s="587">
        <f>ROUND(17.96*2.84*0,0)</f>
        <v>0</v>
      </c>
      <c r="I20" s="695">
        <v>0</v>
      </c>
      <c r="J20" s="587">
        <f>ROUND(17.96*2.84*0,0)</f>
        <v>0</v>
      </c>
      <c r="K20" s="695">
        <v>0</v>
      </c>
      <c r="L20" s="587">
        <f>ROUND(17.96*2.84*0,0)</f>
        <v>0</v>
      </c>
      <c r="M20" s="695">
        <v>0</v>
      </c>
      <c r="N20" s="587">
        <f>ROUND(17.96*2.84*0,0)</f>
        <v>0</v>
      </c>
      <c r="O20" s="695">
        <v>0</v>
      </c>
      <c r="P20" s="587">
        <f>ROUND(17.96*2.84*0,0)</f>
        <v>0</v>
      </c>
      <c r="Q20" s="695">
        <v>0</v>
      </c>
      <c r="R20" s="587">
        <f>ROUND(17.96*2.84*0,0)</f>
        <v>0</v>
      </c>
      <c r="S20" s="695">
        <v>0</v>
      </c>
      <c r="T20" s="587">
        <f>ROUND(17.96*2.84*0,0)</f>
        <v>0</v>
      </c>
      <c r="U20" s="695">
        <v>0</v>
      </c>
      <c r="V20" s="587">
        <f>ROUND(17.96*2.84*0,0)</f>
        <v>0</v>
      </c>
      <c r="W20" s="695">
        <v>8.3000000000000007</v>
      </c>
      <c r="X20" s="587">
        <f>ROUND(17.96*2.84*8.3,0)</f>
        <v>423</v>
      </c>
      <c r="Y20" s="695">
        <v>9.5</v>
      </c>
      <c r="Z20" s="587">
        <f>ROUND(17.96*2.84*9.5,0)</f>
        <v>485</v>
      </c>
      <c r="AA20" s="695">
        <v>10.199999999999999</v>
      </c>
      <c r="AB20" s="587">
        <f>ROUND(17.96*2.84*10.2,0)</f>
        <v>520</v>
      </c>
      <c r="AC20" s="695">
        <v>10.7</v>
      </c>
      <c r="AD20" s="587">
        <f>ROUND(17.96*2.84*10.7,0)</f>
        <v>546</v>
      </c>
      <c r="AE20" s="695">
        <v>10.9</v>
      </c>
      <c r="AF20" s="587">
        <f>ROUND(17.96*2.84*10.9,0)</f>
        <v>556</v>
      </c>
      <c r="AG20" s="695">
        <v>10.9</v>
      </c>
      <c r="AH20" s="587">
        <f>ROUND(17.96*2.84*10.9,0)</f>
        <v>556</v>
      </c>
      <c r="AI20" s="695">
        <v>10.4</v>
      </c>
      <c r="AJ20" s="587">
        <f>ROUND(17.96*2.84*10.4,0)</f>
        <v>530</v>
      </c>
      <c r="AK20" s="695">
        <v>9.9</v>
      </c>
      <c r="AL20" s="587">
        <f>ROUND(17.96*2.84*9.9,0)</f>
        <v>505</v>
      </c>
      <c r="AM20" s="695">
        <v>9</v>
      </c>
      <c r="AN20" s="587">
        <f>ROUND(17.96*2.84*9,0)</f>
        <v>459</v>
      </c>
      <c r="AO20" s="695">
        <v>8.3000000000000007</v>
      </c>
      <c r="AP20" s="587">
        <f>ROUND(17.96*2.84*8.3,0)</f>
        <v>423</v>
      </c>
      <c r="AQ20" s="695">
        <v>0</v>
      </c>
      <c r="AR20" s="587">
        <f>ROUND(17.96*2.84*0,0)</f>
        <v>0</v>
      </c>
      <c r="AS20" s="695">
        <v>0</v>
      </c>
      <c r="AT20" s="587">
        <f>ROUND(17.96*2.84*0,0)</f>
        <v>0</v>
      </c>
      <c r="AU20" s="695">
        <v>0</v>
      </c>
      <c r="AV20" s="587">
        <f>ROUND(17.96*2.84*0,0)</f>
        <v>0</v>
      </c>
      <c r="AW20" s="695">
        <v>0</v>
      </c>
      <c r="AX20" s="587">
        <f>ROUND(17.96*2.84*0,0)</f>
        <v>0</v>
      </c>
      <c r="AY20" s="695">
        <v>0</v>
      </c>
      <c r="AZ20" s="587">
        <f>ROUND(17.96*2.84*0,0)</f>
        <v>0</v>
      </c>
      <c r="BA20" s="695">
        <v>0</v>
      </c>
      <c r="BB20" s="589">
        <f>ROUND(17.96*2.84*0,0)</f>
        <v>0</v>
      </c>
      <c r="BC20" s="562"/>
      <c r="BD20" s="552"/>
      <c r="BE20" s="700" t="s">
        <v>261</v>
      </c>
      <c r="BF20" s="691"/>
      <c r="BG20" s="583">
        <v>17.96</v>
      </c>
      <c r="BH20" s="692">
        <v>2.84</v>
      </c>
      <c r="BI20" s="693"/>
      <c r="BJ20" s="694">
        <v>0</v>
      </c>
      <c r="BK20" s="587">
        <f>ROUND(17.96*2.84*0,0)</f>
        <v>0</v>
      </c>
      <c r="BL20" s="695">
        <v>0</v>
      </c>
      <c r="BM20" s="587">
        <f>ROUND(17.96*2.84*0,0)</f>
        <v>0</v>
      </c>
      <c r="BN20" s="695">
        <v>0</v>
      </c>
      <c r="BO20" s="587">
        <f>ROUND(17.96*2.84*0,0)</f>
        <v>0</v>
      </c>
      <c r="BP20" s="695">
        <v>0</v>
      </c>
      <c r="BQ20" s="587">
        <f>ROUND(17.96*2.84*0,0)</f>
        <v>0</v>
      </c>
      <c r="BR20" s="695">
        <v>0</v>
      </c>
      <c r="BS20" s="587">
        <f>ROUND(17.96*2.84*0,0)</f>
        <v>0</v>
      </c>
      <c r="BT20" s="695">
        <v>0</v>
      </c>
      <c r="BU20" s="587">
        <f>ROUND(17.96*2.84*0,0)</f>
        <v>0</v>
      </c>
      <c r="BV20" s="695">
        <v>0</v>
      </c>
      <c r="BW20" s="587">
        <f>ROUND(17.96*2.84*0,0)</f>
        <v>0</v>
      </c>
      <c r="BX20" s="695">
        <v>0</v>
      </c>
      <c r="BY20" s="587">
        <f>ROUND(17.96*2.84*0,0)</f>
        <v>0</v>
      </c>
      <c r="BZ20" s="695">
        <v>8.1</v>
      </c>
      <c r="CA20" s="587">
        <f>ROUND(17.96*2.84*8.1,0)</f>
        <v>413</v>
      </c>
      <c r="CB20" s="695">
        <v>9.1</v>
      </c>
      <c r="CC20" s="587">
        <f>ROUND(17.96*2.84*9.1,0)</f>
        <v>464</v>
      </c>
      <c r="CD20" s="695">
        <v>10</v>
      </c>
      <c r="CE20" s="587">
        <f>ROUND(17.96*2.84*10,0)</f>
        <v>510</v>
      </c>
      <c r="CF20" s="695">
        <v>10.4</v>
      </c>
      <c r="CG20" s="587">
        <f>ROUND(17.96*2.84*10.4,0)</f>
        <v>530</v>
      </c>
      <c r="CH20" s="695">
        <v>10.6</v>
      </c>
      <c r="CI20" s="587">
        <f>ROUND(17.96*2.84*10.6,0)</f>
        <v>541</v>
      </c>
      <c r="CJ20" s="695">
        <v>10.4</v>
      </c>
      <c r="CK20" s="587">
        <f>ROUND(17.96*2.84*10.4,0)</f>
        <v>530</v>
      </c>
      <c r="CL20" s="695">
        <v>9.9</v>
      </c>
      <c r="CM20" s="587">
        <f>ROUND(17.96*2.84*9.9,0)</f>
        <v>505</v>
      </c>
      <c r="CN20" s="695">
        <v>9.5</v>
      </c>
      <c r="CO20" s="587">
        <f>ROUND(17.96*2.84*9.5,0)</f>
        <v>485</v>
      </c>
      <c r="CP20" s="695">
        <v>9</v>
      </c>
      <c r="CQ20" s="587">
        <f>ROUND(17.96*2.84*9,0)</f>
        <v>459</v>
      </c>
      <c r="CR20" s="695">
        <v>8.1</v>
      </c>
      <c r="CS20" s="587">
        <f>ROUND(17.96*2.84*8.1,0)</f>
        <v>413</v>
      </c>
      <c r="CT20" s="695">
        <v>0</v>
      </c>
      <c r="CU20" s="587">
        <f>ROUND(17.96*2.84*0,0)</f>
        <v>0</v>
      </c>
      <c r="CV20" s="695">
        <v>0</v>
      </c>
      <c r="CW20" s="587">
        <f>ROUND(17.96*2.84*0,0)</f>
        <v>0</v>
      </c>
      <c r="CX20" s="695">
        <v>0</v>
      </c>
      <c r="CY20" s="587">
        <f>ROUND(17.96*2.84*0,0)</f>
        <v>0</v>
      </c>
      <c r="CZ20" s="695">
        <v>0</v>
      </c>
      <c r="DA20" s="587">
        <f>ROUND(17.96*2.84*0,0)</f>
        <v>0</v>
      </c>
      <c r="DB20" s="695">
        <v>0</v>
      </c>
      <c r="DC20" s="587">
        <f>ROUND(17.96*2.84*0,0)</f>
        <v>0</v>
      </c>
      <c r="DD20" s="695">
        <v>0</v>
      </c>
      <c r="DE20" s="589">
        <f>ROUND(17.96*2.84*0,0)</f>
        <v>0</v>
      </c>
      <c r="DF20" s="562"/>
      <c r="DG20" s="552"/>
      <c r="DH20" s="700" t="s">
        <v>261</v>
      </c>
      <c r="DI20" s="691"/>
      <c r="DJ20" s="583">
        <v>17.96</v>
      </c>
      <c r="DK20" s="692">
        <v>2.84</v>
      </c>
      <c r="DL20" s="693"/>
      <c r="DM20" s="694">
        <v>0</v>
      </c>
      <c r="DN20" s="587">
        <f>ROUND(17.96*2.84*0,0)</f>
        <v>0</v>
      </c>
      <c r="DO20" s="695">
        <v>0</v>
      </c>
      <c r="DP20" s="587">
        <f>ROUND(17.96*2.84*0,0)</f>
        <v>0</v>
      </c>
      <c r="DQ20" s="695">
        <v>0</v>
      </c>
      <c r="DR20" s="587">
        <f>ROUND(17.96*2.84*0,0)</f>
        <v>0</v>
      </c>
      <c r="DS20" s="695">
        <v>0</v>
      </c>
      <c r="DT20" s="587">
        <f>ROUND(17.96*2.84*0,0)</f>
        <v>0</v>
      </c>
      <c r="DU20" s="695">
        <v>0</v>
      </c>
      <c r="DV20" s="587">
        <f>ROUND(17.96*2.84*0,0)</f>
        <v>0</v>
      </c>
      <c r="DW20" s="695">
        <v>0</v>
      </c>
      <c r="DX20" s="587">
        <f>ROUND(17.96*2.84*0,0)</f>
        <v>0</v>
      </c>
      <c r="DY20" s="695">
        <v>0</v>
      </c>
      <c r="DZ20" s="587">
        <f>ROUND(17.96*2.84*0,0)</f>
        <v>0</v>
      </c>
      <c r="EA20" s="695">
        <v>0</v>
      </c>
      <c r="EB20" s="587">
        <f>ROUND(17.96*2.84*0,0)</f>
        <v>0</v>
      </c>
      <c r="EC20" s="695">
        <v>5.8</v>
      </c>
      <c r="ED20" s="587">
        <f>ROUND(17.96*2.84*5.8,0)</f>
        <v>296</v>
      </c>
      <c r="EE20" s="695">
        <v>7.1</v>
      </c>
      <c r="EF20" s="587">
        <f>ROUND(17.96*2.84*7.1,0)</f>
        <v>362</v>
      </c>
      <c r="EG20" s="695">
        <v>7.9</v>
      </c>
      <c r="EH20" s="587">
        <f>ROUND(17.96*2.84*7.9,0)</f>
        <v>403</v>
      </c>
      <c r="EI20" s="695">
        <v>8.6</v>
      </c>
      <c r="EJ20" s="587">
        <f>ROUND(17.96*2.84*8.6,0)</f>
        <v>439</v>
      </c>
      <c r="EK20" s="695">
        <v>8.8000000000000007</v>
      </c>
      <c r="EL20" s="587">
        <f>ROUND(17.96*2.84*8.8,0)</f>
        <v>449</v>
      </c>
      <c r="EM20" s="695">
        <v>8.5</v>
      </c>
      <c r="EN20" s="587">
        <f>ROUND(17.96*2.84*8.5,0)</f>
        <v>434</v>
      </c>
      <c r="EO20" s="695">
        <v>8.1</v>
      </c>
      <c r="EP20" s="587">
        <f>ROUND(17.96*2.84*8.1,0)</f>
        <v>413</v>
      </c>
      <c r="EQ20" s="695">
        <v>7.7</v>
      </c>
      <c r="ER20" s="587">
        <f>ROUND(17.96*2.84*7.7,0)</f>
        <v>393</v>
      </c>
      <c r="ES20" s="695">
        <v>6.7</v>
      </c>
      <c r="ET20" s="587">
        <f>ROUND(17.96*2.84*6.7,0)</f>
        <v>342</v>
      </c>
      <c r="EU20" s="695">
        <v>5.7</v>
      </c>
      <c r="EV20" s="587">
        <f>ROUND(17.96*2.84*5.7,0)</f>
        <v>291</v>
      </c>
      <c r="EW20" s="695">
        <v>0</v>
      </c>
      <c r="EX20" s="587">
        <f>ROUND(17.96*2.84*0,0)</f>
        <v>0</v>
      </c>
      <c r="EY20" s="695">
        <v>0</v>
      </c>
      <c r="EZ20" s="587">
        <f>ROUND(17.96*2.84*0,0)</f>
        <v>0</v>
      </c>
      <c r="FA20" s="695">
        <v>0</v>
      </c>
      <c r="FB20" s="587">
        <f>ROUND(17.96*2.84*0,0)</f>
        <v>0</v>
      </c>
      <c r="FC20" s="695">
        <v>0</v>
      </c>
      <c r="FD20" s="587">
        <f>ROUND(17.96*2.84*0,0)</f>
        <v>0</v>
      </c>
      <c r="FE20" s="695">
        <v>0</v>
      </c>
      <c r="FF20" s="587">
        <f>ROUND(17.96*2.84*0,0)</f>
        <v>0</v>
      </c>
      <c r="FG20" s="695">
        <v>0</v>
      </c>
      <c r="FH20" s="589">
        <f>ROUND(17.96*2.84*0,0)</f>
        <v>0</v>
      </c>
      <c r="FI20" s="563"/>
      <c r="FJ20" s="564"/>
      <c r="FK20" s="700" t="s">
        <v>261</v>
      </c>
      <c r="FL20" s="691"/>
      <c r="FM20" s="583">
        <v>17.96</v>
      </c>
      <c r="FN20" s="692">
        <v>2.84</v>
      </c>
      <c r="FO20" s="693"/>
      <c r="FP20" s="696">
        <v>9</v>
      </c>
      <c r="FQ20" s="697">
        <v>12</v>
      </c>
      <c r="FR20" s="587">
        <f>ROUND(17.96*2.84*12,0)</f>
        <v>612</v>
      </c>
      <c r="FS20" s="698">
        <v>9</v>
      </c>
      <c r="FT20" s="697">
        <v>12.5</v>
      </c>
      <c r="FU20" s="592">
        <f>ROUND(17.96*2.84*12.5,0)</f>
        <v>638</v>
      </c>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c r="C21" s="691"/>
      <c r="D21" s="583"/>
      <c r="E21" s="692"/>
      <c r="F21" s="693"/>
      <c r="G21" s="694"/>
      <c r="H21" s="587"/>
      <c r="I21" s="695"/>
      <c r="J21" s="587"/>
      <c r="K21" s="695"/>
      <c r="L21" s="587"/>
      <c r="M21" s="695"/>
      <c r="N21" s="587"/>
      <c r="O21" s="695"/>
      <c r="P21" s="587"/>
      <c r="Q21" s="695"/>
      <c r="R21" s="587"/>
      <c r="S21" s="695"/>
      <c r="T21" s="587"/>
      <c r="U21" s="695"/>
      <c r="V21" s="587"/>
      <c r="W21" s="695"/>
      <c r="X21" s="587"/>
      <c r="Y21" s="695"/>
      <c r="Z21" s="587"/>
      <c r="AA21" s="695"/>
      <c r="AB21" s="587"/>
      <c r="AC21" s="695"/>
      <c r="AD21" s="587"/>
      <c r="AE21" s="695"/>
      <c r="AF21" s="587"/>
      <c r="AG21" s="695"/>
      <c r="AH21" s="587"/>
      <c r="AI21" s="695"/>
      <c r="AJ21" s="587"/>
      <c r="AK21" s="695"/>
      <c r="AL21" s="587"/>
      <c r="AM21" s="695"/>
      <c r="AN21" s="587"/>
      <c r="AO21" s="695"/>
      <c r="AP21" s="587"/>
      <c r="AQ21" s="695"/>
      <c r="AR21" s="587"/>
      <c r="AS21" s="695"/>
      <c r="AT21" s="587"/>
      <c r="AU21" s="695"/>
      <c r="AV21" s="587"/>
      <c r="AW21" s="695"/>
      <c r="AX21" s="587"/>
      <c r="AY21" s="695"/>
      <c r="AZ21" s="587"/>
      <c r="BA21" s="695"/>
      <c r="BB21" s="589"/>
      <c r="BC21" s="562"/>
      <c r="BD21" s="552"/>
      <c r="BE21" s="700"/>
      <c r="BF21" s="691"/>
      <c r="BG21" s="583"/>
      <c r="BH21" s="692"/>
      <c r="BI21" s="693"/>
      <c r="BJ21" s="694"/>
      <c r="BK21" s="587"/>
      <c r="BL21" s="695"/>
      <c r="BM21" s="587"/>
      <c r="BN21" s="695"/>
      <c r="BO21" s="587"/>
      <c r="BP21" s="695"/>
      <c r="BQ21" s="587"/>
      <c r="BR21" s="695"/>
      <c r="BS21" s="587"/>
      <c r="BT21" s="695"/>
      <c r="BU21" s="587"/>
      <c r="BV21" s="695"/>
      <c r="BW21" s="587"/>
      <c r="BX21" s="695"/>
      <c r="BY21" s="587"/>
      <c r="BZ21" s="695"/>
      <c r="CA21" s="587"/>
      <c r="CB21" s="695"/>
      <c r="CC21" s="587"/>
      <c r="CD21" s="695"/>
      <c r="CE21" s="587"/>
      <c r="CF21" s="695"/>
      <c r="CG21" s="587"/>
      <c r="CH21" s="695"/>
      <c r="CI21" s="587"/>
      <c r="CJ21" s="695"/>
      <c r="CK21" s="587"/>
      <c r="CL21" s="695"/>
      <c r="CM21" s="587"/>
      <c r="CN21" s="695"/>
      <c r="CO21" s="587"/>
      <c r="CP21" s="695"/>
      <c r="CQ21" s="587"/>
      <c r="CR21" s="695"/>
      <c r="CS21" s="587"/>
      <c r="CT21" s="695"/>
      <c r="CU21" s="587"/>
      <c r="CV21" s="695"/>
      <c r="CW21" s="587"/>
      <c r="CX21" s="695"/>
      <c r="CY21" s="587"/>
      <c r="CZ21" s="695"/>
      <c r="DA21" s="587"/>
      <c r="DB21" s="695"/>
      <c r="DC21" s="587"/>
      <c r="DD21" s="695"/>
      <c r="DE21" s="589"/>
      <c r="DF21" s="562"/>
      <c r="DG21" s="552"/>
      <c r="DH21" s="700"/>
      <c r="DI21" s="691"/>
      <c r="DJ21" s="583"/>
      <c r="DK21" s="692"/>
      <c r="DL21" s="693"/>
      <c r="DM21" s="694"/>
      <c r="DN21" s="587"/>
      <c r="DO21" s="695"/>
      <c r="DP21" s="587"/>
      <c r="DQ21" s="695"/>
      <c r="DR21" s="587"/>
      <c r="DS21" s="695"/>
      <c r="DT21" s="587"/>
      <c r="DU21" s="695"/>
      <c r="DV21" s="587"/>
      <c r="DW21" s="695"/>
      <c r="DX21" s="587"/>
      <c r="DY21" s="695"/>
      <c r="DZ21" s="587"/>
      <c r="EA21" s="695"/>
      <c r="EB21" s="587"/>
      <c r="EC21" s="695"/>
      <c r="ED21" s="587"/>
      <c r="EE21" s="695"/>
      <c r="EF21" s="587"/>
      <c r="EG21" s="695"/>
      <c r="EH21" s="587"/>
      <c r="EI21" s="695"/>
      <c r="EJ21" s="587"/>
      <c r="EK21" s="695"/>
      <c r="EL21" s="587"/>
      <c r="EM21" s="695"/>
      <c r="EN21" s="587"/>
      <c r="EO21" s="695"/>
      <c r="EP21" s="587"/>
      <c r="EQ21" s="695"/>
      <c r="ER21" s="587"/>
      <c r="ES21" s="695"/>
      <c r="ET21" s="587"/>
      <c r="EU21" s="695"/>
      <c r="EV21" s="587"/>
      <c r="EW21" s="695"/>
      <c r="EX21" s="587"/>
      <c r="EY21" s="695"/>
      <c r="EZ21" s="587"/>
      <c r="FA21" s="695"/>
      <c r="FB21" s="587"/>
      <c r="FC21" s="695"/>
      <c r="FD21" s="587"/>
      <c r="FE21" s="695"/>
      <c r="FF21" s="587"/>
      <c r="FG21" s="695"/>
      <c r="FH21" s="589"/>
      <c r="FI21" s="563"/>
      <c r="FJ21" s="564"/>
      <c r="FK21" s="700"/>
      <c r="FL21" s="691"/>
      <c r="FM21" s="583"/>
      <c r="FN21" s="692"/>
      <c r="FO21" s="693"/>
      <c r="FP21" s="696"/>
      <c r="FQ21" s="697"/>
      <c r="FR21" s="587"/>
      <c r="FS21" s="698"/>
      <c r="FT21" s="697"/>
      <c r="FU21" s="592"/>
      <c r="FV21" s="593"/>
      <c r="FW21" s="594"/>
      <c r="FX21" s="595"/>
      <c r="FY21" s="596"/>
      <c r="FZ21" s="597"/>
      <c r="GA21" s="598"/>
      <c r="GB21" s="599"/>
      <c r="GC21" s="600"/>
      <c r="GD21" s="599"/>
      <c r="GE21" s="601"/>
      <c r="GF21" s="688"/>
      <c r="GG21" s="602"/>
      <c r="GH21" s="602"/>
      <c r="GI21" s="602"/>
      <c r="GJ21" s="409"/>
      <c r="GK21" s="701" t="s">
        <v>699</v>
      </c>
      <c r="GL21" s="702"/>
      <c r="GM21" s="703"/>
      <c r="GN21" s="638">
        <v>0</v>
      </c>
      <c r="GO21" s="704"/>
      <c r="GP21" s="705"/>
      <c r="GQ21" s="633">
        <v>0</v>
      </c>
      <c r="GR21" s="634">
        <v>0</v>
      </c>
      <c r="GS21" s="578"/>
      <c r="GT21" s="677"/>
      <c r="GU21" s="701" t="s">
        <v>536</v>
      </c>
      <c r="GV21" s="702"/>
      <c r="GW21" s="703"/>
      <c r="GX21" s="706">
        <v>0</v>
      </c>
      <c r="GY21" s="707"/>
      <c r="GZ21" s="704"/>
      <c r="HA21" s="708">
        <v>0</v>
      </c>
      <c r="HB21" s="709"/>
      <c r="HC21" s="710"/>
      <c r="HD21" s="562"/>
      <c r="HE21" s="615"/>
      <c r="HF21" s="615"/>
      <c r="HG21" s="415"/>
    </row>
    <row r="22" spans="1:218" ht="20.100000000000001" customHeight="1">
      <c r="A22" s="552"/>
      <c r="B22" s="700"/>
      <c r="C22" s="691"/>
      <c r="D22" s="583"/>
      <c r="E22" s="692"/>
      <c r="F22" s="693"/>
      <c r="G22" s="694"/>
      <c r="H22" s="587"/>
      <c r="I22" s="695"/>
      <c r="J22" s="587"/>
      <c r="K22" s="695"/>
      <c r="L22" s="587"/>
      <c r="M22" s="695"/>
      <c r="N22" s="587"/>
      <c r="O22" s="695"/>
      <c r="P22" s="587"/>
      <c r="Q22" s="695"/>
      <c r="R22" s="587"/>
      <c r="S22" s="695"/>
      <c r="T22" s="587"/>
      <c r="U22" s="695"/>
      <c r="V22" s="587"/>
      <c r="W22" s="695"/>
      <c r="X22" s="587"/>
      <c r="Y22" s="695"/>
      <c r="Z22" s="587"/>
      <c r="AA22" s="695"/>
      <c r="AB22" s="587"/>
      <c r="AC22" s="695"/>
      <c r="AD22" s="587"/>
      <c r="AE22" s="695"/>
      <c r="AF22" s="587"/>
      <c r="AG22" s="695"/>
      <c r="AH22" s="587"/>
      <c r="AI22" s="695"/>
      <c r="AJ22" s="587"/>
      <c r="AK22" s="695"/>
      <c r="AL22" s="587"/>
      <c r="AM22" s="695"/>
      <c r="AN22" s="587"/>
      <c r="AO22" s="695"/>
      <c r="AP22" s="587"/>
      <c r="AQ22" s="695"/>
      <c r="AR22" s="587"/>
      <c r="AS22" s="695"/>
      <c r="AT22" s="587"/>
      <c r="AU22" s="695"/>
      <c r="AV22" s="587"/>
      <c r="AW22" s="695"/>
      <c r="AX22" s="587"/>
      <c r="AY22" s="695"/>
      <c r="AZ22" s="587"/>
      <c r="BA22" s="695"/>
      <c r="BB22" s="589"/>
      <c r="BC22" s="562"/>
      <c r="BD22" s="552"/>
      <c r="BE22" s="700"/>
      <c r="BF22" s="691"/>
      <c r="BG22" s="583"/>
      <c r="BH22" s="692"/>
      <c r="BI22" s="693"/>
      <c r="BJ22" s="694"/>
      <c r="BK22" s="587"/>
      <c r="BL22" s="695"/>
      <c r="BM22" s="587"/>
      <c r="BN22" s="695"/>
      <c r="BO22" s="587"/>
      <c r="BP22" s="695"/>
      <c r="BQ22" s="587"/>
      <c r="BR22" s="695"/>
      <c r="BS22" s="587"/>
      <c r="BT22" s="695"/>
      <c r="BU22" s="587"/>
      <c r="BV22" s="695"/>
      <c r="BW22" s="587"/>
      <c r="BX22" s="695"/>
      <c r="BY22" s="587"/>
      <c r="BZ22" s="695"/>
      <c r="CA22" s="587"/>
      <c r="CB22" s="695"/>
      <c r="CC22" s="587"/>
      <c r="CD22" s="695"/>
      <c r="CE22" s="587"/>
      <c r="CF22" s="695"/>
      <c r="CG22" s="587"/>
      <c r="CH22" s="695"/>
      <c r="CI22" s="587"/>
      <c r="CJ22" s="695"/>
      <c r="CK22" s="587"/>
      <c r="CL22" s="695"/>
      <c r="CM22" s="587"/>
      <c r="CN22" s="695"/>
      <c r="CO22" s="587"/>
      <c r="CP22" s="695"/>
      <c r="CQ22" s="587"/>
      <c r="CR22" s="695"/>
      <c r="CS22" s="587"/>
      <c r="CT22" s="695"/>
      <c r="CU22" s="587"/>
      <c r="CV22" s="695"/>
      <c r="CW22" s="587"/>
      <c r="CX22" s="695"/>
      <c r="CY22" s="587"/>
      <c r="CZ22" s="695"/>
      <c r="DA22" s="587"/>
      <c r="DB22" s="695"/>
      <c r="DC22" s="587"/>
      <c r="DD22" s="695"/>
      <c r="DE22" s="589"/>
      <c r="DF22" s="562"/>
      <c r="DG22" s="552"/>
      <c r="DH22" s="700"/>
      <c r="DI22" s="691"/>
      <c r="DJ22" s="583"/>
      <c r="DK22" s="692"/>
      <c r="DL22" s="693"/>
      <c r="DM22" s="694"/>
      <c r="DN22" s="587"/>
      <c r="DO22" s="695"/>
      <c r="DP22" s="587"/>
      <c r="DQ22" s="695"/>
      <c r="DR22" s="587"/>
      <c r="DS22" s="695"/>
      <c r="DT22" s="587"/>
      <c r="DU22" s="695"/>
      <c r="DV22" s="587"/>
      <c r="DW22" s="695"/>
      <c r="DX22" s="587"/>
      <c r="DY22" s="695"/>
      <c r="DZ22" s="587"/>
      <c r="EA22" s="695"/>
      <c r="EB22" s="587"/>
      <c r="EC22" s="695"/>
      <c r="ED22" s="587"/>
      <c r="EE22" s="695"/>
      <c r="EF22" s="587"/>
      <c r="EG22" s="695"/>
      <c r="EH22" s="587"/>
      <c r="EI22" s="695"/>
      <c r="EJ22" s="587"/>
      <c r="EK22" s="695"/>
      <c r="EL22" s="587"/>
      <c r="EM22" s="695"/>
      <c r="EN22" s="587"/>
      <c r="EO22" s="695"/>
      <c r="EP22" s="587"/>
      <c r="EQ22" s="695"/>
      <c r="ER22" s="587"/>
      <c r="ES22" s="695"/>
      <c r="ET22" s="587"/>
      <c r="EU22" s="695"/>
      <c r="EV22" s="587"/>
      <c r="EW22" s="695"/>
      <c r="EX22" s="587"/>
      <c r="EY22" s="695"/>
      <c r="EZ22" s="587"/>
      <c r="FA22" s="695"/>
      <c r="FB22" s="587"/>
      <c r="FC22" s="695"/>
      <c r="FD22" s="587"/>
      <c r="FE22" s="695"/>
      <c r="FF22" s="587"/>
      <c r="FG22" s="695"/>
      <c r="FH22" s="589"/>
      <c r="FI22" s="563"/>
      <c r="FJ22" s="564"/>
      <c r="FK22" s="700"/>
      <c r="FL22" s="691"/>
      <c r="FM22" s="583"/>
      <c r="FN22" s="692"/>
      <c r="FO22" s="693"/>
      <c r="FP22" s="696"/>
      <c r="FQ22" s="697"/>
      <c r="FR22" s="587"/>
      <c r="FS22" s="698"/>
      <c r="FT22" s="697"/>
      <c r="FU22" s="592"/>
      <c r="FV22" s="593"/>
      <c r="FW22" s="594"/>
      <c r="FX22" s="595"/>
      <c r="FY22" s="596"/>
      <c r="FZ22" s="597"/>
      <c r="GA22" s="598"/>
      <c r="GB22" s="599"/>
      <c r="GC22" s="600"/>
      <c r="GD22" s="599"/>
      <c r="GE22" s="601"/>
      <c r="GF22" s="688"/>
      <c r="GG22" s="602"/>
      <c r="GH22" s="602"/>
      <c r="GI22" s="602"/>
      <c r="GJ22" s="530"/>
      <c r="GK22" s="711" t="s">
        <v>539</v>
      </c>
      <c r="GL22" s="712"/>
      <c r="GM22" s="712"/>
      <c r="GN22" s="713"/>
      <c r="GO22" s="633">
        <v>0</v>
      </c>
      <c r="GP22" s="633">
        <v>1</v>
      </c>
      <c r="GQ22" s="714"/>
      <c r="GR22" s="715"/>
      <c r="GS22" s="578"/>
      <c r="GT22" s="677"/>
      <c r="GU22" s="711" t="s">
        <v>539</v>
      </c>
      <c r="GV22" s="712"/>
      <c r="GW22" s="712"/>
      <c r="GX22" s="712"/>
      <c r="GY22" s="713"/>
      <c r="GZ22" s="633">
        <v>0</v>
      </c>
      <c r="HA22" s="716"/>
      <c r="HB22" s="717"/>
      <c r="HC22" s="413"/>
      <c r="HD22" s="562"/>
      <c r="HE22" s="415"/>
      <c r="HF22" s="415"/>
      <c r="HG22" s="415"/>
    </row>
    <row r="23" spans="1:218" ht="20.100000000000001" customHeight="1">
      <c r="A23" s="552"/>
      <c r="B23" s="700"/>
      <c r="C23" s="691"/>
      <c r="D23" s="583"/>
      <c r="E23" s="692"/>
      <c r="F23" s="693"/>
      <c r="G23" s="694"/>
      <c r="H23" s="587"/>
      <c r="I23" s="695"/>
      <c r="J23" s="587"/>
      <c r="K23" s="695"/>
      <c r="L23" s="587"/>
      <c r="M23" s="695"/>
      <c r="N23" s="587"/>
      <c r="O23" s="695"/>
      <c r="P23" s="587"/>
      <c r="Q23" s="695"/>
      <c r="R23" s="587"/>
      <c r="S23" s="695"/>
      <c r="T23" s="587"/>
      <c r="U23" s="695"/>
      <c r="V23" s="587"/>
      <c r="W23" s="695"/>
      <c r="X23" s="587"/>
      <c r="Y23" s="695"/>
      <c r="Z23" s="587"/>
      <c r="AA23" s="695"/>
      <c r="AB23" s="587"/>
      <c r="AC23" s="695"/>
      <c r="AD23" s="587"/>
      <c r="AE23" s="695"/>
      <c r="AF23" s="587"/>
      <c r="AG23" s="695"/>
      <c r="AH23" s="587"/>
      <c r="AI23" s="695"/>
      <c r="AJ23" s="587"/>
      <c r="AK23" s="695"/>
      <c r="AL23" s="587"/>
      <c r="AM23" s="695"/>
      <c r="AN23" s="587"/>
      <c r="AO23" s="695"/>
      <c r="AP23" s="587"/>
      <c r="AQ23" s="695"/>
      <c r="AR23" s="587"/>
      <c r="AS23" s="695"/>
      <c r="AT23" s="587"/>
      <c r="AU23" s="695"/>
      <c r="AV23" s="587"/>
      <c r="AW23" s="695"/>
      <c r="AX23" s="587"/>
      <c r="AY23" s="695"/>
      <c r="AZ23" s="587"/>
      <c r="BA23" s="695"/>
      <c r="BB23" s="589"/>
      <c r="BC23" s="562"/>
      <c r="BD23" s="552"/>
      <c r="BE23" s="700"/>
      <c r="BF23" s="691"/>
      <c r="BG23" s="583"/>
      <c r="BH23" s="692"/>
      <c r="BI23" s="693"/>
      <c r="BJ23" s="694"/>
      <c r="BK23" s="587"/>
      <c r="BL23" s="695"/>
      <c r="BM23" s="587"/>
      <c r="BN23" s="695"/>
      <c r="BO23" s="587"/>
      <c r="BP23" s="695"/>
      <c r="BQ23" s="587"/>
      <c r="BR23" s="695"/>
      <c r="BS23" s="587"/>
      <c r="BT23" s="695"/>
      <c r="BU23" s="587"/>
      <c r="BV23" s="695"/>
      <c r="BW23" s="587"/>
      <c r="BX23" s="695"/>
      <c r="BY23" s="587"/>
      <c r="BZ23" s="695"/>
      <c r="CA23" s="587"/>
      <c r="CB23" s="695"/>
      <c r="CC23" s="587"/>
      <c r="CD23" s="695"/>
      <c r="CE23" s="587"/>
      <c r="CF23" s="695"/>
      <c r="CG23" s="587"/>
      <c r="CH23" s="695"/>
      <c r="CI23" s="587"/>
      <c r="CJ23" s="695"/>
      <c r="CK23" s="587"/>
      <c r="CL23" s="695"/>
      <c r="CM23" s="587"/>
      <c r="CN23" s="695"/>
      <c r="CO23" s="587"/>
      <c r="CP23" s="695"/>
      <c r="CQ23" s="587"/>
      <c r="CR23" s="695"/>
      <c r="CS23" s="587"/>
      <c r="CT23" s="695"/>
      <c r="CU23" s="587"/>
      <c r="CV23" s="695"/>
      <c r="CW23" s="587"/>
      <c r="CX23" s="695"/>
      <c r="CY23" s="587"/>
      <c r="CZ23" s="695"/>
      <c r="DA23" s="587"/>
      <c r="DB23" s="695"/>
      <c r="DC23" s="587"/>
      <c r="DD23" s="695"/>
      <c r="DE23" s="589"/>
      <c r="DF23" s="562"/>
      <c r="DG23" s="552"/>
      <c r="DH23" s="700"/>
      <c r="DI23" s="691"/>
      <c r="DJ23" s="583"/>
      <c r="DK23" s="692"/>
      <c r="DL23" s="693"/>
      <c r="DM23" s="694"/>
      <c r="DN23" s="587"/>
      <c r="DO23" s="695"/>
      <c r="DP23" s="587"/>
      <c r="DQ23" s="695"/>
      <c r="DR23" s="587"/>
      <c r="DS23" s="695"/>
      <c r="DT23" s="587"/>
      <c r="DU23" s="695"/>
      <c r="DV23" s="587"/>
      <c r="DW23" s="695"/>
      <c r="DX23" s="587"/>
      <c r="DY23" s="695"/>
      <c r="DZ23" s="587"/>
      <c r="EA23" s="695"/>
      <c r="EB23" s="587"/>
      <c r="EC23" s="695"/>
      <c r="ED23" s="587"/>
      <c r="EE23" s="695"/>
      <c r="EF23" s="587"/>
      <c r="EG23" s="695"/>
      <c r="EH23" s="587"/>
      <c r="EI23" s="695"/>
      <c r="EJ23" s="587"/>
      <c r="EK23" s="695"/>
      <c r="EL23" s="587"/>
      <c r="EM23" s="695"/>
      <c r="EN23" s="587"/>
      <c r="EO23" s="695"/>
      <c r="EP23" s="587"/>
      <c r="EQ23" s="695"/>
      <c r="ER23" s="587"/>
      <c r="ES23" s="695"/>
      <c r="ET23" s="587"/>
      <c r="EU23" s="695"/>
      <c r="EV23" s="587"/>
      <c r="EW23" s="695"/>
      <c r="EX23" s="587"/>
      <c r="EY23" s="695"/>
      <c r="EZ23" s="587"/>
      <c r="FA23" s="695"/>
      <c r="FB23" s="587"/>
      <c r="FC23" s="695"/>
      <c r="FD23" s="587"/>
      <c r="FE23" s="695"/>
      <c r="FF23" s="587"/>
      <c r="FG23" s="695"/>
      <c r="FH23" s="589"/>
      <c r="FI23" s="563"/>
      <c r="FJ23" s="564"/>
      <c r="FK23" s="700"/>
      <c r="FL23" s="691"/>
      <c r="FM23" s="583"/>
      <c r="FN23" s="692"/>
      <c r="FO23" s="693"/>
      <c r="FP23" s="696"/>
      <c r="FQ23" s="697"/>
      <c r="FR23" s="587"/>
      <c r="FS23" s="698"/>
      <c r="FT23" s="697"/>
      <c r="FU23" s="592"/>
      <c r="FV23" s="593"/>
      <c r="FW23" s="594"/>
      <c r="FX23" s="595"/>
      <c r="FY23" s="596"/>
      <c r="FZ23" s="597"/>
      <c r="GA23" s="598"/>
      <c r="GB23" s="599"/>
      <c r="GC23" s="600"/>
      <c r="GD23" s="599"/>
      <c r="GE23" s="601"/>
      <c r="GF23" s="688"/>
      <c r="GG23" s="602"/>
      <c r="GH23" s="602"/>
      <c r="GI23" s="602"/>
      <c r="GJ23" s="615"/>
      <c r="GK23" s="580" t="s">
        <v>701</v>
      </c>
      <c r="GL23" s="609"/>
      <c r="GM23" s="718"/>
      <c r="GN23" s="719">
        <v>62.09</v>
      </c>
      <c r="GO23" s="500" t="s">
        <v>318</v>
      </c>
      <c r="GP23" s="719"/>
      <c r="GQ23" s="609"/>
      <c r="GR23" s="615"/>
      <c r="GS23" s="578"/>
      <c r="GT23" s="677"/>
      <c r="GU23" s="609"/>
      <c r="GV23" s="530"/>
      <c r="GW23" s="609"/>
      <c r="GX23" s="609"/>
      <c r="GY23" s="720"/>
      <c r="GZ23" s="721"/>
      <c r="HA23" s="413"/>
      <c r="HB23" s="721" t="s">
        <v>778</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703</v>
      </c>
      <c r="GL24" s="609"/>
      <c r="GM24" s="718"/>
      <c r="GN24" s="719">
        <v>0</v>
      </c>
      <c r="GO24" s="719"/>
      <c r="GP24" s="719"/>
      <c r="GQ24" s="609"/>
      <c r="GR24" s="615"/>
      <c r="GS24" s="609"/>
      <c r="GT24" s="677"/>
      <c r="GU24" s="580" t="s">
        <v>704</v>
      </c>
      <c r="GV24" s="609"/>
      <c r="GW24" s="609"/>
      <c r="GX24" s="413"/>
      <c r="GY24" s="722">
        <v>614</v>
      </c>
      <c r="GZ24" s="580" t="s">
        <v>319</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833</v>
      </c>
      <c r="GV25" s="609"/>
      <c r="GW25" s="609"/>
      <c r="GX25" s="413"/>
      <c r="GY25" s="733">
        <v>1</v>
      </c>
      <c r="GZ25" s="580"/>
      <c r="HA25" s="530"/>
      <c r="HB25" s="530"/>
      <c r="HC25" s="530"/>
      <c r="HD25" s="562"/>
      <c r="HE25" s="562"/>
      <c r="HF25" s="415"/>
      <c r="HG25" s="415"/>
    </row>
    <row r="26" spans="1:218" ht="20.100000000000001" customHeight="1">
      <c r="A26" s="641"/>
      <c r="B26" s="642"/>
      <c r="C26" s="642"/>
      <c r="D26" s="642" t="s">
        <v>320</v>
      </c>
      <c r="E26" s="642"/>
      <c r="F26" s="642"/>
      <c r="G26" s="644"/>
      <c r="H26" s="645">
        <f>SUM(H16:H25)</f>
        <v>0</v>
      </c>
      <c r="I26" s="734"/>
      <c r="J26" s="645">
        <f>SUM(J16:J25)</f>
        <v>0</v>
      </c>
      <c r="K26" s="735"/>
      <c r="L26" s="645">
        <f>SUM(L16:L25)</f>
        <v>0</v>
      </c>
      <c r="M26" s="735"/>
      <c r="N26" s="645">
        <f>SUM(N16:N25)</f>
        <v>0</v>
      </c>
      <c r="O26" s="735"/>
      <c r="P26" s="645">
        <f>SUM(P16:P25)</f>
        <v>0</v>
      </c>
      <c r="Q26" s="735"/>
      <c r="R26" s="645">
        <f>SUM(R16:R25)</f>
        <v>0</v>
      </c>
      <c r="S26" s="735"/>
      <c r="T26" s="645">
        <f>SUM(T16:T25)</f>
        <v>0</v>
      </c>
      <c r="U26" s="735"/>
      <c r="V26" s="645">
        <f>SUM(V16:V25)</f>
        <v>0</v>
      </c>
      <c r="W26" s="735"/>
      <c r="X26" s="645">
        <f>SUM(X16:X25)</f>
        <v>822</v>
      </c>
      <c r="Y26" s="735"/>
      <c r="Z26" s="645">
        <f>SUM(Z16:Z25)</f>
        <v>1010</v>
      </c>
      <c r="AA26" s="735"/>
      <c r="AB26" s="645">
        <f>SUM(AB16:AB25)</f>
        <v>1138</v>
      </c>
      <c r="AC26" s="735"/>
      <c r="AD26" s="645">
        <f>SUM(AD16:AD25)</f>
        <v>1230</v>
      </c>
      <c r="AE26" s="735"/>
      <c r="AF26" s="645">
        <f>SUM(AF16:AF25)</f>
        <v>1278</v>
      </c>
      <c r="AG26" s="735"/>
      <c r="AH26" s="645">
        <f>SUM(AH16:AH25)</f>
        <v>1294</v>
      </c>
      <c r="AI26" s="735"/>
      <c r="AJ26" s="645">
        <f>SUM(AJ16:AJ25)</f>
        <v>1230</v>
      </c>
      <c r="AK26" s="735"/>
      <c r="AL26" s="645">
        <f>SUM(AL16:AL25)</f>
        <v>1159</v>
      </c>
      <c r="AM26" s="735"/>
      <c r="AN26" s="645">
        <f>SUM(AN16:AN25)</f>
        <v>1021</v>
      </c>
      <c r="AO26" s="735"/>
      <c r="AP26" s="645">
        <f>SUM(AP16:AP25)</f>
        <v>896</v>
      </c>
      <c r="AQ26" s="735"/>
      <c r="AR26" s="645">
        <f>SUM(AR16:AR25)</f>
        <v>0</v>
      </c>
      <c r="AS26" s="735"/>
      <c r="AT26" s="645">
        <f>SUM(AT16:AT25)</f>
        <v>0</v>
      </c>
      <c r="AU26" s="735"/>
      <c r="AV26" s="645">
        <f>SUM(AV16:AV25)</f>
        <v>0</v>
      </c>
      <c r="AW26" s="735"/>
      <c r="AX26" s="645">
        <f>SUM(AX16:AX25)</f>
        <v>0</v>
      </c>
      <c r="AY26" s="735"/>
      <c r="AZ26" s="645">
        <f>SUM(AZ16:AZ25)</f>
        <v>0</v>
      </c>
      <c r="BA26" s="735"/>
      <c r="BB26" s="647">
        <f>SUM(BB16:BB25)</f>
        <v>0</v>
      </c>
      <c r="BC26" s="648"/>
      <c r="BD26" s="641"/>
      <c r="BE26" s="642"/>
      <c r="BF26" s="642"/>
      <c r="BG26" s="642" t="s">
        <v>641</v>
      </c>
      <c r="BH26" s="642"/>
      <c r="BI26" s="642"/>
      <c r="BJ26" s="644"/>
      <c r="BK26" s="645">
        <f>SUM(BK16:BK25)</f>
        <v>0</v>
      </c>
      <c r="BL26" s="734"/>
      <c r="BM26" s="645">
        <f>SUM(BM16:BM25)</f>
        <v>0</v>
      </c>
      <c r="BN26" s="735"/>
      <c r="BO26" s="645">
        <f>SUM(BO16:BO25)</f>
        <v>0</v>
      </c>
      <c r="BP26" s="735"/>
      <c r="BQ26" s="645">
        <f>SUM(BQ16:BQ25)</f>
        <v>0</v>
      </c>
      <c r="BR26" s="735"/>
      <c r="BS26" s="645">
        <f>SUM(BS16:BS25)</f>
        <v>0</v>
      </c>
      <c r="BT26" s="735"/>
      <c r="BU26" s="645">
        <f>SUM(BU16:BU25)</f>
        <v>0</v>
      </c>
      <c r="BV26" s="735"/>
      <c r="BW26" s="645">
        <f>SUM(BW16:BW25)</f>
        <v>0</v>
      </c>
      <c r="BX26" s="735"/>
      <c r="BY26" s="645">
        <f>SUM(BY16:BY25)</f>
        <v>0</v>
      </c>
      <c r="BZ26" s="735"/>
      <c r="CA26" s="645">
        <f>SUM(CA16:CA25)</f>
        <v>844</v>
      </c>
      <c r="CB26" s="735"/>
      <c r="CC26" s="645">
        <f>SUM(CC16:CC25)</f>
        <v>992</v>
      </c>
      <c r="CD26" s="735"/>
      <c r="CE26" s="645">
        <f>SUM(CE16:CE25)</f>
        <v>1119</v>
      </c>
      <c r="CF26" s="735"/>
      <c r="CG26" s="645">
        <f>SUM(CG16:CG25)</f>
        <v>1183</v>
      </c>
      <c r="CH26" s="735"/>
      <c r="CI26" s="645">
        <f>SUM(CI16:CI25)</f>
        <v>1223</v>
      </c>
      <c r="CJ26" s="735"/>
      <c r="CK26" s="645">
        <f>SUM(CK16:CK25)</f>
        <v>1205</v>
      </c>
      <c r="CL26" s="735"/>
      <c r="CM26" s="645">
        <f>SUM(CM16:CM25)</f>
        <v>1142</v>
      </c>
      <c r="CN26" s="735"/>
      <c r="CO26" s="645">
        <f>SUM(CO16:CO25)</f>
        <v>1081</v>
      </c>
      <c r="CP26" s="735"/>
      <c r="CQ26" s="645">
        <f>SUM(CQ16:CQ25)</f>
        <v>1000</v>
      </c>
      <c r="CR26" s="735"/>
      <c r="CS26" s="645">
        <f>SUM(CS16:CS25)</f>
        <v>858</v>
      </c>
      <c r="CT26" s="735"/>
      <c r="CU26" s="645">
        <f>SUM(CU16:CU25)</f>
        <v>0</v>
      </c>
      <c r="CV26" s="735"/>
      <c r="CW26" s="645">
        <f>SUM(CW16:CW25)</f>
        <v>0</v>
      </c>
      <c r="CX26" s="735"/>
      <c r="CY26" s="645">
        <f>SUM(CY16:CY25)</f>
        <v>0</v>
      </c>
      <c r="CZ26" s="735"/>
      <c r="DA26" s="645">
        <f>SUM(DA16:DA25)</f>
        <v>0</v>
      </c>
      <c r="DB26" s="735"/>
      <c r="DC26" s="645">
        <f>SUM(DC16:DC25)</f>
        <v>0</v>
      </c>
      <c r="DD26" s="735"/>
      <c r="DE26" s="647">
        <f>SUM(DE16:DE25)</f>
        <v>0</v>
      </c>
      <c r="DF26" s="648"/>
      <c r="DG26" s="641"/>
      <c r="DH26" s="642"/>
      <c r="DI26" s="642"/>
      <c r="DJ26" s="642" t="s">
        <v>641</v>
      </c>
      <c r="DK26" s="642"/>
      <c r="DL26" s="642"/>
      <c r="DM26" s="644"/>
      <c r="DN26" s="645">
        <f>SUM(DN16:DN25)</f>
        <v>0</v>
      </c>
      <c r="DO26" s="734"/>
      <c r="DP26" s="645">
        <f>SUM(DP16:DP25)</f>
        <v>0</v>
      </c>
      <c r="DQ26" s="735"/>
      <c r="DR26" s="645">
        <f>SUM(DR16:DR25)</f>
        <v>0</v>
      </c>
      <c r="DS26" s="735"/>
      <c r="DT26" s="645">
        <f>SUM(DT16:DT25)</f>
        <v>0</v>
      </c>
      <c r="DU26" s="735"/>
      <c r="DV26" s="645">
        <f>SUM(DV16:DV25)</f>
        <v>0</v>
      </c>
      <c r="DW26" s="735"/>
      <c r="DX26" s="645">
        <f>SUM(DX16:DX25)</f>
        <v>0</v>
      </c>
      <c r="DY26" s="735"/>
      <c r="DZ26" s="645">
        <f>SUM(DZ16:DZ25)</f>
        <v>0</v>
      </c>
      <c r="EA26" s="735"/>
      <c r="EB26" s="645">
        <f>SUM(EB16:EB25)</f>
        <v>0</v>
      </c>
      <c r="EC26" s="735"/>
      <c r="ED26" s="645">
        <f>SUM(ED16:ED25)</f>
        <v>386</v>
      </c>
      <c r="EE26" s="735"/>
      <c r="EF26" s="645">
        <f>SUM(EF16:EF25)</f>
        <v>586</v>
      </c>
      <c r="EG26" s="735"/>
      <c r="EH26" s="645">
        <f>SUM(EH16:EH25)</f>
        <v>731</v>
      </c>
      <c r="EI26" s="735"/>
      <c r="EJ26" s="645">
        <f>SUM(EJ16:EJ25)</f>
        <v>851</v>
      </c>
      <c r="EK26" s="735"/>
      <c r="EL26" s="645">
        <f>SUM(EL16:EL25)</f>
        <v>902</v>
      </c>
      <c r="EM26" s="735"/>
      <c r="EN26" s="645">
        <f>SUM(EN16:EN25)</f>
        <v>882</v>
      </c>
      <c r="EO26" s="735"/>
      <c r="EP26" s="645">
        <f>SUM(EP16:EP25)</f>
        <v>833</v>
      </c>
      <c r="EQ26" s="735"/>
      <c r="ER26" s="645">
        <f>SUM(ER16:ER25)</f>
        <v>777</v>
      </c>
      <c r="ES26" s="735"/>
      <c r="ET26" s="645">
        <f>SUM(ET16:ET25)</f>
        <v>628</v>
      </c>
      <c r="EU26" s="735"/>
      <c r="EV26" s="645">
        <f>SUM(EV16:EV25)</f>
        <v>467</v>
      </c>
      <c r="EW26" s="735"/>
      <c r="EX26" s="645">
        <f>SUM(EX16:EX25)</f>
        <v>0</v>
      </c>
      <c r="EY26" s="735"/>
      <c r="EZ26" s="645">
        <f>SUM(EZ16:EZ25)</f>
        <v>0</v>
      </c>
      <c r="FA26" s="735"/>
      <c r="FB26" s="645">
        <f>SUM(FB16:FB25)</f>
        <v>0</v>
      </c>
      <c r="FC26" s="735"/>
      <c r="FD26" s="645">
        <f>SUM(FD16:FD25)</f>
        <v>0</v>
      </c>
      <c r="FE26" s="735"/>
      <c r="FF26" s="645">
        <f>SUM(FF16:FF25)</f>
        <v>0</v>
      </c>
      <c r="FG26" s="735"/>
      <c r="FH26" s="647">
        <f>SUM(FH16:FH25)</f>
        <v>0</v>
      </c>
      <c r="FI26" s="649"/>
      <c r="FJ26" s="564"/>
      <c r="FK26" s="642"/>
      <c r="FL26" s="642"/>
      <c r="FM26" s="642" t="s">
        <v>320</v>
      </c>
      <c r="FN26" s="642"/>
      <c r="FO26" s="642"/>
      <c r="FP26" s="650"/>
      <c r="FQ26" s="651"/>
      <c r="FR26" s="645">
        <f>SUM(FR16:FR25)</f>
        <v>2413</v>
      </c>
      <c r="FS26" s="736"/>
      <c r="FT26" s="651"/>
      <c r="FU26" s="653">
        <f>SUM(FU16:FU25)</f>
        <v>2489</v>
      </c>
      <c r="FV26" s="593"/>
      <c r="FW26" s="594"/>
      <c r="FX26" s="595"/>
      <c r="FY26" s="596"/>
      <c r="FZ26" s="597"/>
      <c r="GA26" s="598"/>
      <c r="GB26" s="599"/>
      <c r="GC26" s="600"/>
      <c r="GD26" s="599"/>
      <c r="GE26" s="601"/>
      <c r="GF26" s="654"/>
      <c r="GG26" s="655"/>
      <c r="GH26" s="655"/>
      <c r="GI26" s="655"/>
      <c r="GJ26" s="615"/>
      <c r="GK26" s="530" t="s">
        <v>722</v>
      </c>
      <c r="GL26" s="615"/>
      <c r="GM26" s="530"/>
      <c r="GN26" s="615"/>
      <c r="GO26" s="530"/>
      <c r="GP26" s="615"/>
      <c r="GQ26" s="615"/>
      <c r="GR26" s="615"/>
      <c r="GS26" s="579"/>
      <c r="GT26" s="677"/>
      <c r="GU26" s="580" t="s">
        <v>834</v>
      </c>
      <c r="GV26" s="609"/>
      <c r="GW26" s="609"/>
      <c r="GX26" s="413"/>
      <c r="GY26" s="733">
        <v>0</v>
      </c>
      <c r="GZ26" s="580"/>
      <c r="HA26" s="530"/>
      <c r="HB26" s="530"/>
      <c r="HC26" s="530"/>
      <c r="HD26" s="648"/>
      <c r="HE26" s="415"/>
      <c r="HF26" s="415"/>
      <c r="HG26" s="580"/>
      <c r="HH26" s="648"/>
      <c r="HI26" s="415"/>
      <c r="HJ26" s="415"/>
    </row>
    <row r="27" spans="1:218" ht="20.100000000000001" customHeight="1">
      <c r="A27" s="1292" t="s">
        <v>432</v>
      </c>
      <c r="B27" s="738"/>
      <c r="C27" s="739"/>
      <c r="D27" s="663"/>
      <c r="E27" s="739"/>
      <c r="F27" s="739"/>
      <c r="G27" s="740" t="s">
        <v>322</v>
      </c>
      <c r="H27" s="663" t="s">
        <v>428</v>
      </c>
      <c r="I27" s="741" t="s">
        <v>322</v>
      </c>
      <c r="J27" s="663" t="s">
        <v>430</v>
      </c>
      <c r="K27" s="742" t="s">
        <v>322</v>
      </c>
      <c r="L27" s="663" t="s">
        <v>428</v>
      </c>
      <c r="M27" s="742" t="s">
        <v>322</v>
      </c>
      <c r="N27" s="663" t="s">
        <v>428</v>
      </c>
      <c r="O27" s="742" t="s">
        <v>322</v>
      </c>
      <c r="P27" s="663" t="s">
        <v>430</v>
      </c>
      <c r="Q27" s="742" t="s">
        <v>322</v>
      </c>
      <c r="R27" s="663" t="s">
        <v>430</v>
      </c>
      <c r="S27" s="742" t="s">
        <v>429</v>
      </c>
      <c r="T27" s="663" t="s">
        <v>430</v>
      </c>
      <c r="U27" s="742" t="s">
        <v>429</v>
      </c>
      <c r="V27" s="663" t="s">
        <v>430</v>
      </c>
      <c r="W27" s="742" t="s">
        <v>429</v>
      </c>
      <c r="X27" s="663" t="s">
        <v>430</v>
      </c>
      <c r="Y27" s="742" t="s">
        <v>429</v>
      </c>
      <c r="Z27" s="663" t="s">
        <v>428</v>
      </c>
      <c r="AA27" s="742" t="s">
        <v>429</v>
      </c>
      <c r="AB27" s="663" t="s">
        <v>430</v>
      </c>
      <c r="AC27" s="742" t="s">
        <v>322</v>
      </c>
      <c r="AD27" s="663" t="s">
        <v>430</v>
      </c>
      <c r="AE27" s="742" t="s">
        <v>429</v>
      </c>
      <c r="AF27" s="663" t="s">
        <v>430</v>
      </c>
      <c r="AG27" s="742" t="s">
        <v>322</v>
      </c>
      <c r="AH27" s="663" t="s">
        <v>430</v>
      </c>
      <c r="AI27" s="742" t="s">
        <v>429</v>
      </c>
      <c r="AJ27" s="663" t="s">
        <v>428</v>
      </c>
      <c r="AK27" s="742" t="s">
        <v>322</v>
      </c>
      <c r="AL27" s="663" t="s">
        <v>428</v>
      </c>
      <c r="AM27" s="742" t="s">
        <v>429</v>
      </c>
      <c r="AN27" s="663" t="s">
        <v>430</v>
      </c>
      <c r="AO27" s="742" t="s">
        <v>322</v>
      </c>
      <c r="AP27" s="663" t="s">
        <v>430</v>
      </c>
      <c r="AQ27" s="742" t="s">
        <v>322</v>
      </c>
      <c r="AR27" s="663" t="s">
        <v>428</v>
      </c>
      <c r="AS27" s="742" t="s">
        <v>322</v>
      </c>
      <c r="AT27" s="663" t="s">
        <v>430</v>
      </c>
      <c r="AU27" s="742" t="s">
        <v>322</v>
      </c>
      <c r="AV27" s="663" t="s">
        <v>430</v>
      </c>
      <c r="AW27" s="742" t="s">
        <v>322</v>
      </c>
      <c r="AX27" s="663" t="s">
        <v>430</v>
      </c>
      <c r="AY27" s="742" t="s">
        <v>322</v>
      </c>
      <c r="AZ27" s="663" t="s">
        <v>430</v>
      </c>
      <c r="BA27" s="742" t="s">
        <v>322</v>
      </c>
      <c r="BB27" s="665" t="s">
        <v>430</v>
      </c>
      <c r="BC27" s="723"/>
      <c r="BD27" s="1292" t="s">
        <v>431</v>
      </c>
      <c r="BE27" s="738"/>
      <c r="BF27" s="739"/>
      <c r="BG27" s="663"/>
      <c r="BH27" s="739"/>
      <c r="BI27" s="739"/>
      <c r="BJ27" s="740" t="s">
        <v>429</v>
      </c>
      <c r="BK27" s="663" t="s">
        <v>430</v>
      </c>
      <c r="BL27" s="741" t="s">
        <v>322</v>
      </c>
      <c r="BM27" s="663" t="s">
        <v>428</v>
      </c>
      <c r="BN27" s="742" t="s">
        <v>322</v>
      </c>
      <c r="BO27" s="663" t="s">
        <v>430</v>
      </c>
      <c r="BP27" s="742" t="s">
        <v>429</v>
      </c>
      <c r="BQ27" s="663" t="s">
        <v>428</v>
      </c>
      <c r="BR27" s="742" t="s">
        <v>429</v>
      </c>
      <c r="BS27" s="663" t="s">
        <v>428</v>
      </c>
      <c r="BT27" s="742" t="s">
        <v>429</v>
      </c>
      <c r="BU27" s="663" t="s">
        <v>428</v>
      </c>
      <c r="BV27" s="742" t="s">
        <v>322</v>
      </c>
      <c r="BW27" s="663" t="s">
        <v>430</v>
      </c>
      <c r="BX27" s="742" t="s">
        <v>429</v>
      </c>
      <c r="BY27" s="663" t="s">
        <v>430</v>
      </c>
      <c r="BZ27" s="742" t="s">
        <v>322</v>
      </c>
      <c r="CA27" s="663" t="s">
        <v>430</v>
      </c>
      <c r="CB27" s="742" t="s">
        <v>429</v>
      </c>
      <c r="CC27" s="663" t="s">
        <v>428</v>
      </c>
      <c r="CD27" s="742" t="s">
        <v>322</v>
      </c>
      <c r="CE27" s="663" t="s">
        <v>428</v>
      </c>
      <c r="CF27" s="742" t="s">
        <v>322</v>
      </c>
      <c r="CG27" s="663" t="s">
        <v>430</v>
      </c>
      <c r="CH27" s="742" t="s">
        <v>429</v>
      </c>
      <c r="CI27" s="663" t="s">
        <v>430</v>
      </c>
      <c r="CJ27" s="742" t="s">
        <v>322</v>
      </c>
      <c r="CK27" s="663" t="s">
        <v>428</v>
      </c>
      <c r="CL27" s="742" t="s">
        <v>429</v>
      </c>
      <c r="CM27" s="663" t="s">
        <v>428</v>
      </c>
      <c r="CN27" s="742" t="s">
        <v>429</v>
      </c>
      <c r="CO27" s="663" t="s">
        <v>428</v>
      </c>
      <c r="CP27" s="742" t="s">
        <v>322</v>
      </c>
      <c r="CQ27" s="663" t="s">
        <v>430</v>
      </c>
      <c r="CR27" s="742" t="s">
        <v>429</v>
      </c>
      <c r="CS27" s="663" t="s">
        <v>428</v>
      </c>
      <c r="CT27" s="742" t="s">
        <v>322</v>
      </c>
      <c r="CU27" s="663" t="s">
        <v>428</v>
      </c>
      <c r="CV27" s="742" t="s">
        <v>322</v>
      </c>
      <c r="CW27" s="663" t="s">
        <v>428</v>
      </c>
      <c r="CX27" s="742" t="s">
        <v>322</v>
      </c>
      <c r="CY27" s="663" t="s">
        <v>428</v>
      </c>
      <c r="CZ27" s="742" t="s">
        <v>429</v>
      </c>
      <c r="DA27" s="663" t="s">
        <v>428</v>
      </c>
      <c r="DB27" s="742" t="s">
        <v>322</v>
      </c>
      <c r="DC27" s="663" t="s">
        <v>430</v>
      </c>
      <c r="DD27" s="742" t="s">
        <v>322</v>
      </c>
      <c r="DE27" s="665" t="s">
        <v>428</v>
      </c>
      <c r="DF27" s="723"/>
      <c r="DG27" s="1292" t="s">
        <v>431</v>
      </c>
      <c r="DH27" s="743"/>
      <c r="DI27" s="744"/>
      <c r="DJ27" s="745"/>
      <c r="DK27" s="744"/>
      <c r="DL27" s="744"/>
      <c r="DM27" s="740" t="s">
        <v>429</v>
      </c>
      <c r="DN27" s="663" t="s">
        <v>428</v>
      </c>
      <c r="DO27" s="741" t="s">
        <v>429</v>
      </c>
      <c r="DP27" s="663" t="s">
        <v>430</v>
      </c>
      <c r="DQ27" s="742" t="s">
        <v>322</v>
      </c>
      <c r="DR27" s="663" t="s">
        <v>430</v>
      </c>
      <c r="DS27" s="742" t="s">
        <v>429</v>
      </c>
      <c r="DT27" s="663" t="s">
        <v>430</v>
      </c>
      <c r="DU27" s="742" t="s">
        <v>322</v>
      </c>
      <c r="DV27" s="663" t="s">
        <v>430</v>
      </c>
      <c r="DW27" s="742" t="s">
        <v>429</v>
      </c>
      <c r="DX27" s="663" t="s">
        <v>428</v>
      </c>
      <c r="DY27" s="742" t="s">
        <v>322</v>
      </c>
      <c r="DZ27" s="663" t="s">
        <v>428</v>
      </c>
      <c r="EA27" s="742" t="s">
        <v>429</v>
      </c>
      <c r="EB27" s="663" t="s">
        <v>430</v>
      </c>
      <c r="EC27" s="742" t="s">
        <v>322</v>
      </c>
      <c r="ED27" s="663" t="s">
        <v>430</v>
      </c>
      <c r="EE27" s="742" t="s">
        <v>322</v>
      </c>
      <c r="EF27" s="663" t="s">
        <v>428</v>
      </c>
      <c r="EG27" s="742" t="s">
        <v>322</v>
      </c>
      <c r="EH27" s="663" t="s">
        <v>430</v>
      </c>
      <c r="EI27" s="742" t="s">
        <v>322</v>
      </c>
      <c r="EJ27" s="663" t="s">
        <v>430</v>
      </c>
      <c r="EK27" s="742" t="s">
        <v>322</v>
      </c>
      <c r="EL27" s="663" t="s">
        <v>430</v>
      </c>
      <c r="EM27" s="742" t="s">
        <v>322</v>
      </c>
      <c r="EN27" s="663" t="s">
        <v>430</v>
      </c>
      <c r="EO27" s="742" t="s">
        <v>322</v>
      </c>
      <c r="EP27" s="663" t="s">
        <v>430</v>
      </c>
      <c r="EQ27" s="742" t="s">
        <v>429</v>
      </c>
      <c r="ER27" s="663" t="s">
        <v>428</v>
      </c>
      <c r="ES27" s="742" t="s">
        <v>429</v>
      </c>
      <c r="ET27" s="663" t="s">
        <v>428</v>
      </c>
      <c r="EU27" s="742" t="s">
        <v>429</v>
      </c>
      <c r="EV27" s="663" t="s">
        <v>430</v>
      </c>
      <c r="EW27" s="742" t="s">
        <v>322</v>
      </c>
      <c r="EX27" s="663" t="s">
        <v>428</v>
      </c>
      <c r="EY27" s="742" t="s">
        <v>322</v>
      </c>
      <c r="EZ27" s="663" t="s">
        <v>430</v>
      </c>
      <c r="FA27" s="742" t="s">
        <v>322</v>
      </c>
      <c r="FB27" s="663" t="s">
        <v>428</v>
      </c>
      <c r="FC27" s="742" t="s">
        <v>429</v>
      </c>
      <c r="FD27" s="663" t="s">
        <v>430</v>
      </c>
      <c r="FE27" s="742" t="s">
        <v>429</v>
      </c>
      <c r="FF27" s="663" t="s">
        <v>430</v>
      </c>
      <c r="FG27" s="742" t="s">
        <v>322</v>
      </c>
      <c r="FH27" s="665" t="s">
        <v>428</v>
      </c>
      <c r="FI27" s="746"/>
      <c r="FJ27" s="542" t="s">
        <v>431</v>
      </c>
      <c r="FK27" s="743"/>
      <c r="FL27" s="744"/>
      <c r="FM27" s="745"/>
      <c r="FN27" s="744"/>
      <c r="FO27" s="744"/>
      <c r="FP27" s="747" t="s">
        <v>450</v>
      </c>
      <c r="FQ27" s="673" t="s">
        <v>322</v>
      </c>
      <c r="FR27" s="663" t="s">
        <v>451</v>
      </c>
      <c r="FS27" s="748" t="s">
        <v>450</v>
      </c>
      <c r="FT27" s="673" t="s">
        <v>322</v>
      </c>
      <c r="FU27" s="675" t="s">
        <v>451</v>
      </c>
      <c r="FV27" s="593"/>
      <c r="FW27" s="594"/>
      <c r="FX27" s="595"/>
      <c r="FY27" s="596"/>
      <c r="FZ27" s="597"/>
      <c r="GA27" s="598"/>
      <c r="GB27" s="599"/>
      <c r="GC27" s="600"/>
      <c r="GD27" s="599"/>
      <c r="GE27" s="601"/>
      <c r="GF27" s="749"/>
      <c r="GG27" s="750"/>
      <c r="GH27" s="750"/>
      <c r="GI27" s="750"/>
      <c r="GJ27" s="615"/>
      <c r="GK27" s="530" t="s">
        <v>779</v>
      </c>
      <c r="GL27" s="615"/>
      <c r="GM27" s="615"/>
      <c r="GN27" s="615"/>
      <c r="GO27" s="413"/>
      <c r="GP27" s="751">
        <v>27.3</v>
      </c>
      <c r="GQ27" s="413" t="s">
        <v>707</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435</v>
      </c>
      <c r="C28" s="753"/>
      <c r="D28" s="754">
        <v>55</v>
      </c>
      <c r="E28" s="755">
        <v>2</v>
      </c>
      <c r="F28" s="756" t="s">
        <v>436</v>
      </c>
      <c r="G28" s="757"/>
      <c r="H28" s="559"/>
      <c r="I28" s="758"/>
      <c r="J28" s="559"/>
      <c r="K28" s="758"/>
      <c r="L28" s="559"/>
      <c r="M28" s="758"/>
      <c r="N28" s="559"/>
      <c r="O28" s="758"/>
      <c r="P28" s="559"/>
      <c r="Q28" s="758"/>
      <c r="R28" s="559"/>
      <c r="S28" s="758"/>
      <c r="T28" s="559"/>
      <c r="U28" s="758"/>
      <c r="V28" s="559"/>
      <c r="W28" s="758">
        <v>1</v>
      </c>
      <c r="X28" s="559">
        <v>110</v>
      </c>
      <c r="Y28" s="758">
        <v>1</v>
      </c>
      <c r="Z28" s="559">
        <v>110</v>
      </c>
      <c r="AA28" s="758">
        <v>1</v>
      </c>
      <c r="AB28" s="559">
        <v>110</v>
      </c>
      <c r="AC28" s="758">
        <v>1</v>
      </c>
      <c r="AD28" s="559">
        <v>110</v>
      </c>
      <c r="AE28" s="758">
        <v>1</v>
      </c>
      <c r="AF28" s="559">
        <v>110</v>
      </c>
      <c r="AG28" s="758">
        <v>1</v>
      </c>
      <c r="AH28" s="559">
        <v>110</v>
      </c>
      <c r="AI28" s="758">
        <v>1</v>
      </c>
      <c r="AJ28" s="559">
        <v>110</v>
      </c>
      <c r="AK28" s="758">
        <v>1</v>
      </c>
      <c r="AL28" s="559">
        <v>110</v>
      </c>
      <c r="AM28" s="758">
        <v>1</v>
      </c>
      <c r="AN28" s="559">
        <v>110</v>
      </c>
      <c r="AO28" s="758">
        <v>1</v>
      </c>
      <c r="AP28" s="559">
        <v>110</v>
      </c>
      <c r="AQ28" s="758"/>
      <c r="AR28" s="559"/>
      <c r="AS28" s="758"/>
      <c r="AT28" s="559"/>
      <c r="AU28" s="758"/>
      <c r="AV28" s="559"/>
      <c r="AW28" s="758"/>
      <c r="AX28" s="559"/>
      <c r="AY28" s="758"/>
      <c r="AZ28" s="559"/>
      <c r="BA28" s="758"/>
      <c r="BB28" s="684"/>
      <c r="BC28" s="562"/>
      <c r="BD28" s="552"/>
      <c r="BE28" s="752" t="s">
        <v>435</v>
      </c>
      <c r="BF28" s="753"/>
      <c r="BG28" s="754">
        <v>55</v>
      </c>
      <c r="BH28" s="755">
        <v>2</v>
      </c>
      <c r="BI28" s="756" t="s">
        <v>436</v>
      </c>
      <c r="BJ28" s="757"/>
      <c r="BK28" s="559"/>
      <c r="BL28" s="758"/>
      <c r="BM28" s="559"/>
      <c r="BN28" s="758"/>
      <c r="BO28" s="559"/>
      <c r="BP28" s="758"/>
      <c r="BQ28" s="559"/>
      <c r="BR28" s="758"/>
      <c r="BS28" s="559"/>
      <c r="BT28" s="758"/>
      <c r="BU28" s="559"/>
      <c r="BV28" s="758"/>
      <c r="BW28" s="559"/>
      <c r="BX28" s="758"/>
      <c r="BY28" s="559"/>
      <c r="BZ28" s="758">
        <v>1</v>
      </c>
      <c r="CA28" s="559">
        <v>110</v>
      </c>
      <c r="CB28" s="758">
        <v>1</v>
      </c>
      <c r="CC28" s="559">
        <v>110</v>
      </c>
      <c r="CD28" s="758">
        <v>1</v>
      </c>
      <c r="CE28" s="559">
        <v>110</v>
      </c>
      <c r="CF28" s="758">
        <v>1</v>
      </c>
      <c r="CG28" s="559">
        <v>110</v>
      </c>
      <c r="CH28" s="758">
        <v>1</v>
      </c>
      <c r="CI28" s="559">
        <v>110</v>
      </c>
      <c r="CJ28" s="758">
        <v>1</v>
      </c>
      <c r="CK28" s="559">
        <v>110</v>
      </c>
      <c r="CL28" s="758">
        <v>1</v>
      </c>
      <c r="CM28" s="559">
        <v>110</v>
      </c>
      <c r="CN28" s="758">
        <v>1</v>
      </c>
      <c r="CO28" s="559">
        <v>110</v>
      </c>
      <c r="CP28" s="758">
        <v>1</v>
      </c>
      <c r="CQ28" s="559">
        <v>110</v>
      </c>
      <c r="CR28" s="758">
        <v>1</v>
      </c>
      <c r="CS28" s="559">
        <v>110</v>
      </c>
      <c r="CT28" s="758"/>
      <c r="CU28" s="559"/>
      <c r="CV28" s="758"/>
      <c r="CW28" s="559"/>
      <c r="CX28" s="758"/>
      <c r="CY28" s="559"/>
      <c r="CZ28" s="758"/>
      <c r="DA28" s="559"/>
      <c r="DB28" s="758"/>
      <c r="DC28" s="559"/>
      <c r="DD28" s="758"/>
      <c r="DE28" s="684"/>
      <c r="DF28" s="562"/>
      <c r="DG28" s="552"/>
      <c r="DH28" s="752" t="s">
        <v>435</v>
      </c>
      <c r="DI28" s="753"/>
      <c r="DJ28" s="754">
        <v>55</v>
      </c>
      <c r="DK28" s="755">
        <v>2</v>
      </c>
      <c r="DL28" s="756" t="s">
        <v>436</v>
      </c>
      <c r="DM28" s="757"/>
      <c r="DN28" s="559"/>
      <c r="DO28" s="758"/>
      <c r="DP28" s="559"/>
      <c r="DQ28" s="758"/>
      <c r="DR28" s="559"/>
      <c r="DS28" s="758"/>
      <c r="DT28" s="559"/>
      <c r="DU28" s="758"/>
      <c r="DV28" s="559"/>
      <c r="DW28" s="758"/>
      <c r="DX28" s="559"/>
      <c r="DY28" s="758"/>
      <c r="DZ28" s="559"/>
      <c r="EA28" s="758"/>
      <c r="EB28" s="559"/>
      <c r="EC28" s="758">
        <v>1</v>
      </c>
      <c r="ED28" s="559">
        <v>110</v>
      </c>
      <c r="EE28" s="758">
        <v>1</v>
      </c>
      <c r="EF28" s="559">
        <v>110</v>
      </c>
      <c r="EG28" s="758">
        <v>1</v>
      </c>
      <c r="EH28" s="559">
        <v>110</v>
      </c>
      <c r="EI28" s="758">
        <v>1</v>
      </c>
      <c r="EJ28" s="559">
        <v>110</v>
      </c>
      <c r="EK28" s="758">
        <v>1</v>
      </c>
      <c r="EL28" s="559">
        <v>110</v>
      </c>
      <c r="EM28" s="758">
        <v>1</v>
      </c>
      <c r="EN28" s="559">
        <v>110</v>
      </c>
      <c r="EO28" s="758">
        <v>1</v>
      </c>
      <c r="EP28" s="559">
        <v>110</v>
      </c>
      <c r="EQ28" s="758">
        <v>1</v>
      </c>
      <c r="ER28" s="559">
        <v>110</v>
      </c>
      <c r="ES28" s="758">
        <v>1</v>
      </c>
      <c r="ET28" s="559">
        <v>110</v>
      </c>
      <c r="EU28" s="758">
        <v>1</v>
      </c>
      <c r="EV28" s="559">
        <v>110</v>
      </c>
      <c r="EW28" s="758"/>
      <c r="EX28" s="559"/>
      <c r="EY28" s="758"/>
      <c r="EZ28" s="559"/>
      <c r="FA28" s="758"/>
      <c r="FB28" s="559"/>
      <c r="FC28" s="758"/>
      <c r="FD28" s="559"/>
      <c r="FE28" s="758"/>
      <c r="FF28" s="559"/>
      <c r="FG28" s="758"/>
      <c r="FH28" s="684"/>
      <c r="FI28" s="563"/>
      <c r="FJ28" s="564"/>
      <c r="FK28" s="752" t="s">
        <v>437</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708</v>
      </c>
      <c r="GL28" s="413"/>
      <c r="GM28" s="413"/>
      <c r="GN28" s="413"/>
      <c r="GO28" s="530"/>
      <c r="GP28" s="751">
        <v>28</v>
      </c>
      <c r="GQ28" s="413" t="s">
        <v>550</v>
      </c>
      <c r="GR28" s="733"/>
      <c r="GS28" s="530"/>
      <c r="GT28" s="763"/>
      <c r="GU28" s="580" t="s">
        <v>709</v>
      </c>
      <c r="GV28" s="609"/>
      <c r="GW28" s="530"/>
      <c r="GX28" s="529"/>
      <c r="GY28" s="409"/>
      <c r="GZ28" s="615"/>
      <c r="HA28" s="530"/>
      <c r="HB28" s="530"/>
      <c r="HC28" s="530"/>
      <c r="HD28" s="530"/>
      <c r="HE28" s="415"/>
      <c r="HF28" s="415"/>
      <c r="HG28" s="415"/>
      <c r="HH28" s="415"/>
    </row>
    <row r="29" spans="1:218" ht="20.100000000000001" customHeight="1" thickBot="1">
      <c r="A29" s="552"/>
      <c r="B29" s="764" t="s">
        <v>439</v>
      </c>
      <c r="C29" s="765"/>
      <c r="D29" s="766">
        <v>15</v>
      </c>
      <c r="E29" s="767">
        <v>62.09</v>
      </c>
      <c r="F29" s="768" t="s">
        <v>436</v>
      </c>
      <c r="G29" s="769"/>
      <c r="H29" s="587"/>
      <c r="I29" s="770"/>
      <c r="J29" s="587"/>
      <c r="K29" s="770"/>
      <c r="L29" s="587"/>
      <c r="M29" s="770"/>
      <c r="N29" s="587"/>
      <c r="O29" s="770"/>
      <c r="P29" s="587"/>
      <c r="Q29" s="770"/>
      <c r="R29" s="587"/>
      <c r="S29" s="770"/>
      <c r="T29" s="587"/>
      <c r="U29" s="770"/>
      <c r="V29" s="587"/>
      <c r="W29" s="770">
        <v>1</v>
      </c>
      <c r="X29" s="587">
        <v>931</v>
      </c>
      <c r="Y29" s="770">
        <v>1</v>
      </c>
      <c r="Z29" s="587">
        <v>931</v>
      </c>
      <c r="AA29" s="770">
        <v>1</v>
      </c>
      <c r="AB29" s="587">
        <v>931</v>
      </c>
      <c r="AC29" s="770">
        <v>1</v>
      </c>
      <c r="AD29" s="587">
        <v>931</v>
      </c>
      <c r="AE29" s="770">
        <v>1</v>
      </c>
      <c r="AF29" s="587">
        <v>931</v>
      </c>
      <c r="AG29" s="770">
        <v>1</v>
      </c>
      <c r="AH29" s="587">
        <v>931</v>
      </c>
      <c r="AI29" s="770">
        <v>1</v>
      </c>
      <c r="AJ29" s="587">
        <v>931</v>
      </c>
      <c r="AK29" s="770">
        <v>1</v>
      </c>
      <c r="AL29" s="587">
        <v>931</v>
      </c>
      <c r="AM29" s="770">
        <v>1</v>
      </c>
      <c r="AN29" s="587">
        <v>931</v>
      </c>
      <c r="AO29" s="770">
        <v>1</v>
      </c>
      <c r="AP29" s="587">
        <v>931</v>
      </c>
      <c r="AQ29" s="770"/>
      <c r="AR29" s="587"/>
      <c r="AS29" s="770"/>
      <c r="AT29" s="587"/>
      <c r="AU29" s="770"/>
      <c r="AV29" s="587"/>
      <c r="AW29" s="770"/>
      <c r="AX29" s="587"/>
      <c r="AY29" s="770"/>
      <c r="AZ29" s="587"/>
      <c r="BA29" s="770"/>
      <c r="BB29" s="589"/>
      <c r="BC29" s="562"/>
      <c r="BD29" s="552"/>
      <c r="BE29" s="764" t="s">
        <v>439</v>
      </c>
      <c r="BF29" s="765"/>
      <c r="BG29" s="766">
        <v>15</v>
      </c>
      <c r="BH29" s="767">
        <v>62.09</v>
      </c>
      <c r="BI29" s="768" t="s">
        <v>436</v>
      </c>
      <c r="BJ29" s="769"/>
      <c r="BK29" s="587"/>
      <c r="BL29" s="770"/>
      <c r="BM29" s="587"/>
      <c r="BN29" s="770"/>
      <c r="BO29" s="587"/>
      <c r="BP29" s="770"/>
      <c r="BQ29" s="587"/>
      <c r="BR29" s="770"/>
      <c r="BS29" s="587"/>
      <c r="BT29" s="770"/>
      <c r="BU29" s="587"/>
      <c r="BV29" s="770"/>
      <c r="BW29" s="587"/>
      <c r="BX29" s="770"/>
      <c r="BY29" s="587"/>
      <c r="BZ29" s="770">
        <v>1</v>
      </c>
      <c r="CA29" s="587">
        <v>931</v>
      </c>
      <c r="CB29" s="770">
        <v>1</v>
      </c>
      <c r="CC29" s="587">
        <v>931</v>
      </c>
      <c r="CD29" s="770">
        <v>1</v>
      </c>
      <c r="CE29" s="587">
        <v>931</v>
      </c>
      <c r="CF29" s="770">
        <v>1</v>
      </c>
      <c r="CG29" s="587">
        <v>931</v>
      </c>
      <c r="CH29" s="770">
        <v>1</v>
      </c>
      <c r="CI29" s="587">
        <v>931</v>
      </c>
      <c r="CJ29" s="770">
        <v>1</v>
      </c>
      <c r="CK29" s="587">
        <v>931</v>
      </c>
      <c r="CL29" s="770">
        <v>1</v>
      </c>
      <c r="CM29" s="587">
        <v>931</v>
      </c>
      <c r="CN29" s="770">
        <v>1</v>
      </c>
      <c r="CO29" s="587">
        <v>931</v>
      </c>
      <c r="CP29" s="770">
        <v>1</v>
      </c>
      <c r="CQ29" s="587">
        <v>931</v>
      </c>
      <c r="CR29" s="770">
        <v>1</v>
      </c>
      <c r="CS29" s="587">
        <v>931</v>
      </c>
      <c r="CT29" s="770"/>
      <c r="CU29" s="587"/>
      <c r="CV29" s="770"/>
      <c r="CW29" s="587"/>
      <c r="CX29" s="770"/>
      <c r="CY29" s="587"/>
      <c r="CZ29" s="770"/>
      <c r="DA29" s="587"/>
      <c r="DB29" s="770"/>
      <c r="DC29" s="587"/>
      <c r="DD29" s="770"/>
      <c r="DE29" s="589"/>
      <c r="DF29" s="562"/>
      <c r="DG29" s="552"/>
      <c r="DH29" s="764" t="s">
        <v>438</v>
      </c>
      <c r="DI29" s="765"/>
      <c r="DJ29" s="766">
        <v>15</v>
      </c>
      <c r="DK29" s="767">
        <v>62.09</v>
      </c>
      <c r="DL29" s="768" t="s">
        <v>436</v>
      </c>
      <c r="DM29" s="769"/>
      <c r="DN29" s="587"/>
      <c r="DO29" s="770"/>
      <c r="DP29" s="587"/>
      <c r="DQ29" s="770"/>
      <c r="DR29" s="587"/>
      <c r="DS29" s="770"/>
      <c r="DT29" s="587"/>
      <c r="DU29" s="770"/>
      <c r="DV29" s="587"/>
      <c r="DW29" s="770"/>
      <c r="DX29" s="587"/>
      <c r="DY29" s="770"/>
      <c r="DZ29" s="587"/>
      <c r="EA29" s="770"/>
      <c r="EB29" s="587"/>
      <c r="EC29" s="770">
        <v>1</v>
      </c>
      <c r="ED29" s="587">
        <v>931</v>
      </c>
      <c r="EE29" s="770">
        <v>1</v>
      </c>
      <c r="EF29" s="587">
        <v>931</v>
      </c>
      <c r="EG29" s="770">
        <v>1</v>
      </c>
      <c r="EH29" s="587">
        <v>931</v>
      </c>
      <c r="EI29" s="770">
        <v>1</v>
      </c>
      <c r="EJ29" s="587">
        <v>931</v>
      </c>
      <c r="EK29" s="770">
        <v>1</v>
      </c>
      <c r="EL29" s="587">
        <v>931</v>
      </c>
      <c r="EM29" s="770">
        <v>1</v>
      </c>
      <c r="EN29" s="587">
        <v>931</v>
      </c>
      <c r="EO29" s="770">
        <v>1</v>
      </c>
      <c r="EP29" s="587">
        <v>931</v>
      </c>
      <c r="EQ29" s="770">
        <v>1</v>
      </c>
      <c r="ER29" s="587">
        <v>931</v>
      </c>
      <c r="ES29" s="770">
        <v>1</v>
      </c>
      <c r="ET29" s="587">
        <v>931</v>
      </c>
      <c r="EU29" s="770">
        <v>1</v>
      </c>
      <c r="EV29" s="587">
        <v>931</v>
      </c>
      <c r="EW29" s="770"/>
      <c r="EX29" s="587"/>
      <c r="EY29" s="770"/>
      <c r="EZ29" s="587"/>
      <c r="FA29" s="770"/>
      <c r="FB29" s="587"/>
      <c r="FC29" s="770"/>
      <c r="FD29" s="587"/>
      <c r="FE29" s="770"/>
      <c r="FF29" s="587"/>
      <c r="FG29" s="770"/>
      <c r="FH29" s="589"/>
      <c r="FI29" s="563"/>
      <c r="FJ29" s="564"/>
      <c r="FK29" s="764" t="s">
        <v>439</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552</v>
      </c>
      <c r="GL29" s="774"/>
      <c r="GM29" s="774"/>
      <c r="GN29" s="774"/>
      <c r="GO29" s="615"/>
      <c r="GP29" s="751">
        <v>-0.69999999999999929</v>
      </c>
      <c r="GQ29" s="413" t="s">
        <v>707</v>
      </c>
      <c r="GR29" s="775"/>
      <c r="GS29" s="530"/>
      <c r="GT29" s="763"/>
      <c r="GU29" s="580" t="s">
        <v>553</v>
      </c>
      <c r="GV29" s="609"/>
      <c r="GW29" s="530"/>
      <c r="GX29" s="529"/>
      <c r="GY29" s="409"/>
      <c r="GZ29" s="530"/>
      <c r="HA29" s="580"/>
      <c r="HB29" s="580"/>
      <c r="HC29" s="579"/>
      <c r="HD29" s="530"/>
      <c r="HE29" s="415"/>
      <c r="HF29" s="415"/>
    </row>
    <row r="30" spans="1:218" ht="20.100000000000001" customHeight="1">
      <c r="A30" s="552"/>
      <c r="B30" s="764" t="s">
        <v>440</v>
      </c>
      <c r="C30" s="766"/>
      <c r="D30" s="767">
        <v>0</v>
      </c>
      <c r="E30" s="776"/>
      <c r="F30" s="777"/>
      <c r="G30" s="769"/>
      <c r="H30" s="587"/>
      <c r="I30" s="770"/>
      <c r="J30" s="587"/>
      <c r="K30" s="770"/>
      <c r="L30" s="587"/>
      <c r="M30" s="770"/>
      <c r="N30" s="587"/>
      <c r="O30" s="770"/>
      <c r="P30" s="587"/>
      <c r="Q30" s="770"/>
      <c r="R30" s="587"/>
      <c r="S30" s="770"/>
      <c r="T30" s="587"/>
      <c r="U30" s="770"/>
      <c r="V30" s="587"/>
      <c r="W30" s="770"/>
      <c r="X30" s="587">
        <v>0</v>
      </c>
      <c r="Y30" s="770"/>
      <c r="Z30" s="587">
        <v>0</v>
      </c>
      <c r="AA30" s="770"/>
      <c r="AB30" s="587">
        <v>0</v>
      </c>
      <c r="AC30" s="770"/>
      <c r="AD30" s="587">
        <v>0</v>
      </c>
      <c r="AE30" s="770"/>
      <c r="AF30" s="587">
        <v>0</v>
      </c>
      <c r="AG30" s="770"/>
      <c r="AH30" s="587">
        <v>0</v>
      </c>
      <c r="AI30" s="770"/>
      <c r="AJ30" s="587">
        <v>0</v>
      </c>
      <c r="AK30" s="770"/>
      <c r="AL30" s="587">
        <v>0</v>
      </c>
      <c r="AM30" s="770"/>
      <c r="AN30" s="587">
        <v>0</v>
      </c>
      <c r="AO30" s="770"/>
      <c r="AP30" s="587">
        <v>0</v>
      </c>
      <c r="AQ30" s="770"/>
      <c r="AR30" s="587"/>
      <c r="AS30" s="770"/>
      <c r="AT30" s="587"/>
      <c r="AU30" s="770"/>
      <c r="AV30" s="587"/>
      <c r="AW30" s="770"/>
      <c r="AX30" s="587"/>
      <c r="AY30" s="770"/>
      <c r="AZ30" s="587"/>
      <c r="BA30" s="770"/>
      <c r="BB30" s="589"/>
      <c r="BC30" s="562"/>
      <c r="BD30" s="552"/>
      <c r="BE30" s="764" t="s">
        <v>441</v>
      </c>
      <c r="BF30" s="766">
        <v>0</v>
      </c>
      <c r="BG30" s="767">
        <v>0</v>
      </c>
      <c r="BH30" s="776">
        <v>0</v>
      </c>
      <c r="BI30" s="777"/>
      <c r="BJ30" s="769"/>
      <c r="BK30" s="587"/>
      <c r="BL30" s="770"/>
      <c r="BM30" s="587"/>
      <c r="BN30" s="770"/>
      <c r="BO30" s="587"/>
      <c r="BP30" s="770"/>
      <c r="BQ30" s="587"/>
      <c r="BR30" s="770"/>
      <c r="BS30" s="587"/>
      <c r="BT30" s="770"/>
      <c r="BU30" s="587"/>
      <c r="BV30" s="770"/>
      <c r="BW30" s="587"/>
      <c r="BX30" s="770"/>
      <c r="BY30" s="587"/>
      <c r="BZ30" s="770"/>
      <c r="CA30" s="587">
        <v>0</v>
      </c>
      <c r="CB30" s="770"/>
      <c r="CC30" s="587">
        <v>0</v>
      </c>
      <c r="CD30" s="770"/>
      <c r="CE30" s="587">
        <v>0</v>
      </c>
      <c r="CF30" s="770"/>
      <c r="CG30" s="587">
        <v>0</v>
      </c>
      <c r="CH30" s="770"/>
      <c r="CI30" s="587">
        <v>0</v>
      </c>
      <c r="CJ30" s="770"/>
      <c r="CK30" s="587">
        <v>0</v>
      </c>
      <c r="CL30" s="770"/>
      <c r="CM30" s="587">
        <v>0</v>
      </c>
      <c r="CN30" s="770"/>
      <c r="CO30" s="587">
        <v>0</v>
      </c>
      <c r="CP30" s="770"/>
      <c r="CQ30" s="587">
        <v>0</v>
      </c>
      <c r="CR30" s="770"/>
      <c r="CS30" s="587">
        <v>0</v>
      </c>
      <c r="CT30" s="770"/>
      <c r="CU30" s="587"/>
      <c r="CV30" s="770"/>
      <c r="CW30" s="587"/>
      <c r="CX30" s="770"/>
      <c r="CY30" s="587"/>
      <c r="CZ30" s="770"/>
      <c r="DA30" s="587"/>
      <c r="DB30" s="770"/>
      <c r="DC30" s="587"/>
      <c r="DD30" s="770"/>
      <c r="DE30" s="589"/>
      <c r="DF30" s="562"/>
      <c r="DG30" s="552"/>
      <c r="DH30" s="764" t="s">
        <v>440</v>
      </c>
      <c r="DI30" s="766">
        <v>0</v>
      </c>
      <c r="DJ30" s="767">
        <v>0</v>
      </c>
      <c r="DK30" s="776">
        <v>0</v>
      </c>
      <c r="DL30" s="777"/>
      <c r="DM30" s="769"/>
      <c r="DN30" s="587"/>
      <c r="DO30" s="770"/>
      <c r="DP30" s="587"/>
      <c r="DQ30" s="770"/>
      <c r="DR30" s="587"/>
      <c r="DS30" s="770"/>
      <c r="DT30" s="587"/>
      <c r="DU30" s="770"/>
      <c r="DV30" s="587"/>
      <c r="DW30" s="770"/>
      <c r="DX30" s="587"/>
      <c r="DY30" s="770"/>
      <c r="DZ30" s="587"/>
      <c r="EA30" s="770"/>
      <c r="EB30" s="587"/>
      <c r="EC30" s="770"/>
      <c r="ED30" s="587">
        <v>0</v>
      </c>
      <c r="EE30" s="770"/>
      <c r="EF30" s="587">
        <v>0</v>
      </c>
      <c r="EG30" s="770"/>
      <c r="EH30" s="587">
        <v>0</v>
      </c>
      <c r="EI30" s="770"/>
      <c r="EJ30" s="587">
        <v>0</v>
      </c>
      <c r="EK30" s="770"/>
      <c r="EL30" s="587">
        <v>0</v>
      </c>
      <c r="EM30" s="770"/>
      <c r="EN30" s="587">
        <v>0</v>
      </c>
      <c r="EO30" s="770"/>
      <c r="EP30" s="587">
        <v>0</v>
      </c>
      <c r="EQ30" s="770"/>
      <c r="ER30" s="587">
        <v>0</v>
      </c>
      <c r="ES30" s="770"/>
      <c r="ET30" s="587">
        <v>0</v>
      </c>
      <c r="EU30" s="770"/>
      <c r="EV30" s="587">
        <v>0</v>
      </c>
      <c r="EW30" s="770"/>
      <c r="EX30" s="587"/>
      <c r="EY30" s="770"/>
      <c r="EZ30" s="587"/>
      <c r="FA30" s="770"/>
      <c r="FB30" s="587"/>
      <c r="FC30" s="770"/>
      <c r="FD30" s="587"/>
      <c r="FE30" s="770"/>
      <c r="FF30" s="587"/>
      <c r="FG30" s="770"/>
      <c r="FH30" s="589"/>
      <c r="FI30" s="563"/>
      <c r="FJ30" s="564"/>
      <c r="FK30" s="764" t="s">
        <v>441</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554</v>
      </c>
      <c r="GL30" s="774"/>
      <c r="GM30" s="774"/>
      <c r="GN30" s="774"/>
      <c r="GO30" s="530"/>
      <c r="GP30" s="778">
        <v>-0.44</v>
      </c>
      <c r="GQ30" s="413"/>
      <c r="GR30" s="413"/>
      <c r="GS30" s="530"/>
      <c r="GT30" s="763"/>
      <c r="GU30" s="779" t="s">
        <v>380</v>
      </c>
      <c r="GV30" s="780"/>
      <c r="GW30" s="781" t="s">
        <v>782</v>
      </c>
      <c r="GX30" s="781"/>
      <c r="GY30" s="781"/>
      <c r="GZ30" s="781"/>
      <c r="HA30" s="782"/>
      <c r="HB30" s="783" t="s">
        <v>713</v>
      </c>
      <c r="HC30" s="579"/>
      <c r="HD30" s="562"/>
      <c r="HE30" s="415"/>
      <c r="HF30" s="415"/>
    </row>
    <row r="31" spans="1:218" ht="20.100000000000001" customHeight="1">
      <c r="A31" s="552"/>
      <c r="B31" s="784" t="s">
        <v>442</v>
      </c>
      <c r="C31" s="784"/>
      <c r="D31" s="785"/>
      <c r="E31" s="786"/>
      <c r="F31" s="787"/>
      <c r="G31" s="769"/>
      <c r="H31" s="587"/>
      <c r="I31" s="770"/>
      <c r="J31" s="587"/>
      <c r="K31" s="770"/>
      <c r="L31" s="587"/>
      <c r="M31" s="770"/>
      <c r="N31" s="587"/>
      <c r="O31" s="770"/>
      <c r="P31" s="587"/>
      <c r="Q31" s="770"/>
      <c r="R31" s="587"/>
      <c r="S31" s="770"/>
      <c r="T31" s="587"/>
      <c r="U31" s="770"/>
      <c r="V31" s="587"/>
      <c r="W31" s="770"/>
      <c r="X31" s="587">
        <v>0</v>
      </c>
      <c r="Y31" s="770"/>
      <c r="Z31" s="587">
        <v>0</v>
      </c>
      <c r="AA31" s="770"/>
      <c r="AB31" s="587">
        <v>0</v>
      </c>
      <c r="AC31" s="770"/>
      <c r="AD31" s="587">
        <v>0</v>
      </c>
      <c r="AE31" s="770"/>
      <c r="AF31" s="587">
        <v>0</v>
      </c>
      <c r="AG31" s="770"/>
      <c r="AH31" s="587">
        <v>0</v>
      </c>
      <c r="AI31" s="770"/>
      <c r="AJ31" s="587">
        <v>0</v>
      </c>
      <c r="AK31" s="770"/>
      <c r="AL31" s="587">
        <v>0</v>
      </c>
      <c r="AM31" s="770"/>
      <c r="AN31" s="587">
        <v>0</v>
      </c>
      <c r="AO31" s="770"/>
      <c r="AP31" s="587">
        <v>0</v>
      </c>
      <c r="AQ31" s="770"/>
      <c r="AR31" s="587"/>
      <c r="AS31" s="770"/>
      <c r="AT31" s="587"/>
      <c r="AU31" s="770"/>
      <c r="AV31" s="587"/>
      <c r="AW31" s="770"/>
      <c r="AX31" s="587"/>
      <c r="AY31" s="770"/>
      <c r="AZ31" s="587"/>
      <c r="BA31" s="770"/>
      <c r="BB31" s="589"/>
      <c r="BC31" s="562"/>
      <c r="BD31" s="552"/>
      <c r="BE31" s="784" t="s">
        <v>443</v>
      </c>
      <c r="BF31" s="784"/>
      <c r="BG31" s="785">
        <v>0</v>
      </c>
      <c r="BH31" s="786">
        <v>0</v>
      </c>
      <c r="BI31" s="787"/>
      <c r="BJ31" s="769"/>
      <c r="BK31" s="587"/>
      <c r="BL31" s="770"/>
      <c r="BM31" s="587"/>
      <c r="BN31" s="770"/>
      <c r="BO31" s="587"/>
      <c r="BP31" s="770"/>
      <c r="BQ31" s="587"/>
      <c r="BR31" s="770"/>
      <c r="BS31" s="587"/>
      <c r="BT31" s="770"/>
      <c r="BU31" s="587"/>
      <c r="BV31" s="770"/>
      <c r="BW31" s="587"/>
      <c r="BX31" s="770"/>
      <c r="BY31" s="587"/>
      <c r="BZ31" s="770"/>
      <c r="CA31" s="587">
        <v>0</v>
      </c>
      <c r="CB31" s="770"/>
      <c r="CC31" s="587">
        <v>0</v>
      </c>
      <c r="CD31" s="770"/>
      <c r="CE31" s="587">
        <v>0</v>
      </c>
      <c r="CF31" s="770"/>
      <c r="CG31" s="587">
        <v>0</v>
      </c>
      <c r="CH31" s="770"/>
      <c r="CI31" s="587">
        <v>0</v>
      </c>
      <c r="CJ31" s="770"/>
      <c r="CK31" s="587">
        <v>0</v>
      </c>
      <c r="CL31" s="770"/>
      <c r="CM31" s="587">
        <v>0</v>
      </c>
      <c r="CN31" s="770"/>
      <c r="CO31" s="587">
        <v>0</v>
      </c>
      <c r="CP31" s="770"/>
      <c r="CQ31" s="587">
        <v>0</v>
      </c>
      <c r="CR31" s="770"/>
      <c r="CS31" s="587">
        <v>0</v>
      </c>
      <c r="CT31" s="770"/>
      <c r="CU31" s="587"/>
      <c r="CV31" s="770"/>
      <c r="CW31" s="587"/>
      <c r="CX31" s="770"/>
      <c r="CY31" s="587"/>
      <c r="CZ31" s="770"/>
      <c r="DA31" s="587"/>
      <c r="DB31" s="770"/>
      <c r="DC31" s="587"/>
      <c r="DD31" s="770"/>
      <c r="DE31" s="589"/>
      <c r="DF31" s="562"/>
      <c r="DG31" s="552"/>
      <c r="DH31" s="784" t="s">
        <v>443</v>
      </c>
      <c r="DI31" s="784"/>
      <c r="DJ31" s="785">
        <v>0</v>
      </c>
      <c r="DK31" s="786">
        <v>0</v>
      </c>
      <c r="DL31" s="787"/>
      <c r="DM31" s="769"/>
      <c r="DN31" s="587"/>
      <c r="DO31" s="770"/>
      <c r="DP31" s="587"/>
      <c r="DQ31" s="770"/>
      <c r="DR31" s="587"/>
      <c r="DS31" s="770"/>
      <c r="DT31" s="587"/>
      <c r="DU31" s="770"/>
      <c r="DV31" s="587"/>
      <c r="DW31" s="770"/>
      <c r="DX31" s="587"/>
      <c r="DY31" s="770"/>
      <c r="DZ31" s="587"/>
      <c r="EA31" s="770"/>
      <c r="EB31" s="587"/>
      <c r="EC31" s="770"/>
      <c r="ED31" s="587">
        <v>0</v>
      </c>
      <c r="EE31" s="770"/>
      <c r="EF31" s="587">
        <v>0</v>
      </c>
      <c r="EG31" s="770"/>
      <c r="EH31" s="587">
        <v>0</v>
      </c>
      <c r="EI31" s="770"/>
      <c r="EJ31" s="587">
        <v>0</v>
      </c>
      <c r="EK31" s="770"/>
      <c r="EL31" s="587">
        <v>0</v>
      </c>
      <c r="EM31" s="770"/>
      <c r="EN31" s="587">
        <v>0</v>
      </c>
      <c r="EO31" s="770"/>
      <c r="EP31" s="587">
        <v>0</v>
      </c>
      <c r="EQ31" s="770"/>
      <c r="ER31" s="587">
        <v>0</v>
      </c>
      <c r="ES31" s="770"/>
      <c r="ET31" s="587">
        <v>0</v>
      </c>
      <c r="EU31" s="770"/>
      <c r="EV31" s="587">
        <v>0</v>
      </c>
      <c r="EW31" s="770"/>
      <c r="EX31" s="587"/>
      <c r="EY31" s="770"/>
      <c r="EZ31" s="587"/>
      <c r="FA31" s="770"/>
      <c r="FB31" s="587"/>
      <c r="FC31" s="770"/>
      <c r="FD31" s="587"/>
      <c r="FE31" s="770"/>
      <c r="FF31" s="587"/>
      <c r="FG31" s="770"/>
      <c r="FH31" s="589"/>
      <c r="FI31" s="563"/>
      <c r="FJ31" s="564"/>
      <c r="FK31" s="784" t="s">
        <v>442</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-0.44</v>
      </c>
      <c r="GQ31" s="413"/>
      <c r="GR31" s="413"/>
      <c r="GS31" s="580"/>
      <c r="GT31" s="763"/>
      <c r="GU31" s="779"/>
      <c r="GV31" s="780"/>
      <c r="GW31" s="789" t="s">
        <v>835</v>
      </c>
      <c r="GX31" s="790" t="s">
        <v>559</v>
      </c>
      <c r="GY31" s="791" t="s">
        <v>716</v>
      </c>
      <c r="GZ31" s="792" t="s">
        <v>717</v>
      </c>
      <c r="HA31" s="792" t="s">
        <v>536</v>
      </c>
      <c r="HB31" s="793"/>
      <c r="HC31" s="579"/>
      <c r="HD31" s="562"/>
      <c r="HE31" s="415"/>
      <c r="HF31" s="415"/>
    </row>
    <row r="32" spans="1:218" ht="20.100000000000001" customHeight="1">
      <c r="A32" s="552"/>
      <c r="B32" s="794" t="s">
        <v>444</v>
      </c>
      <c r="C32" s="795"/>
      <c r="D32" s="785"/>
      <c r="E32" s="796"/>
      <c r="F32" s="797"/>
      <c r="G32" s="798"/>
      <c r="H32" s="799"/>
      <c r="I32" s="800"/>
      <c r="J32" s="799"/>
      <c r="K32" s="800"/>
      <c r="L32" s="799"/>
      <c r="M32" s="800"/>
      <c r="N32" s="799"/>
      <c r="O32" s="800"/>
      <c r="P32" s="799"/>
      <c r="Q32" s="800"/>
      <c r="R32" s="799"/>
      <c r="S32" s="800"/>
      <c r="T32" s="799"/>
      <c r="U32" s="800"/>
      <c r="V32" s="799"/>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c r="AS32" s="800"/>
      <c r="AT32" s="799"/>
      <c r="AU32" s="800"/>
      <c r="AV32" s="799"/>
      <c r="AW32" s="800"/>
      <c r="AX32" s="799"/>
      <c r="AY32" s="800"/>
      <c r="AZ32" s="799"/>
      <c r="BA32" s="800"/>
      <c r="BB32" s="801"/>
      <c r="BC32" s="562"/>
      <c r="BD32" s="552"/>
      <c r="BE32" s="794" t="s">
        <v>444</v>
      </c>
      <c r="BF32" s="795"/>
      <c r="BG32" s="785">
        <v>0</v>
      </c>
      <c r="BH32" s="796">
        <v>0</v>
      </c>
      <c r="BI32" s="797"/>
      <c r="BJ32" s="798"/>
      <c r="BK32" s="799"/>
      <c r="BL32" s="800"/>
      <c r="BM32" s="799"/>
      <c r="BN32" s="800"/>
      <c r="BO32" s="799"/>
      <c r="BP32" s="800"/>
      <c r="BQ32" s="799"/>
      <c r="BR32" s="800"/>
      <c r="BS32" s="799"/>
      <c r="BT32" s="800"/>
      <c r="BU32" s="799"/>
      <c r="BV32" s="800"/>
      <c r="BW32" s="799"/>
      <c r="BX32" s="800"/>
      <c r="BY32" s="799"/>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c r="CV32" s="800"/>
      <c r="CW32" s="799"/>
      <c r="CX32" s="800"/>
      <c r="CY32" s="799"/>
      <c r="CZ32" s="800"/>
      <c r="DA32" s="799"/>
      <c r="DB32" s="800"/>
      <c r="DC32" s="799"/>
      <c r="DD32" s="800"/>
      <c r="DE32" s="801"/>
      <c r="DF32" s="562"/>
      <c r="DG32" s="552"/>
      <c r="DH32" s="794" t="s">
        <v>669</v>
      </c>
      <c r="DI32" s="795"/>
      <c r="DJ32" s="785">
        <v>0</v>
      </c>
      <c r="DK32" s="796">
        <v>0</v>
      </c>
      <c r="DL32" s="797"/>
      <c r="DM32" s="798"/>
      <c r="DN32" s="799"/>
      <c r="DO32" s="800"/>
      <c r="DP32" s="799"/>
      <c r="DQ32" s="800"/>
      <c r="DR32" s="799"/>
      <c r="DS32" s="800"/>
      <c r="DT32" s="799"/>
      <c r="DU32" s="800"/>
      <c r="DV32" s="799"/>
      <c r="DW32" s="800"/>
      <c r="DX32" s="799"/>
      <c r="DY32" s="800"/>
      <c r="DZ32" s="799"/>
      <c r="EA32" s="800"/>
      <c r="EB32" s="799"/>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c r="EY32" s="800"/>
      <c r="EZ32" s="799"/>
      <c r="FA32" s="800"/>
      <c r="FB32" s="799"/>
      <c r="FC32" s="800"/>
      <c r="FD32" s="799"/>
      <c r="FE32" s="800"/>
      <c r="FF32" s="799"/>
      <c r="FG32" s="800"/>
      <c r="FH32" s="801"/>
      <c r="FI32" s="563"/>
      <c r="FJ32" s="564"/>
      <c r="FK32" s="794" t="s">
        <v>669</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325</v>
      </c>
      <c r="E33" s="642"/>
      <c r="F33" s="642"/>
      <c r="G33" s="644"/>
      <c r="H33" s="645">
        <v>0</v>
      </c>
      <c r="I33" s="1291"/>
      <c r="J33" s="645">
        <v>0</v>
      </c>
      <c r="K33" s="1291"/>
      <c r="L33" s="645">
        <v>0</v>
      </c>
      <c r="M33" s="1291"/>
      <c r="N33" s="645">
        <v>0</v>
      </c>
      <c r="O33" s="1291"/>
      <c r="P33" s="645">
        <v>0</v>
      </c>
      <c r="Q33" s="1291"/>
      <c r="R33" s="645">
        <v>0</v>
      </c>
      <c r="S33" s="1291"/>
      <c r="T33" s="645">
        <v>0</v>
      </c>
      <c r="U33" s="1291"/>
      <c r="V33" s="645">
        <v>0</v>
      </c>
      <c r="W33" s="1291"/>
      <c r="X33" s="645">
        <v>1041</v>
      </c>
      <c r="Y33" s="1291"/>
      <c r="Z33" s="645">
        <v>1041</v>
      </c>
      <c r="AA33" s="1291"/>
      <c r="AB33" s="645">
        <v>1041</v>
      </c>
      <c r="AC33" s="1291"/>
      <c r="AD33" s="645">
        <v>1041</v>
      </c>
      <c r="AE33" s="1291"/>
      <c r="AF33" s="645">
        <v>1041</v>
      </c>
      <c r="AG33" s="1291"/>
      <c r="AH33" s="645">
        <v>1041</v>
      </c>
      <c r="AI33" s="1291"/>
      <c r="AJ33" s="645">
        <v>1041</v>
      </c>
      <c r="AK33" s="1291"/>
      <c r="AL33" s="645">
        <v>1041</v>
      </c>
      <c r="AM33" s="1291"/>
      <c r="AN33" s="645">
        <v>1041</v>
      </c>
      <c r="AO33" s="1291"/>
      <c r="AP33" s="645">
        <v>1041</v>
      </c>
      <c r="AQ33" s="1291"/>
      <c r="AR33" s="645">
        <v>0</v>
      </c>
      <c r="AS33" s="1291"/>
      <c r="AT33" s="645">
        <v>0</v>
      </c>
      <c r="AU33" s="1291"/>
      <c r="AV33" s="645">
        <v>0</v>
      </c>
      <c r="AW33" s="1291"/>
      <c r="AX33" s="645">
        <v>0</v>
      </c>
      <c r="AY33" s="1291"/>
      <c r="AZ33" s="645">
        <v>0</v>
      </c>
      <c r="BA33" s="1291"/>
      <c r="BB33" s="647">
        <v>0</v>
      </c>
      <c r="BC33" s="648"/>
      <c r="BD33" s="641"/>
      <c r="BE33" s="642"/>
      <c r="BF33" s="642"/>
      <c r="BG33" s="643" t="s">
        <v>325</v>
      </c>
      <c r="BH33" s="642"/>
      <c r="BI33" s="642"/>
      <c r="BJ33" s="644"/>
      <c r="BK33" s="645">
        <v>0</v>
      </c>
      <c r="BL33" s="1291"/>
      <c r="BM33" s="645">
        <v>0</v>
      </c>
      <c r="BN33" s="1291"/>
      <c r="BO33" s="645">
        <v>0</v>
      </c>
      <c r="BP33" s="1291"/>
      <c r="BQ33" s="645">
        <v>0</v>
      </c>
      <c r="BR33" s="1291"/>
      <c r="BS33" s="645">
        <v>0</v>
      </c>
      <c r="BT33" s="1291"/>
      <c r="BU33" s="645">
        <v>0</v>
      </c>
      <c r="BV33" s="1291"/>
      <c r="BW33" s="645">
        <v>0</v>
      </c>
      <c r="BX33" s="1291"/>
      <c r="BY33" s="645">
        <v>0</v>
      </c>
      <c r="BZ33" s="1291"/>
      <c r="CA33" s="645">
        <v>1041</v>
      </c>
      <c r="CB33" s="1291"/>
      <c r="CC33" s="645">
        <v>1041</v>
      </c>
      <c r="CD33" s="1291"/>
      <c r="CE33" s="645">
        <v>1041</v>
      </c>
      <c r="CF33" s="1291"/>
      <c r="CG33" s="645">
        <v>1041</v>
      </c>
      <c r="CH33" s="1291"/>
      <c r="CI33" s="645">
        <v>1041</v>
      </c>
      <c r="CJ33" s="1291"/>
      <c r="CK33" s="645">
        <v>1041</v>
      </c>
      <c r="CL33" s="1291"/>
      <c r="CM33" s="645">
        <v>1041</v>
      </c>
      <c r="CN33" s="1291"/>
      <c r="CO33" s="645">
        <v>1041</v>
      </c>
      <c r="CP33" s="1291"/>
      <c r="CQ33" s="645">
        <v>1041</v>
      </c>
      <c r="CR33" s="1291"/>
      <c r="CS33" s="645">
        <v>1041</v>
      </c>
      <c r="CT33" s="1291"/>
      <c r="CU33" s="645">
        <v>0</v>
      </c>
      <c r="CV33" s="1291"/>
      <c r="CW33" s="645">
        <v>0</v>
      </c>
      <c r="CX33" s="1291"/>
      <c r="CY33" s="645">
        <v>0</v>
      </c>
      <c r="CZ33" s="1291"/>
      <c r="DA33" s="645">
        <v>0</v>
      </c>
      <c r="DB33" s="1291"/>
      <c r="DC33" s="645">
        <v>0</v>
      </c>
      <c r="DD33" s="1291"/>
      <c r="DE33" s="647">
        <v>0</v>
      </c>
      <c r="DF33" s="648"/>
      <c r="DG33" s="641"/>
      <c r="DH33" s="642"/>
      <c r="DI33" s="642"/>
      <c r="DJ33" s="643" t="s">
        <v>445</v>
      </c>
      <c r="DK33" s="642"/>
      <c r="DL33" s="642"/>
      <c r="DM33" s="644"/>
      <c r="DN33" s="645">
        <v>0</v>
      </c>
      <c r="DO33" s="1291"/>
      <c r="DP33" s="645">
        <v>0</v>
      </c>
      <c r="DQ33" s="1291"/>
      <c r="DR33" s="645">
        <v>0</v>
      </c>
      <c r="DS33" s="1291"/>
      <c r="DT33" s="645">
        <v>0</v>
      </c>
      <c r="DU33" s="1291"/>
      <c r="DV33" s="645">
        <v>0</v>
      </c>
      <c r="DW33" s="1291"/>
      <c r="DX33" s="645">
        <v>0</v>
      </c>
      <c r="DY33" s="1291"/>
      <c r="DZ33" s="645">
        <v>0</v>
      </c>
      <c r="EA33" s="1291"/>
      <c r="EB33" s="645">
        <v>0</v>
      </c>
      <c r="EC33" s="1291"/>
      <c r="ED33" s="645">
        <v>1041</v>
      </c>
      <c r="EE33" s="1291"/>
      <c r="EF33" s="645">
        <v>1041</v>
      </c>
      <c r="EG33" s="1291"/>
      <c r="EH33" s="645">
        <v>1041</v>
      </c>
      <c r="EI33" s="1291"/>
      <c r="EJ33" s="645">
        <v>1041</v>
      </c>
      <c r="EK33" s="1291"/>
      <c r="EL33" s="645">
        <v>1041</v>
      </c>
      <c r="EM33" s="1291"/>
      <c r="EN33" s="645">
        <v>1041</v>
      </c>
      <c r="EO33" s="1291"/>
      <c r="EP33" s="645">
        <v>1041</v>
      </c>
      <c r="EQ33" s="1291"/>
      <c r="ER33" s="645">
        <v>1041</v>
      </c>
      <c r="ES33" s="1291"/>
      <c r="ET33" s="645">
        <v>1041</v>
      </c>
      <c r="EU33" s="1291"/>
      <c r="EV33" s="645">
        <v>1041</v>
      </c>
      <c r="EW33" s="1291"/>
      <c r="EX33" s="645">
        <v>0</v>
      </c>
      <c r="EY33" s="1291"/>
      <c r="EZ33" s="645">
        <v>0</v>
      </c>
      <c r="FA33" s="1291"/>
      <c r="FB33" s="645">
        <v>0</v>
      </c>
      <c r="FC33" s="1291"/>
      <c r="FD33" s="645">
        <v>0</v>
      </c>
      <c r="FE33" s="1291"/>
      <c r="FF33" s="645">
        <v>0</v>
      </c>
      <c r="FG33" s="1291"/>
      <c r="FH33" s="647">
        <v>0</v>
      </c>
      <c r="FI33" s="649"/>
      <c r="FJ33" s="564"/>
      <c r="FK33" s="642"/>
      <c r="FL33" s="642"/>
      <c r="FM33" s="643" t="s">
        <v>325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562</v>
      </c>
      <c r="GL33" s="579"/>
      <c r="GM33" s="530"/>
      <c r="GN33" s="579"/>
      <c r="GO33" s="530"/>
      <c r="GP33" s="530"/>
      <c r="GQ33" s="530"/>
      <c r="GR33" s="579"/>
      <c r="GS33" s="530"/>
      <c r="GT33" s="763"/>
      <c r="GU33" s="811">
        <v>104</v>
      </c>
      <c r="GV33" s="812"/>
      <c r="GW33" s="813">
        <v>0</v>
      </c>
      <c r="GX33" s="814">
        <v>27.3</v>
      </c>
      <c r="GY33" s="814">
        <v>114.83000000000001</v>
      </c>
      <c r="GZ33" s="814">
        <v>0</v>
      </c>
      <c r="HA33" s="814">
        <v>142.13000000000002</v>
      </c>
      <c r="HB33" s="815">
        <v>62.09</v>
      </c>
      <c r="HC33" s="413"/>
      <c r="HD33" s="648"/>
      <c r="HE33" s="415"/>
      <c r="HF33" s="415"/>
    </row>
    <row r="34" spans="1:219" ht="20.100000000000001" customHeight="1">
      <c r="A34" s="1293" t="s">
        <v>449</v>
      </c>
      <c r="B34" s="743"/>
      <c r="C34" s="817"/>
      <c r="D34" s="818"/>
      <c r="E34" s="817"/>
      <c r="F34" s="819"/>
      <c r="G34" s="740" t="s">
        <v>448</v>
      </c>
      <c r="H34" s="663" t="s">
        <v>428</v>
      </c>
      <c r="I34" s="741" t="s">
        <v>447</v>
      </c>
      <c r="J34" s="663" t="s">
        <v>430</v>
      </c>
      <c r="K34" s="742" t="s">
        <v>447</v>
      </c>
      <c r="L34" s="663" t="s">
        <v>430</v>
      </c>
      <c r="M34" s="742" t="s">
        <v>448</v>
      </c>
      <c r="N34" s="663" t="s">
        <v>430</v>
      </c>
      <c r="O34" s="742" t="s">
        <v>448</v>
      </c>
      <c r="P34" s="663" t="s">
        <v>430</v>
      </c>
      <c r="Q34" s="742" t="s">
        <v>447</v>
      </c>
      <c r="R34" s="663" t="s">
        <v>428</v>
      </c>
      <c r="S34" s="742" t="s">
        <v>447</v>
      </c>
      <c r="T34" s="663" t="s">
        <v>430</v>
      </c>
      <c r="U34" s="742" t="s">
        <v>447</v>
      </c>
      <c r="V34" s="663" t="s">
        <v>428</v>
      </c>
      <c r="W34" s="742" t="s">
        <v>447</v>
      </c>
      <c r="X34" s="663" t="s">
        <v>428</v>
      </c>
      <c r="Y34" s="742" t="s">
        <v>448</v>
      </c>
      <c r="Z34" s="663" t="s">
        <v>430</v>
      </c>
      <c r="AA34" s="742" t="s">
        <v>447</v>
      </c>
      <c r="AB34" s="663" t="s">
        <v>430</v>
      </c>
      <c r="AC34" s="742" t="s">
        <v>448</v>
      </c>
      <c r="AD34" s="663" t="s">
        <v>430</v>
      </c>
      <c r="AE34" s="742" t="s">
        <v>448</v>
      </c>
      <c r="AF34" s="663" t="s">
        <v>430</v>
      </c>
      <c r="AG34" s="742" t="s">
        <v>448</v>
      </c>
      <c r="AH34" s="663" t="s">
        <v>430</v>
      </c>
      <c r="AI34" s="742" t="s">
        <v>448</v>
      </c>
      <c r="AJ34" s="663" t="s">
        <v>428</v>
      </c>
      <c r="AK34" s="742" t="s">
        <v>448</v>
      </c>
      <c r="AL34" s="663" t="s">
        <v>430</v>
      </c>
      <c r="AM34" s="742" t="s">
        <v>447</v>
      </c>
      <c r="AN34" s="663" t="s">
        <v>430</v>
      </c>
      <c r="AO34" s="742" t="s">
        <v>448</v>
      </c>
      <c r="AP34" s="663" t="s">
        <v>430</v>
      </c>
      <c r="AQ34" s="742" t="s">
        <v>447</v>
      </c>
      <c r="AR34" s="663" t="s">
        <v>430</v>
      </c>
      <c r="AS34" s="742" t="s">
        <v>448</v>
      </c>
      <c r="AT34" s="663" t="s">
        <v>428</v>
      </c>
      <c r="AU34" s="742" t="s">
        <v>447</v>
      </c>
      <c r="AV34" s="663" t="s">
        <v>428</v>
      </c>
      <c r="AW34" s="742" t="s">
        <v>448</v>
      </c>
      <c r="AX34" s="663" t="s">
        <v>430</v>
      </c>
      <c r="AY34" s="742" t="s">
        <v>447</v>
      </c>
      <c r="AZ34" s="663" t="s">
        <v>430</v>
      </c>
      <c r="BA34" s="742" t="s">
        <v>447</v>
      </c>
      <c r="BB34" s="665" t="s">
        <v>428</v>
      </c>
      <c r="BC34" s="723"/>
      <c r="BD34" s="1293" t="s">
        <v>446</v>
      </c>
      <c r="BE34" s="820"/>
      <c r="BF34" s="821"/>
      <c r="BG34" s="822"/>
      <c r="BH34" s="821"/>
      <c r="BI34" s="823"/>
      <c r="BJ34" s="740" t="s">
        <v>448</v>
      </c>
      <c r="BK34" s="663" t="s">
        <v>428</v>
      </c>
      <c r="BL34" s="741" t="s">
        <v>448</v>
      </c>
      <c r="BM34" s="663" t="s">
        <v>430</v>
      </c>
      <c r="BN34" s="742" t="s">
        <v>447</v>
      </c>
      <c r="BO34" s="663" t="s">
        <v>430</v>
      </c>
      <c r="BP34" s="742" t="s">
        <v>448</v>
      </c>
      <c r="BQ34" s="663" t="s">
        <v>430</v>
      </c>
      <c r="BR34" s="742" t="s">
        <v>447</v>
      </c>
      <c r="BS34" s="663" t="s">
        <v>430</v>
      </c>
      <c r="BT34" s="742" t="s">
        <v>447</v>
      </c>
      <c r="BU34" s="663" t="s">
        <v>430</v>
      </c>
      <c r="BV34" s="742" t="s">
        <v>447</v>
      </c>
      <c r="BW34" s="663" t="s">
        <v>430</v>
      </c>
      <c r="BX34" s="742" t="s">
        <v>447</v>
      </c>
      <c r="BY34" s="663" t="s">
        <v>430</v>
      </c>
      <c r="BZ34" s="742" t="s">
        <v>447</v>
      </c>
      <c r="CA34" s="663" t="s">
        <v>428</v>
      </c>
      <c r="CB34" s="742" t="s">
        <v>448</v>
      </c>
      <c r="CC34" s="663" t="s">
        <v>428</v>
      </c>
      <c r="CD34" s="742" t="s">
        <v>448</v>
      </c>
      <c r="CE34" s="663" t="s">
        <v>428</v>
      </c>
      <c r="CF34" s="742" t="s">
        <v>447</v>
      </c>
      <c r="CG34" s="663" t="s">
        <v>430</v>
      </c>
      <c r="CH34" s="742" t="s">
        <v>448</v>
      </c>
      <c r="CI34" s="663" t="s">
        <v>430</v>
      </c>
      <c r="CJ34" s="742" t="s">
        <v>447</v>
      </c>
      <c r="CK34" s="663" t="s">
        <v>430</v>
      </c>
      <c r="CL34" s="742" t="s">
        <v>448</v>
      </c>
      <c r="CM34" s="663" t="s">
        <v>428</v>
      </c>
      <c r="CN34" s="742" t="s">
        <v>447</v>
      </c>
      <c r="CO34" s="663" t="s">
        <v>428</v>
      </c>
      <c r="CP34" s="742" t="s">
        <v>447</v>
      </c>
      <c r="CQ34" s="663" t="s">
        <v>430</v>
      </c>
      <c r="CR34" s="742" t="s">
        <v>448</v>
      </c>
      <c r="CS34" s="663" t="s">
        <v>430</v>
      </c>
      <c r="CT34" s="742" t="s">
        <v>447</v>
      </c>
      <c r="CU34" s="663" t="s">
        <v>428</v>
      </c>
      <c r="CV34" s="742" t="s">
        <v>448</v>
      </c>
      <c r="CW34" s="663" t="s">
        <v>428</v>
      </c>
      <c r="CX34" s="742" t="s">
        <v>448</v>
      </c>
      <c r="CY34" s="663" t="s">
        <v>428</v>
      </c>
      <c r="CZ34" s="742" t="s">
        <v>447</v>
      </c>
      <c r="DA34" s="663" t="s">
        <v>430</v>
      </c>
      <c r="DB34" s="742" t="s">
        <v>448</v>
      </c>
      <c r="DC34" s="663" t="s">
        <v>428</v>
      </c>
      <c r="DD34" s="742" t="s">
        <v>447</v>
      </c>
      <c r="DE34" s="665" t="s">
        <v>428</v>
      </c>
      <c r="DF34" s="723"/>
      <c r="DG34" s="1293" t="s">
        <v>446</v>
      </c>
      <c r="DH34" s="738"/>
      <c r="DI34" s="824"/>
      <c r="DJ34" s="825"/>
      <c r="DK34" s="824"/>
      <c r="DL34" s="826"/>
      <c r="DM34" s="740" t="s">
        <v>447</v>
      </c>
      <c r="DN34" s="663" t="s">
        <v>428</v>
      </c>
      <c r="DO34" s="741" t="s">
        <v>448</v>
      </c>
      <c r="DP34" s="663" t="s">
        <v>430</v>
      </c>
      <c r="DQ34" s="742" t="s">
        <v>448</v>
      </c>
      <c r="DR34" s="663" t="s">
        <v>430</v>
      </c>
      <c r="DS34" s="742" t="s">
        <v>448</v>
      </c>
      <c r="DT34" s="663" t="s">
        <v>430</v>
      </c>
      <c r="DU34" s="742" t="s">
        <v>448</v>
      </c>
      <c r="DV34" s="663" t="s">
        <v>430</v>
      </c>
      <c r="DW34" s="742" t="s">
        <v>448</v>
      </c>
      <c r="DX34" s="663" t="s">
        <v>430</v>
      </c>
      <c r="DY34" s="742" t="s">
        <v>448</v>
      </c>
      <c r="DZ34" s="663" t="s">
        <v>430</v>
      </c>
      <c r="EA34" s="742" t="s">
        <v>447</v>
      </c>
      <c r="EB34" s="663" t="s">
        <v>430</v>
      </c>
      <c r="EC34" s="742" t="s">
        <v>448</v>
      </c>
      <c r="ED34" s="663" t="s">
        <v>430</v>
      </c>
      <c r="EE34" s="742" t="s">
        <v>447</v>
      </c>
      <c r="EF34" s="663" t="s">
        <v>430</v>
      </c>
      <c r="EG34" s="742" t="s">
        <v>448</v>
      </c>
      <c r="EH34" s="663" t="s">
        <v>428</v>
      </c>
      <c r="EI34" s="742" t="s">
        <v>447</v>
      </c>
      <c r="EJ34" s="663" t="s">
        <v>428</v>
      </c>
      <c r="EK34" s="742" t="s">
        <v>448</v>
      </c>
      <c r="EL34" s="663" t="s">
        <v>430</v>
      </c>
      <c r="EM34" s="742" t="s">
        <v>447</v>
      </c>
      <c r="EN34" s="663" t="s">
        <v>430</v>
      </c>
      <c r="EO34" s="742" t="s">
        <v>447</v>
      </c>
      <c r="EP34" s="663" t="s">
        <v>428</v>
      </c>
      <c r="EQ34" s="742" t="s">
        <v>447</v>
      </c>
      <c r="ER34" s="663" t="s">
        <v>430</v>
      </c>
      <c r="ES34" s="742" t="s">
        <v>447</v>
      </c>
      <c r="ET34" s="663" t="s">
        <v>430</v>
      </c>
      <c r="EU34" s="742" t="s">
        <v>447</v>
      </c>
      <c r="EV34" s="663" t="s">
        <v>430</v>
      </c>
      <c r="EW34" s="742" t="s">
        <v>447</v>
      </c>
      <c r="EX34" s="663" t="s">
        <v>430</v>
      </c>
      <c r="EY34" s="742" t="s">
        <v>447</v>
      </c>
      <c r="EZ34" s="663" t="s">
        <v>430</v>
      </c>
      <c r="FA34" s="742" t="s">
        <v>448</v>
      </c>
      <c r="FB34" s="663" t="s">
        <v>428</v>
      </c>
      <c r="FC34" s="742" t="s">
        <v>448</v>
      </c>
      <c r="FD34" s="663" t="s">
        <v>428</v>
      </c>
      <c r="FE34" s="742" t="s">
        <v>448</v>
      </c>
      <c r="FF34" s="663" t="s">
        <v>430</v>
      </c>
      <c r="FG34" s="742" t="s">
        <v>447</v>
      </c>
      <c r="FH34" s="665" t="s">
        <v>428</v>
      </c>
      <c r="FI34" s="746"/>
      <c r="FJ34" s="827" t="s">
        <v>449</v>
      </c>
      <c r="FK34" s="738"/>
      <c r="FL34" s="824"/>
      <c r="FM34" s="825"/>
      <c r="FN34" s="824"/>
      <c r="FO34" s="826"/>
      <c r="FP34" s="747" t="s">
        <v>450</v>
      </c>
      <c r="FQ34" s="673" t="s">
        <v>447</v>
      </c>
      <c r="FR34" s="663" t="s">
        <v>451</v>
      </c>
      <c r="FS34" s="748" t="s">
        <v>433</v>
      </c>
      <c r="FT34" s="673" t="s">
        <v>447</v>
      </c>
      <c r="FU34" s="675" t="s">
        <v>451</v>
      </c>
      <c r="FV34" s="593"/>
      <c r="FW34" s="594"/>
      <c r="FX34" s="806"/>
      <c r="FY34" s="596"/>
      <c r="FZ34" s="807"/>
      <c r="GA34" s="598"/>
      <c r="GB34" s="808"/>
      <c r="GC34" s="600"/>
      <c r="GD34" s="808"/>
      <c r="GE34" s="601"/>
      <c r="GF34" s="749"/>
      <c r="GG34" s="750"/>
      <c r="GH34" s="750"/>
      <c r="GI34" s="750"/>
      <c r="GJ34" s="579"/>
      <c r="GK34" s="828" t="s">
        <v>836</v>
      </c>
      <c r="GL34" s="828"/>
      <c r="GM34" s="828"/>
      <c r="GN34" s="828"/>
      <c r="GO34" s="828"/>
      <c r="GP34" s="828"/>
      <c r="GQ34" s="615">
        <v>7</v>
      </c>
      <c r="GR34" s="579" t="s">
        <v>705</v>
      </c>
      <c r="GS34" s="580"/>
      <c r="GT34" s="763"/>
      <c r="GU34" s="829"/>
      <c r="GV34" s="830"/>
      <c r="GW34" s="831"/>
      <c r="GX34" s="633"/>
      <c r="GY34" s="633"/>
      <c r="GZ34" s="633"/>
      <c r="HA34" s="633"/>
      <c r="HB34" s="634"/>
      <c r="HC34" s="530"/>
      <c r="HD34" s="723"/>
      <c r="HE34" s="415"/>
      <c r="HF34" s="415"/>
    </row>
    <row r="35" spans="1:219" ht="20.100000000000001" customHeight="1">
      <c r="A35" s="832"/>
      <c r="B35" s="466" t="s">
        <v>767</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790</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453</v>
      </c>
      <c r="E36" s="642"/>
      <c r="F36" s="642"/>
      <c r="G36" s="845"/>
      <c r="H36" s="1294">
        <v>0</v>
      </c>
      <c r="I36" s="1295"/>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1296">
        <v>0</v>
      </c>
      <c r="BC36" s="648"/>
      <c r="BD36" s="832"/>
      <c r="BE36" s="642"/>
      <c r="BF36" s="642"/>
      <c r="BG36" s="643" t="s">
        <v>453</v>
      </c>
      <c r="BH36" s="642"/>
      <c r="BI36" s="642"/>
      <c r="BJ36" s="845"/>
      <c r="BK36" s="1294">
        <v>0</v>
      </c>
      <c r="BL36" s="1295"/>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1296">
        <v>0</v>
      </c>
      <c r="DF36" s="648"/>
      <c r="DG36" s="832"/>
      <c r="DH36" s="642"/>
      <c r="DI36" s="642"/>
      <c r="DJ36" s="643" t="s">
        <v>453</v>
      </c>
      <c r="DK36" s="642"/>
      <c r="DL36" s="642"/>
      <c r="DM36" s="845"/>
      <c r="DN36" s="1294">
        <v>0</v>
      </c>
      <c r="DO36" s="1295"/>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1296">
        <v>0</v>
      </c>
      <c r="FI36" s="649"/>
      <c r="FJ36" s="841"/>
      <c r="FK36" s="642"/>
      <c r="FL36" s="642"/>
      <c r="FM36" s="643" t="s">
        <v>453</v>
      </c>
      <c r="FN36" s="642"/>
      <c r="FO36" s="642"/>
      <c r="FP36" s="650"/>
      <c r="FQ36" s="1295"/>
      <c r="FR36" s="1294">
        <v>0</v>
      </c>
      <c r="FS36" s="1297"/>
      <c r="FT36" s="1295"/>
      <c r="FU36" s="1298">
        <v>0</v>
      </c>
      <c r="FV36" s="593"/>
      <c r="FW36" s="594"/>
      <c r="FX36" s="806"/>
      <c r="FY36" s="596"/>
      <c r="FZ36" s="807"/>
      <c r="GA36" s="598"/>
      <c r="GB36" s="808"/>
      <c r="GC36" s="600"/>
      <c r="GD36" s="808"/>
      <c r="GE36" s="601"/>
      <c r="GF36" s="654"/>
      <c r="GG36" s="655"/>
      <c r="GH36" s="655"/>
      <c r="GI36" s="655"/>
      <c r="GJ36" s="530"/>
      <c r="GK36" s="828" t="s">
        <v>567</v>
      </c>
      <c r="GL36" s="828"/>
      <c r="GM36" s="828"/>
      <c r="GN36" s="828"/>
      <c r="GO36" s="828"/>
      <c r="GP36" s="828"/>
      <c r="GQ36" s="615">
        <v>10</v>
      </c>
      <c r="GR36" s="579" t="s">
        <v>319</v>
      </c>
      <c r="GS36" s="530"/>
      <c r="GT36" s="763"/>
      <c r="GU36" s="829"/>
      <c r="GV36" s="830"/>
      <c r="GW36" s="831"/>
      <c r="GX36" s="633"/>
      <c r="GY36" s="633"/>
      <c r="GZ36" s="633"/>
      <c r="HA36" s="633"/>
      <c r="HB36" s="634"/>
      <c r="HC36" s="530"/>
      <c r="HD36" s="648"/>
      <c r="HE36" s="415"/>
      <c r="HF36" s="415"/>
    </row>
    <row r="37" spans="1:219" ht="24" customHeight="1">
      <c r="A37" s="853" t="s">
        <v>454</v>
      </c>
      <c r="B37" s="854"/>
      <c r="C37" s="855" t="s">
        <v>455</v>
      </c>
      <c r="D37" s="856"/>
      <c r="E37" s="857" t="s">
        <v>461</v>
      </c>
      <c r="F37" s="858"/>
      <c r="G37" s="662" t="s">
        <v>448</v>
      </c>
      <c r="H37" s="663" t="s">
        <v>457</v>
      </c>
      <c r="I37" s="664" t="s">
        <v>448</v>
      </c>
      <c r="J37" s="663" t="s">
        <v>459</v>
      </c>
      <c r="K37" s="664" t="s">
        <v>448</v>
      </c>
      <c r="L37" s="663" t="s">
        <v>458</v>
      </c>
      <c r="M37" s="664" t="s">
        <v>447</v>
      </c>
      <c r="N37" s="663" t="s">
        <v>459</v>
      </c>
      <c r="O37" s="664" t="s">
        <v>448</v>
      </c>
      <c r="P37" s="663" t="s">
        <v>459</v>
      </c>
      <c r="Q37" s="664" t="s">
        <v>448</v>
      </c>
      <c r="R37" s="663" t="s">
        <v>458</v>
      </c>
      <c r="S37" s="664" t="s">
        <v>448</v>
      </c>
      <c r="T37" s="663" t="s">
        <v>459</v>
      </c>
      <c r="U37" s="664" t="s">
        <v>447</v>
      </c>
      <c r="V37" s="663" t="s">
        <v>458</v>
      </c>
      <c r="W37" s="664" t="s">
        <v>448</v>
      </c>
      <c r="X37" s="663" t="s">
        <v>459</v>
      </c>
      <c r="Y37" s="664" t="s">
        <v>447</v>
      </c>
      <c r="Z37" s="663" t="s">
        <v>459</v>
      </c>
      <c r="AA37" s="664" t="s">
        <v>447</v>
      </c>
      <c r="AB37" s="663" t="s">
        <v>459</v>
      </c>
      <c r="AC37" s="664" t="s">
        <v>447</v>
      </c>
      <c r="AD37" s="663" t="s">
        <v>459</v>
      </c>
      <c r="AE37" s="664" t="s">
        <v>447</v>
      </c>
      <c r="AF37" s="663" t="s">
        <v>458</v>
      </c>
      <c r="AG37" s="664" t="s">
        <v>447</v>
      </c>
      <c r="AH37" s="663" t="s">
        <v>459</v>
      </c>
      <c r="AI37" s="664" t="s">
        <v>447</v>
      </c>
      <c r="AJ37" s="663" t="s">
        <v>458</v>
      </c>
      <c r="AK37" s="664" t="s">
        <v>448</v>
      </c>
      <c r="AL37" s="663" t="s">
        <v>459</v>
      </c>
      <c r="AM37" s="664" t="s">
        <v>448</v>
      </c>
      <c r="AN37" s="663" t="s">
        <v>458</v>
      </c>
      <c r="AO37" s="664" t="s">
        <v>447</v>
      </c>
      <c r="AP37" s="663" t="s">
        <v>459</v>
      </c>
      <c r="AQ37" s="664" t="s">
        <v>448</v>
      </c>
      <c r="AR37" s="663" t="s">
        <v>459</v>
      </c>
      <c r="AS37" s="664" t="s">
        <v>447</v>
      </c>
      <c r="AT37" s="663" t="s">
        <v>459</v>
      </c>
      <c r="AU37" s="664" t="s">
        <v>448</v>
      </c>
      <c r="AV37" s="663" t="s">
        <v>458</v>
      </c>
      <c r="AW37" s="664" t="s">
        <v>447</v>
      </c>
      <c r="AX37" s="663" t="s">
        <v>459</v>
      </c>
      <c r="AY37" s="664" t="s">
        <v>448</v>
      </c>
      <c r="AZ37" s="663" t="s">
        <v>458</v>
      </c>
      <c r="BA37" s="664" t="s">
        <v>448</v>
      </c>
      <c r="BB37" s="665" t="s">
        <v>458</v>
      </c>
      <c r="BC37" s="723"/>
      <c r="BD37" s="853" t="s">
        <v>462</v>
      </c>
      <c r="BE37" s="854"/>
      <c r="BF37" s="855" t="s">
        <v>455</v>
      </c>
      <c r="BG37" s="856"/>
      <c r="BH37" s="857" t="s">
        <v>461</v>
      </c>
      <c r="BI37" s="858"/>
      <c r="BJ37" s="662" t="s">
        <v>448</v>
      </c>
      <c r="BK37" s="663" t="s">
        <v>328</v>
      </c>
      <c r="BL37" s="664" t="s">
        <v>448</v>
      </c>
      <c r="BM37" s="663" t="s">
        <v>459</v>
      </c>
      <c r="BN37" s="664" t="s">
        <v>448</v>
      </c>
      <c r="BO37" s="663" t="s">
        <v>458</v>
      </c>
      <c r="BP37" s="664" t="s">
        <v>448</v>
      </c>
      <c r="BQ37" s="663" t="s">
        <v>458</v>
      </c>
      <c r="BR37" s="664" t="s">
        <v>447</v>
      </c>
      <c r="BS37" s="663" t="s">
        <v>459</v>
      </c>
      <c r="BT37" s="664" t="s">
        <v>447</v>
      </c>
      <c r="BU37" s="663" t="s">
        <v>459</v>
      </c>
      <c r="BV37" s="664" t="s">
        <v>448</v>
      </c>
      <c r="BW37" s="663" t="s">
        <v>458</v>
      </c>
      <c r="BX37" s="664" t="s">
        <v>447</v>
      </c>
      <c r="BY37" s="663" t="s">
        <v>459</v>
      </c>
      <c r="BZ37" s="664" t="s">
        <v>447</v>
      </c>
      <c r="CA37" s="663" t="s">
        <v>459</v>
      </c>
      <c r="CB37" s="664" t="s">
        <v>447</v>
      </c>
      <c r="CC37" s="663" t="s">
        <v>459</v>
      </c>
      <c r="CD37" s="664" t="s">
        <v>447</v>
      </c>
      <c r="CE37" s="663" t="s">
        <v>459</v>
      </c>
      <c r="CF37" s="664" t="s">
        <v>448</v>
      </c>
      <c r="CG37" s="663" t="s">
        <v>459</v>
      </c>
      <c r="CH37" s="664" t="s">
        <v>447</v>
      </c>
      <c r="CI37" s="663" t="s">
        <v>459</v>
      </c>
      <c r="CJ37" s="664" t="s">
        <v>448</v>
      </c>
      <c r="CK37" s="663" t="s">
        <v>458</v>
      </c>
      <c r="CL37" s="664" t="s">
        <v>447</v>
      </c>
      <c r="CM37" s="663" t="s">
        <v>458</v>
      </c>
      <c r="CN37" s="664" t="s">
        <v>448</v>
      </c>
      <c r="CO37" s="663" t="s">
        <v>459</v>
      </c>
      <c r="CP37" s="664" t="s">
        <v>447</v>
      </c>
      <c r="CQ37" s="663" t="s">
        <v>458</v>
      </c>
      <c r="CR37" s="664" t="s">
        <v>447</v>
      </c>
      <c r="CS37" s="663" t="s">
        <v>459</v>
      </c>
      <c r="CT37" s="664" t="s">
        <v>447</v>
      </c>
      <c r="CU37" s="663" t="s">
        <v>458</v>
      </c>
      <c r="CV37" s="664" t="s">
        <v>448</v>
      </c>
      <c r="CW37" s="663" t="s">
        <v>459</v>
      </c>
      <c r="CX37" s="664" t="s">
        <v>447</v>
      </c>
      <c r="CY37" s="663" t="s">
        <v>458</v>
      </c>
      <c r="CZ37" s="664" t="s">
        <v>448</v>
      </c>
      <c r="DA37" s="663" t="s">
        <v>458</v>
      </c>
      <c r="DB37" s="664" t="s">
        <v>448</v>
      </c>
      <c r="DC37" s="663" t="s">
        <v>459</v>
      </c>
      <c r="DD37" s="664" t="s">
        <v>448</v>
      </c>
      <c r="DE37" s="665" t="s">
        <v>458</v>
      </c>
      <c r="DF37" s="723"/>
      <c r="DG37" s="853" t="s">
        <v>462</v>
      </c>
      <c r="DH37" s="854"/>
      <c r="DI37" s="855" t="s">
        <v>460</v>
      </c>
      <c r="DJ37" s="856"/>
      <c r="DK37" s="857" t="s">
        <v>456</v>
      </c>
      <c r="DL37" s="858"/>
      <c r="DM37" s="662" t="s">
        <v>448</v>
      </c>
      <c r="DN37" s="663" t="s">
        <v>328</v>
      </c>
      <c r="DO37" s="664" t="s">
        <v>448</v>
      </c>
      <c r="DP37" s="663" t="s">
        <v>459</v>
      </c>
      <c r="DQ37" s="664" t="s">
        <v>448</v>
      </c>
      <c r="DR37" s="663" t="s">
        <v>458</v>
      </c>
      <c r="DS37" s="664" t="s">
        <v>447</v>
      </c>
      <c r="DT37" s="663" t="s">
        <v>459</v>
      </c>
      <c r="DU37" s="664" t="s">
        <v>447</v>
      </c>
      <c r="DV37" s="663" t="s">
        <v>458</v>
      </c>
      <c r="DW37" s="664" t="s">
        <v>448</v>
      </c>
      <c r="DX37" s="663" t="s">
        <v>459</v>
      </c>
      <c r="DY37" s="664" t="s">
        <v>447</v>
      </c>
      <c r="DZ37" s="663" t="s">
        <v>459</v>
      </c>
      <c r="EA37" s="664" t="s">
        <v>447</v>
      </c>
      <c r="EB37" s="663" t="s">
        <v>459</v>
      </c>
      <c r="EC37" s="664" t="s">
        <v>447</v>
      </c>
      <c r="ED37" s="663" t="s">
        <v>459</v>
      </c>
      <c r="EE37" s="664" t="s">
        <v>447</v>
      </c>
      <c r="EF37" s="663" t="s">
        <v>458</v>
      </c>
      <c r="EG37" s="664" t="s">
        <v>447</v>
      </c>
      <c r="EH37" s="663" t="s">
        <v>459</v>
      </c>
      <c r="EI37" s="664" t="s">
        <v>447</v>
      </c>
      <c r="EJ37" s="663" t="s">
        <v>458</v>
      </c>
      <c r="EK37" s="664" t="s">
        <v>448</v>
      </c>
      <c r="EL37" s="663" t="s">
        <v>459</v>
      </c>
      <c r="EM37" s="664" t="s">
        <v>448</v>
      </c>
      <c r="EN37" s="663" t="s">
        <v>458</v>
      </c>
      <c r="EO37" s="664" t="s">
        <v>447</v>
      </c>
      <c r="EP37" s="663" t="s">
        <v>459</v>
      </c>
      <c r="EQ37" s="664" t="s">
        <v>448</v>
      </c>
      <c r="ER37" s="663" t="s">
        <v>459</v>
      </c>
      <c r="ES37" s="664" t="s">
        <v>447</v>
      </c>
      <c r="ET37" s="663" t="s">
        <v>459</v>
      </c>
      <c r="EU37" s="664" t="s">
        <v>448</v>
      </c>
      <c r="EV37" s="663" t="s">
        <v>458</v>
      </c>
      <c r="EW37" s="664" t="s">
        <v>447</v>
      </c>
      <c r="EX37" s="663" t="s">
        <v>459</v>
      </c>
      <c r="EY37" s="664" t="s">
        <v>448</v>
      </c>
      <c r="EZ37" s="663" t="s">
        <v>458</v>
      </c>
      <c r="FA37" s="664" t="s">
        <v>448</v>
      </c>
      <c r="FB37" s="663" t="s">
        <v>458</v>
      </c>
      <c r="FC37" s="664" t="s">
        <v>447</v>
      </c>
      <c r="FD37" s="663" t="s">
        <v>458</v>
      </c>
      <c r="FE37" s="664" t="s">
        <v>448</v>
      </c>
      <c r="FF37" s="663" t="s">
        <v>458</v>
      </c>
      <c r="FG37" s="664" t="s">
        <v>448</v>
      </c>
      <c r="FH37" s="665" t="s">
        <v>458</v>
      </c>
      <c r="FI37" s="746"/>
      <c r="FJ37" s="827" t="s">
        <v>462</v>
      </c>
      <c r="FK37" s="854"/>
      <c r="FL37" s="855" t="s">
        <v>455</v>
      </c>
      <c r="FM37" s="856"/>
      <c r="FN37" s="857" t="s">
        <v>456</v>
      </c>
      <c r="FO37" s="858"/>
      <c r="FP37" s="672"/>
      <c r="FQ37" s="859" t="s">
        <v>463</v>
      </c>
      <c r="FR37" s="663" t="s">
        <v>459</v>
      </c>
      <c r="FS37" s="674"/>
      <c r="FT37" s="859" t="s">
        <v>311</v>
      </c>
      <c r="FU37" s="675" t="s">
        <v>458</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670</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v>7.9</v>
      </c>
      <c r="FM38" s="865"/>
      <c r="FN38" s="866">
        <v>1.1000000000000001</v>
      </c>
      <c r="FO38" s="867"/>
      <c r="FP38" s="685"/>
      <c r="FQ38" s="686">
        <v>15.9</v>
      </c>
      <c r="FR38" s="559">
        <v>138</v>
      </c>
      <c r="FS38" s="687"/>
      <c r="FT38" s="686">
        <v>15.9</v>
      </c>
      <c r="FU38" s="567">
        <v>138</v>
      </c>
      <c r="FV38" s="593"/>
      <c r="FW38" s="594"/>
      <c r="FX38" s="806"/>
      <c r="FY38" s="596"/>
      <c r="FZ38" s="807"/>
      <c r="GA38" s="598"/>
      <c r="GB38" s="808"/>
      <c r="GC38" s="600"/>
      <c r="GD38" s="808"/>
      <c r="GE38" s="601"/>
      <c r="GF38" s="688"/>
      <c r="GG38" s="602"/>
      <c r="GH38" s="602"/>
      <c r="GI38" s="602"/>
      <c r="GJ38" s="580"/>
      <c r="GK38" s="413" t="s">
        <v>569</v>
      </c>
      <c r="GL38" s="409"/>
      <c r="GM38" s="413"/>
      <c r="GN38" s="409"/>
      <c r="GO38" s="413"/>
      <c r="GP38" s="413"/>
      <c r="GQ38" s="413"/>
      <c r="GR38" s="413"/>
      <c r="GS38" s="580"/>
      <c r="GT38" s="861"/>
      <c r="GU38" s="872" t="s">
        <v>536</v>
      </c>
      <c r="GV38" s="873"/>
      <c r="GW38" s="873"/>
      <c r="GX38" s="873"/>
      <c r="GY38" s="873"/>
      <c r="GZ38" s="874"/>
      <c r="HA38" s="633">
        <v>142.13000000000002</v>
      </c>
      <c r="HB38" s="875">
        <v>62.09</v>
      </c>
      <c r="HC38" s="530"/>
      <c r="HD38" s="530"/>
      <c r="HE38" s="387"/>
      <c r="HF38" s="387"/>
      <c r="HK38" s="415"/>
    </row>
    <row r="39" spans="1:219" ht="20.100000000000001" customHeight="1">
      <c r="A39" s="832"/>
      <c r="B39" s="876" t="s">
        <v>671</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409"/>
      <c r="GK39" s="885"/>
      <c r="GL39" s="886"/>
      <c r="GM39" s="887" t="s">
        <v>570</v>
      </c>
      <c r="GN39" s="886"/>
      <c r="GO39" s="887" t="s">
        <v>837</v>
      </c>
      <c r="GP39" s="886"/>
      <c r="GQ39" s="887" t="s">
        <v>789</v>
      </c>
      <c r="GR39" s="888"/>
      <c r="GS39" s="413"/>
      <c r="GT39" s="689"/>
      <c r="GU39" s="530" t="s">
        <v>786</v>
      </c>
      <c r="GV39" s="530"/>
      <c r="GW39" s="530"/>
      <c r="GX39" s="530"/>
      <c r="GY39" s="530"/>
      <c r="GZ39" s="530"/>
      <c r="HA39" s="690">
        <v>2.29</v>
      </c>
      <c r="HB39" s="579"/>
      <c r="HC39" s="530"/>
      <c r="HD39" s="562"/>
    </row>
    <row r="40" spans="1:219" ht="20.100000000000001" customHeight="1">
      <c r="A40" s="889"/>
      <c r="B40" s="642"/>
      <c r="C40" s="642"/>
      <c r="D40" s="643" t="s">
        <v>466</v>
      </c>
      <c r="E40" s="642"/>
      <c r="F40" s="642"/>
      <c r="G40" s="845"/>
      <c r="H40" s="1294">
        <v>0</v>
      </c>
      <c r="I40" s="1295"/>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1296">
        <v>0</v>
      </c>
      <c r="BC40" s="648"/>
      <c r="BD40" s="889"/>
      <c r="BE40" s="642"/>
      <c r="BF40" s="642"/>
      <c r="BG40" s="643" t="s">
        <v>466</v>
      </c>
      <c r="BH40" s="642"/>
      <c r="BI40" s="642"/>
      <c r="BJ40" s="845"/>
      <c r="BK40" s="1294">
        <v>0</v>
      </c>
      <c r="BL40" s="1295"/>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1296">
        <v>0</v>
      </c>
      <c r="DF40" s="648"/>
      <c r="DG40" s="889"/>
      <c r="DH40" s="642"/>
      <c r="DI40" s="642"/>
      <c r="DJ40" s="643" t="s">
        <v>466</v>
      </c>
      <c r="DK40" s="642"/>
      <c r="DL40" s="642"/>
      <c r="DM40" s="845"/>
      <c r="DN40" s="1294">
        <v>0</v>
      </c>
      <c r="DO40" s="1295"/>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1296">
        <v>0</v>
      </c>
      <c r="FI40" s="649"/>
      <c r="FJ40" s="841"/>
      <c r="FK40" s="642"/>
      <c r="FL40" s="642"/>
      <c r="FM40" s="643" t="s">
        <v>329</v>
      </c>
      <c r="FN40" s="642"/>
      <c r="FO40" s="642"/>
      <c r="FP40" s="650"/>
      <c r="FQ40" s="1295"/>
      <c r="FR40" s="1294">
        <v>138</v>
      </c>
      <c r="FS40" s="1297"/>
      <c r="FT40" s="1295"/>
      <c r="FU40" s="1298">
        <v>138</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851</v>
      </c>
      <c r="GV40" s="530"/>
      <c r="GW40" s="530"/>
      <c r="GX40" s="530"/>
      <c r="GY40" s="530"/>
      <c r="GZ40" s="530"/>
      <c r="HA40" s="894">
        <v>45.7</v>
      </c>
      <c r="HB40" s="413"/>
      <c r="HC40" s="530"/>
      <c r="HD40" s="580"/>
      <c r="HK40" s="415"/>
    </row>
    <row r="41" spans="1:219" ht="20.100000000000001" customHeight="1">
      <c r="A41" s="862" t="s">
        <v>468</v>
      </c>
      <c r="B41" s="738"/>
      <c r="C41" s="895"/>
      <c r="D41" s="895"/>
      <c r="E41" s="895"/>
      <c r="F41" s="896"/>
      <c r="G41" s="740"/>
      <c r="H41" s="663" t="s">
        <v>428</v>
      </c>
      <c r="I41" s="741"/>
      <c r="J41" s="663" t="s">
        <v>430</v>
      </c>
      <c r="K41" s="742"/>
      <c r="L41" s="663" t="s">
        <v>430</v>
      </c>
      <c r="M41" s="742"/>
      <c r="N41" s="663" t="s">
        <v>430</v>
      </c>
      <c r="O41" s="742"/>
      <c r="P41" s="663" t="s">
        <v>430</v>
      </c>
      <c r="Q41" s="742"/>
      <c r="R41" s="663" t="s">
        <v>430</v>
      </c>
      <c r="S41" s="742"/>
      <c r="T41" s="663" t="s">
        <v>428</v>
      </c>
      <c r="U41" s="742"/>
      <c r="V41" s="663" t="s">
        <v>428</v>
      </c>
      <c r="W41" s="742"/>
      <c r="X41" s="663" t="s">
        <v>428</v>
      </c>
      <c r="Y41" s="742" t="s">
        <v>448</v>
      </c>
      <c r="Z41" s="663" t="s">
        <v>430</v>
      </c>
      <c r="AA41" s="742" t="s">
        <v>448</v>
      </c>
      <c r="AB41" s="663" t="s">
        <v>430</v>
      </c>
      <c r="AC41" s="742"/>
      <c r="AD41" s="663" t="s">
        <v>428</v>
      </c>
      <c r="AE41" s="742"/>
      <c r="AF41" s="663" t="s">
        <v>428</v>
      </c>
      <c r="AG41" s="742"/>
      <c r="AH41" s="663" t="s">
        <v>430</v>
      </c>
      <c r="AI41" s="742"/>
      <c r="AJ41" s="663" t="s">
        <v>428</v>
      </c>
      <c r="AK41" s="742"/>
      <c r="AL41" s="663" t="s">
        <v>430</v>
      </c>
      <c r="AM41" s="742"/>
      <c r="AN41" s="663" t="s">
        <v>428</v>
      </c>
      <c r="AO41" s="742"/>
      <c r="AP41" s="663" t="s">
        <v>430</v>
      </c>
      <c r="AQ41" s="742"/>
      <c r="AR41" s="663" t="s">
        <v>430</v>
      </c>
      <c r="AS41" s="742"/>
      <c r="AT41" s="663" t="s">
        <v>428</v>
      </c>
      <c r="AU41" s="742"/>
      <c r="AV41" s="663" t="s">
        <v>428</v>
      </c>
      <c r="AW41" s="742"/>
      <c r="AX41" s="663" t="s">
        <v>428</v>
      </c>
      <c r="AY41" s="742"/>
      <c r="AZ41" s="663" t="s">
        <v>428</v>
      </c>
      <c r="BA41" s="742"/>
      <c r="BB41" s="665" t="s">
        <v>428</v>
      </c>
      <c r="BC41" s="723"/>
      <c r="BD41" s="862" t="s">
        <v>468</v>
      </c>
      <c r="BE41" s="738"/>
      <c r="BF41" s="895"/>
      <c r="BG41" s="895"/>
      <c r="BH41" s="895"/>
      <c r="BI41" s="896"/>
      <c r="BJ41" s="740"/>
      <c r="BK41" s="663" t="s">
        <v>430</v>
      </c>
      <c r="BL41" s="741"/>
      <c r="BM41" s="663" t="s">
        <v>428</v>
      </c>
      <c r="BN41" s="742"/>
      <c r="BO41" s="663" t="s">
        <v>430</v>
      </c>
      <c r="BP41" s="742"/>
      <c r="BQ41" s="663" t="s">
        <v>430</v>
      </c>
      <c r="BR41" s="742"/>
      <c r="BS41" s="663" t="s">
        <v>430</v>
      </c>
      <c r="BT41" s="742"/>
      <c r="BU41" s="663" t="s">
        <v>430</v>
      </c>
      <c r="BV41" s="742"/>
      <c r="BW41" s="663" t="s">
        <v>430</v>
      </c>
      <c r="BX41" s="742"/>
      <c r="BY41" s="663" t="s">
        <v>428</v>
      </c>
      <c r="BZ41" s="742"/>
      <c r="CA41" s="663" t="s">
        <v>428</v>
      </c>
      <c r="CB41" s="742" t="s">
        <v>448</v>
      </c>
      <c r="CC41" s="663" t="s">
        <v>430</v>
      </c>
      <c r="CD41" s="742" t="s">
        <v>448</v>
      </c>
      <c r="CE41" s="663" t="s">
        <v>430</v>
      </c>
      <c r="CF41" s="742"/>
      <c r="CG41" s="663" t="s">
        <v>430</v>
      </c>
      <c r="CH41" s="742"/>
      <c r="CI41" s="663" t="s">
        <v>428</v>
      </c>
      <c r="CJ41" s="742"/>
      <c r="CK41" s="663" t="s">
        <v>428</v>
      </c>
      <c r="CL41" s="742"/>
      <c r="CM41" s="663" t="s">
        <v>430</v>
      </c>
      <c r="CN41" s="742"/>
      <c r="CO41" s="663" t="s">
        <v>428</v>
      </c>
      <c r="CP41" s="742"/>
      <c r="CQ41" s="663" t="s">
        <v>430</v>
      </c>
      <c r="CR41" s="742"/>
      <c r="CS41" s="663" t="s">
        <v>428</v>
      </c>
      <c r="CT41" s="742"/>
      <c r="CU41" s="663" t="s">
        <v>430</v>
      </c>
      <c r="CV41" s="742"/>
      <c r="CW41" s="663" t="s">
        <v>430</v>
      </c>
      <c r="CX41" s="742"/>
      <c r="CY41" s="663" t="s">
        <v>428</v>
      </c>
      <c r="CZ41" s="742"/>
      <c r="DA41" s="663" t="s">
        <v>428</v>
      </c>
      <c r="DB41" s="742"/>
      <c r="DC41" s="663" t="s">
        <v>428</v>
      </c>
      <c r="DD41" s="742"/>
      <c r="DE41" s="665" t="s">
        <v>428</v>
      </c>
      <c r="DF41" s="723"/>
      <c r="DG41" s="862" t="s">
        <v>467</v>
      </c>
      <c r="DH41" s="738"/>
      <c r="DI41" s="895"/>
      <c r="DJ41" s="895"/>
      <c r="DK41" s="895"/>
      <c r="DL41" s="896"/>
      <c r="DM41" s="740"/>
      <c r="DN41" s="663" t="s">
        <v>428</v>
      </c>
      <c r="DO41" s="741"/>
      <c r="DP41" s="663" t="s">
        <v>430</v>
      </c>
      <c r="DQ41" s="742"/>
      <c r="DR41" s="663" t="s">
        <v>428</v>
      </c>
      <c r="DS41" s="742"/>
      <c r="DT41" s="663" t="s">
        <v>430</v>
      </c>
      <c r="DU41" s="742"/>
      <c r="DV41" s="663" t="s">
        <v>428</v>
      </c>
      <c r="DW41" s="742"/>
      <c r="DX41" s="663" t="s">
        <v>430</v>
      </c>
      <c r="DY41" s="742"/>
      <c r="DZ41" s="663" t="s">
        <v>430</v>
      </c>
      <c r="EA41" s="742"/>
      <c r="EB41" s="663" t="s">
        <v>430</v>
      </c>
      <c r="EC41" s="742"/>
      <c r="ED41" s="663" t="s">
        <v>428</v>
      </c>
      <c r="EE41" s="742" t="s">
        <v>448</v>
      </c>
      <c r="EF41" s="663" t="s">
        <v>430</v>
      </c>
      <c r="EG41" s="742" t="s">
        <v>448</v>
      </c>
      <c r="EH41" s="663" t="s">
        <v>428</v>
      </c>
      <c r="EI41" s="742"/>
      <c r="EJ41" s="663" t="s">
        <v>430</v>
      </c>
      <c r="EK41" s="742"/>
      <c r="EL41" s="663" t="s">
        <v>428</v>
      </c>
      <c r="EM41" s="742"/>
      <c r="EN41" s="663" t="s">
        <v>428</v>
      </c>
      <c r="EO41" s="742"/>
      <c r="EP41" s="663" t="s">
        <v>428</v>
      </c>
      <c r="EQ41" s="742"/>
      <c r="ER41" s="663" t="s">
        <v>430</v>
      </c>
      <c r="ES41" s="742"/>
      <c r="ET41" s="663" t="s">
        <v>428</v>
      </c>
      <c r="EU41" s="742"/>
      <c r="EV41" s="663" t="s">
        <v>430</v>
      </c>
      <c r="EW41" s="742"/>
      <c r="EX41" s="663" t="s">
        <v>428</v>
      </c>
      <c r="EY41" s="742"/>
      <c r="EZ41" s="663" t="s">
        <v>430</v>
      </c>
      <c r="FA41" s="742"/>
      <c r="FB41" s="663" t="s">
        <v>430</v>
      </c>
      <c r="FC41" s="742"/>
      <c r="FD41" s="663" t="s">
        <v>430</v>
      </c>
      <c r="FE41" s="742"/>
      <c r="FF41" s="663" t="s">
        <v>428</v>
      </c>
      <c r="FG41" s="742"/>
      <c r="FH41" s="665" t="s">
        <v>428</v>
      </c>
      <c r="FI41" s="746"/>
      <c r="FJ41" s="827" t="s">
        <v>467</v>
      </c>
      <c r="FK41" s="743"/>
      <c r="FL41" s="897"/>
      <c r="FM41" s="897"/>
      <c r="FN41" s="897"/>
      <c r="FO41" s="898"/>
      <c r="FP41" s="747"/>
      <c r="FQ41" s="673"/>
      <c r="FR41" s="663" t="s">
        <v>451</v>
      </c>
      <c r="FS41" s="748"/>
      <c r="FT41" s="673"/>
      <c r="FU41" s="675" t="s">
        <v>434</v>
      </c>
      <c r="FV41" s="593"/>
      <c r="FW41" s="594"/>
      <c r="FX41" s="806"/>
      <c r="FY41" s="596"/>
      <c r="FZ41" s="807"/>
      <c r="GA41" s="598"/>
      <c r="GB41" s="808"/>
      <c r="GC41" s="600"/>
      <c r="GD41" s="808"/>
      <c r="GE41" s="601"/>
      <c r="GF41" s="749"/>
      <c r="GG41" s="750"/>
      <c r="GH41" s="750"/>
      <c r="GI41" s="750"/>
      <c r="GJ41" s="580"/>
      <c r="GK41" s="899" t="s">
        <v>720</v>
      </c>
      <c r="GL41" s="900"/>
      <c r="GM41" s="901" t="s">
        <v>838</v>
      </c>
      <c r="GN41" s="901"/>
      <c r="GO41" s="901" t="s">
        <v>576</v>
      </c>
      <c r="GP41" s="901"/>
      <c r="GQ41" s="901"/>
      <c r="GR41" s="902"/>
      <c r="GS41" s="861"/>
      <c r="GT41" s="689"/>
      <c r="GU41" s="530" t="s">
        <v>852</v>
      </c>
      <c r="GV41" s="530"/>
      <c r="GW41" s="530"/>
      <c r="GX41" s="530"/>
      <c r="GY41" s="530"/>
      <c r="GZ41" s="530"/>
      <c r="HA41" s="894">
        <v>34.299999999999997</v>
      </c>
      <c r="HB41" s="413"/>
      <c r="HC41" s="530"/>
      <c r="HD41" s="409"/>
    </row>
    <row r="42" spans="1:219" ht="20.100000000000001" customHeight="1">
      <c r="A42" s="832"/>
      <c r="B42" s="903" t="s">
        <v>469</v>
      </c>
      <c r="C42" s="904"/>
      <c r="D42" s="904"/>
      <c r="E42" s="905"/>
      <c r="F42" s="906"/>
      <c r="G42" s="836"/>
      <c r="H42" s="837"/>
      <c r="I42" s="838"/>
      <c r="J42" s="799"/>
      <c r="K42" s="839"/>
      <c r="L42" s="799"/>
      <c r="M42" s="839"/>
      <c r="N42" s="799"/>
      <c r="O42" s="839"/>
      <c r="P42" s="799"/>
      <c r="Q42" s="839"/>
      <c r="R42" s="799"/>
      <c r="S42" s="839"/>
      <c r="T42" s="799"/>
      <c r="U42" s="839"/>
      <c r="V42" s="799"/>
      <c r="W42" s="839"/>
      <c r="X42" s="799">
        <v>1056</v>
      </c>
      <c r="Y42" s="839"/>
      <c r="Z42" s="799">
        <v>695</v>
      </c>
      <c r="AA42" s="839"/>
      <c r="AB42" s="799">
        <v>677</v>
      </c>
      <c r="AC42" s="839"/>
      <c r="AD42" s="799">
        <v>658</v>
      </c>
      <c r="AE42" s="839"/>
      <c r="AF42" s="799">
        <v>640</v>
      </c>
      <c r="AG42" s="839"/>
      <c r="AH42" s="799">
        <v>621</v>
      </c>
      <c r="AI42" s="839"/>
      <c r="AJ42" s="799">
        <v>608</v>
      </c>
      <c r="AK42" s="839"/>
      <c r="AL42" s="799">
        <v>596</v>
      </c>
      <c r="AM42" s="839"/>
      <c r="AN42" s="799">
        <v>577</v>
      </c>
      <c r="AO42" s="839"/>
      <c r="AP42" s="799">
        <v>571</v>
      </c>
      <c r="AQ42" s="839"/>
      <c r="AR42" s="799"/>
      <c r="AS42" s="839"/>
      <c r="AT42" s="799"/>
      <c r="AU42" s="839"/>
      <c r="AV42" s="799"/>
      <c r="AW42" s="839"/>
      <c r="AX42" s="799"/>
      <c r="AY42" s="839"/>
      <c r="AZ42" s="799"/>
      <c r="BA42" s="839"/>
      <c r="BB42" s="840"/>
      <c r="BC42" s="562"/>
      <c r="BD42" s="832"/>
      <c r="BE42" s="907" t="s">
        <v>470</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1056</v>
      </c>
      <c r="CB42" s="839"/>
      <c r="CC42" s="799">
        <v>695</v>
      </c>
      <c r="CD42" s="839"/>
      <c r="CE42" s="799">
        <v>677</v>
      </c>
      <c r="CF42" s="839"/>
      <c r="CG42" s="799">
        <v>658</v>
      </c>
      <c r="CH42" s="839"/>
      <c r="CI42" s="799">
        <v>640</v>
      </c>
      <c r="CJ42" s="839"/>
      <c r="CK42" s="799">
        <v>621</v>
      </c>
      <c r="CL42" s="839"/>
      <c r="CM42" s="799">
        <v>608</v>
      </c>
      <c r="CN42" s="839"/>
      <c r="CO42" s="799">
        <v>596</v>
      </c>
      <c r="CP42" s="839"/>
      <c r="CQ42" s="799">
        <v>577</v>
      </c>
      <c r="CR42" s="839"/>
      <c r="CS42" s="799">
        <v>571</v>
      </c>
      <c r="CT42" s="839"/>
      <c r="CU42" s="799"/>
      <c r="CV42" s="839"/>
      <c r="CW42" s="799"/>
      <c r="CX42" s="839"/>
      <c r="CY42" s="799"/>
      <c r="CZ42" s="839"/>
      <c r="DA42" s="799"/>
      <c r="DB42" s="839"/>
      <c r="DC42" s="799"/>
      <c r="DD42" s="839"/>
      <c r="DE42" s="840"/>
      <c r="DF42" s="562"/>
      <c r="DG42" s="832"/>
      <c r="DH42" s="907" t="s">
        <v>470</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1056</v>
      </c>
      <c r="EE42" s="839"/>
      <c r="EF42" s="799">
        <v>695</v>
      </c>
      <c r="EG42" s="839"/>
      <c r="EH42" s="799">
        <v>677</v>
      </c>
      <c r="EI42" s="839"/>
      <c r="EJ42" s="799">
        <v>658</v>
      </c>
      <c r="EK42" s="839"/>
      <c r="EL42" s="799">
        <v>640</v>
      </c>
      <c r="EM42" s="839"/>
      <c r="EN42" s="799">
        <v>621</v>
      </c>
      <c r="EO42" s="839"/>
      <c r="EP42" s="799">
        <v>608</v>
      </c>
      <c r="EQ42" s="839"/>
      <c r="ER42" s="799">
        <v>596</v>
      </c>
      <c r="ES42" s="839"/>
      <c r="ET42" s="799">
        <v>577</v>
      </c>
      <c r="EU42" s="839"/>
      <c r="EV42" s="799">
        <v>571</v>
      </c>
      <c r="EW42" s="839"/>
      <c r="EX42" s="799"/>
      <c r="EY42" s="839"/>
      <c r="EZ42" s="799"/>
      <c r="FA42" s="839"/>
      <c r="FB42" s="799"/>
      <c r="FC42" s="839"/>
      <c r="FD42" s="799"/>
      <c r="FE42" s="839"/>
      <c r="FF42" s="799"/>
      <c r="FG42" s="839"/>
      <c r="FH42" s="840"/>
      <c r="FI42" s="563"/>
      <c r="FJ42" s="841"/>
      <c r="FK42" s="907" t="s">
        <v>470</v>
      </c>
      <c r="FL42" s="904"/>
      <c r="FM42" s="904"/>
      <c r="FN42" s="905"/>
      <c r="FO42" s="906"/>
      <c r="FP42" s="842"/>
      <c r="FQ42" s="838"/>
      <c r="FR42" s="837">
        <v>2720</v>
      </c>
      <c r="FS42" s="843"/>
      <c r="FT42" s="838"/>
      <c r="FU42" s="805">
        <v>2720</v>
      </c>
      <c r="FV42" s="593"/>
      <c r="FW42" s="594"/>
      <c r="FX42" s="806"/>
      <c r="FY42" s="596"/>
      <c r="FZ42" s="807"/>
      <c r="GA42" s="598"/>
      <c r="GB42" s="808"/>
      <c r="GC42" s="600"/>
      <c r="GD42" s="808"/>
      <c r="GE42" s="601"/>
      <c r="GF42" s="844"/>
      <c r="GG42" s="602"/>
      <c r="GH42" s="602"/>
      <c r="GI42" s="602"/>
      <c r="GJ42" s="409"/>
      <c r="GK42" s="908"/>
      <c r="GL42" s="909"/>
      <c r="GM42" s="910">
        <v>7</v>
      </c>
      <c r="GN42" s="910"/>
      <c r="GO42" s="910">
        <v>10</v>
      </c>
      <c r="GP42" s="910"/>
      <c r="GQ42" s="910">
        <v>17</v>
      </c>
      <c r="GR42" s="911"/>
      <c r="GS42" s="580"/>
      <c r="GT42" s="500"/>
      <c r="GU42" s="500"/>
      <c r="GV42" s="500"/>
      <c r="GW42" s="579"/>
      <c r="GX42" s="579"/>
      <c r="GY42" s="579"/>
      <c r="GZ42" s="578"/>
      <c r="HA42" s="500"/>
      <c r="HB42" s="500"/>
      <c r="HC42" s="530"/>
      <c r="HD42" s="530"/>
    </row>
    <row r="43" spans="1:219" ht="20.100000000000001" customHeight="1">
      <c r="A43" s="832"/>
      <c r="B43" s="912" t="s">
        <v>471</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471</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471</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472</v>
      </c>
      <c r="FL43" s="913"/>
      <c r="FM43" s="913"/>
      <c r="FN43" s="913"/>
      <c r="FO43" s="914"/>
      <c r="FP43" s="696"/>
      <c r="FQ43" s="697"/>
      <c r="FR43" s="587">
        <v>584</v>
      </c>
      <c r="FS43" s="698"/>
      <c r="FT43" s="697"/>
      <c r="FU43" s="592">
        <v>584</v>
      </c>
      <c r="FV43" s="918"/>
      <c r="FW43" s="919"/>
      <c r="FX43" s="920"/>
      <c r="FY43" s="921"/>
      <c r="FZ43" s="922"/>
      <c r="GA43" s="923"/>
      <c r="GB43" s="924"/>
      <c r="GC43" s="925"/>
      <c r="GD43" s="924"/>
      <c r="GE43" s="926"/>
      <c r="GF43" s="688"/>
      <c r="GG43" s="602"/>
      <c r="GH43" s="602"/>
      <c r="GI43" s="602"/>
      <c r="GJ43" s="927"/>
      <c r="GK43" s="928" t="s">
        <v>787</v>
      </c>
      <c r="GL43" s="929"/>
      <c r="GM43" s="930" t="s">
        <v>839</v>
      </c>
      <c r="GN43" s="930"/>
      <c r="GO43" s="930" t="s">
        <v>578</v>
      </c>
      <c r="GP43" s="930"/>
      <c r="GQ43" s="930"/>
      <c r="GR43" s="931"/>
      <c r="GS43" s="580"/>
      <c r="GT43" s="609"/>
      <c r="GU43" s="530" t="s">
        <v>545</v>
      </c>
      <c r="GV43" s="413"/>
      <c r="GW43" s="409"/>
      <c r="GX43" s="413"/>
      <c r="GY43" s="413"/>
      <c r="GZ43" s="413"/>
      <c r="HA43" s="409"/>
      <c r="HB43" s="413"/>
      <c r="HC43" s="932"/>
      <c r="HD43" s="415"/>
    </row>
    <row r="44" spans="1:219" ht="20.100000000000001" customHeight="1" thickBot="1">
      <c r="A44" s="933"/>
      <c r="B44" s="642"/>
      <c r="C44" s="642"/>
      <c r="D44" s="643" t="s">
        <v>330</v>
      </c>
      <c r="E44" s="642"/>
      <c r="F44" s="642"/>
      <c r="G44" s="845"/>
      <c r="H44" s="1294">
        <v>0</v>
      </c>
      <c r="I44" s="1295"/>
      <c r="J44" s="848">
        <v>0</v>
      </c>
      <c r="K44" s="849"/>
      <c r="L44" s="848">
        <v>0</v>
      </c>
      <c r="M44" s="849"/>
      <c r="N44" s="848">
        <v>0</v>
      </c>
      <c r="O44" s="849"/>
      <c r="P44" s="848">
        <v>0</v>
      </c>
      <c r="Q44" s="849"/>
      <c r="R44" s="848">
        <v>0</v>
      </c>
      <c r="S44" s="849"/>
      <c r="T44" s="848">
        <v>0</v>
      </c>
      <c r="U44" s="849"/>
      <c r="V44" s="848">
        <v>0</v>
      </c>
      <c r="W44" s="849"/>
      <c r="X44" s="848">
        <v>1056</v>
      </c>
      <c r="Y44" s="849"/>
      <c r="Z44" s="848">
        <v>695</v>
      </c>
      <c r="AA44" s="849"/>
      <c r="AB44" s="848">
        <v>677</v>
      </c>
      <c r="AC44" s="849"/>
      <c r="AD44" s="848">
        <v>658</v>
      </c>
      <c r="AE44" s="849"/>
      <c r="AF44" s="848">
        <v>640</v>
      </c>
      <c r="AG44" s="849"/>
      <c r="AH44" s="848">
        <v>621</v>
      </c>
      <c r="AI44" s="849"/>
      <c r="AJ44" s="848">
        <v>608</v>
      </c>
      <c r="AK44" s="849"/>
      <c r="AL44" s="848">
        <v>596</v>
      </c>
      <c r="AM44" s="849"/>
      <c r="AN44" s="848">
        <v>577</v>
      </c>
      <c r="AO44" s="849"/>
      <c r="AP44" s="848">
        <v>571</v>
      </c>
      <c r="AQ44" s="849"/>
      <c r="AR44" s="848">
        <v>0</v>
      </c>
      <c r="AS44" s="849"/>
      <c r="AT44" s="848">
        <v>0</v>
      </c>
      <c r="AU44" s="849"/>
      <c r="AV44" s="848">
        <v>0</v>
      </c>
      <c r="AW44" s="849"/>
      <c r="AX44" s="848">
        <v>0</v>
      </c>
      <c r="AY44" s="849"/>
      <c r="AZ44" s="848">
        <v>0</v>
      </c>
      <c r="BA44" s="849"/>
      <c r="BB44" s="1296">
        <v>0</v>
      </c>
      <c r="BC44" s="648"/>
      <c r="BD44" s="933"/>
      <c r="BE44" s="642"/>
      <c r="BF44" s="642"/>
      <c r="BG44" s="643" t="s">
        <v>330</v>
      </c>
      <c r="BH44" s="642"/>
      <c r="BI44" s="642"/>
      <c r="BJ44" s="845"/>
      <c r="BK44" s="1294">
        <v>0</v>
      </c>
      <c r="BL44" s="1295"/>
      <c r="BM44" s="848">
        <v>0</v>
      </c>
      <c r="BN44" s="849"/>
      <c r="BO44" s="848">
        <v>0</v>
      </c>
      <c r="BP44" s="849"/>
      <c r="BQ44" s="848">
        <v>0</v>
      </c>
      <c r="BR44" s="849"/>
      <c r="BS44" s="848">
        <v>0</v>
      </c>
      <c r="BT44" s="849"/>
      <c r="BU44" s="848">
        <v>0</v>
      </c>
      <c r="BV44" s="849"/>
      <c r="BW44" s="848">
        <v>0</v>
      </c>
      <c r="BX44" s="849"/>
      <c r="BY44" s="848">
        <v>0</v>
      </c>
      <c r="BZ44" s="849"/>
      <c r="CA44" s="848">
        <v>1056</v>
      </c>
      <c r="CB44" s="849"/>
      <c r="CC44" s="848">
        <v>695</v>
      </c>
      <c r="CD44" s="849"/>
      <c r="CE44" s="848">
        <v>677</v>
      </c>
      <c r="CF44" s="849"/>
      <c r="CG44" s="848">
        <v>658</v>
      </c>
      <c r="CH44" s="849"/>
      <c r="CI44" s="848">
        <v>640</v>
      </c>
      <c r="CJ44" s="849"/>
      <c r="CK44" s="848">
        <v>621</v>
      </c>
      <c r="CL44" s="849"/>
      <c r="CM44" s="848">
        <v>608</v>
      </c>
      <c r="CN44" s="849"/>
      <c r="CO44" s="848">
        <v>596</v>
      </c>
      <c r="CP44" s="849"/>
      <c r="CQ44" s="848">
        <v>577</v>
      </c>
      <c r="CR44" s="849"/>
      <c r="CS44" s="848">
        <v>571</v>
      </c>
      <c r="CT44" s="849"/>
      <c r="CU44" s="848">
        <v>0</v>
      </c>
      <c r="CV44" s="849"/>
      <c r="CW44" s="848">
        <v>0</v>
      </c>
      <c r="CX44" s="849"/>
      <c r="CY44" s="848">
        <v>0</v>
      </c>
      <c r="CZ44" s="849"/>
      <c r="DA44" s="848">
        <v>0</v>
      </c>
      <c r="DB44" s="849"/>
      <c r="DC44" s="848">
        <v>0</v>
      </c>
      <c r="DD44" s="849"/>
      <c r="DE44" s="1296">
        <v>0</v>
      </c>
      <c r="DF44" s="648"/>
      <c r="DG44" s="933"/>
      <c r="DH44" s="642"/>
      <c r="DI44" s="642"/>
      <c r="DJ44" s="643" t="s">
        <v>330</v>
      </c>
      <c r="DK44" s="642"/>
      <c r="DL44" s="642"/>
      <c r="DM44" s="845"/>
      <c r="DN44" s="1294">
        <v>0</v>
      </c>
      <c r="DO44" s="1295"/>
      <c r="DP44" s="848">
        <v>0</v>
      </c>
      <c r="DQ44" s="849"/>
      <c r="DR44" s="848">
        <v>0</v>
      </c>
      <c r="DS44" s="849"/>
      <c r="DT44" s="848">
        <v>0</v>
      </c>
      <c r="DU44" s="849"/>
      <c r="DV44" s="848">
        <v>0</v>
      </c>
      <c r="DW44" s="849"/>
      <c r="DX44" s="848">
        <v>0</v>
      </c>
      <c r="DY44" s="849"/>
      <c r="DZ44" s="848">
        <v>0</v>
      </c>
      <c r="EA44" s="849"/>
      <c r="EB44" s="848">
        <v>0</v>
      </c>
      <c r="EC44" s="849"/>
      <c r="ED44" s="848">
        <v>1056</v>
      </c>
      <c r="EE44" s="849"/>
      <c r="EF44" s="848">
        <v>695</v>
      </c>
      <c r="EG44" s="849"/>
      <c r="EH44" s="848">
        <v>677</v>
      </c>
      <c r="EI44" s="849"/>
      <c r="EJ44" s="848">
        <v>658</v>
      </c>
      <c r="EK44" s="849"/>
      <c r="EL44" s="848">
        <v>640</v>
      </c>
      <c r="EM44" s="849"/>
      <c r="EN44" s="848">
        <v>621</v>
      </c>
      <c r="EO44" s="849"/>
      <c r="EP44" s="848">
        <v>608</v>
      </c>
      <c r="EQ44" s="849"/>
      <c r="ER44" s="848">
        <v>596</v>
      </c>
      <c r="ES44" s="849"/>
      <c r="ET44" s="848">
        <v>577</v>
      </c>
      <c r="EU44" s="849"/>
      <c r="EV44" s="848">
        <v>571</v>
      </c>
      <c r="EW44" s="849"/>
      <c r="EX44" s="848">
        <v>0</v>
      </c>
      <c r="EY44" s="849"/>
      <c r="EZ44" s="848">
        <v>0</v>
      </c>
      <c r="FA44" s="849"/>
      <c r="FB44" s="848">
        <v>0</v>
      </c>
      <c r="FC44" s="849"/>
      <c r="FD44" s="848">
        <v>0</v>
      </c>
      <c r="FE44" s="849"/>
      <c r="FF44" s="848">
        <v>0</v>
      </c>
      <c r="FG44" s="849"/>
      <c r="FH44" s="1296">
        <v>0</v>
      </c>
      <c r="FI44" s="649"/>
      <c r="FJ44" s="934"/>
      <c r="FK44" s="642"/>
      <c r="FL44" s="642"/>
      <c r="FM44" s="643" t="s">
        <v>672</v>
      </c>
      <c r="FN44" s="642"/>
      <c r="FO44" s="642"/>
      <c r="FP44" s="650"/>
      <c r="FQ44" s="1295"/>
      <c r="FR44" s="1294">
        <v>3304</v>
      </c>
      <c r="FS44" s="1297"/>
      <c r="FT44" s="1295"/>
      <c r="FU44" s="1298">
        <v>3304</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4.5999999999999996</v>
      </c>
      <c r="GN44" s="935"/>
      <c r="GO44" s="935">
        <v>7</v>
      </c>
      <c r="GP44" s="935"/>
      <c r="GQ44" s="910">
        <v>11.6</v>
      </c>
      <c r="GR44" s="911"/>
      <c r="GS44" s="936"/>
      <c r="GT44" s="937"/>
      <c r="GU44" s="530" t="s">
        <v>723</v>
      </c>
      <c r="GV44" s="615"/>
      <c r="GW44" s="615"/>
      <c r="GX44" s="615"/>
      <c r="GY44" s="413"/>
      <c r="GZ44" s="413"/>
      <c r="HA44" s="751">
        <v>1.5</v>
      </c>
      <c r="HB44" s="413" t="s">
        <v>550</v>
      </c>
      <c r="HC44" s="938"/>
      <c r="HD44" s="415"/>
    </row>
    <row r="45" spans="1:219" ht="20.100000000000001" customHeight="1" thickTop="1">
      <c r="A45" s="939" t="s">
        <v>673</v>
      </c>
      <c r="B45" s="940"/>
      <c r="C45" s="940"/>
      <c r="D45" s="940"/>
      <c r="E45" s="940"/>
      <c r="F45" s="941"/>
      <c r="G45" s="942"/>
      <c r="H45" s="943">
        <v>0</v>
      </c>
      <c r="I45" s="944"/>
      <c r="J45" s="943">
        <v>0</v>
      </c>
      <c r="K45" s="944"/>
      <c r="L45" s="943">
        <v>0</v>
      </c>
      <c r="M45" s="944"/>
      <c r="N45" s="943">
        <v>0</v>
      </c>
      <c r="O45" s="944"/>
      <c r="P45" s="943">
        <v>0</v>
      </c>
      <c r="Q45" s="944"/>
      <c r="R45" s="943">
        <v>0</v>
      </c>
      <c r="S45" s="944"/>
      <c r="T45" s="943">
        <v>0</v>
      </c>
      <c r="U45" s="944"/>
      <c r="V45" s="943">
        <v>0</v>
      </c>
      <c r="W45" s="944"/>
      <c r="X45" s="943">
        <v>2919</v>
      </c>
      <c r="Y45" s="944"/>
      <c r="Z45" s="943">
        <v>2746</v>
      </c>
      <c r="AA45" s="944"/>
      <c r="AB45" s="943">
        <v>2856</v>
      </c>
      <c r="AC45" s="944"/>
      <c r="AD45" s="943">
        <v>2929</v>
      </c>
      <c r="AE45" s="944"/>
      <c r="AF45" s="943">
        <v>2959</v>
      </c>
      <c r="AG45" s="944"/>
      <c r="AH45" s="943">
        <v>2956</v>
      </c>
      <c r="AI45" s="944"/>
      <c r="AJ45" s="943">
        <v>2879</v>
      </c>
      <c r="AK45" s="944"/>
      <c r="AL45" s="943">
        <v>2796</v>
      </c>
      <c r="AM45" s="944"/>
      <c r="AN45" s="943">
        <v>2639</v>
      </c>
      <c r="AO45" s="944"/>
      <c r="AP45" s="943">
        <v>2508</v>
      </c>
      <c r="AQ45" s="944"/>
      <c r="AR45" s="943">
        <v>0</v>
      </c>
      <c r="AS45" s="944"/>
      <c r="AT45" s="943">
        <v>0</v>
      </c>
      <c r="AU45" s="944"/>
      <c r="AV45" s="943">
        <v>0</v>
      </c>
      <c r="AW45" s="944"/>
      <c r="AX45" s="943">
        <v>0</v>
      </c>
      <c r="AY45" s="944"/>
      <c r="AZ45" s="943">
        <v>0</v>
      </c>
      <c r="BA45" s="944"/>
      <c r="BB45" s="945">
        <v>0</v>
      </c>
      <c r="BC45" s="648"/>
      <c r="BD45" s="939" t="s">
        <v>673</v>
      </c>
      <c r="BE45" s="940"/>
      <c r="BF45" s="940"/>
      <c r="BG45" s="940"/>
      <c r="BH45" s="940"/>
      <c r="BI45" s="941"/>
      <c r="BJ45" s="942"/>
      <c r="BK45" s="943">
        <v>0</v>
      </c>
      <c r="BL45" s="944"/>
      <c r="BM45" s="943">
        <v>0</v>
      </c>
      <c r="BN45" s="944"/>
      <c r="BO45" s="943">
        <v>0</v>
      </c>
      <c r="BP45" s="944"/>
      <c r="BQ45" s="943">
        <v>0</v>
      </c>
      <c r="BR45" s="944"/>
      <c r="BS45" s="943">
        <v>0</v>
      </c>
      <c r="BT45" s="944"/>
      <c r="BU45" s="943">
        <v>0</v>
      </c>
      <c r="BV45" s="944"/>
      <c r="BW45" s="943">
        <v>0</v>
      </c>
      <c r="BX45" s="944"/>
      <c r="BY45" s="943">
        <v>0</v>
      </c>
      <c r="BZ45" s="944"/>
      <c r="CA45" s="943">
        <v>2941</v>
      </c>
      <c r="CB45" s="944"/>
      <c r="CC45" s="943">
        <v>2728</v>
      </c>
      <c r="CD45" s="944"/>
      <c r="CE45" s="943">
        <v>2837</v>
      </c>
      <c r="CF45" s="944"/>
      <c r="CG45" s="943">
        <v>2882</v>
      </c>
      <c r="CH45" s="944"/>
      <c r="CI45" s="943">
        <v>2904</v>
      </c>
      <c r="CJ45" s="944"/>
      <c r="CK45" s="943">
        <v>2867</v>
      </c>
      <c r="CL45" s="944"/>
      <c r="CM45" s="943">
        <v>2791</v>
      </c>
      <c r="CN45" s="944"/>
      <c r="CO45" s="943">
        <v>2718</v>
      </c>
      <c r="CP45" s="944"/>
      <c r="CQ45" s="943">
        <v>2618</v>
      </c>
      <c r="CR45" s="944"/>
      <c r="CS45" s="943">
        <v>2470</v>
      </c>
      <c r="CT45" s="944"/>
      <c r="CU45" s="943">
        <v>0</v>
      </c>
      <c r="CV45" s="944"/>
      <c r="CW45" s="943">
        <v>0</v>
      </c>
      <c r="CX45" s="944"/>
      <c r="CY45" s="943">
        <v>0</v>
      </c>
      <c r="CZ45" s="944"/>
      <c r="DA45" s="943">
        <v>0</v>
      </c>
      <c r="DB45" s="944"/>
      <c r="DC45" s="943">
        <v>0</v>
      </c>
      <c r="DD45" s="944"/>
      <c r="DE45" s="945">
        <v>0</v>
      </c>
      <c r="DF45" s="648"/>
      <c r="DG45" s="939" t="s">
        <v>673</v>
      </c>
      <c r="DH45" s="940"/>
      <c r="DI45" s="940"/>
      <c r="DJ45" s="940"/>
      <c r="DK45" s="940"/>
      <c r="DL45" s="941"/>
      <c r="DM45" s="942"/>
      <c r="DN45" s="943">
        <v>0</v>
      </c>
      <c r="DO45" s="944"/>
      <c r="DP45" s="943">
        <v>0</v>
      </c>
      <c r="DQ45" s="944"/>
      <c r="DR45" s="943">
        <v>0</v>
      </c>
      <c r="DS45" s="944"/>
      <c r="DT45" s="943">
        <v>0</v>
      </c>
      <c r="DU45" s="944"/>
      <c r="DV45" s="943">
        <v>0</v>
      </c>
      <c r="DW45" s="944"/>
      <c r="DX45" s="943">
        <v>0</v>
      </c>
      <c r="DY45" s="944"/>
      <c r="DZ45" s="943">
        <v>0</v>
      </c>
      <c r="EA45" s="944"/>
      <c r="EB45" s="943">
        <v>0</v>
      </c>
      <c r="EC45" s="944"/>
      <c r="ED45" s="943">
        <v>2483</v>
      </c>
      <c r="EE45" s="944"/>
      <c r="EF45" s="943">
        <v>2322</v>
      </c>
      <c r="EG45" s="944"/>
      <c r="EH45" s="943">
        <v>2449</v>
      </c>
      <c r="EI45" s="944"/>
      <c r="EJ45" s="943">
        <v>2550</v>
      </c>
      <c r="EK45" s="944"/>
      <c r="EL45" s="943">
        <v>2583</v>
      </c>
      <c r="EM45" s="944"/>
      <c r="EN45" s="943">
        <v>2544</v>
      </c>
      <c r="EO45" s="944"/>
      <c r="EP45" s="943">
        <v>2482</v>
      </c>
      <c r="EQ45" s="944"/>
      <c r="ER45" s="943">
        <v>2414</v>
      </c>
      <c r="ES45" s="944"/>
      <c r="ET45" s="943">
        <v>2246</v>
      </c>
      <c r="EU45" s="944"/>
      <c r="EV45" s="943">
        <v>2079</v>
      </c>
      <c r="EW45" s="944"/>
      <c r="EX45" s="943">
        <v>0</v>
      </c>
      <c r="EY45" s="944"/>
      <c r="EZ45" s="943">
        <v>0</v>
      </c>
      <c r="FA45" s="944"/>
      <c r="FB45" s="943">
        <v>0</v>
      </c>
      <c r="FC45" s="944"/>
      <c r="FD45" s="943">
        <v>0</v>
      </c>
      <c r="FE45" s="944"/>
      <c r="FF45" s="943">
        <v>0</v>
      </c>
      <c r="FG45" s="944"/>
      <c r="FH45" s="945">
        <v>0</v>
      </c>
      <c r="FI45" s="648"/>
      <c r="FJ45" s="939" t="s">
        <v>673</v>
      </c>
      <c r="FK45" s="940"/>
      <c r="FL45" s="940"/>
      <c r="FM45" s="940"/>
      <c r="FN45" s="940"/>
      <c r="FO45" s="941"/>
      <c r="FP45" s="946"/>
      <c r="FQ45" s="947"/>
      <c r="FR45" s="943">
        <v>5855</v>
      </c>
      <c r="FS45" s="948"/>
      <c r="FT45" s="947"/>
      <c r="FU45" s="949">
        <v>5931</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724</v>
      </c>
      <c r="GV45" s="413"/>
      <c r="GW45" s="413"/>
      <c r="GX45" s="413"/>
      <c r="GY45" s="530"/>
      <c r="GZ45" s="733"/>
      <c r="HA45" s="751">
        <v>19</v>
      </c>
      <c r="HB45" s="413" t="s">
        <v>550</v>
      </c>
      <c r="HC45" s="938"/>
      <c r="HD45" s="415"/>
    </row>
    <row r="46" spans="1:219" ht="20.100000000000001" customHeight="1">
      <c r="A46" s="954" t="s">
        <v>336</v>
      </c>
      <c r="B46" s="955"/>
      <c r="C46" s="955"/>
      <c r="D46" s="955"/>
      <c r="E46" s="955"/>
      <c r="F46" s="956"/>
      <c r="G46" s="957" t="s">
        <v>477</v>
      </c>
      <c r="H46" s="958"/>
      <c r="I46" s="1287" t="s">
        <v>477</v>
      </c>
      <c r="J46" s="958"/>
      <c r="K46" s="1287" t="s">
        <v>477</v>
      </c>
      <c r="L46" s="958"/>
      <c r="M46" s="1287" t="s">
        <v>477</v>
      </c>
      <c r="N46" s="958"/>
      <c r="O46" s="1287" t="s">
        <v>477</v>
      </c>
      <c r="P46" s="958"/>
      <c r="Q46" s="1287" t="s">
        <v>477</v>
      </c>
      <c r="R46" s="958"/>
      <c r="S46" s="1287" t="s">
        <v>477</v>
      </c>
      <c r="T46" s="958"/>
      <c r="U46" s="1287" t="s">
        <v>477</v>
      </c>
      <c r="V46" s="958"/>
      <c r="W46" s="1287" t="s">
        <v>477</v>
      </c>
      <c r="X46" s="958"/>
      <c r="Y46" s="1287" t="s">
        <v>477</v>
      </c>
      <c r="Z46" s="958"/>
      <c r="AA46" s="1287" t="s">
        <v>477</v>
      </c>
      <c r="AB46" s="958"/>
      <c r="AC46" s="1287" t="s">
        <v>477</v>
      </c>
      <c r="AD46" s="958"/>
      <c r="AE46" s="1287" t="s">
        <v>477</v>
      </c>
      <c r="AF46" s="958"/>
      <c r="AG46" s="1287" t="s">
        <v>477</v>
      </c>
      <c r="AH46" s="958"/>
      <c r="AI46" s="1287" t="s">
        <v>477</v>
      </c>
      <c r="AJ46" s="958"/>
      <c r="AK46" s="1287" t="s">
        <v>477</v>
      </c>
      <c r="AL46" s="958"/>
      <c r="AM46" s="1287" t="s">
        <v>477</v>
      </c>
      <c r="AN46" s="958"/>
      <c r="AO46" s="1287" t="s">
        <v>477</v>
      </c>
      <c r="AP46" s="958"/>
      <c r="AQ46" s="1287" t="s">
        <v>477</v>
      </c>
      <c r="AR46" s="958"/>
      <c r="AS46" s="1287" t="s">
        <v>477</v>
      </c>
      <c r="AT46" s="958"/>
      <c r="AU46" s="1287" t="s">
        <v>477</v>
      </c>
      <c r="AV46" s="958"/>
      <c r="AW46" s="1287" t="s">
        <v>477</v>
      </c>
      <c r="AX46" s="958"/>
      <c r="AY46" s="1287" t="s">
        <v>477</v>
      </c>
      <c r="AZ46" s="960"/>
      <c r="BA46" s="961" t="s">
        <v>477</v>
      </c>
      <c r="BB46" s="962"/>
      <c r="BC46" s="963"/>
      <c r="BD46" s="954" t="s">
        <v>674</v>
      </c>
      <c r="BE46" s="955"/>
      <c r="BF46" s="955"/>
      <c r="BG46" s="955"/>
      <c r="BH46" s="955"/>
      <c r="BI46" s="956"/>
      <c r="BJ46" s="957" t="s">
        <v>477</v>
      </c>
      <c r="BK46" s="958"/>
      <c r="BL46" s="1287" t="s">
        <v>477</v>
      </c>
      <c r="BM46" s="958"/>
      <c r="BN46" s="1287" t="s">
        <v>477</v>
      </c>
      <c r="BO46" s="958"/>
      <c r="BP46" s="1287" t="s">
        <v>477</v>
      </c>
      <c r="BQ46" s="958"/>
      <c r="BR46" s="1287" t="s">
        <v>477</v>
      </c>
      <c r="BS46" s="958"/>
      <c r="BT46" s="1287" t="s">
        <v>477</v>
      </c>
      <c r="BU46" s="958"/>
      <c r="BV46" s="1287" t="s">
        <v>477</v>
      </c>
      <c r="BW46" s="958"/>
      <c r="BX46" s="1287" t="s">
        <v>477</v>
      </c>
      <c r="BY46" s="958"/>
      <c r="BZ46" s="1287" t="s">
        <v>477</v>
      </c>
      <c r="CA46" s="958"/>
      <c r="CB46" s="1287" t="s">
        <v>477</v>
      </c>
      <c r="CC46" s="958"/>
      <c r="CD46" s="1287" t="s">
        <v>477</v>
      </c>
      <c r="CE46" s="958"/>
      <c r="CF46" s="1287" t="s">
        <v>477</v>
      </c>
      <c r="CG46" s="958"/>
      <c r="CH46" s="1287" t="s">
        <v>477</v>
      </c>
      <c r="CI46" s="958"/>
      <c r="CJ46" s="1287" t="s">
        <v>477</v>
      </c>
      <c r="CK46" s="958"/>
      <c r="CL46" s="1287" t="s">
        <v>477</v>
      </c>
      <c r="CM46" s="958"/>
      <c r="CN46" s="1287" t="s">
        <v>477</v>
      </c>
      <c r="CO46" s="958"/>
      <c r="CP46" s="1287" t="s">
        <v>477</v>
      </c>
      <c r="CQ46" s="958"/>
      <c r="CR46" s="1287" t="s">
        <v>477</v>
      </c>
      <c r="CS46" s="958"/>
      <c r="CT46" s="1287" t="s">
        <v>477</v>
      </c>
      <c r="CU46" s="958"/>
      <c r="CV46" s="1287" t="s">
        <v>477</v>
      </c>
      <c r="CW46" s="958"/>
      <c r="CX46" s="1287" t="s">
        <v>477</v>
      </c>
      <c r="CY46" s="958"/>
      <c r="CZ46" s="1287" t="s">
        <v>477</v>
      </c>
      <c r="DA46" s="958"/>
      <c r="DB46" s="1287" t="s">
        <v>477</v>
      </c>
      <c r="DC46" s="960"/>
      <c r="DD46" s="961" t="s">
        <v>477</v>
      </c>
      <c r="DE46" s="962"/>
      <c r="DF46" s="963"/>
      <c r="DG46" s="954" t="s">
        <v>674</v>
      </c>
      <c r="DH46" s="955"/>
      <c r="DI46" s="955"/>
      <c r="DJ46" s="955"/>
      <c r="DK46" s="955"/>
      <c r="DL46" s="956"/>
      <c r="DM46" s="957" t="s">
        <v>477</v>
      </c>
      <c r="DN46" s="958"/>
      <c r="DO46" s="1287" t="s">
        <v>477</v>
      </c>
      <c r="DP46" s="958"/>
      <c r="DQ46" s="1287" t="s">
        <v>477</v>
      </c>
      <c r="DR46" s="958"/>
      <c r="DS46" s="1287" t="s">
        <v>477</v>
      </c>
      <c r="DT46" s="958"/>
      <c r="DU46" s="1287" t="s">
        <v>477</v>
      </c>
      <c r="DV46" s="958"/>
      <c r="DW46" s="1287" t="s">
        <v>477</v>
      </c>
      <c r="DX46" s="958"/>
      <c r="DY46" s="1287" t="s">
        <v>477</v>
      </c>
      <c r="DZ46" s="958"/>
      <c r="EA46" s="1287" t="s">
        <v>477</v>
      </c>
      <c r="EB46" s="958"/>
      <c r="EC46" s="1287" t="s">
        <v>477</v>
      </c>
      <c r="ED46" s="958"/>
      <c r="EE46" s="1287" t="s">
        <v>477</v>
      </c>
      <c r="EF46" s="958"/>
      <c r="EG46" s="1287" t="s">
        <v>477</v>
      </c>
      <c r="EH46" s="958"/>
      <c r="EI46" s="1287" t="s">
        <v>477</v>
      </c>
      <c r="EJ46" s="958"/>
      <c r="EK46" s="1287" t="s">
        <v>477</v>
      </c>
      <c r="EL46" s="958"/>
      <c r="EM46" s="1287" t="s">
        <v>477</v>
      </c>
      <c r="EN46" s="958"/>
      <c r="EO46" s="1287" t="s">
        <v>477</v>
      </c>
      <c r="EP46" s="958"/>
      <c r="EQ46" s="1287" t="s">
        <v>477</v>
      </c>
      <c r="ER46" s="958"/>
      <c r="ES46" s="1287" t="s">
        <v>477</v>
      </c>
      <c r="ET46" s="958"/>
      <c r="EU46" s="1287" t="s">
        <v>477</v>
      </c>
      <c r="EV46" s="958"/>
      <c r="EW46" s="1287" t="s">
        <v>477</v>
      </c>
      <c r="EX46" s="958"/>
      <c r="EY46" s="1287" t="s">
        <v>477</v>
      </c>
      <c r="EZ46" s="958"/>
      <c r="FA46" s="1287" t="s">
        <v>477</v>
      </c>
      <c r="FB46" s="958"/>
      <c r="FC46" s="1287" t="s">
        <v>477</v>
      </c>
      <c r="FD46" s="958"/>
      <c r="FE46" s="1287" t="s">
        <v>477</v>
      </c>
      <c r="FF46" s="960"/>
      <c r="FG46" s="961" t="s">
        <v>477</v>
      </c>
      <c r="FH46" s="962"/>
      <c r="FI46" s="963"/>
      <c r="FJ46" s="954" t="s">
        <v>824</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t="s">
        <v>584</v>
      </c>
      <c r="GL46" s="413"/>
      <c r="GM46" s="750"/>
      <c r="GN46" s="750"/>
      <c r="GO46" s="750"/>
      <c r="GP46" s="750"/>
      <c r="GQ46" s="750"/>
      <c r="GR46" s="861"/>
      <c r="GS46" s="580"/>
      <c r="GT46" s="763"/>
      <c r="GU46" s="774" t="s">
        <v>582</v>
      </c>
      <c r="GV46" s="774"/>
      <c r="GW46" s="774"/>
      <c r="GX46" s="774"/>
      <c r="GY46" s="615"/>
      <c r="GZ46" s="775"/>
      <c r="HA46" s="751">
        <v>17.5</v>
      </c>
      <c r="HB46" s="413" t="s">
        <v>707</v>
      </c>
      <c r="HC46" s="938"/>
      <c r="HD46" s="415"/>
    </row>
    <row r="47" spans="1:219" ht="20.100000000000001" customHeight="1" thickBot="1">
      <c r="A47" s="970" t="s">
        <v>768</v>
      </c>
      <c r="B47" s="971"/>
      <c r="C47" s="971"/>
      <c r="D47" s="972"/>
      <c r="E47" s="973"/>
      <c r="F47" s="973"/>
      <c r="G47" s="974"/>
      <c r="H47" s="975">
        <v>0</v>
      </c>
      <c r="I47" s="976"/>
      <c r="J47" s="975">
        <v>0</v>
      </c>
      <c r="K47" s="976"/>
      <c r="L47" s="975">
        <v>0</v>
      </c>
      <c r="M47" s="976"/>
      <c r="N47" s="975">
        <v>0</v>
      </c>
      <c r="O47" s="976"/>
      <c r="P47" s="975">
        <v>0</v>
      </c>
      <c r="Q47" s="976"/>
      <c r="R47" s="975">
        <v>0</v>
      </c>
      <c r="S47" s="976"/>
      <c r="T47" s="975">
        <v>0</v>
      </c>
      <c r="U47" s="976"/>
      <c r="V47" s="975">
        <v>0</v>
      </c>
      <c r="W47" s="976"/>
      <c r="X47" s="975">
        <v>3065</v>
      </c>
      <c r="Y47" s="976"/>
      <c r="Z47" s="975">
        <v>2883</v>
      </c>
      <c r="AA47" s="976"/>
      <c r="AB47" s="975">
        <v>2999</v>
      </c>
      <c r="AC47" s="976"/>
      <c r="AD47" s="975">
        <v>3075</v>
      </c>
      <c r="AE47" s="976"/>
      <c r="AF47" s="975">
        <v>3107</v>
      </c>
      <c r="AG47" s="976"/>
      <c r="AH47" s="975">
        <v>3104</v>
      </c>
      <c r="AI47" s="976"/>
      <c r="AJ47" s="975">
        <v>3023</v>
      </c>
      <c r="AK47" s="976"/>
      <c r="AL47" s="975">
        <v>2936</v>
      </c>
      <c r="AM47" s="976"/>
      <c r="AN47" s="975">
        <v>2771</v>
      </c>
      <c r="AO47" s="976"/>
      <c r="AP47" s="975">
        <v>2633</v>
      </c>
      <c r="AQ47" s="976"/>
      <c r="AR47" s="975">
        <v>0</v>
      </c>
      <c r="AS47" s="976"/>
      <c r="AT47" s="975">
        <v>0</v>
      </c>
      <c r="AU47" s="976"/>
      <c r="AV47" s="975">
        <v>0</v>
      </c>
      <c r="AW47" s="976"/>
      <c r="AX47" s="975">
        <v>0</v>
      </c>
      <c r="AY47" s="977"/>
      <c r="AZ47" s="978">
        <v>0</v>
      </c>
      <c r="BA47" s="979"/>
      <c r="BB47" s="980">
        <v>0</v>
      </c>
      <c r="BC47" s="981"/>
      <c r="BD47" s="970" t="s">
        <v>337</v>
      </c>
      <c r="BE47" s="971"/>
      <c r="BF47" s="971"/>
      <c r="BG47" s="972"/>
      <c r="BH47" s="973"/>
      <c r="BI47" s="973"/>
      <c r="BJ47" s="974"/>
      <c r="BK47" s="975">
        <v>0</v>
      </c>
      <c r="BL47" s="976"/>
      <c r="BM47" s="975">
        <v>0</v>
      </c>
      <c r="BN47" s="976"/>
      <c r="BO47" s="975">
        <v>0</v>
      </c>
      <c r="BP47" s="976"/>
      <c r="BQ47" s="975">
        <v>0</v>
      </c>
      <c r="BR47" s="976"/>
      <c r="BS47" s="975">
        <v>0</v>
      </c>
      <c r="BT47" s="976"/>
      <c r="BU47" s="975">
        <v>0</v>
      </c>
      <c r="BV47" s="976"/>
      <c r="BW47" s="975">
        <v>0</v>
      </c>
      <c r="BX47" s="976"/>
      <c r="BY47" s="975">
        <v>0</v>
      </c>
      <c r="BZ47" s="976"/>
      <c r="CA47" s="975">
        <v>3088</v>
      </c>
      <c r="CB47" s="976"/>
      <c r="CC47" s="975">
        <v>2864</v>
      </c>
      <c r="CD47" s="976"/>
      <c r="CE47" s="975">
        <v>2979</v>
      </c>
      <c r="CF47" s="976"/>
      <c r="CG47" s="975">
        <v>3026</v>
      </c>
      <c r="CH47" s="976"/>
      <c r="CI47" s="975">
        <v>3049</v>
      </c>
      <c r="CJ47" s="976"/>
      <c r="CK47" s="975">
        <v>3010</v>
      </c>
      <c r="CL47" s="976"/>
      <c r="CM47" s="975">
        <v>2931</v>
      </c>
      <c r="CN47" s="976"/>
      <c r="CO47" s="975">
        <v>2854</v>
      </c>
      <c r="CP47" s="976"/>
      <c r="CQ47" s="975">
        <v>2749</v>
      </c>
      <c r="CR47" s="976"/>
      <c r="CS47" s="975">
        <v>2594</v>
      </c>
      <c r="CT47" s="976"/>
      <c r="CU47" s="975">
        <v>0</v>
      </c>
      <c r="CV47" s="976"/>
      <c r="CW47" s="975">
        <v>0</v>
      </c>
      <c r="CX47" s="976"/>
      <c r="CY47" s="975">
        <v>0</v>
      </c>
      <c r="CZ47" s="976"/>
      <c r="DA47" s="975">
        <v>0</v>
      </c>
      <c r="DB47" s="977"/>
      <c r="DC47" s="978">
        <v>0</v>
      </c>
      <c r="DD47" s="979"/>
      <c r="DE47" s="980">
        <v>0</v>
      </c>
      <c r="DF47" s="981"/>
      <c r="DG47" s="970" t="s">
        <v>768</v>
      </c>
      <c r="DH47" s="971"/>
      <c r="DI47" s="971"/>
      <c r="DJ47" s="972"/>
      <c r="DK47" s="973"/>
      <c r="DL47" s="973"/>
      <c r="DM47" s="974"/>
      <c r="DN47" s="975">
        <v>0</v>
      </c>
      <c r="DO47" s="976"/>
      <c r="DP47" s="975">
        <v>0</v>
      </c>
      <c r="DQ47" s="976"/>
      <c r="DR47" s="975">
        <v>0</v>
      </c>
      <c r="DS47" s="976"/>
      <c r="DT47" s="975">
        <v>0</v>
      </c>
      <c r="DU47" s="976"/>
      <c r="DV47" s="975">
        <v>0</v>
      </c>
      <c r="DW47" s="976"/>
      <c r="DX47" s="975">
        <v>0</v>
      </c>
      <c r="DY47" s="976"/>
      <c r="DZ47" s="975">
        <v>0</v>
      </c>
      <c r="EA47" s="976"/>
      <c r="EB47" s="975">
        <v>0</v>
      </c>
      <c r="EC47" s="976"/>
      <c r="ED47" s="975">
        <v>2607</v>
      </c>
      <c r="EE47" s="976"/>
      <c r="EF47" s="975">
        <v>2438</v>
      </c>
      <c r="EG47" s="976"/>
      <c r="EH47" s="975">
        <v>2571</v>
      </c>
      <c r="EI47" s="976"/>
      <c r="EJ47" s="975">
        <v>2678</v>
      </c>
      <c r="EK47" s="976"/>
      <c r="EL47" s="975">
        <v>2712</v>
      </c>
      <c r="EM47" s="976"/>
      <c r="EN47" s="975">
        <v>2671</v>
      </c>
      <c r="EO47" s="976"/>
      <c r="EP47" s="975">
        <v>2606</v>
      </c>
      <c r="EQ47" s="976"/>
      <c r="ER47" s="975">
        <v>2535</v>
      </c>
      <c r="ES47" s="976"/>
      <c r="ET47" s="975">
        <v>2358</v>
      </c>
      <c r="EU47" s="976"/>
      <c r="EV47" s="975">
        <v>2183</v>
      </c>
      <c r="EW47" s="976"/>
      <c r="EX47" s="975">
        <v>0</v>
      </c>
      <c r="EY47" s="976"/>
      <c r="EZ47" s="975">
        <v>0</v>
      </c>
      <c r="FA47" s="976"/>
      <c r="FB47" s="975">
        <v>0</v>
      </c>
      <c r="FC47" s="976"/>
      <c r="FD47" s="975">
        <v>0</v>
      </c>
      <c r="FE47" s="977"/>
      <c r="FF47" s="978">
        <v>0</v>
      </c>
      <c r="FG47" s="979"/>
      <c r="FH47" s="980">
        <v>0</v>
      </c>
      <c r="FI47" s="981"/>
      <c r="FJ47" s="970" t="s">
        <v>337</v>
      </c>
      <c r="FK47" s="971"/>
      <c r="FL47" s="971"/>
      <c r="FM47" s="972"/>
      <c r="FN47" s="973"/>
      <c r="FO47" s="973"/>
      <c r="FP47" s="982"/>
      <c r="FQ47" s="983"/>
      <c r="FR47" s="975">
        <v>5855</v>
      </c>
      <c r="FS47" s="984"/>
      <c r="FT47" s="983"/>
      <c r="FU47" s="985">
        <v>5931</v>
      </c>
      <c r="FV47" s="986">
        <v>13</v>
      </c>
      <c r="FW47" s="975">
        <v>3107</v>
      </c>
      <c r="FX47" s="987">
        <v>13</v>
      </c>
      <c r="FY47" s="975">
        <v>3049</v>
      </c>
      <c r="FZ47" s="987">
        <v>13</v>
      </c>
      <c r="GA47" s="975">
        <v>2712</v>
      </c>
      <c r="GB47" s="988" t="s">
        <v>366</v>
      </c>
      <c r="GC47" s="975">
        <v>3107</v>
      </c>
      <c r="GD47" s="988" t="s">
        <v>815</v>
      </c>
      <c r="GE47" s="989">
        <v>5931</v>
      </c>
      <c r="GF47" s="688"/>
      <c r="GG47" s="990"/>
      <c r="GH47" s="990"/>
      <c r="GI47" s="990"/>
      <c r="GJ47" s="893"/>
      <c r="GK47" s="413" t="s">
        <v>840</v>
      </c>
      <c r="GL47" s="893"/>
      <c r="GM47" s="530"/>
      <c r="GN47" s="893"/>
      <c r="GO47" s="530"/>
      <c r="GP47" s="530"/>
      <c r="GQ47" s="530"/>
      <c r="GR47" s="893"/>
      <c r="GS47" s="530"/>
      <c r="GT47" s="763"/>
      <c r="GU47" s="774" t="s">
        <v>585</v>
      </c>
      <c r="GV47" s="774"/>
      <c r="GW47" s="774"/>
      <c r="GX47" s="774"/>
      <c r="GY47" s="530"/>
      <c r="GZ47" s="413"/>
      <c r="HA47" s="778">
        <v>-0.15</v>
      </c>
      <c r="HB47" s="413"/>
      <c r="HC47" s="981"/>
      <c r="HD47" s="415"/>
    </row>
    <row r="48" spans="1:219" ht="20.100000000000001" customHeight="1">
      <c r="A48" s="991" t="s">
        <v>676</v>
      </c>
      <c r="B48" s="992" t="s">
        <v>677</v>
      </c>
      <c r="C48" s="895"/>
      <c r="D48" s="825"/>
      <c r="E48" s="825"/>
      <c r="F48" s="826"/>
      <c r="G48" s="740" t="s">
        <v>678</v>
      </c>
      <c r="H48" s="663" t="s">
        <v>430</v>
      </c>
      <c r="I48" s="742" t="s">
        <v>484</v>
      </c>
      <c r="J48" s="993" t="s">
        <v>428</v>
      </c>
      <c r="K48" s="742" t="s">
        <v>678</v>
      </c>
      <c r="L48" s="993" t="s">
        <v>428</v>
      </c>
      <c r="M48" s="742" t="s">
        <v>678</v>
      </c>
      <c r="N48" s="993" t="s">
        <v>428</v>
      </c>
      <c r="O48" s="742" t="s">
        <v>678</v>
      </c>
      <c r="P48" s="993" t="s">
        <v>430</v>
      </c>
      <c r="Q48" s="742" t="s">
        <v>484</v>
      </c>
      <c r="R48" s="993" t="s">
        <v>430</v>
      </c>
      <c r="S48" s="742" t="s">
        <v>484</v>
      </c>
      <c r="T48" s="993" t="s">
        <v>428</v>
      </c>
      <c r="U48" s="742" t="s">
        <v>484</v>
      </c>
      <c r="V48" s="993" t="s">
        <v>430</v>
      </c>
      <c r="W48" s="742" t="s">
        <v>484</v>
      </c>
      <c r="X48" s="993" t="s">
        <v>430</v>
      </c>
      <c r="Y48" s="742" t="s">
        <v>484</v>
      </c>
      <c r="Z48" s="993" t="s">
        <v>430</v>
      </c>
      <c r="AA48" s="742" t="s">
        <v>484</v>
      </c>
      <c r="AB48" s="993" t="s">
        <v>430</v>
      </c>
      <c r="AC48" s="742" t="s">
        <v>484</v>
      </c>
      <c r="AD48" s="993" t="s">
        <v>430</v>
      </c>
      <c r="AE48" s="742" t="s">
        <v>678</v>
      </c>
      <c r="AF48" s="993" t="s">
        <v>428</v>
      </c>
      <c r="AG48" s="742" t="s">
        <v>678</v>
      </c>
      <c r="AH48" s="993" t="s">
        <v>428</v>
      </c>
      <c r="AI48" s="742" t="s">
        <v>678</v>
      </c>
      <c r="AJ48" s="993" t="s">
        <v>430</v>
      </c>
      <c r="AK48" s="742" t="s">
        <v>484</v>
      </c>
      <c r="AL48" s="993" t="s">
        <v>428</v>
      </c>
      <c r="AM48" s="742" t="s">
        <v>484</v>
      </c>
      <c r="AN48" s="993" t="s">
        <v>430</v>
      </c>
      <c r="AO48" s="742" t="s">
        <v>484</v>
      </c>
      <c r="AP48" s="993" t="s">
        <v>428</v>
      </c>
      <c r="AQ48" s="742" t="s">
        <v>678</v>
      </c>
      <c r="AR48" s="993" t="s">
        <v>430</v>
      </c>
      <c r="AS48" s="742" t="s">
        <v>678</v>
      </c>
      <c r="AT48" s="993" t="s">
        <v>430</v>
      </c>
      <c r="AU48" s="742" t="s">
        <v>484</v>
      </c>
      <c r="AV48" s="993" t="s">
        <v>428</v>
      </c>
      <c r="AW48" s="742" t="s">
        <v>484</v>
      </c>
      <c r="AX48" s="993" t="s">
        <v>430</v>
      </c>
      <c r="AY48" s="742" t="s">
        <v>678</v>
      </c>
      <c r="AZ48" s="994" t="s">
        <v>428</v>
      </c>
      <c r="BA48" s="995" t="s">
        <v>678</v>
      </c>
      <c r="BB48" s="996" t="s">
        <v>428</v>
      </c>
      <c r="BC48" s="932"/>
      <c r="BD48" s="991" t="s">
        <v>482</v>
      </c>
      <c r="BE48" s="992" t="s">
        <v>677</v>
      </c>
      <c r="BF48" s="895"/>
      <c r="BG48" s="825"/>
      <c r="BH48" s="825"/>
      <c r="BI48" s="826"/>
      <c r="BJ48" s="740" t="s">
        <v>678</v>
      </c>
      <c r="BK48" s="663" t="s">
        <v>430</v>
      </c>
      <c r="BL48" s="742" t="s">
        <v>484</v>
      </c>
      <c r="BM48" s="993" t="s">
        <v>430</v>
      </c>
      <c r="BN48" s="742" t="s">
        <v>678</v>
      </c>
      <c r="BO48" s="993" t="s">
        <v>430</v>
      </c>
      <c r="BP48" s="742" t="s">
        <v>678</v>
      </c>
      <c r="BQ48" s="993" t="s">
        <v>430</v>
      </c>
      <c r="BR48" s="742" t="s">
        <v>484</v>
      </c>
      <c r="BS48" s="993" t="s">
        <v>430</v>
      </c>
      <c r="BT48" s="742" t="s">
        <v>678</v>
      </c>
      <c r="BU48" s="993" t="s">
        <v>430</v>
      </c>
      <c r="BV48" s="742" t="s">
        <v>484</v>
      </c>
      <c r="BW48" s="993" t="s">
        <v>428</v>
      </c>
      <c r="BX48" s="742" t="s">
        <v>678</v>
      </c>
      <c r="BY48" s="993" t="s">
        <v>428</v>
      </c>
      <c r="BZ48" s="742" t="s">
        <v>678</v>
      </c>
      <c r="CA48" s="993" t="s">
        <v>428</v>
      </c>
      <c r="CB48" s="742" t="s">
        <v>484</v>
      </c>
      <c r="CC48" s="993" t="s">
        <v>430</v>
      </c>
      <c r="CD48" s="742" t="s">
        <v>484</v>
      </c>
      <c r="CE48" s="993" t="s">
        <v>430</v>
      </c>
      <c r="CF48" s="742" t="s">
        <v>484</v>
      </c>
      <c r="CG48" s="993" t="s">
        <v>428</v>
      </c>
      <c r="CH48" s="742" t="s">
        <v>484</v>
      </c>
      <c r="CI48" s="993" t="s">
        <v>430</v>
      </c>
      <c r="CJ48" s="742" t="s">
        <v>484</v>
      </c>
      <c r="CK48" s="993" t="s">
        <v>430</v>
      </c>
      <c r="CL48" s="742" t="s">
        <v>484</v>
      </c>
      <c r="CM48" s="993" t="s">
        <v>430</v>
      </c>
      <c r="CN48" s="742" t="s">
        <v>484</v>
      </c>
      <c r="CO48" s="993" t="s">
        <v>430</v>
      </c>
      <c r="CP48" s="742" t="s">
        <v>484</v>
      </c>
      <c r="CQ48" s="993" t="s">
        <v>430</v>
      </c>
      <c r="CR48" s="742" t="s">
        <v>678</v>
      </c>
      <c r="CS48" s="993" t="s">
        <v>428</v>
      </c>
      <c r="CT48" s="742" t="s">
        <v>678</v>
      </c>
      <c r="CU48" s="993" t="s">
        <v>428</v>
      </c>
      <c r="CV48" s="742" t="s">
        <v>678</v>
      </c>
      <c r="CW48" s="993" t="s">
        <v>430</v>
      </c>
      <c r="CX48" s="742" t="s">
        <v>484</v>
      </c>
      <c r="CY48" s="993" t="s">
        <v>428</v>
      </c>
      <c r="CZ48" s="742" t="s">
        <v>484</v>
      </c>
      <c r="DA48" s="993" t="s">
        <v>430</v>
      </c>
      <c r="DB48" s="742" t="s">
        <v>484</v>
      </c>
      <c r="DC48" s="994" t="s">
        <v>428</v>
      </c>
      <c r="DD48" s="995" t="s">
        <v>678</v>
      </c>
      <c r="DE48" s="996" t="s">
        <v>430</v>
      </c>
      <c r="DF48" s="932"/>
      <c r="DG48" s="991" t="s">
        <v>676</v>
      </c>
      <c r="DH48" s="992" t="s">
        <v>483</v>
      </c>
      <c r="DI48" s="895"/>
      <c r="DJ48" s="825"/>
      <c r="DK48" s="825"/>
      <c r="DL48" s="826"/>
      <c r="DM48" s="740" t="s">
        <v>678</v>
      </c>
      <c r="DN48" s="663" t="s">
        <v>430</v>
      </c>
      <c r="DO48" s="742" t="s">
        <v>678</v>
      </c>
      <c r="DP48" s="993" t="s">
        <v>428</v>
      </c>
      <c r="DQ48" s="742" t="s">
        <v>678</v>
      </c>
      <c r="DR48" s="993" t="s">
        <v>430</v>
      </c>
      <c r="DS48" s="742" t="s">
        <v>484</v>
      </c>
      <c r="DT48" s="993" t="s">
        <v>428</v>
      </c>
      <c r="DU48" s="742" t="s">
        <v>678</v>
      </c>
      <c r="DV48" s="993" t="s">
        <v>430</v>
      </c>
      <c r="DW48" s="742" t="s">
        <v>678</v>
      </c>
      <c r="DX48" s="993" t="s">
        <v>430</v>
      </c>
      <c r="DY48" s="742" t="s">
        <v>678</v>
      </c>
      <c r="DZ48" s="993" t="s">
        <v>430</v>
      </c>
      <c r="EA48" s="742" t="s">
        <v>678</v>
      </c>
      <c r="EB48" s="993" t="s">
        <v>428</v>
      </c>
      <c r="EC48" s="742" t="s">
        <v>678</v>
      </c>
      <c r="ED48" s="993" t="s">
        <v>430</v>
      </c>
      <c r="EE48" s="742" t="s">
        <v>484</v>
      </c>
      <c r="EF48" s="993" t="s">
        <v>430</v>
      </c>
      <c r="EG48" s="742" t="s">
        <v>678</v>
      </c>
      <c r="EH48" s="993" t="s">
        <v>430</v>
      </c>
      <c r="EI48" s="742" t="s">
        <v>484</v>
      </c>
      <c r="EJ48" s="993" t="s">
        <v>428</v>
      </c>
      <c r="EK48" s="742" t="s">
        <v>678</v>
      </c>
      <c r="EL48" s="993" t="s">
        <v>428</v>
      </c>
      <c r="EM48" s="742" t="s">
        <v>678</v>
      </c>
      <c r="EN48" s="993" t="s">
        <v>428</v>
      </c>
      <c r="EO48" s="742" t="s">
        <v>678</v>
      </c>
      <c r="EP48" s="993" t="s">
        <v>430</v>
      </c>
      <c r="EQ48" s="742" t="s">
        <v>484</v>
      </c>
      <c r="ER48" s="993" t="s">
        <v>430</v>
      </c>
      <c r="ES48" s="742" t="s">
        <v>484</v>
      </c>
      <c r="ET48" s="993" t="s">
        <v>428</v>
      </c>
      <c r="EU48" s="742" t="s">
        <v>484</v>
      </c>
      <c r="EV48" s="993" t="s">
        <v>430</v>
      </c>
      <c r="EW48" s="742" t="s">
        <v>484</v>
      </c>
      <c r="EX48" s="993" t="s">
        <v>430</v>
      </c>
      <c r="EY48" s="742" t="s">
        <v>484</v>
      </c>
      <c r="EZ48" s="993" t="s">
        <v>430</v>
      </c>
      <c r="FA48" s="742" t="s">
        <v>484</v>
      </c>
      <c r="FB48" s="993" t="s">
        <v>430</v>
      </c>
      <c r="FC48" s="742" t="s">
        <v>484</v>
      </c>
      <c r="FD48" s="993" t="s">
        <v>430</v>
      </c>
      <c r="FE48" s="742" t="s">
        <v>678</v>
      </c>
      <c r="FF48" s="994" t="s">
        <v>428</v>
      </c>
      <c r="FG48" s="995" t="s">
        <v>678</v>
      </c>
      <c r="FH48" s="996" t="s">
        <v>428</v>
      </c>
      <c r="FI48" s="932"/>
      <c r="FJ48" s="991" t="s">
        <v>676</v>
      </c>
      <c r="FK48" s="738" t="s">
        <v>483</v>
      </c>
      <c r="FL48" s="895"/>
      <c r="FM48" s="825"/>
      <c r="FN48" s="825"/>
      <c r="FO48" s="826"/>
      <c r="FP48" s="747" t="s">
        <v>433</v>
      </c>
      <c r="FQ48" s="673" t="s">
        <v>678</v>
      </c>
      <c r="FR48" s="663" t="s">
        <v>434</v>
      </c>
      <c r="FS48" s="997" t="s">
        <v>450</v>
      </c>
      <c r="FT48" s="673" t="s">
        <v>678</v>
      </c>
      <c r="FU48" s="998" t="s">
        <v>451</v>
      </c>
      <c r="FV48" s="999"/>
      <c r="FW48" s="993" t="s">
        <v>323</v>
      </c>
      <c r="FX48" s="997"/>
      <c r="FY48" s="993" t="s">
        <v>323</v>
      </c>
      <c r="FZ48" s="997"/>
      <c r="GA48" s="993" t="s">
        <v>323</v>
      </c>
      <c r="GB48" s="997"/>
      <c r="GC48" s="993" t="s">
        <v>323</v>
      </c>
      <c r="GD48" s="997"/>
      <c r="GE48" s="1000" t="s">
        <v>324</v>
      </c>
      <c r="GF48" s="688"/>
      <c r="GG48" s="655"/>
      <c r="GH48" s="655"/>
      <c r="GI48" s="655"/>
      <c r="GJ48" s="530"/>
      <c r="GK48" s="615" t="s">
        <v>841</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435</v>
      </c>
      <c r="C49" s="1002"/>
      <c r="D49" s="754">
        <v>66</v>
      </c>
      <c r="E49" s="755">
        <v>2</v>
      </c>
      <c r="F49" s="1003" t="s">
        <v>436</v>
      </c>
      <c r="G49" s="757"/>
      <c r="H49" s="559"/>
      <c r="I49" s="758"/>
      <c r="J49" s="559"/>
      <c r="K49" s="758"/>
      <c r="L49" s="559"/>
      <c r="M49" s="758"/>
      <c r="N49" s="559"/>
      <c r="O49" s="758"/>
      <c r="P49" s="559"/>
      <c r="Q49" s="758"/>
      <c r="R49" s="559"/>
      <c r="S49" s="758"/>
      <c r="T49" s="559"/>
      <c r="U49" s="758"/>
      <c r="V49" s="559"/>
      <c r="W49" s="758">
        <v>1</v>
      </c>
      <c r="X49" s="559">
        <v>132</v>
      </c>
      <c r="Y49" s="758">
        <v>1</v>
      </c>
      <c r="Z49" s="559">
        <v>132</v>
      </c>
      <c r="AA49" s="758">
        <v>1</v>
      </c>
      <c r="AB49" s="559">
        <v>132</v>
      </c>
      <c r="AC49" s="758">
        <v>1</v>
      </c>
      <c r="AD49" s="559">
        <v>132</v>
      </c>
      <c r="AE49" s="758">
        <v>1</v>
      </c>
      <c r="AF49" s="559">
        <v>132</v>
      </c>
      <c r="AG49" s="758">
        <v>1</v>
      </c>
      <c r="AH49" s="559">
        <v>132</v>
      </c>
      <c r="AI49" s="758">
        <v>1</v>
      </c>
      <c r="AJ49" s="559">
        <v>132</v>
      </c>
      <c r="AK49" s="758">
        <v>1</v>
      </c>
      <c r="AL49" s="559">
        <v>132</v>
      </c>
      <c r="AM49" s="758">
        <v>1</v>
      </c>
      <c r="AN49" s="559">
        <v>132</v>
      </c>
      <c r="AO49" s="758">
        <v>1</v>
      </c>
      <c r="AP49" s="559">
        <v>132</v>
      </c>
      <c r="AQ49" s="758"/>
      <c r="AR49" s="559"/>
      <c r="AS49" s="758"/>
      <c r="AT49" s="559"/>
      <c r="AU49" s="758"/>
      <c r="AV49" s="559"/>
      <c r="AW49" s="758"/>
      <c r="AX49" s="559"/>
      <c r="AY49" s="1004"/>
      <c r="AZ49" s="1005"/>
      <c r="BA49" s="1006"/>
      <c r="BB49" s="1007"/>
      <c r="BC49" s="938"/>
      <c r="BD49" s="1001"/>
      <c r="BE49" s="752" t="s">
        <v>437</v>
      </c>
      <c r="BF49" s="1002"/>
      <c r="BG49" s="754"/>
      <c r="BH49" s="755">
        <v>2</v>
      </c>
      <c r="BI49" s="1003" t="s">
        <v>436</v>
      </c>
      <c r="BJ49" s="757"/>
      <c r="BK49" s="559"/>
      <c r="BL49" s="758"/>
      <c r="BM49" s="559"/>
      <c r="BN49" s="758"/>
      <c r="BO49" s="559"/>
      <c r="BP49" s="758"/>
      <c r="BQ49" s="559"/>
      <c r="BR49" s="758"/>
      <c r="BS49" s="559"/>
      <c r="BT49" s="758"/>
      <c r="BU49" s="559"/>
      <c r="BV49" s="758"/>
      <c r="BW49" s="559"/>
      <c r="BX49" s="758"/>
      <c r="BY49" s="559"/>
      <c r="BZ49" s="758">
        <v>1</v>
      </c>
      <c r="CA49" s="559">
        <v>132</v>
      </c>
      <c r="CB49" s="758">
        <v>1</v>
      </c>
      <c r="CC49" s="559">
        <v>132</v>
      </c>
      <c r="CD49" s="758">
        <v>1</v>
      </c>
      <c r="CE49" s="559">
        <v>132</v>
      </c>
      <c r="CF49" s="758">
        <v>1</v>
      </c>
      <c r="CG49" s="559">
        <v>132</v>
      </c>
      <c r="CH49" s="758">
        <v>1</v>
      </c>
      <c r="CI49" s="559">
        <v>132</v>
      </c>
      <c r="CJ49" s="758">
        <v>1</v>
      </c>
      <c r="CK49" s="559">
        <v>132</v>
      </c>
      <c r="CL49" s="758">
        <v>1</v>
      </c>
      <c r="CM49" s="559">
        <v>132</v>
      </c>
      <c r="CN49" s="758">
        <v>1</v>
      </c>
      <c r="CO49" s="559">
        <v>132</v>
      </c>
      <c r="CP49" s="758">
        <v>1</v>
      </c>
      <c r="CQ49" s="559">
        <v>132</v>
      </c>
      <c r="CR49" s="758">
        <v>1</v>
      </c>
      <c r="CS49" s="559">
        <v>132</v>
      </c>
      <c r="CT49" s="758"/>
      <c r="CU49" s="559"/>
      <c r="CV49" s="758"/>
      <c r="CW49" s="559"/>
      <c r="CX49" s="758"/>
      <c r="CY49" s="559"/>
      <c r="CZ49" s="758"/>
      <c r="DA49" s="559"/>
      <c r="DB49" s="1004"/>
      <c r="DC49" s="1005"/>
      <c r="DD49" s="1006"/>
      <c r="DE49" s="1007"/>
      <c r="DF49" s="938"/>
      <c r="DG49" s="1001"/>
      <c r="DH49" s="752" t="s">
        <v>437</v>
      </c>
      <c r="DI49" s="1002"/>
      <c r="DJ49" s="754"/>
      <c r="DK49" s="755">
        <v>2</v>
      </c>
      <c r="DL49" s="1003" t="s">
        <v>436</v>
      </c>
      <c r="DM49" s="757"/>
      <c r="DN49" s="559"/>
      <c r="DO49" s="758"/>
      <c r="DP49" s="559"/>
      <c r="DQ49" s="758"/>
      <c r="DR49" s="559"/>
      <c r="DS49" s="758"/>
      <c r="DT49" s="559"/>
      <c r="DU49" s="758"/>
      <c r="DV49" s="559"/>
      <c r="DW49" s="758"/>
      <c r="DX49" s="559"/>
      <c r="DY49" s="758"/>
      <c r="DZ49" s="559"/>
      <c r="EA49" s="758"/>
      <c r="EB49" s="559"/>
      <c r="EC49" s="758">
        <v>1</v>
      </c>
      <c r="ED49" s="559">
        <v>132</v>
      </c>
      <c r="EE49" s="758">
        <v>1</v>
      </c>
      <c r="EF49" s="559">
        <v>132</v>
      </c>
      <c r="EG49" s="758">
        <v>1</v>
      </c>
      <c r="EH49" s="559">
        <v>132</v>
      </c>
      <c r="EI49" s="758">
        <v>1</v>
      </c>
      <c r="EJ49" s="559">
        <v>132</v>
      </c>
      <c r="EK49" s="758">
        <v>1</v>
      </c>
      <c r="EL49" s="559">
        <v>132</v>
      </c>
      <c r="EM49" s="758">
        <v>1</v>
      </c>
      <c r="EN49" s="559">
        <v>132</v>
      </c>
      <c r="EO49" s="758">
        <v>1</v>
      </c>
      <c r="EP49" s="559">
        <v>132</v>
      </c>
      <c r="EQ49" s="758">
        <v>1</v>
      </c>
      <c r="ER49" s="559">
        <v>132</v>
      </c>
      <c r="ES49" s="758">
        <v>1</v>
      </c>
      <c r="ET49" s="559">
        <v>132</v>
      </c>
      <c r="EU49" s="758">
        <v>1</v>
      </c>
      <c r="EV49" s="559">
        <v>132</v>
      </c>
      <c r="EW49" s="758"/>
      <c r="EX49" s="559"/>
      <c r="EY49" s="758"/>
      <c r="EZ49" s="559"/>
      <c r="FA49" s="758"/>
      <c r="FB49" s="559"/>
      <c r="FC49" s="758"/>
      <c r="FD49" s="559"/>
      <c r="FE49" s="1004"/>
      <c r="FF49" s="1005"/>
      <c r="FG49" s="1006"/>
      <c r="FH49" s="1007"/>
      <c r="FI49" s="938"/>
      <c r="FJ49" s="1001"/>
      <c r="FK49" s="752" t="s">
        <v>437</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842</v>
      </c>
      <c r="GL49" s="580"/>
      <c r="GM49" s="413"/>
      <c r="GN49" s="580"/>
      <c r="GO49" s="413"/>
      <c r="GP49" s="413"/>
      <c r="GQ49" s="413"/>
      <c r="GR49" s="580"/>
      <c r="GS49" s="530"/>
      <c r="GT49" s="861"/>
      <c r="GU49" s="530" t="s">
        <v>784</v>
      </c>
      <c r="GV49" s="615"/>
      <c r="GW49" s="530"/>
      <c r="GX49" s="615"/>
      <c r="GY49" s="530"/>
      <c r="GZ49" s="391"/>
      <c r="HA49" s="580"/>
      <c r="HB49" s="391"/>
      <c r="HC49" s="1017"/>
      <c r="HD49" s="415"/>
    </row>
    <row r="50" spans="1:212" ht="20.100000000000001" customHeight="1">
      <c r="A50" s="1001"/>
      <c r="B50" s="764" t="s">
        <v>449</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446</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446</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449</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843</v>
      </c>
      <c r="GL50" s="580"/>
      <c r="GM50" s="413"/>
      <c r="GN50" s="580"/>
      <c r="GO50" s="413"/>
      <c r="GP50" s="413"/>
      <c r="GQ50" s="413"/>
      <c r="GR50" s="580"/>
      <c r="GS50" s="953"/>
      <c r="GT50" s="937"/>
      <c r="GU50" s="580" t="s">
        <v>844</v>
      </c>
      <c r="GV50" s="580"/>
      <c r="GW50" s="580"/>
      <c r="GX50" s="580"/>
      <c r="GY50" s="615"/>
      <c r="GZ50" s="579"/>
      <c r="HA50" s="615">
        <v>18.8</v>
      </c>
      <c r="HB50" s="579" t="s">
        <v>705</v>
      </c>
      <c r="HC50" s="1038"/>
      <c r="HD50" s="415"/>
    </row>
    <row r="51" spans="1:212" ht="20.100000000000001" customHeight="1" thickBot="1">
      <c r="A51" s="1039"/>
      <c r="B51" s="466" t="s">
        <v>506</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506</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506</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679</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450</v>
      </c>
      <c r="GM51" s="1047" t="s">
        <v>590</v>
      </c>
      <c r="GN51" s="1048" t="s">
        <v>343</v>
      </c>
      <c r="GO51" s="1049" t="s">
        <v>726</v>
      </c>
      <c r="GP51" s="1049" t="s">
        <v>837</v>
      </c>
      <c r="GQ51" s="1050" t="s">
        <v>789</v>
      </c>
      <c r="GR51" s="733"/>
      <c r="GS51" s="953"/>
      <c r="GT51" s="763"/>
      <c r="GU51" s="580" t="s">
        <v>845</v>
      </c>
      <c r="GV51" s="580"/>
      <c r="GW51" s="580"/>
      <c r="GX51" s="580"/>
      <c r="GY51" s="413"/>
      <c r="GZ51" s="1051"/>
      <c r="HA51" s="615">
        <v>18.8</v>
      </c>
      <c r="HB51" s="579" t="s">
        <v>319</v>
      </c>
      <c r="HC51" s="1052"/>
      <c r="HD51" s="415"/>
    </row>
    <row r="52" spans="1:212" ht="20.100000000000001" customHeight="1" thickBot="1">
      <c r="A52" s="1053" t="s">
        <v>680</v>
      </c>
      <c r="B52" s="1054"/>
      <c r="C52" s="1055"/>
      <c r="D52" s="1055"/>
      <c r="E52" s="1056"/>
      <c r="F52" s="1055"/>
      <c r="G52" s="1057"/>
      <c r="H52" s="1058">
        <v>0</v>
      </c>
      <c r="I52" s="1059"/>
      <c r="J52" s="1058">
        <v>0</v>
      </c>
      <c r="K52" s="1059"/>
      <c r="L52" s="1058">
        <v>0</v>
      </c>
      <c r="M52" s="1059"/>
      <c r="N52" s="1058">
        <v>0</v>
      </c>
      <c r="O52" s="1059"/>
      <c r="P52" s="1058">
        <v>0</v>
      </c>
      <c r="Q52" s="1059"/>
      <c r="R52" s="1058">
        <v>0</v>
      </c>
      <c r="S52" s="1059"/>
      <c r="T52" s="1058">
        <v>0</v>
      </c>
      <c r="U52" s="1059"/>
      <c r="V52" s="1058">
        <v>0</v>
      </c>
      <c r="W52" s="1059"/>
      <c r="X52" s="1058">
        <v>132</v>
      </c>
      <c r="Y52" s="1059"/>
      <c r="Z52" s="1058">
        <v>132</v>
      </c>
      <c r="AA52" s="1059"/>
      <c r="AB52" s="1058">
        <v>132</v>
      </c>
      <c r="AC52" s="1059"/>
      <c r="AD52" s="1058">
        <v>132</v>
      </c>
      <c r="AE52" s="1059"/>
      <c r="AF52" s="1058">
        <v>132</v>
      </c>
      <c r="AG52" s="1059"/>
      <c r="AH52" s="1058">
        <v>132</v>
      </c>
      <c r="AI52" s="1059"/>
      <c r="AJ52" s="1058">
        <v>132</v>
      </c>
      <c r="AK52" s="1059"/>
      <c r="AL52" s="1058">
        <v>132</v>
      </c>
      <c r="AM52" s="1059"/>
      <c r="AN52" s="1058">
        <v>132</v>
      </c>
      <c r="AO52" s="1059"/>
      <c r="AP52" s="1058">
        <v>132</v>
      </c>
      <c r="AQ52" s="1059"/>
      <c r="AR52" s="1058">
        <v>0</v>
      </c>
      <c r="AS52" s="1059"/>
      <c r="AT52" s="1058">
        <v>0</v>
      </c>
      <c r="AU52" s="1059"/>
      <c r="AV52" s="1058">
        <v>0</v>
      </c>
      <c r="AW52" s="1059"/>
      <c r="AX52" s="1058">
        <v>0</v>
      </c>
      <c r="AY52" s="1060"/>
      <c r="AZ52" s="1061">
        <v>0</v>
      </c>
      <c r="BA52" s="1062"/>
      <c r="BB52" s="1063">
        <v>0</v>
      </c>
      <c r="BC52" s="981"/>
      <c r="BD52" s="1053" t="s">
        <v>508</v>
      </c>
      <c r="BE52" s="1054"/>
      <c r="BF52" s="1055"/>
      <c r="BG52" s="1055"/>
      <c r="BH52" s="1056"/>
      <c r="BI52" s="1055"/>
      <c r="BJ52" s="1057"/>
      <c r="BK52" s="1058">
        <v>0</v>
      </c>
      <c r="BL52" s="1059"/>
      <c r="BM52" s="1058">
        <v>0</v>
      </c>
      <c r="BN52" s="1059"/>
      <c r="BO52" s="1058">
        <v>0</v>
      </c>
      <c r="BP52" s="1059"/>
      <c r="BQ52" s="1058">
        <v>0</v>
      </c>
      <c r="BR52" s="1059"/>
      <c r="BS52" s="1058">
        <v>0</v>
      </c>
      <c r="BT52" s="1059"/>
      <c r="BU52" s="1058">
        <v>0</v>
      </c>
      <c r="BV52" s="1059"/>
      <c r="BW52" s="1058">
        <v>0</v>
      </c>
      <c r="BX52" s="1059"/>
      <c r="BY52" s="1058">
        <v>0</v>
      </c>
      <c r="BZ52" s="1059"/>
      <c r="CA52" s="1058">
        <v>132</v>
      </c>
      <c r="CB52" s="1059"/>
      <c r="CC52" s="1058">
        <v>132</v>
      </c>
      <c r="CD52" s="1059"/>
      <c r="CE52" s="1058">
        <v>132</v>
      </c>
      <c r="CF52" s="1059"/>
      <c r="CG52" s="1058">
        <v>132</v>
      </c>
      <c r="CH52" s="1059"/>
      <c r="CI52" s="1058">
        <v>132</v>
      </c>
      <c r="CJ52" s="1059"/>
      <c r="CK52" s="1058">
        <v>132</v>
      </c>
      <c r="CL52" s="1059"/>
      <c r="CM52" s="1058">
        <v>132</v>
      </c>
      <c r="CN52" s="1059"/>
      <c r="CO52" s="1058">
        <v>132</v>
      </c>
      <c r="CP52" s="1059"/>
      <c r="CQ52" s="1058">
        <v>132</v>
      </c>
      <c r="CR52" s="1059"/>
      <c r="CS52" s="1058">
        <v>132</v>
      </c>
      <c r="CT52" s="1059"/>
      <c r="CU52" s="1058">
        <v>0</v>
      </c>
      <c r="CV52" s="1059"/>
      <c r="CW52" s="1058">
        <v>0</v>
      </c>
      <c r="CX52" s="1059"/>
      <c r="CY52" s="1058">
        <v>0</v>
      </c>
      <c r="CZ52" s="1059"/>
      <c r="DA52" s="1058">
        <v>0</v>
      </c>
      <c r="DB52" s="1060"/>
      <c r="DC52" s="1061">
        <v>0</v>
      </c>
      <c r="DD52" s="1062"/>
      <c r="DE52" s="1063">
        <v>0</v>
      </c>
      <c r="DF52" s="981"/>
      <c r="DG52" s="1053" t="s">
        <v>508</v>
      </c>
      <c r="DH52" s="1054"/>
      <c r="DI52" s="1055"/>
      <c r="DJ52" s="1055"/>
      <c r="DK52" s="1056"/>
      <c r="DL52" s="1055"/>
      <c r="DM52" s="1057"/>
      <c r="DN52" s="1058">
        <v>0</v>
      </c>
      <c r="DO52" s="1059"/>
      <c r="DP52" s="1058">
        <v>0</v>
      </c>
      <c r="DQ52" s="1059"/>
      <c r="DR52" s="1058">
        <v>0</v>
      </c>
      <c r="DS52" s="1059"/>
      <c r="DT52" s="1058">
        <v>0</v>
      </c>
      <c r="DU52" s="1059"/>
      <c r="DV52" s="1058">
        <v>0</v>
      </c>
      <c r="DW52" s="1059"/>
      <c r="DX52" s="1058">
        <v>0</v>
      </c>
      <c r="DY52" s="1059"/>
      <c r="DZ52" s="1058">
        <v>0</v>
      </c>
      <c r="EA52" s="1059"/>
      <c r="EB52" s="1058">
        <v>0</v>
      </c>
      <c r="EC52" s="1059"/>
      <c r="ED52" s="1058">
        <v>132</v>
      </c>
      <c r="EE52" s="1059"/>
      <c r="EF52" s="1058">
        <v>132</v>
      </c>
      <c r="EG52" s="1059"/>
      <c r="EH52" s="1058">
        <v>132</v>
      </c>
      <c r="EI52" s="1059"/>
      <c r="EJ52" s="1058">
        <v>132</v>
      </c>
      <c r="EK52" s="1059"/>
      <c r="EL52" s="1058">
        <v>132</v>
      </c>
      <c r="EM52" s="1059"/>
      <c r="EN52" s="1058">
        <v>132</v>
      </c>
      <c r="EO52" s="1059"/>
      <c r="EP52" s="1058">
        <v>132</v>
      </c>
      <c r="EQ52" s="1059"/>
      <c r="ER52" s="1058">
        <v>132</v>
      </c>
      <c r="ES52" s="1059"/>
      <c r="ET52" s="1058">
        <v>132</v>
      </c>
      <c r="EU52" s="1059"/>
      <c r="EV52" s="1058">
        <v>132</v>
      </c>
      <c r="EW52" s="1059"/>
      <c r="EX52" s="1058">
        <v>0</v>
      </c>
      <c r="EY52" s="1059"/>
      <c r="EZ52" s="1058">
        <v>0</v>
      </c>
      <c r="FA52" s="1059"/>
      <c r="FB52" s="1058">
        <v>0</v>
      </c>
      <c r="FC52" s="1059"/>
      <c r="FD52" s="1058">
        <v>0</v>
      </c>
      <c r="FE52" s="1060"/>
      <c r="FF52" s="1061">
        <v>0</v>
      </c>
      <c r="FG52" s="1062"/>
      <c r="FH52" s="1063">
        <v>0</v>
      </c>
      <c r="FI52" s="981"/>
      <c r="FJ52" s="1053" t="s">
        <v>508</v>
      </c>
      <c r="FK52" s="1054"/>
      <c r="FL52" s="1055"/>
      <c r="FM52" s="1055"/>
      <c r="FN52" s="1056"/>
      <c r="FO52" s="1055"/>
      <c r="FP52" s="1064"/>
      <c r="FQ52" s="1065"/>
      <c r="FR52" s="1058">
        <v>0</v>
      </c>
      <c r="FS52" s="1066"/>
      <c r="FT52" s="1065"/>
      <c r="FU52" s="1067">
        <v>0</v>
      </c>
      <c r="FV52" s="1068">
        <v>13</v>
      </c>
      <c r="FW52" s="1069">
        <v>132</v>
      </c>
      <c r="FX52" s="1070">
        <v>13</v>
      </c>
      <c r="FY52" s="1069">
        <v>132</v>
      </c>
      <c r="FZ52" s="1070">
        <v>13</v>
      </c>
      <c r="GA52" s="1069">
        <v>132</v>
      </c>
      <c r="GB52" s="1071" t="s">
        <v>366</v>
      </c>
      <c r="GC52" s="1072">
        <v>132</v>
      </c>
      <c r="GD52" s="1071" t="s">
        <v>815</v>
      </c>
      <c r="GE52" s="1073">
        <v>0</v>
      </c>
      <c r="GF52" s="688"/>
      <c r="GG52" s="990"/>
      <c r="GH52" s="990"/>
      <c r="GI52" s="990"/>
      <c r="GJ52" s="936"/>
      <c r="GK52" s="733"/>
      <c r="GL52" s="1074"/>
      <c r="GM52" s="1075"/>
      <c r="GN52" s="1075"/>
      <c r="GO52" s="1076"/>
      <c r="GP52" s="1076"/>
      <c r="GQ52" s="1077"/>
      <c r="GR52" s="953"/>
      <c r="GS52" s="893"/>
      <c r="GT52" s="861"/>
      <c r="GU52" s="530" t="s">
        <v>790</v>
      </c>
      <c r="GV52" s="733"/>
      <c r="GW52" s="936"/>
      <c r="GX52" s="733"/>
      <c r="GY52" s="413"/>
      <c r="GZ52" s="1078"/>
      <c r="HA52" s="953"/>
      <c r="HB52" s="1078"/>
      <c r="HC52" s="562"/>
      <c r="HD52" s="415"/>
    </row>
    <row r="53" spans="1:212" ht="20.100000000000001" customHeight="1" thickTop="1">
      <c r="A53" s="1079" t="s">
        <v>344</v>
      </c>
      <c r="B53" s="1080"/>
      <c r="C53" s="1081"/>
      <c r="D53" s="1081"/>
      <c r="E53" s="1082"/>
      <c r="F53" s="1083"/>
      <c r="G53" s="1084"/>
      <c r="H53" s="1085">
        <v>0</v>
      </c>
      <c r="I53" s="1086"/>
      <c r="J53" s="1085">
        <v>0</v>
      </c>
      <c r="K53" s="1086"/>
      <c r="L53" s="1085">
        <v>0</v>
      </c>
      <c r="M53" s="1086"/>
      <c r="N53" s="1085">
        <v>0</v>
      </c>
      <c r="O53" s="1086"/>
      <c r="P53" s="1085">
        <v>0</v>
      </c>
      <c r="Q53" s="1086"/>
      <c r="R53" s="1085">
        <v>0</v>
      </c>
      <c r="S53" s="1086"/>
      <c r="T53" s="1085">
        <v>0</v>
      </c>
      <c r="U53" s="1086"/>
      <c r="V53" s="1085">
        <v>0</v>
      </c>
      <c r="W53" s="1086"/>
      <c r="X53" s="1085">
        <v>3197</v>
      </c>
      <c r="Y53" s="1086"/>
      <c r="Z53" s="1085">
        <v>3015</v>
      </c>
      <c r="AA53" s="1086"/>
      <c r="AB53" s="1085">
        <v>3131</v>
      </c>
      <c r="AC53" s="1086"/>
      <c r="AD53" s="1085">
        <v>3207</v>
      </c>
      <c r="AE53" s="1086"/>
      <c r="AF53" s="1085">
        <v>3239</v>
      </c>
      <c r="AG53" s="1086"/>
      <c r="AH53" s="1085">
        <v>3236</v>
      </c>
      <c r="AI53" s="1086"/>
      <c r="AJ53" s="1085">
        <v>3155</v>
      </c>
      <c r="AK53" s="1086"/>
      <c r="AL53" s="1085">
        <v>3068</v>
      </c>
      <c r="AM53" s="1086"/>
      <c r="AN53" s="1085">
        <v>2903</v>
      </c>
      <c r="AO53" s="1086"/>
      <c r="AP53" s="1085">
        <v>2765</v>
      </c>
      <c r="AQ53" s="1086"/>
      <c r="AR53" s="1085">
        <v>0</v>
      </c>
      <c r="AS53" s="1086"/>
      <c r="AT53" s="1085">
        <v>0</v>
      </c>
      <c r="AU53" s="1086"/>
      <c r="AV53" s="1085">
        <v>0</v>
      </c>
      <c r="AW53" s="1086"/>
      <c r="AX53" s="1085">
        <v>0</v>
      </c>
      <c r="AY53" s="1087"/>
      <c r="AZ53" s="1088">
        <v>0</v>
      </c>
      <c r="BA53" s="1089"/>
      <c r="BB53" s="1090">
        <v>0</v>
      </c>
      <c r="BC53" s="981"/>
      <c r="BD53" s="1079" t="s">
        <v>344</v>
      </c>
      <c r="BE53" s="1080"/>
      <c r="BF53" s="1081"/>
      <c r="BG53" s="1081"/>
      <c r="BH53" s="1082"/>
      <c r="BI53" s="1083"/>
      <c r="BJ53" s="1084"/>
      <c r="BK53" s="1085">
        <v>0</v>
      </c>
      <c r="BL53" s="1086"/>
      <c r="BM53" s="1085">
        <v>0</v>
      </c>
      <c r="BN53" s="1086"/>
      <c r="BO53" s="1085">
        <v>0</v>
      </c>
      <c r="BP53" s="1086"/>
      <c r="BQ53" s="1085">
        <v>0</v>
      </c>
      <c r="BR53" s="1086"/>
      <c r="BS53" s="1085">
        <v>0</v>
      </c>
      <c r="BT53" s="1086"/>
      <c r="BU53" s="1085">
        <v>0</v>
      </c>
      <c r="BV53" s="1086"/>
      <c r="BW53" s="1085">
        <v>0</v>
      </c>
      <c r="BX53" s="1086"/>
      <c r="BY53" s="1085">
        <v>0</v>
      </c>
      <c r="BZ53" s="1086"/>
      <c r="CA53" s="1085">
        <v>3220</v>
      </c>
      <c r="CB53" s="1086"/>
      <c r="CC53" s="1085">
        <v>2996</v>
      </c>
      <c r="CD53" s="1086"/>
      <c r="CE53" s="1085">
        <v>3111</v>
      </c>
      <c r="CF53" s="1086"/>
      <c r="CG53" s="1085">
        <v>3158</v>
      </c>
      <c r="CH53" s="1086"/>
      <c r="CI53" s="1085">
        <v>3181</v>
      </c>
      <c r="CJ53" s="1086"/>
      <c r="CK53" s="1085">
        <v>3142</v>
      </c>
      <c r="CL53" s="1086"/>
      <c r="CM53" s="1085">
        <v>3063</v>
      </c>
      <c r="CN53" s="1086"/>
      <c r="CO53" s="1085">
        <v>2986</v>
      </c>
      <c r="CP53" s="1086"/>
      <c r="CQ53" s="1085">
        <v>2881</v>
      </c>
      <c r="CR53" s="1086"/>
      <c r="CS53" s="1085">
        <v>2726</v>
      </c>
      <c r="CT53" s="1086"/>
      <c r="CU53" s="1085">
        <v>0</v>
      </c>
      <c r="CV53" s="1086"/>
      <c r="CW53" s="1085">
        <v>0</v>
      </c>
      <c r="CX53" s="1086"/>
      <c r="CY53" s="1085">
        <v>0</v>
      </c>
      <c r="CZ53" s="1086"/>
      <c r="DA53" s="1085">
        <v>0</v>
      </c>
      <c r="DB53" s="1087"/>
      <c r="DC53" s="1088">
        <v>0</v>
      </c>
      <c r="DD53" s="1089"/>
      <c r="DE53" s="1090">
        <v>0</v>
      </c>
      <c r="DF53" s="981"/>
      <c r="DG53" s="1079" t="s">
        <v>344</v>
      </c>
      <c r="DH53" s="1080"/>
      <c r="DI53" s="1081"/>
      <c r="DJ53" s="1081"/>
      <c r="DK53" s="1082"/>
      <c r="DL53" s="1083"/>
      <c r="DM53" s="1084"/>
      <c r="DN53" s="1085">
        <v>0</v>
      </c>
      <c r="DO53" s="1086"/>
      <c r="DP53" s="1085">
        <v>0</v>
      </c>
      <c r="DQ53" s="1086"/>
      <c r="DR53" s="1085">
        <v>0</v>
      </c>
      <c r="DS53" s="1086"/>
      <c r="DT53" s="1085">
        <v>0</v>
      </c>
      <c r="DU53" s="1086"/>
      <c r="DV53" s="1085">
        <v>0</v>
      </c>
      <c r="DW53" s="1086"/>
      <c r="DX53" s="1085">
        <v>0</v>
      </c>
      <c r="DY53" s="1086"/>
      <c r="DZ53" s="1085">
        <v>0</v>
      </c>
      <c r="EA53" s="1086"/>
      <c r="EB53" s="1085">
        <v>0</v>
      </c>
      <c r="EC53" s="1086"/>
      <c r="ED53" s="1085">
        <v>2739</v>
      </c>
      <c r="EE53" s="1086"/>
      <c r="EF53" s="1085">
        <v>2570</v>
      </c>
      <c r="EG53" s="1086"/>
      <c r="EH53" s="1085">
        <v>2703</v>
      </c>
      <c r="EI53" s="1086"/>
      <c r="EJ53" s="1085">
        <v>2810</v>
      </c>
      <c r="EK53" s="1086"/>
      <c r="EL53" s="1085">
        <v>2844</v>
      </c>
      <c r="EM53" s="1086"/>
      <c r="EN53" s="1085">
        <v>2803</v>
      </c>
      <c r="EO53" s="1086"/>
      <c r="EP53" s="1085">
        <v>2738</v>
      </c>
      <c r="EQ53" s="1086"/>
      <c r="ER53" s="1085">
        <v>2667</v>
      </c>
      <c r="ES53" s="1086"/>
      <c r="ET53" s="1085">
        <v>2490</v>
      </c>
      <c r="EU53" s="1086"/>
      <c r="EV53" s="1085">
        <v>2315</v>
      </c>
      <c r="EW53" s="1086"/>
      <c r="EX53" s="1085">
        <v>0</v>
      </c>
      <c r="EY53" s="1086"/>
      <c r="EZ53" s="1085">
        <v>0</v>
      </c>
      <c r="FA53" s="1086"/>
      <c r="FB53" s="1085">
        <v>0</v>
      </c>
      <c r="FC53" s="1086"/>
      <c r="FD53" s="1085">
        <v>0</v>
      </c>
      <c r="FE53" s="1087"/>
      <c r="FF53" s="1088">
        <v>0</v>
      </c>
      <c r="FG53" s="1089"/>
      <c r="FH53" s="1090">
        <v>0</v>
      </c>
      <c r="FI53" s="981"/>
      <c r="FJ53" s="1079" t="s">
        <v>344</v>
      </c>
      <c r="FK53" s="1080"/>
      <c r="FL53" s="1081"/>
      <c r="FM53" s="1081"/>
      <c r="FN53" s="1082"/>
      <c r="FO53" s="1083"/>
      <c r="FP53" s="1091"/>
      <c r="FQ53" s="1092"/>
      <c r="FR53" s="1085">
        <v>5855</v>
      </c>
      <c r="FS53" s="1093"/>
      <c r="FT53" s="1092"/>
      <c r="FU53" s="1094">
        <v>5931</v>
      </c>
      <c r="FV53" s="1095">
        <v>13</v>
      </c>
      <c r="FW53" s="1096">
        <v>3239</v>
      </c>
      <c r="FX53" s="1097">
        <v>13</v>
      </c>
      <c r="FY53" s="1096">
        <v>3181</v>
      </c>
      <c r="FZ53" s="1097">
        <v>13</v>
      </c>
      <c r="GA53" s="1096">
        <v>2844</v>
      </c>
      <c r="GB53" s="1098" t="s">
        <v>366</v>
      </c>
      <c r="GC53" s="1096">
        <v>3239</v>
      </c>
      <c r="GD53" s="1098" t="s">
        <v>815</v>
      </c>
      <c r="GE53" s="1099">
        <v>5931</v>
      </c>
      <c r="GF53" s="688"/>
      <c r="GG53" s="990"/>
      <c r="GH53" s="990"/>
      <c r="GI53" s="990"/>
      <c r="GJ53" s="953"/>
      <c r="GK53" s="413"/>
      <c r="GL53" s="1100">
        <v>10</v>
      </c>
      <c r="GM53" s="1101">
        <v>1</v>
      </c>
      <c r="GN53" s="1102">
        <v>0.92</v>
      </c>
      <c r="GO53" s="1103">
        <v>4.2</v>
      </c>
      <c r="GP53" s="1103">
        <v>7</v>
      </c>
      <c r="GQ53" s="1104">
        <v>11.2</v>
      </c>
      <c r="GR53" s="580"/>
      <c r="GS53" s="483"/>
      <c r="GT53" s="861"/>
      <c r="GU53" s="580" t="s">
        <v>846</v>
      </c>
      <c r="GV53" s="580"/>
      <c r="GW53" s="580"/>
      <c r="GX53" s="580"/>
      <c r="GY53" s="413"/>
      <c r="GZ53" s="409"/>
      <c r="HA53" s="615">
        <v>25</v>
      </c>
      <c r="HB53" s="579" t="s">
        <v>319</v>
      </c>
      <c r="HC53" s="799"/>
      <c r="HD53" s="415"/>
    </row>
    <row r="54" spans="1:212" ht="20.100000000000001" customHeight="1">
      <c r="A54" s="1105" t="s">
        <v>682</v>
      </c>
      <c r="B54" s="1106"/>
      <c r="C54" s="1107"/>
      <c r="D54" s="1108"/>
      <c r="E54" s="1109"/>
      <c r="F54" s="1110"/>
      <c r="G54" s="1111"/>
      <c r="H54" s="1112">
        <v>0</v>
      </c>
      <c r="I54" s="1113"/>
      <c r="J54" s="1112">
        <v>0</v>
      </c>
      <c r="K54" s="1113"/>
      <c r="L54" s="1112">
        <v>0</v>
      </c>
      <c r="M54" s="1113"/>
      <c r="N54" s="1112">
        <v>0</v>
      </c>
      <c r="O54" s="1113"/>
      <c r="P54" s="1112">
        <v>0</v>
      </c>
      <c r="Q54" s="1113"/>
      <c r="R54" s="1112">
        <v>0</v>
      </c>
      <c r="S54" s="1113"/>
      <c r="T54" s="1112">
        <v>0</v>
      </c>
      <c r="U54" s="1113"/>
      <c r="V54" s="1112">
        <v>0</v>
      </c>
      <c r="W54" s="1113"/>
      <c r="X54" s="1112">
        <v>51.5</v>
      </c>
      <c r="Y54" s="1113"/>
      <c r="Z54" s="1112">
        <v>48.6</v>
      </c>
      <c r="AA54" s="1113"/>
      <c r="AB54" s="1112">
        <v>50.4</v>
      </c>
      <c r="AC54" s="1113"/>
      <c r="AD54" s="1112">
        <v>51.7</v>
      </c>
      <c r="AE54" s="1113"/>
      <c r="AF54" s="1112">
        <v>52.2</v>
      </c>
      <c r="AG54" s="1113"/>
      <c r="AH54" s="1112">
        <v>52.1</v>
      </c>
      <c r="AI54" s="1113"/>
      <c r="AJ54" s="1112">
        <v>50.8</v>
      </c>
      <c r="AK54" s="1113"/>
      <c r="AL54" s="1112">
        <v>49.4</v>
      </c>
      <c r="AM54" s="1113"/>
      <c r="AN54" s="1112">
        <v>46.8</v>
      </c>
      <c r="AO54" s="1113"/>
      <c r="AP54" s="1112">
        <v>44.5</v>
      </c>
      <c r="AQ54" s="1113"/>
      <c r="AR54" s="1112">
        <v>0</v>
      </c>
      <c r="AS54" s="1113"/>
      <c r="AT54" s="1112">
        <v>0</v>
      </c>
      <c r="AU54" s="1113"/>
      <c r="AV54" s="1112">
        <v>0</v>
      </c>
      <c r="AW54" s="1113"/>
      <c r="AX54" s="1112">
        <v>0</v>
      </c>
      <c r="AY54" s="1113"/>
      <c r="AZ54" s="1112">
        <v>0</v>
      </c>
      <c r="BA54" s="1113"/>
      <c r="BB54" s="1114">
        <v>0</v>
      </c>
      <c r="BC54" s="1017"/>
      <c r="BD54" s="1105" t="s">
        <v>682</v>
      </c>
      <c r="BE54" s="1106"/>
      <c r="BF54" s="1107"/>
      <c r="BG54" s="1108"/>
      <c r="BH54" s="1109"/>
      <c r="BI54" s="1110"/>
      <c r="BJ54" s="1111"/>
      <c r="BK54" s="1112">
        <v>0</v>
      </c>
      <c r="BL54" s="1113"/>
      <c r="BM54" s="1112">
        <v>0</v>
      </c>
      <c r="BN54" s="1113"/>
      <c r="BO54" s="1112">
        <v>0</v>
      </c>
      <c r="BP54" s="1113"/>
      <c r="BQ54" s="1112">
        <v>0</v>
      </c>
      <c r="BR54" s="1113"/>
      <c r="BS54" s="1112">
        <v>0</v>
      </c>
      <c r="BT54" s="1113"/>
      <c r="BU54" s="1112">
        <v>0</v>
      </c>
      <c r="BV54" s="1113"/>
      <c r="BW54" s="1112">
        <v>0</v>
      </c>
      <c r="BX54" s="1113"/>
      <c r="BY54" s="1112">
        <v>0</v>
      </c>
      <c r="BZ54" s="1113"/>
      <c r="CA54" s="1112">
        <v>51.9</v>
      </c>
      <c r="CB54" s="1113"/>
      <c r="CC54" s="1112">
        <v>48.3</v>
      </c>
      <c r="CD54" s="1113"/>
      <c r="CE54" s="1112">
        <v>50.1</v>
      </c>
      <c r="CF54" s="1113"/>
      <c r="CG54" s="1112">
        <v>50.9</v>
      </c>
      <c r="CH54" s="1113"/>
      <c r="CI54" s="1112">
        <v>51.2</v>
      </c>
      <c r="CJ54" s="1113"/>
      <c r="CK54" s="1112">
        <v>50.6</v>
      </c>
      <c r="CL54" s="1113"/>
      <c r="CM54" s="1112">
        <v>49.3</v>
      </c>
      <c r="CN54" s="1113"/>
      <c r="CO54" s="1112">
        <v>48.1</v>
      </c>
      <c r="CP54" s="1113"/>
      <c r="CQ54" s="1112">
        <v>46.4</v>
      </c>
      <c r="CR54" s="1113"/>
      <c r="CS54" s="1112">
        <v>43.9</v>
      </c>
      <c r="CT54" s="1113"/>
      <c r="CU54" s="1112">
        <v>0</v>
      </c>
      <c r="CV54" s="1113"/>
      <c r="CW54" s="1112">
        <v>0</v>
      </c>
      <c r="CX54" s="1113"/>
      <c r="CY54" s="1112">
        <v>0</v>
      </c>
      <c r="CZ54" s="1113"/>
      <c r="DA54" s="1112">
        <v>0</v>
      </c>
      <c r="DB54" s="1113"/>
      <c r="DC54" s="1112">
        <v>0</v>
      </c>
      <c r="DD54" s="1113"/>
      <c r="DE54" s="1114">
        <v>0</v>
      </c>
      <c r="DF54" s="1017"/>
      <c r="DG54" s="1105" t="s">
        <v>345</v>
      </c>
      <c r="DH54" s="1106"/>
      <c r="DI54" s="1107"/>
      <c r="DJ54" s="1108"/>
      <c r="DK54" s="1109"/>
      <c r="DL54" s="1110"/>
      <c r="DM54" s="1111"/>
      <c r="DN54" s="1112">
        <v>0</v>
      </c>
      <c r="DO54" s="1113"/>
      <c r="DP54" s="1112">
        <v>0</v>
      </c>
      <c r="DQ54" s="1113"/>
      <c r="DR54" s="1112">
        <v>0</v>
      </c>
      <c r="DS54" s="1113"/>
      <c r="DT54" s="1112">
        <v>0</v>
      </c>
      <c r="DU54" s="1113"/>
      <c r="DV54" s="1112">
        <v>0</v>
      </c>
      <c r="DW54" s="1113"/>
      <c r="DX54" s="1112">
        <v>0</v>
      </c>
      <c r="DY54" s="1113"/>
      <c r="DZ54" s="1112">
        <v>0</v>
      </c>
      <c r="EA54" s="1113"/>
      <c r="EB54" s="1112">
        <v>0</v>
      </c>
      <c r="EC54" s="1113"/>
      <c r="ED54" s="1112">
        <v>44.1</v>
      </c>
      <c r="EE54" s="1113"/>
      <c r="EF54" s="1112">
        <v>41.4</v>
      </c>
      <c r="EG54" s="1113"/>
      <c r="EH54" s="1112">
        <v>43.5</v>
      </c>
      <c r="EI54" s="1113"/>
      <c r="EJ54" s="1112">
        <v>45.3</v>
      </c>
      <c r="EK54" s="1113"/>
      <c r="EL54" s="1112">
        <v>45.8</v>
      </c>
      <c r="EM54" s="1113"/>
      <c r="EN54" s="1112">
        <v>45.1</v>
      </c>
      <c r="EO54" s="1113"/>
      <c r="EP54" s="1112">
        <v>44.1</v>
      </c>
      <c r="EQ54" s="1113"/>
      <c r="ER54" s="1112">
        <v>43</v>
      </c>
      <c r="ES54" s="1113"/>
      <c r="ET54" s="1112">
        <v>40.1</v>
      </c>
      <c r="EU54" s="1113"/>
      <c r="EV54" s="1112">
        <v>37.299999999999997</v>
      </c>
      <c r="EW54" s="1113"/>
      <c r="EX54" s="1112">
        <v>0</v>
      </c>
      <c r="EY54" s="1113"/>
      <c r="EZ54" s="1112">
        <v>0</v>
      </c>
      <c r="FA54" s="1113"/>
      <c r="FB54" s="1112">
        <v>0</v>
      </c>
      <c r="FC54" s="1113"/>
      <c r="FD54" s="1112">
        <v>0</v>
      </c>
      <c r="FE54" s="1113"/>
      <c r="FF54" s="1112">
        <v>0</v>
      </c>
      <c r="FG54" s="1113"/>
      <c r="FH54" s="1114">
        <v>0</v>
      </c>
      <c r="FI54" s="1017"/>
      <c r="FJ54" s="1105" t="s">
        <v>682</v>
      </c>
      <c r="FK54" s="1106"/>
      <c r="FL54" s="1107"/>
      <c r="FM54" s="1108"/>
      <c r="FN54" s="1109"/>
      <c r="FO54" s="1110"/>
      <c r="FP54" s="1115"/>
      <c r="FQ54" s="1113"/>
      <c r="FR54" s="1112">
        <v>94.3</v>
      </c>
      <c r="FS54" s="1116"/>
      <c r="FT54" s="1113"/>
      <c r="FU54" s="1117">
        <v>95.5</v>
      </c>
      <c r="FV54" s="1116"/>
      <c r="FW54" s="1112">
        <f>IF(面積=0,0,ROUND(FW53/面積,1))</f>
        <v>52.2</v>
      </c>
      <c r="FX54" s="1116"/>
      <c r="FY54" s="1112">
        <f>IF(面積=0,0,ROUND(FY53/面積,1))</f>
        <v>51.2</v>
      </c>
      <c r="FZ54" s="1116"/>
      <c r="GA54" s="1112">
        <f>IF(面積=0,0,ROUND(GA53/面積,1))</f>
        <v>45.8</v>
      </c>
      <c r="GB54" s="1116"/>
      <c r="GC54" s="1112">
        <f>IF(面積=0,0,ROUND(GC53/面積,1))</f>
        <v>52.2</v>
      </c>
      <c r="GD54" s="1116"/>
      <c r="GE54" s="1114">
        <f>IF(面積=0,0,ROUND(GE53/面積,1))</f>
        <v>95.5</v>
      </c>
      <c r="GF54" s="688"/>
      <c r="GG54" s="937"/>
      <c r="GH54" s="937"/>
      <c r="GI54" s="937"/>
      <c r="GJ54" s="580"/>
      <c r="GK54" s="579"/>
      <c r="GL54" s="1100">
        <v>11</v>
      </c>
      <c r="GM54" s="1101">
        <v>2</v>
      </c>
      <c r="GN54" s="1102">
        <v>0.85</v>
      </c>
      <c r="GO54" s="1103">
        <v>3.9</v>
      </c>
      <c r="GP54" s="1103">
        <v>7</v>
      </c>
      <c r="GQ54" s="1104">
        <v>10.9</v>
      </c>
      <c r="GR54" s="530"/>
      <c r="GS54" s="580"/>
      <c r="GT54" s="861"/>
      <c r="GU54" s="1118" t="s">
        <v>847</v>
      </c>
      <c r="GV54" s="1118"/>
      <c r="GW54" s="1118"/>
      <c r="GX54" s="1118"/>
      <c r="GY54" s="775"/>
      <c r="GZ54" s="1119"/>
      <c r="HA54" s="1120">
        <v>43.8</v>
      </c>
      <c r="HB54" s="1121" t="s">
        <v>319</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3.6</v>
      </c>
      <c r="GP55" s="1103">
        <v>7</v>
      </c>
      <c r="GQ55" s="1104">
        <v>10.6</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759</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3.3</v>
      </c>
      <c r="GP56" s="1103">
        <v>7</v>
      </c>
      <c r="GQ56" s="1104">
        <v>10.3</v>
      </c>
      <c r="GR56" s="530"/>
      <c r="GS56" s="529"/>
      <c r="GT56" s="1127" t="s">
        <v>596</v>
      </c>
      <c r="GU56" s="530"/>
      <c r="GV56" s="579"/>
      <c r="GW56" s="530"/>
      <c r="GX56" s="579"/>
      <c r="GY56" s="391"/>
      <c r="GZ56" s="529"/>
      <c r="HA56" s="580"/>
      <c r="HB56" s="529"/>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3</v>
      </c>
      <c r="GP57" s="1103">
        <v>7</v>
      </c>
      <c r="GQ57" s="1104">
        <v>10</v>
      </c>
      <c r="GR57" s="953"/>
      <c r="GS57" s="529"/>
      <c r="GT57" s="1127"/>
      <c r="GU57" s="580"/>
      <c r="GV57" s="580"/>
      <c r="GW57" s="409" t="s">
        <v>729</v>
      </c>
      <c r="GX57" s="392"/>
      <c r="GY57" s="579"/>
      <c r="GZ57" s="529"/>
      <c r="HA57" s="1162">
        <v>138</v>
      </c>
      <c r="HB57" s="409" t="s">
        <v>355</v>
      </c>
      <c r="HC57" s="1052"/>
    </row>
    <row r="58" spans="1:212" ht="20.100000000000001" customHeight="1">
      <c r="A58" s="1163" t="s">
        <v>737</v>
      </c>
      <c r="B58" s="1164"/>
      <c r="C58" s="1164"/>
      <c r="D58" s="1164"/>
      <c r="E58" s="1165"/>
      <c r="F58" s="1166"/>
      <c r="G58" s="1167"/>
      <c r="H58" s="1168"/>
      <c r="I58" s="1169"/>
      <c r="J58" s="1168"/>
      <c r="K58" s="1169"/>
      <c r="L58" s="1168"/>
      <c r="M58" s="1169"/>
      <c r="N58" s="1168"/>
      <c r="O58" s="1169"/>
      <c r="P58" s="1168"/>
      <c r="Q58" s="1169"/>
      <c r="R58" s="1168"/>
      <c r="S58" s="1169"/>
      <c r="T58" s="1168"/>
      <c r="U58" s="1169"/>
      <c r="V58" s="1168"/>
      <c r="W58" s="1169"/>
      <c r="X58" s="1168">
        <v>130</v>
      </c>
      <c r="Y58" s="1169"/>
      <c r="Z58" s="1168">
        <v>130</v>
      </c>
      <c r="AA58" s="1169"/>
      <c r="AB58" s="1168">
        <v>130</v>
      </c>
      <c r="AC58" s="1169"/>
      <c r="AD58" s="1168">
        <v>130</v>
      </c>
      <c r="AE58" s="1169"/>
      <c r="AF58" s="1168">
        <v>130</v>
      </c>
      <c r="AG58" s="1169"/>
      <c r="AH58" s="1168">
        <v>130</v>
      </c>
      <c r="AI58" s="1169"/>
      <c r="AJ58" s="1168">
        <v>130</v>
      </c>
      <c r="AK58" s="1169"/>
      <c r="AL58" s="1168">
        <v>130</v>
      </c>
      <c r="AM58" s="1169"/>
      <c r="AN58" s="1168">
        <v>130</v>
      </c>
      <c r="AO58" s="1169"/>
      <c r="AP58" s="1168">
        <v>130</v>
      </c>
      <c r="AQ58" s="1169"/>
      <c r="AR58" s="1168"/>
      <c r="AS58" s="1169"/>
      <c r="AT58" s="1168"/>
      <c r="AU58" s="1169"/>
      <c r="AV58" s="1168"/>
      <c r="AW58" s="1169"/>
      <c r="AX58" s="1168"/>
      <c r="AY58" s="1169"/>
      <c r="AZ58" s="1168"/>
      <c r="BA58" s="1169"/>
      <c r="BB58" s="561"/>
      <c r="BC58" s="563"/>
      <c r="BD58" s="1163" t="s">
        <v>612</v>
      </c>
      <c r="BE58" s="1164"/>
      <c r="BF58" s="1164"/>
      <c r="BG58" s="1164"/>
      <c r="BH58" s="1165"/>
      <c r="BI58" s="1166"/>
      <c r="BJ58" s="1167"/>
      <c r="BK58" s="1168"/>
      <c r="BL58" s="1169"/>
      <c r="BM58" s="1168"/>
      <c r="BN58" s="1169"/>
      <c r="BO58" s="1168"/>
      <c r="BP58" s="1169"/>
      <c r="BQ58" s="1168"/>
      <c r="BR58" s="1169"/>
      <c r="BS58" s="1168"/>
      <c r="BT58" s="1169"/>
      <c r="BU58" s="1168"/>
      <c r="BV58" s="1169"/>
      <c r="BW58" s="1168"/>
      <c r="BX58" s="1169"/>
      <c r="BY58" s="1168"/>
      <c r="BZ58" s="1169"/>
      <c r="CA58" s="1168">
        <v>130</v>
      </c>
      <c r="CB58" s="1169"/>
      <c r="CC58" s="1168">
        <v>130</v>
      </c>
      <c r="CD58" s="1169"/>
      <c r="CE58" s="1168">
        <v>130</v>
      </c>
      <c r="CF58" s="1169"/>
      <c r="CG58" s="1168">
        <v>130</v>
      </c>
      <c r="CH58" s="1169"/>
      <c r="CI58" s="1168">
        <v>130</v>
      </c>
      <c r="CJ58" s="1169"/>
      <c r="CK58" s="1168">
        <v>130</v>
      </c>
      <c r="CL58" s="1169"/>
      <c r="CM58" s="1168">
        <v>130</v>
      </c>
      <c r="CN58" s="1169"/>
      <c r="CO58" s="1168">
        <v>130</v>
      </c>
      <c r="CP58" s="1169"/>
      <c r="CQ58" s="1168">
        <v>130</v>
      </c>
      <c r="CR58" s="1169"/>
      <c r="CS58" s="1168">
        <v>130</v>
      </c>
      <c r="CT58" s="1169"/>
      <c r="CU58" s="1168"/>
      <c r="CV58" s="1169"/>
      <c r="CW58" s="1168"/>
      <c r="CX58" s="1169"/>
      <c r="CY58" s="1168"/>
      <c r="CZ58" s="1169"/>
      <c r="DA58" s="1168"/>
      <c r="DB58" s="1169"/>
      <c r="DC58" s="1168"/>
      <c r="DD58" s="1169"/>
      <c r="DE58" s="561"/>
      <c r="DF58" s="562"/>
      <c r="DG58" s="1163" t="s">
        <v>737</v>
      </c>
      <c r="DH58" s="1164"/>
      <c r="DI58" s="1164"/>
      <c r="DJ58" s="1164"/>
      <c r="DK58" s="1165"/>
      <c r="DL58" s="1166"/>
      <c r="DM58" s="1167"/>
      <c r="DN58" s="1168"/>
      <c r="DO58" s="1169"/>
      <c r="DP58" s="1168"/>
      <c r="DQ58" s="1169"/>
      <c r="DR58" s="1168"/>
      <c r="DS58" s="1169"/>
      <c r="DT58" s="1168"/>
      <c r="DU58" s="1169"/>
      <c r="DV58" s="1168"/>
      <c r="DW58" s="1169"/>
      <c r="DX58" s="1168"/>
      <c r="DY58" s="1169"/>
      <c r="DZ58" s="1168"/>
      <c r="EA58" s="1169"/>
      <c r="EB58" s="1168"/>
      <c r="EC58" s="1169"/>
      <c r="ED58" s="1168">
        <v>130</v>
      </c>
      <c r="EE58" s="1169"/>
      <c r="EF58" s="1168">
        <v>130</v>
      </c>
      <c r="EG58" s="1169"/>
      <c r="EH58" s="1168">
        <v>130</v>
      </c>
      <c r="EI58" s="1169"/>
      <c r="EJ58" s="1168">
        <v>130</v>
      </c>
      <c r="EK58" s="1169"/>
      <c r="EL58" s="1168">
        <v>130</v>
      </c>
      <c r="EM58" s="1169"/>
      <c r="EN58" s="1168">
        <v>130</v>
      </c>
      <c r="EO58" s="1169"/>
      <c r="EP58" s="1168">
        <v>130</v>
      </c>
      <c r="EQ58" s="1169"/>
      <c r="ER58" s="1168">
        <v>130</v>
      </c>
      <c r="ES58" s="1169"/>
      <c r="ET58" s="1168">
        <v>130</v>
      </c>
      <c r="EU58" s="1169"/>
      <c r="EV58" s="1168">
        <v>130</v>
      </c>
      <c r="EW58" s="1169"/>
      <c r="EX58" s="1168"/>
      <c r="EY58" s="1169"/>
      <c r="EZ58" s="1168"/>
      <c r="FA58" s="1169"/>
      <c r="FB58" s="1168"/>
      <c r="FC58" s="1169"/>
      <c r="FD58" s="1168"/>
      <c r="FE58" s="1169"/>
      <c r="FF58" s="1168"/>
      <c r="FG58" s="1169"/>
      <c r="FH58" s="561"/>
      <c r="FI58" s="563"/>
      <c r="FJ58" s="1163" t="s">
        <v>737</v>
      </c>
      <c r="FK58" s="1164"/>
      <c r="FL58" s="1164"/>
      <c r="FM58" s="1164"/>
      <c r="FN58" s="1165"/>
      <c r="FO58" s="1166"/>
      <c r="FP58" s="1170"/>
      <c r="FQ58" s="1171"/>
      <c r="FR58" s="1168">
        <v>130</v>
      </c>
      <c r="FS58" s="1172"/>
      <c r="FT58" s="1171"/>
      <c r="FU58" s="1173">
        <v>130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2.8</v>
      </c>
      <c r="GP58" s="1103">
        <v>7</v>
      </c>
      <c r="GQ58" s="1104">
        <v>9.8000000000000007</v>
      </c>
      <c r="GR58" s="953"/>
      <c r="GS58" s="530"/>
      <c r="GT58" s="689"/>
      <c r="GU58" s="893"/>
      <c r="GV58" s="580"/>
      <c r="GW58" s="1178" t="s">
        <v>848</v>
      </c>
      <c r="GX58" s="392"/>
      <c r="GY58" s="1051"/>
      <c r="GZ58" s="391"/>
      <c r="HA58" s="1162">
        <v>0</v>
      </c>
      <c r="HB58" s="409" t="s">
        <v>730</v>
      </c>
      <c r="HC58" s="562"/>
      <c r="HD58" s="1179"/>
    </row>
    <row r="59" spans="1:212" ht="20.100000000000001" customHeight="1">
      <c r="A59" s="1180" t="s">
        <v>738</v>
      </c>
      <c r="B59" s="1181"/>
      <c r="C59" s="1181"/>
      <c r="D59" s="1182" t="s">
        <v>615</v>
      </c>
      <c r="E59" s="1183"/>
      <c r="F59" s="1021"/>
      <c r="G59" s="1184">
        <v>0</v>
      </c>
      <c r="H59" s="585">
        <v>0</v>
      </c>
      <c r="I59" s="1185">
        <v>0</v>
      </c>
      <c r="J59" s="587">
        <v>0</v>
      </c>
      <c r="K59" s="1185">
        <v>0</v>
      </c>
      <c r="L59" s="587">
        <v>0</v>
      </c>
      <c r="M59" s="1185">
        <v>0</v>
      </c>
      <c r="N59" s="587">
        <v>0</v>
      </c>
      <c r="O59" s="1185">
        <v>0</v>
      </c>
      <c r="P59" s="587">
        <v>0</v>
      </c>
      <c r="Q59" s="1185">
        <v>0</v>
      </c>
      <c r="R59" s="587">
        <v>0</v>
      </c>
      <c r="S59" s="1185">
        <v>0</v>
      </c>
      <c r="T59" s="587">
        <v>0</v>
      </c>
      <c r="U59" s="1185">
        <v>0</v>
      </c>
      <c r="V59" s="587">
        <v>0</v>
      </c>
      <c r="W59" s="1185">
        <v>23.7</v>
      </c>
      <c r="X59" s="587">
        <v>1027</v>
      </c>
      <c r="Y59" s="1185">
        <v>24.6</v>
      </c>
      <c r="Z59" s="587">
        <v>1066</v>
      </c>
      <c r="AA59" s="1185">
        <v>24.9</v>
      </c>
      <c r="AB59" s="587">
        <v>1079</v>
      </c>
      <c r="AC59" s="1185">
        <v>26.2</v>
      </c>
      <c r="AD59" s="587">
        <v>1135</v>
      </c>
      <c r="AE59" s="1185">
        <v>25.8</v>
      </c>
      <c r="AF59" s="587">
        <v>1118</v>
      </c>
      <c r="AG59" s="1185">
        <v>25.1</v>
      </c>
      <c r="AH59" s="587">
        <v>1088</v>
      </c>
      <c r="AI59" s="1185">
        <v>25.1</v>
      </c>
      <c r="AJ59" s="587">
        <v>1088</v>
      </c>
      <c r="AK59" s="1185">
        <v>24.8</v>
      </c>
      <c r="AL59" s="587">
        <v>1075</v>
      </c>
      <c r="AM59" s="1185">
        <v>24.1</v>
      </c>
      <c r="AN59" s="587">
        <v>1044</v>
      </c>
      <c r="AO59" s="1185">
        <v>23.4</v>
      </c>
      <c r="AP59" s="587">
        <v>1014</v>
      </c>
      <c r="AQ59" s="1185">
        <v>0</v>
      </c>
      <c r="AR59" s="587">
        <v>0</v>
      </c>
      <c r="AS59" s="1185">
        <v>0</v>
      </c>
      <c r="AT59" s="587">
        <v>0</v>
      </c>
      <c r="AU59" s="1185">
        <v>0</v>
      </c>
      <c r="AV59" s="587">
        <v>0</v>
      </c>
      <c r="AW59" s="1185">
        <v>0</v>
      </c>
      <c r="AX59" s="587">
        <v>0</v>
      </c>
      <c r="AY59" s="1185">
        <v>0</v>
      </c>
      <c r="AZ59" s="587">
        <v>0</v>
      </c>
      <c r="BA59" s="1185">
        <v>0</v>
      </c>
      <c r="BB59" s="589">
        <v>0</v>
      </c>
      <c r="BC59" s="563"/>
      <c r="BD59" s="1180" t="s">
        <v>616</v>
      </c>
      <c r="BE59" s="1181"/>
      <c r="BF59" s="1181"/>
      <c r="BG59" s="1182" t="s">
        <v>615</v>
      </c>
      <c r="BH59" s="1183"/>
      <c r="BI59" s="1021"/>
      <c r="BJ59" s="1184">
        <v>0</v>
      </c>
      <c r="BK59" s="585">
        <v>0</v>
      </c>
      <c r="BL59" s="1185">
        <v>0</v>
      </c>
      <c r="BM59" s="587">
        <v>0</v>
      </c>
      <c r="BN59" s="1185">
        <v>0</v>
      </c>
      <c r="BO59" s="587">
        <v>0</v>
      </c>
      <c r="BP59" s="1185">
        <v>0</v>
      </c>
      <c r="BQ59" s="587">
        <v>0</v>
      </c>
      <c r="BR59" s="1185">
        <v>0</v>
      </c>
      <c r="BS59" s="587">
        <v>0</v>
      </c>
      <c r="BT59" s="1185">
        <v>0</v>
      </c>
      <c r="BU59" s="587">
        <v>0</v>
      </c>
      <c r="BV59" s="1185">
        <v>0</v>
      </c>
      <c r="BW59" s="587">
        <v>0</v>
      </c>
      <c r="BX59" s="1185">
        <v>0</v>
      </c>
      <c r="BY59" s="587">
        <v>0</v>
      </c>
      <c r="BZ59" s="1185">
        <v>18.600000000000001</v>
      </c>
      <c r="CA59" s="587">
        <v>806</v>
      </c>
      <c r="CB59" s="1185">
        <v>19.399999999999999</v>
      </c>
      <c r="CC59" s="587">
        <v>841</v>
      </c>
      <c r="CD59" s="1185">
        <v>20.3</v>
      </c>
      <c r="CE59" s="587">
        <v>880</v>
      </c>
      <c r="CF59" s="1185">
        <v>21</v>
      </c>
      <c r="CG59" s="587">
        <v>910</v>
      </c>
      <c r="CH59" s="1185">
        <v>21.4</v>
      </c>
      <c r="CI59" s="587">
        <v>927</v>
      </c>
      <c r="CJ59" s="1185">
        <v>20.7</v>
      </c>
      <c r="CK59" s="587">
        <v>897</v>
      </c>
      <c r="CL59" s="1185">
        <v>20.5</v>
      </c>
      <c r="CM59" s="587">
        <v>888</v>
      </c>
      <c r="CN59" s="1185">
        <v>20.3</v>
      </c>
      <c r="CO59" s="587">
        <v>880</v>
      </c>
      <c r="CP59" s="1185">
        <v>20.3</v>
      </c>
      <c r="CQ59" s="587">
        <v>880</v>
      </c>
      <c r="CR59" s="1185">
        <v>19.600000000000001</v>
      </c>
      <c r="CS59" s="587">
        <v>849</v>
      </c>
      <c r="CT59" s="1185">
        <v>0</v>
      </c>
      <c r="CU59" s="587">
        <v>0</v>
      </c>
      <c r="CV59" s="1185">
        <v>0</v>
      </c>
      <c r="CW59" s="587">
        <v>0</v>
      </c>
      <c r="CX59" s="1185">
        <v>0</v>
      </c>
      <c r="CY59" s="587">
        <v>0</v>
      </c>
      <c r="CZ59" s="1185">
        <v>0</v>
      </c>
      <c r="DA59" s="587">
        <v>0</v>
      </c>
      <c r="DB59" s="1185">
        <v>0</v>
      </c>
      <c r="DC59" s="587">
        <v>0</v>
      </c>
      <c r="DD59" s="1185">
        <v>0</v>
      </c>
      <c r="DE59" s="589">
        <v>0</v>
      </c>
      <c r="DF59" s="562"/>
      <c r="DG59" s="1180" t="s">
        <v>616</v>
      </c>
      <c r="DH59" s="1181"/>
      <c r="DI59" s="1181"/>
      <c r="DJ59" s="1182" t="s">
        <v>615</v>
      </c>
      <c r="DK59" s="1183"/>
      <c r="DL59" s="1021"/>
      <c r="DM59" s="1184">
        <v>0</v>
      </c>
      <c r="DN59" s="585">
        <v>0</v>
      </c>
      <c r="DO59" s="1185">
        <v>0</v>
      </c>
      <c r="DP59" s="587">
        <v>0</v>
      </c>
      <c r="DQ59" s="1185">
        <v>0</v>
      </c>
      <c r="DR59" s="587">
        <v>0</v>
      </c>
      <c r="DS59" s="1185">
        <v>0</v>
      </c>
      <c r="DT59" s="587">
        <v>0</v>
      </c>
      <c r="DU59" s="1185">
        <v>0</v>
      </c>
      <c r="DV59" s="587">
        <v>0</v>
      </c>
      <c r="DW59" s="1185">
        <v>0</v>
      </c>
      <c r="DX59" s="587">
        <v>0</v>
      </c>
      <c r="DY59" s="1185">
        <v>0</v>
      </c>
      <c r="DZ59" s="587">
        <v>0</v>
      </c>
      <c r="EA59" s="1185">
        <v>0</v>
      </c>
      <c r="EB59" s="587">
        <v>0</v>
      </c>
      <c r="EC59" s="1185">
        <v>9.8000000000000007</v>
      </c>
      <c r="ED59" s="587">
        <v>425</v>
      </c>
      <c r="EE59" s="1185">
        <v>10.9</v>
      </c>
      <c r="EF59" s="587">
        <v>472</v>
      </c>
      <c r="EG59" s="1185">
        <v>11</v>
      </c>
      <c r="EH59" s="587">
        <v>477</v>
      </c>
      <c r="EI59" s="1185">
        <v>11.4</v>
      </c>
      <c r="EJ59" s="587">
        <v>494</v>
      </c>
      <c r="EK59" s="1185">
        <v>11.1</v>
      </c>
      <c r="EL59" s="587">
        <v>481</v>
      </c>
      <c r="EM59" s="1185">
        <v>10.6</v>
      </c>
      <c r="EN59" s="587">
        <v>459</v>
      </c>
      <c r="EO59" s="1185">
        <v>10.4</v>
      </c>
      <c r="EP59" s="587">
        <v>451</v>
      </c>
      <c r="EQ59" s="1185">
        <v>10.5</v>
      </c>
      <c r="ER59" s="587">
        <v>455</v>
      </c>
      <c r="ES59" s="1185">
        <v>10</v>
      </c>
      <c r="ET59" s="587">
        <v>433</v>
      </c>
      <c r="EU59" s="1185">
        <v>10.5</v>
      </c>
      <c r="EV59" s="587">
        <v>455</v>
      </c>
      <c r="EW59" s="1185">
        <v>0</v>
      </c>
      <c r="EX59" s="587">
        <v>0</v>
      </c>
      <c r="EY59" s="1185">
        <v>0</v>
      </c>
      <c r="EZ59" s="587">
        <v>0</v>
      </c>
      <c r="FA59" s="1185">
        <v>0</v>
      </c>
      <c r="FB59" s="587">
        <v>0</v>
      </c>
      <c r="FC59" s="1185">
        <v>0</v>
      </c>
      <c r="FD59" s="587">
        <v>0</v>
      </c>
      <c r="FE59" s="1185">
        <v>0</v>
      </c>
      <c r="FF59" s="587">
        <v>0</v>
      </c>
      <c r="FG59" s="1185">
        <v>0</v>
      </c>
      <c r="FH59" s="589">
        <v>0</v>
      </c>
      <c r="FI59" s="563"/>
      <c r="FJ59" s="1180" t="s">
        <v>616</v>
      </c>
      <c r="FK59" s="1181"/>
      <c r="FL59" s="1181"/>
      <c r="FM59" s="1182" t="s">
        <v>615</v>
      </c>
      <c r="FN59" s="1183"/>
      <c r="FO59" s="1021"/>
      <c r="FP59" s="625">
        <v>9</v>
      </c>
      <c r="FQ59" s="1186">
        <v>5.7</v>
      </c>
      <c r="FR59" s="1187">
        <v>247</v>
      </c>
      <c r="FS59" s="1188">
        <v>9</v>
      </c>
      <c r="FT59" s="1186">
        <v>5.9</v>
      </c>
      <c r="FU59" s="1189">
        <v>256</v>
      </c>
      <c r="FV59" s="1190">
        <v>13</v>
      </c>
      <c r="FW59" s="1191">
        <v>1118</v>
      </c>
      <c r="FX59" s="1192">
        <v>13</v>
      </c>
      <c r="FY59" s="1191">
        <v>927</v>
      </c>
      <c r="FZ59" s="1192">
        <v>13</v>
      </c>
      <c r="GA59" s="1191">
        <v>481</v>
      </c>
      <c r="GB59" s="1192" t="s">
        <v>797</v>
      </c>
      <c r="GC59" s="1191">
        <v>1118</v>
      </c>
      <c r="GD59" s="1192" t="s">
        <v>853</v>
      </c>
      <c r="GE59" s="1193">
        <v>256</v>
      </c>
      <c r="GF59" s="688"/>
      <c r="GG59" s="1194"/>
      <c r="GH59" s="1194"/>
      <c r="GI59" s="1194"/>
      <c r="GJ59" s="893"/>
      <c r="GK59" s="409"/>
      <c r="GL59" s="1124">
        <v>16</v>
      </c>
      <c r="GM59" s="1125">
        <v>7</v>
      </c>
      <c r="GN59" s="1102">
        <v>0.56000000000000005</v>
      </c>
      <c r="GO59" s="1103">
        <v>2.6</v>
      </c>
      <c r="GP59" s="1103">
        <v>7</v>
      </c>
      <c r="GQ59" s="1104">
        <v>9.6</v>
      </c>
      <c r="GR59" s="893"/>
      <c r="GS59" s="391"/>
      <c r="GT59" s="750"/>
      <c r="GU59" s="391"/>
      <c r="GV59" s="893"/>
      <c r="GW59" s="409" t="s">
        <v>536</v>
      </c>
      <c r="GX59" s="392"/>
      <c r="GY59" s="1078"/>
      <c r="GZ59" s="486"/>
      <c r="HA59" s="1162">
        <v>138</v>
      </c>
      <c r="HB59" s="409" t="s">
        <v>355</v>
      </c>
      <c r="HC59" s="1179"/>
      <c r="HD59" s="1195"/>
    </row>
    <row r="60" spans="1:212" ht="20.100000000000001" customHeight="1">
      <c r="A60" s="1180"/>
      <c r="B60" s="1181"/>
      <c r="C60" s="1181"/>
      <c r="D60" s="1196"/>
      <c r="E60" s="1196"/>
      <c r="F60" s="1197">
        <v>0</v>
      </c>
      <c r="G60" s="584"/>
      <c r="H60" s="585"/>
      <c r="I60" s="588"/>
      <c r="J60" s="587"/>
      <c r="K60" s="588"/>
      <c r="L60" s="587"/>
      <c r="M60" s="588"/>
      <c r="N60" s="587"/>
      <c r="O60" s="588"/>
      <c r="P60" s="587"/>
      <c r="Q60" s="588"/>
      <c r="R60" s="587"/>
      <c r="S60" s="588"/>
      <c r="T60" s="587"/>
      <c r="U60" s="588"/>
      <c r="V60" s="587"/>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c r="AS60" s="588"/>
      <c r="AT60" s="587"/>
      <c r="AU60" s="588"/>
      <c r="AV60" s="587"/>
      <c r="AW60" s="588"/>
      <c r="AX60" s="587"/>
      <c r="AY60" s="588"/>
      <c r="AZ60" s="587"/>
      <c r="BA60" s="588"/>
      <c r="BB60" s="589"/>
      <c r="BC60" s="563"/>
      <c r="BD60" s="1180"/>
      <c r="BE60" s="1181"/>
      <c r="BF60" s="1181"/>
      <c r="BG60" s="1196"/>
      <c r="BH60" s="1196"/>
      <c r="BI60" s="1197"/>
      <c r="BJ60" s="584"/>
      <c r="BK60" s="585"/>
      <c r="BL60" s="588"/>
      <c r="BM60" s="587"/>
      <c r="BN60" s="588"/>
      <c r="BO60" s="587"/>
      <c r="BP60" s="588"/>
      <c r="BQ60" s="587"/>
      <c r="BR60" s="588"/>
      <c r="BS60" s="587"/>
      <c r="BT60" s="588"/>
      <c r="BU60" s="587"/>
      <c r="BV60" s="588"/>
      <c r="BW60" s="587"/>
      <c r="BX60" s="588"/>
      <c r="BY60" s="587"/>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c r="CV60" s="588"/>
      <c r="CW60" s="587"/>
      <c r="CX60" s="588"/>
      <c r="CY60" s="587"/>
      <c r="CZ60" s="588"/>
      <c r="DA60" s="587"/>
      <c r="DB60" s="588"/>
      <c r="DC60" s="587"/>
      <c r="DD60" s="588"/>
      <c r="DE60" s="589"/>
      <c r="DF60" s="562"/>
      <c r="DG60" s="1180"/>
      <c r="DH60" s="1181"/>
      <c r="DI60" s="1181"/>
      <c r="DJ60" s="1196"/>
      <c r="DK60" s="1196"/>
      <c r="DL60" s="1197"/>
      <c r="DM60" s="584"/>
      <c r="DN60" s="585"/>
      <c r="DO60" s="588"/>
      <c r="DP60" s="587"/>
      <c r="DQ60" s="588"/>
      <c r="DR60" s="587"/>
      <c r="DS60" s="588"/>
      <c r="DT60" s="587"/>
      <c r="DU60" s="588"/>
      <c r="DV60" s="587"/>
      <c r="DW60" s="588"/>
      <c r="DX60" s="587"/>
      <c r="DY60" s="588"/>
      <c r="DZ60" s="587"/>
      <c r="EA60" s="588"/>
      <c r="EB60" s="587"/>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c r="EY60" s="588"/>
      <c r="EZ60" s="587"/>
      <c r="FA60" s="588"/>
      <c r="FB60" s="587"/>
      <c r="FC60" s="588"/>
      <c r="FD60" s="587"/>
      <c r="FE60" s="588"/>
      <c r="FF60" s="587"/>
      <c r="FG60" s="588"/>
      <c r="FH60" s="589"/>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2.2999999999999998</v>
      </c>
      <c r="GP60" s="1103">
        <v>7</v>
      </c>
      <c r="GQ60" s="1104">
        <v>9.3000000000000007</v>
      </c>
      <c r="GR60" s="391"/>
      <c r="GS60" s="483"/>
      <c r="GT60" s="1200"/>
      <c r="GU60" s="483" t="s">
        <v>793</v>
      </c>
      <c r="GV60" s="486"/>
      <c r="GW60" s="483"/>
      <c r="GX60" s="486"/>
      <c r="GY60" s="409"/>
      <c r="GZ60" s="413"/>
      <c r="HA60" s="580"/>
      <c r="HB60" s="413"/>
      <c r="HC60" s="1201"/>
      <c r="HD60" s="1038"/>
    </row>
    <row r="61" spans="1:212" ht="20.100000000000001" customHeight="1">
      <c r="A61" s="1202" t="s">
        <v>740</v>
      </c>
      <c r="B61" s="1203"/>
      <c r="C61" s="1203"/>
      <c r="D61" s="1203"/>
      <c r="E61" s="1203"/>
      <c r="F61" s="1204"/>
      <c r="G61" s="1205"/>
      <c r="H61" s="1206">
        <v>0</v>
      </c>
      <c r="I61" s="1207"/>
      <c r="J61" s="1208">
        <v>0</v>
      </c>
      <c r="K61" s="1207"/>
      <c r="L61" s="1208">
        <v>0</v>
      </c>
      <c r="M61" s="1207"/>
      <c r="N61" s="1208">
        <v>0</v>
      </c>
      <c r="O61" s="1207"/>
      <c r="P61" s="1208">
        <v>0</v>
      </c>
      <c r="Q61" s="1207"/>
      <c r="R61" s="1208">
        <v>0</v>
      </c>
      <c r="S61" s="1207"/>
      <c r="T61" s="1208">
        <v>0</v>
      </c>
      <c r="U61" s="1207"/>
      <c r="V61" s="1208">
        <v>0</v>
      </c>
      <c r="W61" s="1207"/>
      <c r="X61" s="1208">
        <v>4224</v>
      </c>
      <c r="Y61" s="1207"/>
      <c r="Z61" s="1208">
        <v>4081</v>
      </c>
      <c r="AA61" s="1207"/>
      <c r="AB61" s="1208">
        <v>4210</v>
      </c>
      <c r="AC61" s="1207"/>
      <c r="AD61" s="1208">
        <v>4342</v>
      </c>
      <c r="AE61" s="1207"/>
      <c r="AF61" s="1208">
        <v>4357</v>
      </c>
      <c r="AG61" s="1207"/>
      <c r="AH61" s="1208">
        <v>4324</v>
      </c>
      <c r="AI61" s="1207"/>
      <c r="AJ61" s="1208">
        <v>4243</v>
      </c>
      <c r="AK61" s="1207"/>
      <c r="AL61" s="1208">
        <v>4143</v>
      </c>
      <c r="AM61" s="1207"/>
      <c r="AN61" s="1208">
        <v>3947</v>
      </c>
      <c r="AO61" s="1207"/>
      <c r="AP61" s="1208">
        <v>3779</v>
      </c>
      <c r="AQ61" s="1207"/>
      <c r="AR61" s="1208">
        <v>0</v>
      </c>
      <c r="AS61" s="1207"/>
      <c r="AT61" s="1208">
        <v>0</v>
      </c>
      <c r="AU61" s="1207"/>
      <c r="AV61" s="1208">
        <v>0</v>
      </c>
      <c r="AW61" s="1207"/>
      <c r="AX61" s="1208">
        <v>0</v>
      </c>
      <c r="AY61" s="1207"/>
      <c r="AZ61" s="1208">
        <v>0</v>
      </c>
      <c r="BA61" s="1207"/>
      <c r="BB61" s="1209">
        <v>0</v>
      </c>
      <c r="BC61" s="563"/>
      <c r="BD61" s="1202" t="s">
        <v>740</v>
      </c>
      <c r="BE61" s="1203"/>
      <c r="BF61" s="1203"/>
      <c r="BG61" s="1203"/>
      <c r="BH61" s="1203"/>
      <c r="BI61" s="1204"/>
      <c r="BJ61" s="1205"/>
      <c r="BK61" s="1206">
        <v>0</v>
      </c>
      <c r="BL61" s="1207"/>
      <c r="BM61" s="1208">
        <v>0</v>
      </c>
      <c r="BN61" s="1207"/>
      <c r="BO61" s="1208">
        <v>0</v>
      </c>
      <c r="BP61" s="1207"/>
      <c r="BQ61" s="1208">
        <v>0</v>
      </c>
      <c r="BR61" s="1207"/>
      <c r="BS61" s="1208">
        <v>0</v>
      </c>
      <c r="BT61" s="1207"/>
      <c r="BU61" s="1208">
        <v>0</v>
      </c>
      <c r="BV61" s="1207"/>
      <c r="BW61" s="1208">
        <v>0</v>
      </c>
      <c r="BX61" s="1207"/>
      <c r="BY61" s="1208">
        <v>0</v>
      </c>
      <c r="BZ61" s="1207"/>
      <c r="CA61" s="1208">
        <v>4026</v>
      </c>
      <c r="CB61" s="1207"/>
      <c r="CC61" s="1208">
        <v>3837</v>
      </c>
      <c r="CD61" s="1207"/>
      <c r="CE61" s="1208">
        <v>3991</v>
      </c>
      <c r="CF61" s="1207"/>
      <c r="CG61" s="1208">
        <v>4068</v>
      </c>
      <c r="CH61" s="1207"/>
      <c r="CI61" s="1208">
        <v>4108</v>
      </c>
      <c r="CJ61" s="1207"/>
      <c r="CK61" s="1208">
        <v>4039</v>
      </c>
      <c r="CL61" s="1207"/>
      <c r="CM61" s="1208">
        <v>3951</v>
      </c>
      <c r="CN61" s="1207"/>
      <c r="CO61" s="1208">
        <v>3866</v>
      </c>
      <c r="CP61" s="1207"/>
      <c r="CQ61" s="1208">
        <v>3761</v>
      </c>
      <c r="CR61" s="1207"/>
      <c r="CS61" s="1208">
        <v>3575</v>
      </c>
      <c r="CT61" s="1207"/>
      <c r="CU61" s="1208">
        <v>0</v>
      </c>
      <c r="CV61" s="1207"/>
      <c r="CW61" s="1208">
        <v>0</v>
      </c>
      <c r="CX61" s="1207"/>
      <c r="CY61" s="1208">
        <v>0</v>
      </c>
      <c r="CZ61" s="1207"/>
      <c r="DA61" s="1208">
        <v>0</v>
      </c>
      <c r="DB61" s="1207"/>
      <c r="DC61" s="1208">
        <v>0</v>
      </c>
      <c r="DD61" s="1207"/>
      <c r="DE61" s="1209">
        <v>0</v>
      </c>
      <c r="DF61" s="562"/>
      <c r="DG61" s="1202" t="s">
        <v>621</v>
      </c>
      <c r="DH61" s="1203"/>
      <c r="DI61" s="1203"/>
      <c r="DJ61" s="1203"/>
      <c r="DK61" s="1203"/>
      <c r="DL61" s="1204"/>
      <c r="DM61" s="1205"/>
      <c r="DN61" s="1206">
        <v>0</v>
      </c>
      <c r="DO61" s="1207"/>
      <c r="DP61" s="1208">
        <v>0</v>
      </c>
      <c r="DQ61" s="1207"/>
      <c r="DR61" s="1208">
        <v>0</v>
      </c>
      <c r="DS61" s="1207"/>
      <c r="DT61" s="1208">
        <v>0</v>
      </c>
      <c r="DU61" s="1207"/>
      <c r="DV61" s="1208">
        <v>0</v>
      </c>
      <c r="DW61" s="1207"/>
      <c r="DX61" s="1208">
        <v>0</v>
      </c>
      <c r="DY61" s="1207"/>
      <c r="DZ61" s="1208">
        <v>0</v>
      </c>
      <c r="EA61" s="1207"/>
      <c r="EB61" s="1208">
        <v>0</v>
      </c>
      <c r="EC61" s="1207"/>
      <c r="ED61" s="1208">
        <v>3164</v>
      </c>
      <c r="EE61" s="1207"/>
      <c r="EF61" s="1208">
        <v>3042</v>
      </c>
      <c r="EG61" s="1207"/>
      <c r="EH61" s="1208">
        <v>3180</v>
      </c>
      <c r="EI61" s="1207"/>
      <c r="EJ61" s="1208">
        <v>3304</v>
      </c>
      <c r="EK61" s="1207"/>
      <c r="EL61" s="1208">
        <v>3325</v>
      </c>
      <c r="EM61" s="1207"/>
      <c r="EN61" s="1208">
        <v>3262</v>
      </c>
      <c r="EO61" s="1207"/>
      <c r="EP61" s="1208">
        <v>3189</v>
      </c>
      <c r="EQ61" s="1207"/>
      <c r="ER61" s="1208">
        <v>3122</v>
      </c>
      <c r="ES61" s="1207"/>
      <c r="ET61" s="1208">
        <v>2923</v>
      </c>
      <c r="EU61" s="1207"/>
      <c r="EV61" s="1208">
        <v>2770</v>
      </c>
      <c r="EW61" s="1207"/>
      <c r="EX61" s="1208">
        <v>0</v>
      </c>
      <c r="EY61" s="1207"/>
      <c r="EZ61" s="1208">
        <v>0</v>
      </c>
      <c r="FA61" s="1207"/>
      <c r="FB61" s="1208">
        <v>0</v>
      </c>
      <c r="FC61" s="1207"/>
      <c r="FD61" s="1208">
        <v>0</v>
      </c>
      <c r="FE61" s="1207"/>
      <c r="FF61" s="1208">
        <v>0</v>
      </c>
      <c r="FG61" s="1207"/>
      <c r="FH61" s="1209">
        <v>0</v>
      </c>
      <c r="FI61" s="563"/>
      <c r="FJ61" s="1202" t="s">
        <v>740</v>
      </c>
      <c r="FK61" s="1203"/>
      <c r="FL61" s="1203"/>
      <c r="FM61" s="1203"/>
      <c r="FN61" s="1203"/>
      <c r="FO61" s="1203"/>
      <c r="FP61" s="1210"/>
      <c r="FQ61" s="1211"/>
      <c r="FR61" s="1212">
        <v>6102</v>
      </c>
      <c r="FS61" s="1213"/>
      <c r="FT61" s="1211"/>
      <c r="FU61" s="1214">
        <v>6187</v>
      </c>
      <c r="FV61" s="1215">
        <v>13</v>
      </c>
      <c r="FW61" s="1216">
        <v>4357</v>
      </c>
      <c r="FX61" s="1217">
        <v>13</v>
      </c>
      <c r="FY61" s="1216">
        <v>4108</v>
      </c>
      <c r="FZ61" s="1217">
        <v>13</v>
      </c>
      <c r="GA61" s="1216">
        <v>3325</v>
      </c>
      <c r="GB61" s="1218" t="s">
        <v>797</v>
      </c>
      <c r="GC61" s="1216">
        <v>4357</v>
      </c>
      <c r="GD61" s="1218" t="s">
        <v>853</v>
      </c>
      <c r="GE61" s="1219">
        <v>6187</v>
      </c>
      <c r="GF61" s="688"/>
      <c r="GG61" s="483"/>
      <c r="GH61" s="483"/>
      <c r="GI61" s="483"/>
      <c r="GJ61" s="483"/>
      <c r="GK61" s="486"/>
      <c r="GL61" s="1124">
        <v>18</v>
      </c>
      <c r="GM61" s="1220">
        <v>9</v>
      </c>
      <c r="GN61" s="1102">
        <v>0.47</v>
      </c>
      <c r="GO61" s="1103">
        <v>2.2000000000000002</v>
      </c>
      <c r="GP61" s="1103">
        <v>7</v>
      </c>
      <c r="GQ61" s="1104">
        <v>9.1999999999999993</v>
      </c>
      <c r="GR61" s="483"/>
      <c r="GS61" s="580"/>
      <c r="GT61" s="750"/>
      <c r="GU61" s="1221" t="s">
        <v>732</v>
      </c>
      <c r="GV61" s="1221"/>
      <c r="GW61" s="1221"/>
      <c r="GX61" s="1221"/>
      <c r="GY61" s="391"/>
      <c r="GZ61" s="529"/>
      <c r="HA61" s="751">
        <v>1.7</v>
      </c>
      <c r="HB61" s="529"/>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391"/>
      <c r="GU62" s="1221" t="s">
        <v>733</v>
      </c>
      <c r="GV62" s="1221"/>
      <c r="GW62" s="1221"/>
      <c r="GX62" s="1221"/>
      <c r="GY62" s="486"/>
      <c r="GZ62" s="529"/>
      <c r="HA62" s="751">
        <v>3.7</v>
      </c>
      <c r="HB62" s="529"/>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759</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127" t="s">
        <v>596</v>
      </c>
      <c r="GK63" s="1127"/>
      <c r="GL63" s="580"/>
      <c r="GM63" s="413"/>
      <c r="GN63" s="580"/>
      <c r="GO63" s="413"/>
      <c r="GP63" s="413"/>
      <c r="GQ63" s="413"/>
      <c r="GR63" s="580"/>
      <c r="GS63" s="530"/>
      <c r="GT63" s="486"/>
      <c r="GU63" s="530" t="s">
        <v>849</v>
      </c>
      <c r="GV63" s="529"/>
      <c r="GW63" s="530"/>
      <c r="GX63" s="529"/>
      <c r="GY63" s="413"/>
      <c r="GZ63" s="529"/>
      <c r="HA63" s="751">
        <v>3.7</v>
      </c>
      <c r="HB63" s="529"/>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29"/>
      <c r="GK64" s="529" t="s">
        <v>794</v>
      </c>
      <c r="GL64" s="530"/>
      <c r="GM64" s="529"/>
      <c r="GN64" s="530"/>
      <c r="GO64" s="529"/>
      <c r="GP64" s="529"/>
      <c r="GQ64" s="529"/>
      <c r="GR64" s="530"/>
      <c r="GS64" s="409"/>
      <c r="GT64" s="861"/>
      <c r="GU64" s="580" t="s">
        <v>606</v>
      </c>
      <c r="GV64" s="413"/>
      <c r="GW64" s="580"/>
      <c r="GX64" s="413"/>
      <c r="GY64" s="529"/>
      <c r="GZ64" s="391"/>
      <c r="HA64" s="1231">
        <v>0.9</v>
      </c>
      <c r="HB64" s="391"/>
      <c r="HC64" s="562"/>
    </row>
    <row r="65" spans="1:211" ht="20.100000000000001" customHeight="1">
      <c r="A65" s="1163"/>
      <c r="B65" s="1164"/>
      <c r="C65" s="1164"/>
      <c r="D65" s="1232"/>
      <c r="E65" s="1233"/>
      <c r="F65" s="1234"/>
      <c r="G65" s="1235"/>
      <c r="H65" s="1168"/>
      <c r="I65" s="1236"/>
      <c r="J65" s="1237"/>
      <c r="K65" s="1238"/>
      <c r="L65" s="1237"/>
      <c r="M65" s="1238"/>
      <c r="N65" s="1237"/>
      <c r="O65" s="1238"/>
      <c r="P65" s="1237"/>
      <c r="Q65" s="1238"/>
      <c r="R65" s="1237"/>
      <c r="S65" s="1238"/>
      <c r="T65" s="1237"/>
      <c r="U65" s="1238"/>
      <c r="V65" s="1237"/>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c r="AS65" s="1238"/>
      <c r="AT65" s="1237"/>
      <c r="AU65" s="1238"/>
      <c r="AV65" s="1237"/>
      <c r="AW65" s="1238"/>
      <c r="AX65" s="1237"/>
      <c r="AY65" s="1238"/>
      <c r="AZ65" s="1237"/>
      <c r="BA65" s="1238"/>
      <c r="BB65" s="561"/>
      <c r="BC65" s="563"/>
      <c r="BD65" s="1163"/>
      <c r="BE65" s="1164"/>
      <c r="BF65" s="1164"/>
      <c r="BG65" s="1232"/>
      <c r="BH65" s="1233"/>
      <c r="BI65" s="1234"/>
      <c r="BJ65" s="1235"/>
      <c r="BK65" s="1168"/>
      <c r="BL65" s="1236"/>
      <c r="BM65" s="1237"/>
      <c r="BN65" s="1238"/>
      <c r="BO65" s="1237"/>
      <c r="BP65" s="1238"/>
      <c r="BQ65" s="1237"/>
      <c r="BR65" s="1238"/>
      <c r="BS65" s="1237"/>
      <c r="BT65" s="1238"/>
      <c r="BU65" s="1237"/>
      <c r="BV65" s="1238"/>
      <c r="BW65" s="1237"/>
      <c r="BX65" s="1238"/>
      <c r="BY65" s="1237"/>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c r="CV65" s="1238"/>
      <c r="CW65" s="1237"/>
      <c r="CX65" s="1238"/>
      <c r="CY65" s="1237"/>
      <c r="CZ65" s="1238"/>
      <c r="DA65" s="1237"/>
      <c r="DB65" s="1238"/>
      <c r="DC65" s="1237"/>
      <c r="DD65" s="1238"/>
      <c r="DE65" s="561"/>
      <c r="DF65" s="562"/>
      <c r="DG65" s="1163"/>
      <c r="DH65" s="1164"/>
      <c r="DI65" s="1164"/>
      <c r="DJ65" s="1232"/>
      <c r="DK65" s="1233"/>
      <c r="DL65" s="1234"/>
      <c r="DM65" s="1235"/>
      <c r="DN65" s="1168"/>
      <c r="DO65" s="1236"/>
      <c r="DP65" s="1237"/>
      <c r="DQ65" s="1238"/>
      <c r="DR65" s="1237"/>
      <c r="DS65" s="1238"/>
      <c r="DT65" s="1237"/>
      <c r="DU65" s="1238"/>
      <c r="DV65" s="1237"/>
      <c r="DW65" s="1238"/>
      <c r="DX65" s="1237"/>
      <c r="DY65" s="1238"/>
      <c r="DZ65" s="1237"/>
      <c r="EA65" s="1238"/>
      <c r="EB65" s="1237"/>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c r="EY65" s="1238"/>
      <c r="EZ65" s="1237"/>
      <c r="FA65" s="1238"/>
      <c r="FB65" s="1237"/>
      <c r="FC65" s="1238"/>
      <c r="FD65" s="1237"/>
      <c r="FE65" s="1238"/>
      <c r="FF65" s="1237"/>
      <c r="FG65" s="1238"/>
      <c r="FH65" s="561"/>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391"/>
      <c r="GK65" s="529"/>
      <c r="GL65" s="529"/>
      <c r="GM65" s="529"/>
      <c r="GN65" s="529"/>
      <c r="GO65" s="529"/>
      <c r="GP65" s="529"/>
      <c r="GQ65" s="529"/>
      <c r="GR65" s="529"/>
      <c r="GS65" s="409"/>
      <c r="GT65" s="1194"/>
      <c r="GU65" s="529" t="s">
        <v>607</v>
      </c>
      <c r="GV65" s="529"/>
      <c r="GW65" s="529"/>
      <c r="GX65" s="529"/>
      <c r="GY65" s="529"/>
      <c r="GZ65" s="486"/>
      <c r="HA65" s="391"/>
      <c r="HB65" s="486"/>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741</v>
      </c>
      <c r="FK66" s="1203"/>
      <c r="FL66" s="1249"/>
      <c r="FM66" s="1250" t="s">
        <v>624</v>
      </c>
      <c r="FN66" s="1251"/>
      <c r="FO66" s="1204"/>
      <c r="FP66" s="1210">
        <v>9</v>
      </c>
      <c r="FQ66" s="1252">
        <v>0</v>
      </c>
      <c r="FR66" s="1253">
        <v>0</v>
      </c>
      <c r="FS66" s="1213">
        <v>9</v>
      </c>
      <c r="FT66" s="1252">
        <v>0</v>
      </c>
      <c r="FU66" s="1254">
        <v>0</v>
      </c>
      <c r="FV66" s="1255"/>
      <c r="FW66" s="1256"/>
      <c r="FX66" s="1256"/>
      <c r="FY66" s="1256"/>
      <c r="FZ66" s="1256"/>
      <c r="GA66" s="1256"/>
      <c r="GB66" s="1256"/>
      <c r="GC66" s="1257"/>
      <c r="GD66" s="1213"/>
      <c r="GE66" s="1258">
        <v>0</v>
      </c>
      <c r="GF66" s="688"/>
      <c r="GG66" s="391"/>
      <c r="GH66" s="391"/>
      <c r="GI66" s="391"/>
      <c r="GJ66" s="483"/>
      <c r="GK66" s="529"/>
      <c r="GL66" s="530"/>
      <c r="GM66" s="529"/>
      <c r="GN66" s="530"/>
      <c r="GO66" s="529"/>
      <c r="GP66" s="529"/>
      <c r="GQ66" s="529"/>
      <c r="GR66" s="530"/>
      <c r="GT66" s="1194"/>
      <c r="GU66" s="391" t="s">
        <v>850</v>
      </c>
      <c r="GV66" s="391"/>
      <c r="GW66" s="391"/>
      <c r="GX66" s="391"/>
      <c r="GY66" s="391"/>
      <c r="GZ66" s="413"/>
      <c r="HA66" s="529">
        <v>584</v>
      </c>
      <c r="HB66" s="409" t="s">
        <v>598</v>
      </c>
      <c r="HC66" s="406"/>
    </row>
    <row r="67" spans="1:211" ht="20.100000000000001" customHeight="1" thickBot="1">
      <c r="BC67" s="389"/>
      <c r="DF67" s="389"/>
      <c r="FI67" s="389"/>
      <c r="GD67" s="688"/>
      <c r="GE67" s="799"/>
      <c r="GF67" s="688"/>
      <c r="GG67" s="483"/>
      <c r="GH67" s="483"/>
      <c r="GI67" s="483"/>
      <c r="GJ67" s="391"/>
      <c r="GT67" s="689"/>
      <c r="GU67" s="529"/>
      <c r="GV67" s="529"/>
      <c r="GW67" s="529"/>
      <c r="GX67" s="529"/>
      <c r="GY67" s="529"/>
      <c r="HA67" s="530"/>
      <c r="HC67" s="406"/>
    </row>
    <row r="68" spans="1:211" ht="20.100000000000001" customHeight="1">
      <c r="A68" s="1260" t="s">
        <v>360</v>
      </c>
      <c r="B68" s="1261"/>
      <c r="C68" s="1261"/>
      <c r="D68" s="1261"/>
      <c r="E68" s="825"/>
      <c r="F68" s="825"/>
      <c r="G68" s="1262"/>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f>$G68</f>
        <v>0</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f>$G68</f>
        <v>0</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391"/>
      <c r="GU68" s="1118" t="s">
        <v>609</v>
      </c>
      <c r="GV68" s="1118"/>
      <c r="GW68" s="1118"/>
      <c r="GX68" s="1118"/>
      <c r="GY68" s="1119"/>
      <c r="GZ68" s="1272"/>
      <c r="HA68" s="1272">
        <v>584</v>
      </c>
      <c r="HB68" s="1051" t="s">
        <v>598</v>
      </c>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22">
    <mergeCell ref="DM68:FH68"/>
    <mergeCell ref="FJ68:FM68"/>
    <mergeCell ref="FP68:FU68"/>
    <mergeCell ref="FV68:GC68"/>
    <mergeCell ref="GD68:GE68"/>
    <mergeCell ref="GU68:GX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GU61:GX61"/>
    <mergeCell ref="GU62:GX62"/>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869</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9時-18時</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9時-18時</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513</v>
      </c>
      <c r="GZ1" s="376" t="s">
        <v>812</v>
      </c>
      <c r="HA1" s="376"/>
      <c r="HB1" s="379"/>
      <c r="HC1" s="1276" t="s">
        <v>514</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872</v>
      </c>
      <c r="B3" s="394">
        <v>201</v>
      </c>
      <c r="C3" s="395" t="s">
        <v>374</v>
      </c>
      <c r="D3" s="396" t="s">
        <v>873</v>
      </c>
      <c r="E3" s="396"/>
      <c r="F3" s="396"/>
      <c r="G3" s="396"/>
      <c r="H3" s="396"/>
      <c r="I3" s="396"/>
      <c r="J3" s="397"/>
      <c r="K3" s="398" t="s">
        <v>376</v>
      </c>
      <c r="L3" s="399"/>
      <c r="M3" s="398" t="s">
        <v>377</v>
      </c>
      <c r="N3" s="399"/>
      <c r="O3" s="400" t="s">
        <v>382</v>
      </c>
      <c r="P3" s="401"/>
      <c r="Q3" s="401"/>
      <c r="R3" s="401"/>
      <c r="S3" s="401"/>
      <c r="T3" s="401"/>
      <c r="U3" s="401"/>
      <c r="V3" s="402"/>
      <c r="W3" s="403" t="s">
        <v>383</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380</v>
      </c>
      <c r="BE3" s="394">
        <v>201</v>
      </c>
      <c r="BF3" s="395" t="s">
        <v>373</v>
      </c>
      <c r="BG3" s="407" t="s">
        <v>866</v>
      </c>
      <c r="BH3" s="407"/>
      <c r="BI3" s="407"/>
      <c r="BJ3" s="407"/>
      <c r="BK3" s="407"/>
      <c r="BL3" s="407"/>
      <c r="BM3" s="408"/>
      <c r="BN3" s="398" t="s">
        <v>376</v>
      </c>
      <c r="BO3" s="399"/>
      <c r="BP3" s="398" t="s">
        <v>377</v>
      </c>
      <c r="BQ3" s="399"/>
      <c r="BR3" s="400" t="s">
        <v>378</v>
      </c>
      <c r="BS3" s="401"/>
      <c r="BT3" s="401"/>
      <c r="BU3" s="401"/>
      <c r="BV3" s="401"/>
      <c r="BW3" s="401"/>
      <c r="BX3" s="401"/>
      <c r="BY3" s="402"/>
      <c r="BZ3" s="403" t="s">
        <v>379</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380</v>
      </c>
      <c r="DH3" s="394">
        <v>201</v>
      </c>
      <c r="DI3" s="395" t="s">
        <v>373</v>
      </c>
      <c r="DJ3" s="407" t="s">
        <v>866</v>
      </c>
      <c r="DK3" s="407"/>
      <c r="DL3" s="407"/>
      <c r="DM3" s="407"/>
      <c r="DN3" s="407"/>
      <c r="DO3" s="407"/>
      <c r="DP3" s="408"/>
      <c r="DQ3" s="398" t="s">
        <v>381</v>
      </c>
      <c r="DR3" s="399"/>
      <c r="DS3" s="398" t="s">
        <v>385</v>
      </c>
      <c r="DT3" s="399"/>
      <c r="DU3" s="400" t="s">
        <v>382</v>
      </c>
      <c r="DV3" s="401"/>
      <c r="DW3" s="401"/>
      <c r="DX3" s="401"/>
      <c r="DY3" s="401"/>
      <c r="DZ3" s="401"/>
      <c r="EA3" s="401"/>
      <c r="EB3" s="402"/>
      <c r="EC3" s="403" t="s">
        <v>379</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380</v>
      </c>
      <c r="FK3" s="394">
        <v>201</v>
      </c>
      <c r="FL3" s="395" t="s">
        <v>373</v>
      </c>
      <c r="FM3" s="407" t="s">
        <v>866</v>
      </c>
      <c r="FN3" s="407"/>
      <c r="FO3" s="407"/>
      <c r="FP3" s="407"/>
      <c r="FQ3" s="407"/>
      <c r="FR3" s="407"/>
      <c r="FS3" s="408"/>
      <c r="FT3" s="398" t="s">
        <v>381</v>
      </c>
      <c r="FU3" s="399"/>
      <c r="FV3" s="398" t="s">
        <v>385</v>
      </c>
      <c r="FW3" s="399"/>
      <c r="FX3" s="400" t="s">
        <v>1103</v>
      </c>
      <c r="FY3" s="401"/>
      <c r="FZ3" s="401"/>
      <c r="GA3" s="401"/>
      <c r="GB3" s="401"/>
      <c r="GC3" s="401"/>
      <c r="GD3" s="401"/>
      <c r="GE3" s="402"/>
      <c r="GF3" s="403" t="s">
        <v>383</v>
      </c>
      <c r="GG3" s="404"/>
      <c r="GH3" s="405"/>
      <c r="GI3" s="409"/>
      <c r="GJ3" s="410" t="s">
        <v>770</v>
      </c>
      <c r="GK3" s="411"/>
      <c r="GL3" s="411"/>
      <c r="GM3" s="411"/>
      <c r="GN3" s="411"/>
      <c r="GO3" s="411"/>
      <c r="GP3" s="411"/>
      <c r="GQ3" s="411"/>
      <c r="GR3" s="412"/>
      <c r="GS3" s="413"/>
      <c r="GT3" s="410" t="s">
        <v>771</v>
      </c>
      <c r="GU3" s="411"/>
      <c r="GV3" s="411"/>
      <c r="GW3" s="411"/>
      <c r="GX3" s="411"/>
      <c r="GY3" s="411"/>
      <c r="GZ3" s="411"/>
      <c r="HA3" s="411"/>
      <c r="HB3" s="412"/>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653</v>
      </c>
      <c r="P4" s="425"/>
      <c r="Q4" s="426" t="s">
        <v>388</v>
      </c>
      <c r="R4" s="425"/>
      <c r="S4" s="427" t="s">
        <v>392</v>
      </c>
      <c r="T4" s="428"/>
      <c r="U4" s="429" t="s">
        <v>393</v>
      </c>
      <c r="V4" s="430"/>
      <c r="W4" s="431" t="s">
        <v>822</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387</v>
      </c>
      <c r="BS4" s="425"/>
      <c r="BT4" s="426" t="s">
        <v>388</v>
      </c>
      <c r="BU4" s="425"/>
      <c r="BV4" s="427" t="s">
        <v>389</v>
      </c>
      <c r="BW4" s="428"/>
      <c r="BX4" s="429" t="s">
        <v>393</v>
      </c>
      <c r="BY4" s="430"/>
      <c r="BZ4" s="431" t="s">
        <v>821</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653</v>
      </c>
      <c r="DV4" s="425"/>
      <c r="DW4" s="426" t="s">
        <v>388</v>
      </c>
      <c r="DX4" s="425"/>
      <c r="DY4" s="427" t="s">
        <v>392</v>
      </c>
      <c r="DZ4" s="428"/>
      <c r="EA4" s="429" t="s">
        <v>393</v>
      </c>
      <c r="EB4" s="430"/>
      <c r="EC4" s="431" t="s">
        <v>822</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653</v>
      </c>
      <c r="FY4" s="425"/>
      <c r="FZ4" s="426" t="s">
        <v>388</v>
      </c>
      <c r="GA4" s="425"/>
      <c r="GB4" s="427" t="s">
        <v>389</v>
      </c>
      <c r="GC4" s="428"/>
      <c r="GD4" s="429" t="s">
        <v>390</v>
      </c>
      <c r="GE4" s="430"/>
      <c r="GF4" s="431" t="s">
        <v>811</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c r="MO4" s="392" t="s">
        <v>811</v>
      </c>
    </row>
    <row r="5" spans="1:353" ht="24.95" customHeight="1" thickBot="1">
      <c r="A5" s="438" t="s">
        <v>395</v>
      </c>
      <c r="B5" s="439">
        <v>2</v>
      </c>
      <c r="C5" s="440" t="s">
        <v>397</v>
      </c>
      <c r="D5" s="441">
        <v>54.81</v>
      </c>
      <c r="E5" s="442" t="s">
        <v>398</v>
      </c>
      <c r="F5" s="443">
        <v>2.8</v>
      </c>
      <c r="G5" s="444" t="s">
        <v>404</v>
      </c>
      <c r="H5" s="445"/>
      <c r="I5" s="446">
        <v>153.5</v>
      </c>
      <c r="J5" s="447"/>
      <c r="K5" s="448">
        <v>180</v>
      </c>
      <c r="L5" s="449"/>
      <c r="M5" s="448">
        <v>50</v>
      </c>
      <c r="N5" s="449"/>
      <c r="O5" s="450" t="s">
        <v>405</v>
      </c>
      <c r="P5" s="451"/>
      <c r="Q5" s="452" t="s">
        <v>401</v>
      </c>
      <c r="R5" s="453"/>
      <c r="S5" s="454" t="s">
        <v>402</v>
      </c>
      <c r="T5" s="455"/>
      <c r="U5" s="456" t="s">
        <v>823</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395</v>
      </c>
      <c r="BE5" s="439">
        <v>2</v>
      </c>
      <c r="BF5" s="440" t="s">
        <v>278</v>
      </c>
      <c r="BG5" s="441">
        <v>54.81</v>
      </c>
      <c r="BH5" s="442" t="s">
        <v>398</v>
      </c>
      <c r="BI5" s="443">
        <v>2.8</v>
      </c>
      <c r="BJ5" s="444" t="s">
        <v>404</v>
      </c>
      <c r="BK5" s="445"/>
      <c r="BL5" s="446">
        <v>153.5</v>
      </c>
      <c r="BM5" s="447"/>
      <c r="BN5" s="448">
        <v>180</v>
      </c>
      <c r="BO5" s="449"/>
      <c r="BP5" s="448">
        <v>50</v>
      </c>
      <c r="BQ5" s="449"/>
      <c r="BR5" s="450" t="s">
        <v>400</v>
      </c>
      <c r="BS5" s="451"/>
      <c r="BT5" s="452" t="s">
        <v>401</v>
      </c>
      <c r="BU5" s="453"/>
      <c r="BV5" s="454" t="s">
        <v>406</v>
      </c>
      <c r="BW5" s="455"/>
      <c r="BX5" s="456" t="s">
        <v>403</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408</v>
      </c>
      <c r="DH5" s="439">
        <v>2</v>
      </c>
      <c r="DI5" s="440" t="s">
        <v>278</v>
      </c>
      <c r="DJ5" s="441">
        <v>54.81</v>
      </c>
      <c r="DK5" s="442" t="s">
        <v>410</v>
      </c>
      <c r="DL5" s="443">
        <v>2.8</v>
      </c>
      <c r="DM5" s="444" t="s">
        <v>399</v>
      </c>
      <c r="DN5" s="445"/>
      <c r="DO5" s="446">
        <v>153.5</v>
      </c>
      <c r="DP5" s="447"/>
      <c r="DQ5" s="448">
        <v>180</v>
      </c>
      <c r="DR5" s="449"/>
      <c r="DS5" s="448">
        <v>50</v>
      </c>
      <c r="DT5" s="449"/>
      <c r="DU5" s="450" t="s">
        <v>405</v>
      </c>
      <c r="DV5" s="451"/>
      <c r="DW5" s="452" t="s">
        <v>409</v>
      </c>
      <c r="DX5" s="453"/>
      <c r="DY5" s="454" t="s">
        <v>406</v>
      </c>
      <c r="DZ5" s="455"/>
      <c r="EA5" s="456" t="s">
        <v>403</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408</v>
      </c>
      <c r="FK5" s="439">
        <v>2</v>
      </c>
      <c r="FL5" s="440" t="s">
        <v>278</v>
      </c>
      <c r="FM5" s="441">
        <v>54.81</v>
      </c>
      <c r="FN5" s="442" t="s">
        <v>398</v>
      </c>
      <c r="FO5" s="443">
        <v>2.8</v>
      </c>
      <c r="FP5" s="444" t="s">
        <v>399</v>
      </c>
      <c r="FQ5" s="445"/>
      <c r="FR5" s="446">
        <v>153.5</v>
      </c>
      <c r="FS5" s="447"/>
      <c r="FT5" s="448">
        <v>180</v>
      </c>
      <c r="FU5" s="449"/>
      <c r="FV5" s="448">
        <v>50</v>
      </c>
      <c r="FW5" s="449"/>
      <c r="FX5" s="1430" t="s">
        <v>1104</v>
      </c>
      <c r="FY5" s="451"/>
      <c r="FZ5" s="1431" t="s">
        <v>1105</v>
      </c>
      <c r="GA5" s="453"/>
      <c r="GB5" s="1432" t="s">
        <v>1106</v>
      </c>
      <c r="GC5" s="455"/>
      <c r="GD5" s="1433" t="s">
        <v>1102</v>
      </c>
      <c r="GE5" s="457"/>
      <c r="GF5" s="458"/>
      <c r="GG5" s="459"/>
      <c r="GH5" s="460"/>
      <c r="GI5" s="462"/>
      <c r="GJ5" s="409"/>
      <c r="GK5" s="463" t="s">
        <v>772</v>
      </c>
      <c r="GL5" s="463"/>
      <c r="GM5" s="463"/>
      <c r="GN5" s="409" t="s">
        <v>827</v>
      </c>
      <c r="GO5" s="464"/>
      <c r="GP5" s="464"/>
      <c r="GQ5" s="464"/>
      <c r="GR5" s="409"/>
      <c r="GS5" s="409"/>
      <c r="GT5" s="413"/>
      <c r="GU5" s="463" t="s">
        <v>519</v>
      </c>
      <c r="GV5" s="463"/>
      <c r="GW5" s="463"/>
      <c r="GX5" s="409" t="s">
        <v>827</v>
      </c>
      <c r="GY5" s="464"/>
      <c r="GZ5" s="464"/>
      <c r="HA5" s="464"/>
      <c r="HB5" s="409"/>
      <c r="HC5" s="465"/>
      <c r="HD5" s="437"/>
      <c r="HE5" s="437"/>
      <c r="HF5" s="504"/>
      <c r="HG5" s="386"/>
    </row>
    <row r="6" spans="1:353" ht="20.100000000000001" customHeight="1" thickBot="1">
      <c r="A6" s="466" t="s">
        <v>415</v>
      </c>
      <c r="B6" s="467"/>
      <c r="C6" s="468" t="s">
        <v>416</v>
      </c>
      <c r="D6" s="468"/>
      <c r="E6" s="468"/>
      <c r="F6" s="469">
        <v>0</v>
      </c>
      <c r="G6" s="469"/>
      <c r="H6" s="468" t="s">
        <v>417</v>
      </c>
      <c r="I6" s="468"/>
      <c r="J6" s="468"/>
      <c r="K6" s="468"/>
      <c r="L6" s="468"/>
      <c r="M6" s="470">
        <v>0</v>
      </c>
      <c r="N6" s="470"/>
      <c r="O6" s="471"/>
      <c r="P6" s="472"/>
      <c r="Q6" s="472" t="s">
        <v>665</v>
      </c>
      <c r="R6" s="473">
        <v>0</v>
      </c>
      <c r="S6" s="473"/>
      <c r="T6" s="474"/>
      <c r="U6" s="475" t="s">
        <v>874</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29</v>
      </c>
      <c r="BC6" s="479"/>
      <c r="BD6" s="466" t="s">
        <v>415</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875</v>
      </c>
      <c r="DF6" s="481"/>
      <c r="DG6" s="466" t="s">
        <v>415</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19</v>
      </c>
      <c r="FI6" s="481"/>
      <c r="FJ6" s="466" t="s">
        <v>424</v>
      </c>
      <c r="FK6" s="467"/>
      <c r="FL6" s="468" t="s">
        <v>416</v>
      </c>
      <c r="FM6" s="468"/>
      <c r="FN6" s="468"/>
      <c r="FO6" s="469">
        <v>0</v>
      </c>
      <c r="FP6" s="469"/>
      <c r="FQ6" s="468" t="s">
        <v>417</v>
      </c>
      <c r="FR6" s="468"/>
      <c r="FS6" s="468"/>
      <c r="FT6" s="468"/>
      <c r="FU6" s="468"/>
      <c r="FV6" s="470">
        <v>0</v>
      </c>
      <c r="FW6" s="470"/>
      <c r="FX6" s="471"/>
      <c r="FY6" s="472"/>
      <c r="FZ6" s="472" t="s">
        <v>425</v>
      </c>
      <c r="GA6" s="473">
        <v>0</v>
      </c>
      <c r="GB6" s="473"/>
      <c r="GC6" s="474"/>
      <c r="GD6" s="475" t="s">
        <v>426</v>
      </c>
      <c r="GE6" s="476">
        <v>0</v>
      </c>
      <c r="GF6" s="476"/>
      <c r="GG6" s="477"/>
      <c r="GH6" s="472"/>
      <c r="GI6" s="472"/>
      <c r="GJ6" s="483"/>
      <c r="GK6" s="484" t="s">
        <v>828</v>
      </c>
      <c r="GL6" s="484"/>
      <c r="GM6" s="484"/>
      <c r="GN6" s="485">
        <v>2</v>
      </c>
      <c r="GO6" s="486"/>
      <c r="GP6" s="486"/>
      <c r="GQ6" s="486"/>
      <c r="GR6" s="483"/>
      <c r="GS6" s="483"/>
      <c r="GT6" s="413"/>
      <c r="GU6" s="484" t="s">
        <v>522</v>
      </c>
      <c r="GV6" s="484"/>
      <c r="GW6" s="484"/>
      <c r="GX6" s="485">
        <v>2</v>
      </c>
      <c r="GY6" s="413"/>
      <c r="GZ6" s="413"/>
      <c r="HA6" s="486"/>
      <c r="HB6" s="486"/>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470</v>
      </c>
      <c r="GK8" s="528"/>
      <c r="GL8" s="529"/>
      <c r="GM8" s="530"/>
      <c r="GN8" s="529"/>
      <c r="GO8" s="530"/>
      <c r="GP8" s="529"/>
      <c r="GQ8" s="529"/>
      <c r="GR8" s="529"/>
      <c r="GS8" s="529"/>
      <c r="GT8" s="528" t="s">
        <v>469</v>
      </c>
      <c r="GU8" s="528"/>
      <c r="GV8" s="413"/>
      <c r="GW8" s="483"/>
      <c r="GX8" s="486"/>
      <c r="GY8" s="483"/>
      <c r="GZ8" s="486"/>
      <c r="HA8" s="530"/>
      <c r="HB8" s="530"/>
      <c r="HC8" s="530"/>
      <c r="HD8" s="437"/>
      <c r="HE8" s="437"/>
      <c r="HF8" s="1275"/>
      <c r="HG8" s="1275"/>
    </row>
    <row r="9" spans="1:353" ht="22.5" customHeight="1">
      <c r="A9" s="532" t="s">
        <v>289</v>
      </c>
      <c r="B9" s="533" t="s">
        <v>290</v>
      </c>
      <c r="C9" s="534" t="s">
        <v>291</v>
      </c>
      <c r="D9" s="534" t="s">
        <v>855</v>
      </c>
      <c r="E9" s="535" t="s">
        <v>856</v>
      </c>
      <c r="F9" s="536" t="s">
        <v>294</v>
      </c>
      <c r="G9" s="537" t="s">
        <v>857</v>
      </c>
      <c r="H9" s="538" t="s">
        <v>858</v>
      </c>
      <c r="I9" s="539" t="s">
        <v>297</v>
      </c>
      <c r="J9" s="538" t="s">
        <v>858</v>
      </c>
      <c r="K9" s="539" t="s">
        <v>297</v>
      </c>
      <c r="L9" s="538" t="s">
        <v>858</v>
      </c>
      <c r="M9" s="539" t="s">
        <v>297</v>
      </c>
      <c r="N9" s="538" t="s">
        <v>858</v>
      </c>
      <c r="O9" s="539" t="s">
        <v>297</v>
      </c>
      <c r="P9" s="538" t="s">
        <v>858</v>
      </c>
      <c r="Q9" s="539" t="s">
        <v>297</v>
      </c>
      <c r="R9" s="538" t="s">
        <v>858</v>
      </c>
      <c r="S9" s="539" t="s">
        <v>297</v>
      </c>
      <c r="T9" s="538" t="s">
        <v>858</v>
      </c>
      <c r="U9" s="539" t="s">
        <v>297</v>
      </c>
      <c r="V9" s="538" t="s">
        <v>858</v>
      </c>
      <c r="W9" s="539" t="s">
        <v>297</v>
      </c>
      <c r="X9" s="538" t="s">
        <v>858</v>
      </c>
      <c r="Y9" s="539" t="s">
        <v>297</v>
      </c>
      <c r="Z9" s="538" t="s">
        <v>858</v>
      </c>
      <c r="AA9" s="539" t="s">
        <v>297</v>
      </c>
      <c r="AB9" s="538" t="s">
        <v>858</v>
      </c>
      <c r="AC9" s="539" t="s">
        <v>297</v>
      </c>
      <c r="AD9" s="538" t="s">
        <v>858</v>
      </c>
      <c r="AE9" s="539" t="s">
        <v>297</v>
      </c>
      <c r="AF9" s="538" t="s">
        <v>858</v>
      </c>
      <c r="AG9" s="539" t="s">
        <v>297</v>
      </c>
      <c r="AH9" s="538" t="s">
        <v>858</v>
      </c>
      <c r="AI9" s="539" t="s">
        <v>297</v>
      </c>
      <c r="AJ9" s="538" t="s">
        <v>858</v>
      </c>
      <c r="AK9" s="539" t="s">
        <v>297</v>
      </c>
      <c r="AL9" s="538" t="s">
        <v>858</v>
      </c>
      <c r="AM9" s="539" t="s">
        <v>297</v>
      </c>
      <c r="AN9" s="538" t="s">
        <v>858</v>
      </c>
      <c r="AO9" s="539" t="s">
        <v>297</v>
      </c>
      <c r="AP9" s="538" t="s">
        <v>858</v>
      </c>
      <c r="AQ9" s="539" t="s">
        <v>297</v>
      </c>
      <c r="AR9" s="538" t="s">
        <v>858</v>
      </c>
      <c r="AS9" s="539" t="s">
        <v>297</v>
      </c>
      <c r="AT9" s="538" t="s">
        <v>858</v>
      </c>
      <c r="AU9" s="539" t="s">
        <v>297</v>
      </c>
      <c r="AV9" s="538" t="s">
        <v>858</v>
      </c>
      <c r="AW9" s="539" t="s">
        <v>297</v>
      </c>
      <c r="AX9" s="538" t="s">
        <v>858</v>
      </c>
      <c r="AY9" s="539" t="s">
        <v>297</v>
      </c>
      <c r="AZ9" s="538" t="s">
        <v>858</v>
      </c>
      <c r="BA9" s="539" t="s">
        <v>297</v>
      </c>
      <c r="BB9" s="540" t="s">
        <v>298</v>
      </c>
      <c r="BC9" s="503"/>
      <c r="BD9" s="532" t="s">
        <v>289</v>
      </c>
      <c r="BE9" s="533" t="s">
        <v>290</v>
      </c>
      <c r="BF9" s="534" t="s">
        <v>291</v>
      </c>
      <c r="BG9" s="534" t="s">
        <v>855</v>
      </c>
      <c r="BH9" s="535" t="s">
        <v>856</v>
      </c>
      <c r="BI9" s="536" t="s">
        <v>294</v>
      </c>
      <c r="BJ9" s="537" t="s">
        <v>857</v>
      </c>
      <c r="BK9" s="538" t="s">
        <v>858</v>
      </c>
      <c r="BL9" s="539" t="s">
        <v>297</v>
      </c>
      <c r="BM9" s="538" t="s">
        <v>858</v>
      </c>
      <c r="BN9" s="539" t="s">
        <v>297</v>
      </c>
      <c r="BO9" s="538" t="s">
        <v>858</v>
      </c>
      <c r="BP9" s="539" t="s">
        <v>297</v>
      </c>
      <c r="BQ9" s="538" t="s">
        <v>858</v>
      </c>
      <c r="BR9" s="539" t="s">
        <v>297</v>
      </c>
      <c r="BS9" s="538" t="s">
        <v>858</v>
      </c>
      <c r="BT9" s="539" t="s">
        <v>297</v>
      </c>
      <c r="BU9" s="538" t="s">
        <v>858</v>
      </c>
      <c r="BV9" s="539" t="s">
        <v>297</v>
      </c>
      <c r="BW9" s="538" t="s">
        <v>858</v>
      </c>
      <c r="BX9" s="539" t="s">
        <v>297</v>
      </c>
      <c r="BY9" s="538" t="s">
        <v>858</v>
      </c>
      <c r="BZ9" s="539" t="s">
        <v>297</v>
      </c>
      <c r="CA9" s="538" t="s">
        <v>858</v>
      </c>
      <c r="CB9" s="539" t="s">
        <v>297</v>
      </c>
      <c r="CC9" s="538" t="s">
        <v>858</v>
      </c>
      <c r="CD9" s="539" t="s">
        <v>297</v>
      </c>
      <c r="CE9" s="538" t="s">
        <v>858</v>
      </c>
      <c r="CF9" s="539" t="s">
        <v>297</v>
      </c>
      <c r="CG9" s="538" t="s">
        <v>858</v>
      </c>
      <c r="CH9" s="539" t="s">
        <v>297</v>
      </c>
      <c r="CI9" s="538" t="s">
        <v>858</v>
      </c>
      <c r="CJ9" s="539" t="s">
        <v>297</v>
      </c>
      <c r="CK9" s="538" t="s">
        <v>858</v>
      </c>
      <c r="CL9" s="539" t="s">
        <v>297</v>
      </c>
      <c r="CM9" s="538" t="s">
        <v>858</v>
      </c>
      <c r="CN9" s="539" t="s">
        <v>297</v>
      </c>
      <c r="CO9" s="538" t="s">
        <v>858</v>
      </c>
      <c r="CP9" s="539" t="s">
        <v>297</v>
      </c>
      <c r="CQ9" s="538" t="s">
        <v>858</v>
      </c>
      <c r="CR9" s="539" t="s">
        <v>297</v>
      </c>
      <c r="CS9" s="538" t="s">
        <v>858</v>
      </c>
      <c r="CT9" s="539" t="s">
        <v>297</v>
      </c>
      <c r="CU9" s="538" t="s">
        <v>858</v>
      </c>
      <c r="CV9" s="539" t="s">
        <v>297</v>
      </c>
      <c r="CW9" s="538" t="s">
        <v>858</v>
      </c>
      <c r="CX9" s="539" t="s">
        <v>297</v>
      </c>
      <c r="CY9" s="538" t="s">
        <v>858</v>
      </c>
      <c r="CZ9" s="539" t="s">
        <v>297</v>
      </c>
      <c r="DA9" s="538" t="s">
        <v>858</v>
      </c>
      <c r="DB9" s="539" t="s">
        <v>297</v>
      </c>
      <c r="DC9" s="538" t="s">
        <v>858</v>
      </c>
      <c r="DD9" s="539" t="s">
        <v>297</v>
      </c>
      <c r="DE9" s="540" t="s">
        <v>298</v>
      </c>
      <c r="DF9" s="503"/>
      <c r="DG9" s="532" t="s">
        <v>289</v>
      </c>
      <c r="DH9" s="533" t="s">
        <v>290</v>
      </c>
      <c r="DI9" s="534" t="s">
        <v>291</v>
      </c>
      <c r="DJ9" s="534" t="s">
        <v>855</v>
      </c>
      <c r="DK9" s="535" t="s">
        <v>856</v>
      </c>
      <c r="DL9" s="536" t="s">
        <v>294</v>
      </c>
      <c r="DM9" s="537" t="s">
        <v>857</v>
      </c>
      <c r="DN9" s="538" t="s">
        <v>858</v>
      </c>
      <c r="DO9" s="539" t="s">
        <v>297</v>
      </c>
      <c r="DP9" s="538" t="s">
        <v>858</v>
      </c>
      <c r="DQ9" s="539" t="s">
        <v>297</v>
      </c>
      <c r="DR9" s="538" t="s">
        <v>858</v>
      </c>
      <c r="DS9" s="539" t="s">
        <v>297</v>
      </c>
      <c r="DT9" s="538" t="s">
        <v>858</v>
      </c>
      <c r="DU9" s="539" t="s">
        <v>297</v>
      </c>
      <c r="DV9" s="538" t="s">
        <v>858</v>
      </c>
      <c r="DW9" s="539" t="s">
        <v>297</v>
      </c>
      <c r="DX9" s="538" t="s">
        <v>858</v>
      </c>
      <c r="DY9" s="539" t="s">
        <v>297</v>
      </c>
      <c r="DZ9" s="538" t="s">
        <v>858</v>
      </c>
      <c r="EA9" s="539" t="s">
        <v>297</v>
      </c>
      <c r="EB9" s="538" t="s">
        <v>858</v>
      </c>
      <c r="EC9" s="539" t="s">
        <v>297</v>
      </c>
      <c r="ED9" s="538" t="s">
        <v>858</v>
      </c>
      <c r="EE9" s="539" t="s">
        <v>297</v>
      </c>
      <c r="EF9" s="538" t="s">
        <v>858</v>
      </c>
      <c r="EG9" s="539" t="s">
        <v>297</v>
      </c>
      <c r="EH9" s="538" t="s">
        <v>858</v>
      </c>
      <c r="EI9" s="539" t="s">
        <v>297</v>
      </c>
      <c r="EJ9" s="538" t="s">
        <v>858</v>
      </c>
      <c r="EK9" s="539" t="s">
        <v>297</v>
      </c>
      <c r="EL9" s="538" t="s">
        <v>858</v>
      </c>
      <c r="EM9" s="539" t="s">
        <v>297</v>
      </c>
      <c r="EN9" s="538" t="s">
        <v>858</v>
      </c>
      <c r="EO9" s="539" t="s">
        <v>297</v>
      </c>
      <c r="EP9" s="538" t="s">
        <v>858</v>
      </c>
      <c r="EQ9" s="539" t="s">
        <v>297</v>
      </c>
      <c r="ER9" s="538" t="s">
        <v>858</v>
      </c>
      <c r="ES9" s="539" t="s">
        <v>297</v>
      </c>
      <c r="ET9" s="538" t="s">
        <v>858</v>
      </c>
      <c r="EU9" s="539" t="s">
        <v>297</v>
      </c>
      <c r="EV9" s="538" t="s">
        <v>858</v>
      </c>
      <c r="EW9" s="539" t="s">
        <v>297</v>
      </c>
      <c r="EX9" s="538" t="s">
        <v>858</v>
      </c>
      <c r="EY9" s="539" t="s">
        <v>297</v>
      </c>
      <c r="EZ9" s="538" t="s">
        <v>858</v>
      </c>
      <c r="FA9" s="539" t="s">
        <v>297</v>
      </c>
      <c r="FB9" s="538" t="s">
        <v>858</v>
      </c>
      <c r="FC9" s="539" t="s">
        <v>297</v>
      </c>
      <c r="FD9" s="538" t="s">
        <v>858</v>
      </c>
      <c r="FE9" s="539" t="s">
        <v>297</v>
      </c>
      <c r="FF9" s="538" t="s">
        <v>858</v>
      </c>
      <c r="FG9" s="539" t="s">
        <v>297</v>
      </c>
      <c r="FH9" s="540" t="s">
        <v>298</v>
      </c>
      <c r="FI9" s="541"/>
      <c r="FJ9" s="542" t="s">
        <v>289</v>
      </c>
      <c r="FK9" s="533" t="s">
        <v>290</v>
      </c>
      <c r="FL9" s="534" t="s">
        <v>291</v>
      </c>
      <c r="FM9" s="534" t="s">
        <v>855</v>
      </c>
      <c r="FN9" s="535" t="s">
        <v>856</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689</v>
      </c>
      <c r="GL9" s="529"/>
      <c r="GM9" s="530"/>
      <c r="GN9" s="529"/>
      <c r="GO9" s="549">
        <v>0.92</v>
      </c>
      <c r="GP9" s="529"/>
      <c r="GQ9" s="529"/>
      <c r="GR9" s="529"/>
      <c r="GS9" s="529"/>
      <c r="GT9" s="550"/>
      <c r="GU9" s="483" t="s">
        <v>524</v>
      </c>
      <c r="GV9" s="413"/>
      <c r="GW9" s="483"/>
      <c r="GX9" s="551">
        <v>1</v>
      </c>
      <c r="GY9" s="483"/>
      <c r="GZ9" s="486"/>
      <c r="HA9" s="530"/>
      <c r="HB9" s="530"/>
      <c r="HC9" s="530"/>
      <c r="HD9" s="437"/>
      <c r="HE9" s="437"/>
      <c r="HF9" s="1279"/>
      <c r="HG9" s="1279"/>
    </row>
    <row r="10" spans="1:353" ht="20.100000000000001" customHeight="1">
      <c r="A10" s="552"/>
      <c r="B10" s="553" t="s">
        <v>229</v>
      </c>
      <c r="C10" s="554" t="s">
        <v>72</v>
      </c>
      <c r="D10" s="555">
        <f>ROUND(10.8*0.85,2)</f>
        <v>9.18</v>
      </c>
      <c r="E10" s="553" t="s">
        <v>868</v>
      </c>
      <c r="F10" s="554"/>
      <c r="G10" s="556">
        <v>0</v>
      </c>
      <c r="H10" s="557">
        <f>ROUND(ROUND(10.8*0.85,2)*0.49*0,0)</f>
        <v>0</v>
      </c>
      <c r="I10" s="558">
        <v>0</v>
      </c>
      <c r="J10" s="559">
        <f>ROUND(ROUND(10.8*0.85,2)*0.49*0,0)</f>
        <v>0</v>
      </c>
      <c r="K10" s="560">
        <v>0</v>
      </c>
      <c r="L10" s="559">
        <f>ROUND(ROUND(10.8*0.85,2)*0.49*0,0)</f>
        <v>0</v>
      </c>
      <c r="M10" s="560">
        <v>0</v>
      </c>
      <c r="N10" s="559">
        <f>ROUND(ROUND(10.8*0.85,2)*0.49*0,0)</f>
        <v>0</v>
      </c>
      <c r="O10" s="560">
        <v>0</v>
      </c>
      <c r="P10" s="559">
        <f>ROUND(ROUND(10.8*0.85,2)*0.49*0,0)</f>
        <v>0</v>
      </c>
      <c r="Q10" s="560">
        <v>0</v>
      </c>
      <c r="R10" s="559">
        <f>ROUND(ROUND(10.8*0.85,2)*0.49*0,0)</f>
        <v>0</v>
      </c>
      <c r="S10" s="560">
        <v>0</v>
      </c>
      <c r="T10" s="559">
        <f>ROUND(ROUND(10.8*0.85,2)*0.49*0,0)</f>
        <v>0</v>
      </c>
      <c r="U10" s="560">
        <v>0</v>
      </c>
      <c r="V10" s="559">
        <f>ROUND(ROUND(10.8*0.85,2)*0.49*0,0)</f>
        <v>0</v>
      </c>
      <c r="W10" s="560">
        <v>116</v>
      </c>
      <c r="X10" s="559">
        <f>ROUND(ROUND(10.8*0.85,2)*0.49*116,0)</f>
        <v>522</v>
      </c>
      <c r="Y10" s="560">
        <v>130</v>
      </c>
      <c r="Z10" s="559">
        <f>ROUND(ROUND(10.8*0.85,2)*0.49*130,0)</f>
        <v>585</v>
      </c>
      <c r="AA10" s="560">
        <v>163</v>
      </c>
      <c r="AB10" s="559">
        <f>ROUND(ROUND(10.8*0.85,2)*0.49*163,0)</f>
        <v>733</v>
      </c>
      <c r="AC10" s="560">
        <v>229</v>
      </c>
      <c r="AD10" s="559">
        <f>ROUND(ROUND(10.8*0.85,2)*0.49*229,0)</f>
        <v>1030</v>
      </c>
      <c r="AE10" s="560">
        <v>269</v>
      </c>
      <c r="AF10" s="559">
        <f>ROUND(ROUND(10.8*0.85,2)*0.49*269,0)</f>
        <v>1210</v>
      </c>
      <c r="AG10" s="560">
        <v>267</v>
      </c>
      <c r="AH10" s="559">
        <f>ROUND(ROUND(10.8*0.85,2)*0.49*267,0)</f>
        <v>1201</v>
      </c>
      <c r="AI10" s="560">
        <v>224</v>
      </c>
      <c r="AJ10" s="559">
        <f>ROUND(ROUND(10.8*0.85,2)*0.49*224,0)</f>
        <v>1008</v>
      </c>
      <c r="AK10" s="560">
        <v>156</v>
      </c>
      <c r="AL10" s="559">
        <f>ROUND(ROUND(10.8*0.85,2)*0.49*156,0)</f>
        <v>702</v>
      </c>
      <c r="AM10" s="560">
        <v>84</v>
      </c>
      <c r="AN10" s="559">
        <f>ROUND(ROUND(10.8*0.85,2)*0.49*84,0)</f>
        <v>378</v>
      </c>
      <c r="AO10" s="560">
        <v>16</v>
      </c>
      <c r="AP10" s="559">
        <f>ROUND(ROUND(10.8*0.85,2)*0.49*16,0)</f>
        <v>72</v>
      </c>
      <c r="AQ10" s="560">
        <v>0</v>
      </c>
      <c r="AR10" s="559">
        <f>ROUND(ROUND(10.8*0.85,2)*0.49*0,0)</f>
        <v>0</v>
      </c>
      <c r="AS10" s="560">
        <v>0</v>
      </c>
      <c r="AT10" s="559">
        <f>ROUND(ROUND(10.8*0.85,2)*0.49*0,0)</f>
        <v>0</v>
      </c>
      <c r="AU10" s="560">
        <v>0</v>
      </c>
      <c r="AV10" s="559">
        <f>ROUND(ROUND(10.8*0.85,2)*0.49*0,0)</f>
        <v>0</v>
      </c>
      <c r="AW10" s="560">
        <v>0</v>
      </c>
      <c r="AX10" s="559">
        <f>ROUND(ROUND(10.8*0.85,2)*0.49*0,0)</f>
        <v>0</v>
      </c>
      <c r="AY10" s="560">
        <v>0</v>
      </c>
      <c r="AZ10" s="559">
        <f>ROUND(ROUND(10.8*0.85,2)*0.49*0,0)</f>
        <v>0</v>
      </c>
      <c r="BA10" s="560">
        <v>0</v>
      </c>
      <c r="BB10" s="561">
        <f>ROUND(ROUND(10.8*0.85,2)*0.49*0,0)</f>
        <v>0</v>
      </c>
      <c r="BC10" s="562"/>
      <c r="BD10" s="552"/>
      <c r="BE10" s="553"/>
      <c r="BF10" s="554"/>
      <c r="BG10" s="555"/>
      <c r="BH10" s="553"/>
      <c r="BI10" s="554"/>
      <c r="BJ10" s="556">
        <v>0</v>
      </c>
      <c r="BK10" s="557">
        <f>ROUND(ROUND(10.8*0.85,2)*0.49*0,0)</f>
        <v>0</v>
      </c>
      <c r="BL10" s="558">
        <v>0</v>
      </c>
      <c r="BM10" s="559">
        <f>ROUND(ROUND(10.8*0.85,2)*0.49*0,0)</f>
        <v>0</v>
      </c>
      <c r="BN10" s="560">
        <v>0</v>
      </c>
      <c r="BO10" s="559">
        <f>ROUND(ROUND(10.8*0.85,2)*0.49*0,0)</f>
        <v>0</v>
      </c>
      <c r="BP10" s="560">
        <v>0</v>
      </c>
      <c r="BQ10" s="559">
        <f>ROUND(ROUND(10.8*0.85,2)*0.49*0,0)</f>
        <v>0</v>
      </c>
      <c r="BR10" s="560">
        <v>0</v>
      </c>
      <c r="BS10" s="559">
        <f>ROUND(ROUND(10.8*0.85,2)*0.49*0,0)</f>
        <v>0</v>
      </c>
      <c r="BT10" s="560">
        <v>0</v>
      </c>
      <c r="BU10" s="559">
        <f>ROUND(ROUND(10.8*0.85,2)*0.49*0,0)</f>
        <v>0</v>
      </c>
      <c r="BV10" s="560">
        <v>0</v>
      </c>
      <c r="BW10" s="559">
        <f>ROUND(ROUND(10.8*0.85,2)*0.49*0,0)</f>
        <v>0</v>
      </c>
      <c r="BX10" s="560">
        <v>0</v>
      </c>
      <c r="BY10" s="559">
        <f>ROUND(ROUND(10.8*0.85,2)*0.49*0,0)</f>
        <v>0</v>
      </c>
      <c r="BZ10" s="560">
        <v>103</v>
      </c>
      <c r="CA10" s="559">
        <f>ROUND(ROUND(10.8*0.85,2)*0.49*103,0)</f>
        <v>463</v>
      </c>
      <c r="CB10" s="560">
        <v>110</v>
      </c>
      <c r="CC10" s="559">
        <f>ROUND(ROUND(10.8*0.85,2)*0.49*110,0)</f>
        <v>495</v>
      </c>
      <c r="CD10" s="560">
        <v>155</v>
      </c>
      <c r="CE10" s="559">
        <f>ROUND(ROUND(10.8*0.85,2)*0.49*155,0)</f>
        <v>697</v>
      </c>
      <c r="CF10" s="560">
        <v>254</v>
      </c>
      <c r="CG10" s="559">
        <f>ROUND(ROUND(10.8*0.85,2)*0.49*254,0)</f>
        <v>1143</v>
      </c>
      <c r="CH10" s="560">
        <v>320</v>
      </c>
      <c r="CI10" s="559">
        <f>ROUND(ROUND(10.8*0.85,2)*0.49*320,0)</f>
        <v>1439</v>
      </c>
      <c r="CJ10" s="560">
        <v>334</v>
      </c>
      <c r="CK10" s="559">
        <f>ROUND(ROUND(10.8*0.85,2)*0.49*334,0)</f>
        <v>1502</v>
      </c>
      <c r="CL10" s="560">
        <v>301</v>
      </c>
      <c r="CM10" s="559">
        <f>ROUND(ROUND(10.8*0.85,2)*0.49*301,0)</f>
        <v>1354</v>
      </c>
      <c r="CN10" s="560">
        <v>222</v>
      </c>
      <c r="CO10" s="559">
        <f>ROUND(ROUND(10.8*0.85,2)*0.49*222,0)</f>
        <v>999</v>
      </c>
      <c r="CP10" s="560">
        <v>130</v>
      </c>
      <c r="CQ10" s="559">
        <f>ROUND(ROUND(10.8*0.85,2)*0.49*130,0)</f>
        <v>585</v>
      </c>
      <c r="CR10" s="560">
        <v>32</v>
      </c>
      <c r="CS10" s="559">
        <f>ROUND(ROUND(10.8*0.85,2)*0.49*32,0)</f>
        <v>144</v>
      </c>
      <c r="CT10" s="560">
        <v>0</v>
      </c>
      <c r="CU10" s="559">
        <f>ROUND(ROUND(10.8*0.85,2)*0.49*0,0)</f>
        <v>0</v>
      </c>
      <c r="CV10" s="560">
        <v>0</v>
      </c>
      <c r="CW10" s="559">
        <f>ROUND(ROUND(10.8*0.85,2)*0.49*0,0)</f>
        <v>0</v>
      </c>
      <c r="CX10" s="560">
        <v>0</v>
      </c>
      <c r="CY10" s="559">
        <f>ROUND(ROUND(10.8*0.85,2)*0.49*0,0)</f>
        <v>0</v>
      </c>
      <c r="CZ10" s="560">
        <v>0</v>
      </c>
      <c r="DA10" s="559">
        <f>ROUND(ROUND(10.8*0.85,2)*0.49*0,0)</f>
        <v>0</v>
      </c>
      <c r="DB10" s="560">
        <v>0</v>
      </c>
      <c r="DC10" s="559">
        <f>ROUND(ROUND(10.8*0.85,2)*0.49*0,0)</f>
        <v>0</v>
      </c>
      <c r="DD10" s="560">
        <v>0</v>
      </c>
      <c r="DE10" s="561">
        <f>ROUND(ROUND(10.8*0.85,2)*0.49*0,0)</f>
        <v>0</v>
      </c>
      <c r="DF10" s="562"/>
      <c r="DG10" s="552"/>
      <c r="DH10" s="553"/>
      <c r="DI10" s="554"/>
      <c r="DJ10" s="555"/>
      <c r="DK10" s="553"/>
      <c r="DL10" s="554"/>
      <c r="DM10" s="556">
        <v>0</v>
      </c>
      <c r="DN10" s="557">
        <f>ROUND(ROUND(10.8*0.85,2)*0.49*0,0)</f>
        <v>0</v>
      </c>
      <c r="DO10" s="558">
        <v>0</v>
      </c>
      <c r="DP10" s="559">
        <f>ROUND(ROUND(10.8*0.85,2)*0.49*0,0)</f>
        <v>0</v>
      </c>
      <c r="DQ10" s="560">
        <v>0</v>
      </c>
      <c r="DR10" s="559">
        <f>ROUND(ROUND(10.8*0.85,2)*0.49*0,0)</f>
        <v>0</v>
      </c>
      <c r="DS10" s="560">
        <v>0</v>
      </c>
      <c r="DT10" s="559">
        <f>ROUND(ROUND(10.8*0.85,2)*0.49*0,0)</f>
        <v>0</v>
      </c>
      <c r="DU10" s="560">
        <v>0</v>
      </c>
      <c r="DV10" s="559">
        <f>ROUND(ROUND(10.8*0.85,2)*0.49*0,0)</f>
        <v>0</v>
      </c>
      <c r="DW10" s="560">
        <v>0</v>
      </c>
      <c r="DX10" s="559">
        <f>ROUND(ROUND(10.8*0.85,2)*0.49*0,0)</f>
        <v>0</v>
      </c>
      <c r="DY10" s="560">
        <v>0</v>
      </c>
      <c r="DZ10" s="559">
        <f>ROUND(ROUND(10.8*0.85,2)*0.49*0,0)</f>
        <v>0</v>
      </c>
      <c r="EA10" s="560">
        <v>0</v>
      </c>
      <c r="EB10" s="559">
        <f>ROUND(ROUND(10.8*0.85,2)*0.49*0,0)</f>
        <v>0</v>
      </c>
      <c r="EC10" s="560">
        <v>88</v>
      </c>
      <c r="ED10" s="559">
        <f>ROUND(ROUND(10.8*0.85,2)*0.49*88,0)</f>
        <v>396</v>
      </c>
      <c r="EE10" s="560">
        <v>170</v>
      </c>
      <c r="EF10" s="559">
        <f>ROUND(ROUND(10.8*0.85,2)*0.49*170,0)</f>
        <v>765</v>
      </c>
      <c r="EG10" s="560">
        <v>327</v>
      </c>
      <c r="EH10" s="559">
        <f>ROUND(ROUND(10.8*0.85,2)*0.49*327,0)</f>
        <v>1471</v>
      </c>
      <c r="EI10" s="560">
        <v>436</v>
      </c>
      <c r="EJ10" s="559">
        <f>ROUND(ROUND(10.8*0.85,2)*0.49*436,0)</f>
        <v>1961</v>
      </c>
      <c r="EK10" s="560">
        <v>480</v>
      </c>
      <c r="EL10" s="559">
        <f>ROUND(ROUND(10.8*0.85,2)*0.49*480,0)</f>
        <v>2159</v>
      </c>
      <c r="EM10" s="560">
        <v>473</v>
      </c>
      <c r="EN10" s="559">
        <f>ROUND(ROUND(10.8*0.85,2)*0.49*473,0)</f>
        <v>2128</v>
      </c>
      <c r="EO10" s="560">
        <v>403</v>
      </c>
      <c r="EP10" s="559">
        <f>ROUND(ROUND(10.8*0.85,2)*0.49*403,0)</f>
        <v>1813</v>
      </c>
      <c r="EQ10" s="560">
        <v>276</v>
      </c>
      <c r="ER10" s="559">
        <f>ROUND(ROUND(10.8*0.85,2)*0.49*276,0)</f>
        <v>1242</v>
      </c>
      <c r="ES10" s="560">
        <v>131</v>
      </c>
      <c r="ET10" s="559">
        <f>ROUND(ROUND(10.8*0.85,2)*0.49*131,0)</f>
        <v>589</v>
      </c>
      <c r="EU10" s="560">
        <v>0</v>
      </c>
      <c r="EV10" s="559">
        <f>ROUND(ROUND(10.8*0.85,2)*0.49*0,0)</f>
        <v>0</v>
      </c>
      <c r="EW10" s="560">
        <v>0</v>
      </c>
      <c r="EX10" s="559">
        <f>ROUND(ROUND(10.8*0.85,2)*0.49*0,0)</f>
        <v>0</v>
      </c>
      <c r="EY10" s="560">
        <v>0</v>
      </c>
      <c r="EZ10" s="559">
        <f>ROUND(ROUND(10.8*0.85,2)*0.49*0,0)</f>
        <v>0</v>
      </c>
      <c r="FA10" s="560">
        <v>0</v>
      </c>
      <c r="FB10" s="559">
        <f>ROUND(ROUND(10.8*0.85,2)*0.49*0,0)</f>
        <v>0</v>
      </c>
      <c r="FC10" s="560">
        <v>0</v>
      </c>
      <c r="FD10" s="559">
        <f>ROUND(ROUND(10.8*0.85,2)*0.49*0,0)</f>
        <v>0</v>
      </c>
      <c r="FE10" s="560">
        <v>0</v>
      </c>
      <c r="FF10" s="559">
        <f>ROUND(ROUND(10.8*0.85,2)*0.49*0,0)</f>
        <v>0</v>
      </c>
      <c r="FG10" s="560">
        <v>0</v>
      </c>
      <c r="FH10" s="561">
        <f>ROUND(ROUND(10.8*0.85,2)*0.49*0,0)</f>
        <v>0</v>
      </c>
      <c r="FI10" s="563"/>
      <c r="FJ10" s="564"/>
      <c r="FK10" s="553"/>
      <c r="FL10" s="554"/>
      <c r="FM10" s="555"/>
      <c r="FN10" s="553"/>
      <c r="FO10" s="554"/>
      <c r="FP10" s="565"/>
      <c r="FQ10" s="558"/>
      <c r="FR10" s="557" t="s">
        <v>629</v>
      </c>
      <c r="FS10" s="566"/>
      <c r="FT10" s="558"/>
      <c r="FU10" s="567" t="s">
        <v>629</v>
      </c>
      <c r="FV10" s="568" t="s">
        <v>301</v>
      </c>
      <c r="FW10" s="1299"/>
      <c r="FX10" s="1281" t="s">
        <v>302</v>
      </c>
      <c r="FY10" s="1300"/>
      <c r="FZ10" s="1283" t="s">
        <v>303</v>
      </c>
      <c r="GA10" s="1301"/>
      <c r="GB10" s="1285" t="s">
        <v>870</v>
      </c>
      <c r="GC10" s="1302"/>
      <c r="GD10" s="576" t="s">
        <v>871</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629</v>
      </c>
      <c r="FS11" s="591"/>
      <c r="FT11" s="586"/>
      <c r="FU11" s="592" t="s">
        <v>859</v>
      </c>
      <c r="FV11" s="593"/>
      <c r="FW11" s="594"/>
      <c r="FX11" s="595"/>
      <c r="FY11" s="596"/>
      <c r="FZ11" s="597"/>
      <c r="GA11" s="598"/>
      <c r="GB11" s="599"/>
      <c r="GC11" s="600"/>
      <c r="GD11" s="599"/>
      <c r="GE11" s="601"/>
      <c r="GF11" s="499"/>
      <c r="GG11" s="602"/>
      <c r="GH11" s="602"/>
      <c r="GI11" s="602"/>
      <c r="GJ11" s="529"/>
      <c r="GK11" s="580" t="s">
        <v>829</v>
      </c>
      <c r="GL11" s="413"/>
      <c r="GM11" s="483"/>
      <c r="GN11" s="486"/>
      <c r="GO11" s="483"/>
      <c r="GP11" s="413"/>
      <c r="GQ11" s="529"/>
      <c r="GR11" s="529"/>
      <c r="GS11" s="529"/>
      <c r="GT11" s="548"/>
      <c r="GU11" s="580" t="s">
        <v>830</v>
      </c>
      <c r="GV11" s="413"/>
      <c r="GW11" s="483"/>
      <c r="GX11" s="486"/>
      <c r="GY11" s="483"/>
      <c r="GZ11" s="413"/>
      <c r="HA11" s="530"/>
      <c r="HB11" s="530"/>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629</v>
      </c>
      <c r="FS12" s="591"/>
      <c r="FT12" s="586"/>
      <c r="FU12" s="592" t="s">
        <v>629</v>
      </c>
      <c r="FV12" s="593"/>
      <c r="FW12" s="594"/>
      <c r="FX12" s="595"/>
      <c r="FY12" s="596"/>
      <c r="FZ12" s="597"/>
      <c r="GA12" s="598"/>
      <c r="GB12" s="599"/>
      <c r="GC12" s="600"/>
      <c r="GD12" s="599"/>
      <c r="GE12" s="601"/>
      <c r="GF12" s="499"/>
      <c r="GG12" s="602"/>
      <c r="GH12" s="602"/>
      <c r="GI12" s="602"/>
      <c r="GJ12" s="413"/>
      <c r="GK12" s="603" t="s">
        <v>384</v>
      </c>
      <c r="GL12" s="604"/>
      <c r="GM12" s="605" t="s">
        <v>527</v>
      </c>
      <c r="GN12" s="606" t="s">
        <v>831</v>
      </c>
      <c r="GO12" s="607" t="s">
        <v>832</v>
      </c>
      <c r="GP12" s="608" t="s">
        <v>692</v>
      </c>
      <c r="GQ12" s="607" t="s">
        <v>693</v>
      </c>
      <c r="GR12" s="607" t="s">
        <v>532</v>
      </c>
      <c r="GS12" s="609"/>
      <c r="GT12" s="548"/>
      <c r="GU12" s="603" t="s">
        <v>380</v>
      </c>
      <c r="GV12" s="604"/>
      <c r="GW12" s="605" t="s">
        <v>774</v>
      </c>
      <c r="GX12" s="610" t="s">
        <v>695</v>
      </c>
      <c r="GY12" s="611"/>
      <c r="GZ12" s="612" t="s">
        <v>529</v>
      </c>
      <c r="HA12" s="613" t="s">
        <v>696</v>
      </c>
      <c r="HB12" s="614"/>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859</v>
      </c>
      <c r="FS13" s="626"/>
      <c r="FT13" s="621"/>
      <c r="FU13" s="627" t="s">
        <v>630</v>
      </c>
      <c r="FV13" s="593"/>
      <c r="FW13" s="594"/>
      <c r="FX13" s="595"/>
      <c r="FY13" s="596"/>
      <c r="FZ13" s="597"/>
      <c r="GA13" s="598"/>
      <c r="GB13" s="599"/>
      <c r="GC13" s="600"/>
      <c r="GD13" s="599"/>
      <c r="GE13" s="601"/>
      <c r="GF13" s="499"/>
      <c r="GG13" s="602"/>
      <c r="GH13" s="602"/>
      <c r="GI13" s="602"/>
      <c r="GJ13" s="413"/>
      <c r="GK13" s="628">
        <v>201</v>
      </c>
      <c r="GL13" s="629"/>
      <c r="GM13" s="630" t="s">
        <v>775</v>
      </c>
      <c r="GN13" s="631">
        <v>10.8</v>
      </c>
      <c r="GO13" s="632">
        <v>0</v>
      </c>
      <c r="GP13" s="632">
        <v>1</v>
      </c>
      <c r="GQ13" s="633">
        <v>0</v>
      </c>
      <c r="GR13" s="634">
        <v>10.8</v>
      </c>
      <c r="GS13" s="578"/>
      <c r="GT13" s="413"/>
      <c r="GU13" s="628">
        <v>201</v>
      </c>
      <c r="GV13" s="629"/>
      <c r="GW13" s="635" t="s">
        <v>776</v>
      </c>
      <c r="GX13" s="636">
        <v>10.8</v>
      </c>
      <c r="GY13" s="637"/>
      <c r="GZ13" s="638">
        <v>0.65</v>
      </c>
      <c r="HA13" s="639">
        <v>7.02</v>
      </c>
      <c r="HB13" s="640"/>
      <c r="HC13" s="530"/>
      <c r="HD13" s="799"/>
      <c r="HE13" s="437"/>
      <c r="HF13" s="386"/>
      <c r="HG13" s="386"/>
    </row>
    <row r="14" spans="1:353" ht="20.100000000000001" customHeight="1">
      <c r="A14" s="641"/>
      <c r="B14" s="642"/>
      <c r="C14" s="642"/>
      <c r="D14" s="643" t="s">
        <v>750</v>
      </c>
      <c r="E14" s="642"/>
      <c r="F14" s="642"/>
      <c r="G14" s="644"/>
      <c r="H14" s="645">
        <f>SUM(H10:H13)</f>
        <v>0</v>
      </c>
      <c r="I14" s="735"/>
      <c r="J14" s="645">
        <f>SUM(J10:J13)</f>
        <v>0</v>
      </c>
      <c r="K14" s="735"/>
      <c r="L14" s="645">
        <f>SUM(L10:L13)</f>
        <v>0</v>
      </c>
      <c r="M14" s="735"/>
      <c r="N14" s="645">
        <f>SUM(N10:N13)</f>
        <v>0</v>
      </c>
      <c r="O14" s="735"/>
      <c r="P14" s="645">
        <f>SUM(P10:P13)</f>
        <v>0</v>
      </c>
      <c r="Q14" s="735"/>
      <c r="R14" s="645">
        <f>SUM(R10:R13)</f>
        <v>0</v>
      </c>
      <c r="S14" s="735"/>
      <c r="T14" s="645">
        <f>SUM(T10:T13)</f>
        <v>0</v>
      </c>
      <c r="U14" s="735"/>
      <c r="V14" s="645">
        <f>SUM(V10:V13)</f>
        <v>0</v>
      </c>
      <c r="W14" s="735"/>
      <c r="X14" s="645">
        <f>SUM(X10:X13)</f>
        <v>522</v>
      </c>
      <c r="Y14" s="735"/>
      <c r="Z14" s="645">
        <f>SUM(Z10:Z13)</f>
        <v>585</v>
      </c>
      <c r="AA14" s="735"/>
      <c r="AB14" s="645">
        <f>SUM(AB10:AB13)</f>
        <v>733</v>
      </c>
      <c r="AC14" s="735"/>
      <c r="AD14" s="645">
        <f>SUM(AD10:AD13)</f>
        <v>1030</v>
      </c>
      <c r="AE14" s="735"/>
      <c r="AF14" s="645">
        <f>SUM(AF10:AF13)</f>
        <v>1210</v>
      </c>
      <c r="AG14" s="735"/>
      <c r="AH14" s="645">
        <f>SUM(AH10:AH13)</f>
        <v>1201</v>
      </c>
      <c r="AI14" s="735"/>
      <c r="AJ14" s="645">
        <f>SUM(AJ10:AJ13)</f>
        <v>1008</v>
      </c>
      <c r="AK14" s="735"/>
      <c r="AL14" s="645">
        <f>SUM(AL10:AL13)</f>
        <v>702</v>
      </c>
      <c r="AM14" s="735"/>
      <c r="AN14" s="645">
        <f>SUM(AN10:AN13)</f>
        <v>378</v>
      </c>
      <c r="AO14" s="735"/>
      <c r="AP14" s="645">
        <f>SUM(AP10:AP13)</f>
        <v>72</v>
      </c>
      <c r="AQ14" s="735"/>
      <c r="AR14" s="645">
        <f>SUM(AR10:AR13)</f>
        <v>0</v>
      </c>
      <c r="AS14" s="735"/>
      <c r="AT14" s="645">
        <f>SUM(AT10:AT13)</f>
        <v>0</v>
      </c>
      <c r="AU14" s="735"/>
      <c r="AV14" s="645">
        <f>SUM(AV10:AV13)</f>
        <v>0</v>
      </c>
      <c r="AW14" s="735"/>
      <c r="AX14" s="645">
        <f>SUM(AX10:AX13)</f>
        <v>0</v>
      </c>
      <c r="AY14" s="735"/>
      <c r="AZ14" s="645">
        <f>SUM(AZ10:AZ13)</f>
        <v>0</v>
      </c>
      <c r="BA14" s="735"/>
      <c r="BB14" s="647">
        <f>SUM(BB10:BB13)</f>
        <v>0</v>
      </c>
      <c r="BC14" s="648"/>
      <c r="BD14" s="641"/>
      <c r="BE14" s="642"/>
      <c r="BF14" s="642"/>
      <c r="BG14" s="643" t="s">
        <v>306</v>
      </c>
      <c r="BH14" s="642"/>
      <c r="BI14" s="642"/>
      <c r="BJ14" s="644"/>
      <c r="BK14" s="645">
        <f>SUM(BK10:BK13)</f>
        <v>0</v>
      </c>
      <c r="BL14" s="735"/>
      <c r="BM14" s="645">
        <f>SUM(BM10:BM13)</f>
        <v>0</v>
      </c>
      <c r="BN14" s="735"/>
      <c r="BO14" s="645">
        <f>SUM(BO10:BO13)</f>
        <v>0</v>
      </c>
      <c r="BP14" s="735"/>
      <c r="BQ14" s="645">
        <f>SUM(BQ10:BQ13)</f>
        <v>0</v>
      </c>
      <c r="BR14" s="735"/>
      <c r="BS14" s="645">
        <f>SUM(BS10:BS13)</f>
        <v>0</v>
      </c>
      <c r="BT14" s="735"/>
      <c r="BU14" s="645">
        <f>SUM(BU10:BU13)</f>
        <v>0</v>
      </c>
      <c r="BV14" s="735"/>
      <c r="BW14" s="645">
        <f>SUM(BW10:BW13)</f>
        <v>0</v>
      </c>
      <c r="BX14" s="735"/>
      <c r="BY14" s="645">
        <f>SUM(BY10:BY13)</f>
        <v>0</v>
      </c>
      <c r="BZ14" s="735"/>
      <c r="CA14" s="645">
        <f>SUM(CA10:CA13)</f>
        <v>463</v>
      </c>
      <c r="CB14" s="735"/>
      <c r="CC14" s="645">
        <f>SUM(CC10:CC13)</f>
        <v>495</v>
      </c>
      <c r="CD14" s="735"/>
      <c r="CE14" s="645">
        <f>SUM(CE10:CE13)</f>
        <v>697</v>
      </c>
      <c r="CF14" s="735"/>
      <c r="CG14" s="645">
        <f>SUM(CG10:CG13)</f>
        <v>1143</v>
      </c>
      <c r="CH14" s="735"/>
      <c r="CI14" s="645">
        <f>SUM(CI10:CI13)</f>
        <v>1439</v>
      </c>
      <c r="CJ14" s="735"/>
      <c r="CK14" s="645">
        <f>SUM(CK10:CK13)</f>
        <v>1502</v>
      </c>
      <c r="CL14" s="735"/>
      <c r="CM14" s="645">
        <f>SUM(CM10:CM13)</f>
        <v>1354</v>
      </c>
      <c r="CN14" s="735"/>
      <c r="CO14" s="645">
        <f>SUM(CO10:CO13)</f>
        <v>999</v>
      </c>
      <c r="CP14" s="735"/>
      <c r="CQ14" s="645">
        <f>SUM(CQ10:CQ13)</f>
        <v>585</v>
      </c>
      <c r="CR14" s="735"/>
      <c r="CS14" s="645">
        <f>SUM(CS10:CS13)</f>
        <v>144</v>
      </c>
      <c r="CT14" s="735"/>
      <c r="CU14" s="645">
        <f>SUM(CU10:CU13)</f>
        <v>0</v>
      </c>
      <c r="CV14" s="735"/>
      <c r="CW14" s="645">
        <f>SUM(CW10:CW13)</f>
        <v>0</v>
      </c>
      <c r="CX14" s="735"/>
      <c r="CY14" s="645">
        <f>SUM(CY10:CY13)</f>
        <v>0</v>
      </c>
      <c r="CZ14" s="735"/>
      <c r="DA14" s="645">
        <f>SUM(DA10:DA13)</f>
        <v>0</v>
      </c>
      <c r="DB14" s="735"/>
      <c r="DC14" s="645">
        <f>SUM(DC10:DC13)</f>
        <v>0</v>
      </c>
      <c r="DD14" s="735"/>
      <c r="DE14" s="647">
        <f>SUM(DE10:DE13)</f>
        <v>0</v>
      </c>
      <c r="DF14" s="648"/>
      <c r="DG14" s="641"/>
      <c r="DH14" s="642"/>
      <c r="DI14" s="642"/>
      <c r="DJ14" s="643" t="s">
        <v>306</v>
      </c>
      <c r="DK14" s="642"/>
      <c r="DL14" s="642"/>
      <c r="DM14" s="644"/>
      <c r="DN14" s="645">
        <f>SUM(DN10:DN13)</f>
        <v>0</v>
      </c>
      <c r="DO14" s="735"/>
      <c r="DP14" s="645">
        <f>SUM(DP10:DP13)</f>
        <v>0</v>
      </c>
      <c r="DQ14" s="735"/>
      <c r="DR14" s="645">
        <f>SUM(DR10:DR13)</f>
        <v>0</v>
      </c>
      <c r="DS14" s="735"/>
      <c r="DT14" s="645">
        <f>SUM(DT10:DT13)</f>
        <v>0</v>
      </c>
      <c r="DU14" s="735"/>
      <c r="DV14" s="645">
        <f>SUM(DV10:DV13)</f>
        <v>0</v>
      </c>
      <c r="DW14" s="735"/>
      <c r="DX14" s="645">
        <f>SUM(DX10:DX13)</f>
        <v>0</v>
      </c>
      <c r="DY14" s="735"/>
      <c r="DZ14" s="645">
        <f>SUM(DZ10:DZ13)</f>
        <v>0</v>
      </c>
      <c r="EA14" s="735"/>
      <c r="EB14" s="645">
        <f>SUM(EB10:EB13)</f>
        <v>0</v>
      </c>
      <c r="EC14" s="735"/>
      <c r="ED14" s="645">
        <f>SUM(ED10:ED13)</f>
        <v>396</v>
      </c>
      <c r="EE14" s="735"/>
      <c r="EF14" s="645">
        <f>SUM(EF10:EF13)</f>
        <v>765</v>
      </c>
      <c r="EG14" s="735"/>
      <c r="EH14" s="645">
        <f>SUM(EH10:EH13)</f>
        <v>1471</v>
      </c>
      <c r="EI14" s="735"/>
      <c r="EJ14" s="645">
        <f>SUM(EJ10:EJ13)</f>
        <v>1961</v>
      </c>
      <c r="EK14" s="735"/>
      <c r="EL14" s="645">
        <f>SUM(EL10:EL13)</f>
        <v>2159</v>
      </c>
      <c r="EM14" s="735"/>
      <c r="EN14" s="645">
        <f>SUM(EN10:EN13)</f>
        <v>2128</v>
      </c>
      <c r="EO14" s="735"/>
      <c r="EP14" s="645">
        <f>SUM(EP10:EP13)</f>
        <v>1813</v>
      </c>
      <c r="EQ14" s="735"/>
      <c r="ER14" s="645">
        <f>SUM(ER10:ER13)</f>
        <v>1242</v>
      </c>
      <c r="ES14" s="735"/>
      <c r="ET14" s="645">
        <f>SUM(ET10:ET13)</f>
        <v>589</v>
      </c>
      <c r="EU14" s="735"/>
      <c r="EV14" s="645">
        <f>SUM(EV10:EV13)</f>
        <v>0</v>
      </c>
      <c r="EW14" s="735"/>
      <c r="EX14" s="645">
        <f>SUM(EX10:EX13)</f>
        <v>0</v>
      </c>
      <c r="EY14" s="735"/>
      <c r="EZ14" s="645">
        <f>SUM(EZ10:EZ13)</f>
        <v>0</v>
      </c>
      <c r="FA14" s="735"/>
      <c r="FB14" s="645">
        <f>SUM(FB10:FB13)</f>
        <v>0</v>
      </c>
      <c r="FC14" s="735"/>
      <c r="FD14" s="645">
        <f>SUM(FD10:FD13)</f>
        <v>0</v>
      </c>
      <c r="FE14" s="735"/>
      <c r="FF14" s="645">
        <f>SUM(FF10:FF13)</f>
        <v>0</v>
      </c>
      <c r="FG14" s="735"/>
      <c r="FH14" s="647">
        <f>SUM(FH10:FH13)</f>
        <v>0</v>
      </c>
      <c r="FI14" s="649"/>
      <c r="FJ14" s="564"/>
      <c r="FK14" s="642"/>
      <c r="FL14" s="642"/>
      <c r="FM14" s="643" t="s">
        <v>306</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c r="GV14" s="629"/>
      <c r="GW14" s="635"/>
      <c r="GX14" s="636"/>
      <c r="GY14" s="637"/>
      <c r="GZ14" s="638"/>
      <c r="HA14" s="639">
        <v>0</v>
      </c>
      <c r="HB14" s="640"/>
      <c r="HC14" s="530"/>
      <c r="HD14" s="1278"/>
      <c r="HE14" s="415"/>
      <c r="HF14" s="415"/>
      <c r="HG14" s="415"/>
    </row>
    <row r="15" spans="1:353" ht="24" customHeight="1">
      <c r="A15" s="532" t="s">
        <v>307</v>
      </c>
      <c r="B15" s="658" t="s">
        <v>290</v>
      </c>
      <c r="C15" s="659" t="s">
        <v>291</v>
      </c>
      <c r="D15" s="660" t="s">
        <v>855</v>
      </c>
      <c r="E15" s="660" t="s">
        <v>309</v>
      </c>
      <c r="F15" s="661" t="s">
        <v>310</v>
      </c>
      <c r="G15" s="662" t="s">
        <v>860</v>
      </c>
      <c r="H15" s="663" t="s">
        <v>635</v>
      </c>
      <c r="I15" s="664" t="s">
        <v>313</v>
      </c>
      <c r="J15" s="663" t="s">
        <v>635</v>
      </c>
      <c r="K15" s="664" t="s">
        <v>313</v>
      </c>
      <c r="L15" s="663" t="s">
        <v>635</v>
      </c>
      <c r="M15" s="664" t="s">
        <v>313</v>
      </c>
      <c r="N15" s="663" t="s">
        <v>635</v>
      </c>
      <c r="O15" s="664" t="s">
        <v>313</v>
      </c>
      <c r="P15" s="663" t="s">
        <v>861</v>
      </c>
      <c r="Q15" s="664" t="s">
        <v>313</v>
      </c>
      <c r="R15" s="663" t="s">
        <v>635</v>
      </c>
      <c r="S15" s="664" t="s">
        <v>313</v>
      </c>
      <c r="T15" s="663" t="s">
        <v>862</v>
      </c>
      <c r="U15" s="664" t="s">
        <v>313</v>
      </c>
      <c r="V15" s="663" t="s">
        <v>635</v>
      </c>
      <c r="W15" s="664" t="s">
        <v>313</v>
      </c>
      <c r="X15" s="663" t="s">
        <v>861</v>
      </c>
      <c r="Y15" s="664" t="s">
        <v>313</v>
      </c>
      <c r="Z15" s="663" t="s">
        <v>861</v>
      </c>
      <c r="AA15" s="664" t="s">
        <v>313</v>
      </c>
      <c r="AB15" s="663" t="s">
        <v>862</v>
      </c>
      <c r="AC15" s="664" t="s">
        <v>313</v>
      </c>
      <c r="AD15" s="663" t="s">
        <v>861</v>
      </c>
      <c r="AE15" s="664" t="s">
        <v>313</v>
      </c>
      <c r="AF15" s="663" t="s">
        <v>635</v>
      </c>
      <c r="AG15" s="664" t="s">
        <v>313</v>
      </c>
      <c r="AH15" s="663" t="s">
        <v>635</v>
      </c>
      <c r="AI15" s="664" t="s">
        <v>313</v>
      </c>
      <c r="AJ15" s="663" t="s">
        <v>635</v>
      </c>
      <c r="AK15" s="664" t="s">
        <v>313</v>
      </c>
      <c r="AL15" s="663" t="s">
        <v>862</v>
      </c>
      <c r="AM15" s="664" t="s">
        <v>313</v>
      </c>
      <c r="AN15" s="663" t="s">
        <v>635</v>
      </c>
      <c r="AO15" s="664" t="s">
        <v>313</v>
      </c>
      <c r="AP15" s="663" t="s">
        <v>635</v>
      </c>
      <c r="AQ15" s="664" t="s">
        <v>313</v>
      </c>
      <c r="AR15" s="663" t="s">
        <v>635</v>
      </c>
      <c r="AS15" s="664" t="s">
        <v>313</v>
      </c>
      <c r="AT15" s="663" t="s">
        <v>635</v>
      </c>
      <c r="AU15" s="664" t="s">
        <v>313</v>
      </c>
      <c r="AV15" s="663" t="s">
        <v>635</v>
      </c>
      <c r="AW15" s="664" t="s">
        <v>313</v>
      </c>
      <c r="AX15" s="663" t="s">
        <v>861</v>
      </c>
      <c r="AY15" s="664" t="s">
        <v>313</v>
      </c>
      <c r="AZ15" s="663" t="s">
        <v>861</v>
      </c>
      <c r="BA15" s="664" t="s">
        <v>313</v>
      </c>
      <c r="BB15" s="665" t="s">
        <v>316</v>
      </c>
      <c r="BC15" s="666"/>
      <c r="BD15" s="532" t="s">
        <v>307</v>
      </c>
      <c r="BE15" s="658" t="s">
        <v>290</v>
      </c>
      <c r="BF15" s="659" t="s">
        <v>291</v>
      </c>
      <c r="BG15" s="660" t="s">
        <v>855</v>
      </c>
      <c r="BH15" s="660" t="s">
        <v>309</v>
      </c>
      <c r="BI15" s="661" t="s">
        <v>310</v>
      </c>
      <c r="BJ15" s="662" t="s">
        <v>634</v>
      </c>
      <c r="BK15" s="663" t="s">
        <v>635</v>
      </c>
      <c r="BL15" s="664" t="s">
        <v>313</v>
      </c>
      <c r="BM15" s="663" t="s">
        <v>635</v>
      </c>
      <c r="BN15" s="664" t="s">
        <v>313</v>
      </c>
      <c r="BO15" s="663" t="s">
        <v>862</v>
      </c>
      <c r="BP15" s="664" t="s">
        <v>313</v>
      </c>
      <c r="BQ15" s="663" t="s">
        <v>861</v>
      </c>
      <c r="BR15" s="664" t="s">
        <v>313</v>
      </c>
      <c r="BS15" s="663" t="s">
        <v>861</v>
      </c>
      <c r="BT15" s="664" t="s">
        <v>313</v>
      </c>
      <c r="BU15" s="663" t="s">
        <v>635</v>
      </c>
      <c r="BV15" s="664" t="s">
        <v>313</v>
      </c>
      <c r="BW15" s="663" t="s">
        <v>635</v>
      </c>
      <c r="BX15" s="664" t="s">
        <v>313</v>
      </c>
      <c r="BY15" s="663" t="s">
        <v>635</v>
      </c>
      <c r="BZ15" s="664" t="s">
        <v>313</v>
      </c>
      <c r="CA15" s="663" t="s">
        <v>861</v>
      </c>
      <c r="CB15" s="664" t="s">
        <v>313</v>
      </c>
      <c r="CC15" s="663" t="s">
        <v>635</v>
      </c>
      <c r="CD15" s="664" t="s">
        <v>313</v>
      </c>
      <c r="CE15" s="663" t="s">
        <v>635</v>
      </c>
      <c r="CF15" s="664" t="s">
        <v>313</v>
      </c>
      <c r="CG15" s="663" t="s">
        <v>635</v>
      </c>
      <c r="CH15" s="664" t="s">
        <v>313</v>
      </c>
      <c r="CI15" s="663" t="s">
        <v>635</v>
      </c>
      <c r="CJ15" s="664" t="s">
        <v>313</v>
      </c>
      <c r="CK15" s="663" t="s">
        <v>635</v>
      </c>
      <c r="CL15" s="664" t="s">
        <v>313</v>
      </c>
      <c r="CM15" s="663" t="s">
        <v>635</v>
      </c>
      <c r="CN15" s="664" t="s">
        <v>313</v>
      </c>
      <c r="CO15" s="663" t="s">
        <v>861</v>
      </c>
      <c r="CP15" s="664" t="s">
        <v>313</v>
      </c>
      <c r="CQ15" s="663" t="s">
        <v>635</v>
      </c>
      <c r="CR15" s="664" t="s">
        <v>313</v>
      </c>
      <c r="CS15" s="663" t="s">
        <v>635</v>
      </c>
      <c r="CT15" s="664" t="s">
        <v>313</v>
      </c>
      <c r="CU15" s="663" t="s">
        <v>635</v>
      </c>
      <c r="CV15" s="664" t="s">
        <v>313</v>
      </c>
      <c r="CW15" s="663" t="s">
        <v>862</v>
      </c>
      <c r="CX15" s="664" t="s">
        <v>313</v>
      </c>
      <c r="CY15" s="663" t="s">
        <v>862</v>
      </c>
      <c r="CZ15" s="664" t="s">
        <v>313</v>
      </c>
      <c r="DA15" s="663" t="s">
        <v>861</v>
      </c>
      <c r="DB15" s="664" t="s">
        <v>313</v>
      </c>
      <c r="DC15" s="663" t="s">
        <v>862</v>
      </c>
      <c r="DD15" s="664" t="s">
        <v>313</v>
      </c>
      <c r="DE15" s="665" t="s">
        <v>316</v>
      </c>
      <c r="DF15" s="666"/>
      <c r="DG15" s="532" t="s">
        <v>307</v>
      </c>
      <c r="DH15" s="667" t="s">
        <v>290</v>
      </c>
      <c r="DI15" s="668" t="s">
        <v>291</v>
      </c>
      <c r="DJ15" s="669" t="s">
        <v>633</v>
      </c>
      <c r="DK15" s="669" t="s">
        <v>309</v>
      </c>
      <c r="DL15" s="670" t="s">
        <v>310</v>
      </c>
      <c r="DM15" s="662" t="s">
        <v>634</v>
      </c>
      <c r="DN15" s="663" t="s">
        <v>861</v>
      </c>
      <c r="DO15" s="664" t="s">
        <v>313</v>
      </c>
      <c r="DP15" s="663" t="s">
        <v>635</v>
      </c>
      <c r="DQ15" s="664" t="s">
        <v>313</v>
      </c>
      <c r="DR15" s="663" t="s">
        <v>635</v>
      </c>
      <c r="DS15" s="664" t="s">
        <v>313</v>
      </c>
      <c r="DT15" s="663" t="s">
        <v>861</v>
      </c>
      <c r="DU15" s="664" t="s">
        <v>313</v>
      </c>
      <c r="DV15" s="663" t="s">
        <v>635</v>
      </c>
      <c r="DW15" s="664" t="s">
        <v>313</v>
      </c>
      <c r="DX15" s="663" t="s">
        <v>635</v>
      </c>
      <c r="DY15" s="664" t="s">
        <v>313</v>
      </c>
      <c r="DZ15" s="663" t="s">
        <v>861</v>
      </c>
      <c r="EA15" s="664" t="s">
        <v>313</v>
      </c>
      <c r="EB15" s="663" t="s">
        <v>635</v>
      </c>
      <c r="EC15" s="664" t="s">
        <v>313</v>
      </c>
      <c r="ED15" s="663" t="s">
        <v>861</v>
      </c>
      <c r="EE15" s="664" t="s">
        <v>313</v>
      </c>
      <c r="EF15" s="663" t="s">
        <v>635</v>
      </c>
      <c r="EG15" s="664" t="s">
        <v>313</v>
      </c>
      <c r="EH15" s="663" t="s">
        <v>862</v>
      </c>
      <c r="EI15" s="664" t="s">
        <v>313</v>
      </c>
      <c r="EJ15" s="663" t="s">
        <v>861</v>
      </c>
      <c r="EK15" s="664" t="s">
        <v>313</v>
      </c>
      <c r="EL15" s="663" t="s">
        <v>635</v>
      </c>
      <c r="EM15" s="664" t="s">
        <v>313</v>
      </c>
      <c r="EN15" s="663" t="s">
        <v>861</v>
      </c>
      <c r="EO15" s="664" t="s">
        <v>313</v>
      </c>
      <c r="EP15" s="663" t="s">
        <v>862</v>
      </c>
      <c r="EQ15" s="664" t="s">
        <v>313</v>
      </c>
      <c r="ER15" s="663" t="s">
        <v>861</v>
      </c>
      <c r="ES15" s="664" t="s">
        <v>313</v>
      </c>
      <c r="ET15" s="663" t="s">
        <v>862</v>
      </c>
      <c r="EU15" s="664" t="s">
        <v>313</v>
      </c>
      <c r="EV15" s="663" t="s">
        <v>862</v>
      </c>
      <c r="EW15" s="664" t="s">
        <v>313</v>
      </c>
      <c r="EX15" s="663" t="s">
        <v>635</v>
      </c>
      <c r="EY15" s="664" t="s">
        <v>313</v>
      </c>
      <c r="EZ15" s="663" t="s">
        <v>862</v>
      </c>
      <c r="FA15" s="664" t="s">
        <v>313</v>
      </c>
      <c r="FB15" s="663" t="s">
        <v>862</v>
      </c>
      <c r="FC15" s="664" t="s">
        <v>313</v>
      </c>
      <c r="FD15" s="663" t="s">
        <v>861</v>
      </c>
      <c r="FE15" s="664" t="s">
        <v>313</v>
      </c>
      <c r="FF15" s="663" t="s">
        <v>635</v>
      </c>
      <c r="FG15" s="664" t="s">
        <v>313</v>
      </c>
      <c r="FH15" s="665" t="s">
        <v>316</v>
      </c>
      <c r="FI15" s="671"/>
      <c r="FJ15" s="542" t="s">
        <v>307</v>
      </c>
      <c r="FK15" s="658" t="s">
        <v>290</v>
      </c>
      <c r="FL15" s="659" t="s">
        <v>291</v>
      </c>
      <c r="FM15" s="660" t="s">
        <v>863</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353" ht="20.100000000000001" customHeight="1">
      <c r="A16" s="552"/>
      <c r="B16" s="554" t="s">
        <v>219</v>
      </c>
      <c r="C16" s="679" t="s">
        <v>72</v>
      </c>
      <c r="D16" s="555">
        <v>25.74</v>
      </c>
      <c r="E16" s="680">
        <v>0.64</v>
      </c>
      <c r="F16" s="681"/>
      <c r="G16" s="682">
        <v>0</v>
      </c>
      <c r="H16" s="559">
        <f>ROUND(25.74*0.64*0,0)</f>
        <v>0</v>
      </c>
      <c r="I16" s="683">
        <v>0</v>
      </c>
      <c r="J16" s="559">
        <f>ROUND(25.74*0.64*0,0)</f>
        <v>0</v>
      </c>
      <c r="K16" s="683">
        <v>0</v>
      </c>
      <c r="L16" s="559">
        <f>ROUND(25.74*0.64*0,0)</f>
        <v>0</v>
      </c>
      <c r="M16" s="683">
        <v>0</v>
      </c>
      <c r="N16" s="559">
        <f>ROUND(25.74*0.64*0,0)</f>
        <v>0</v>
      </c>
      <c r="O16" s="683">
        <v>0</v>
      </c>
      <c r="P16" s="559">
        <f>ROUND(25.74*0.64*0,0)</f>
        <v>0</v>
      </c>
      <c r="Q16" s="683">
        <v>0</v>
      </c>
      <c r="R16" s="559">
        <f>ROUND(25.74*0.64*0,0)</f>
        <v>0</v>
      </c>
      <c r="S16" s="683">
        <v>0</v>
      </c>
      <c r="T16" s="559">
        <f>ROUND(25.74*0.64*0,0)</f>
        <v>0</v>
      </c>
      <c r="U16" s="683">
        <v>0</v>
      </c>
      <c r="V16" s="559">
        <f>ROUND(25.74*0.64*0,0)</f>
        <v>0</v>
      </c>
      <c r="W16" s="683">
        <v>3.1</v>
      </c>
      <c r="X16" s="559">
        <f>ROUND(25.74*0.64*3.1,0)</f>
        <v>51</v>
      </c>
      <c r="Y16" s="683">
        <v>4.9000000000000004</v>
      </c>
      <c r="Z16" s="559">
        <f>ROUND(25.74*0.64*4.9,0)</f>
        <v>81</v>
      </c>
      <c r="AA16" s="683">
        <v>7.1</v>
      </c>
      <c r="AB16" s="559">
        <f>ROUND(25.74*0.64*7.1,0)</f>
        <v>117</v>
      </c>
      <c r="AC16" s="683">
        <v>9.5</v>
      </c>
      <c r="AD16" s="559">
        <f>ROUND(25.74*0.64*9.5,0)</f>
        <v>156</v>
      </c>
      <c r="AE16" s="683">
        <v>11.7</v>
      </c>
      <c r="AF16" s="559">
        <f>ROUND(25.74*0.64*11.7,0)</f>
        <v>193</v>
      </c>
      <c r="AG16" s="683">
        <v>13.5</v>
      </c>
      <c r="AH16" s="559">
        <f>ROUND(25.74*0.64*13.5,0)</f>
        <v>222</v>
      </c>
      <c r="AI16" s="683">
        <v>14.3</v>
      </c>
      <c r="AJ16" s="559">
        <f>ROUND(25.74*0.64*14.3,0)</f>
        <v>236</v>
      </c>
      <c r="AK16" s="683">
        <v>14</v>
      </c>
      <c r="AL16" s="559">
        <f>ROUND(25.74*0.64*14,0)</f>
        <v>231</v>
      </c>
      <c r="AM16" s="683">
        <v>12.7</v>
      </c>
      <c r="AN16" s="559">
        <f>ROUND(25.74*0.64*12.7,0)</f>
        <v>209</v>
      </c>
      <c r="AO16" s="683">
        <v>10.6</v>
      </c>
      <c r="AP16" s="559">
        <f>ROUND(25.74*0.64*10.6,0)</f>
        <v>175</v>
      </c>
      <c r="AQ16" s="683">
        <v>0</v>
      </c>
      <c r="AR16" s="559">
        <f>ROUND(25.74*0.64*0,0)</f>
        <v>0</v>
      </c>
      <c r="AS16" s="683">
        <v>0</v>
      </c>
      <c r="AT16" s="559">
        <f>ROUND(25.74*0.64*0,0)</f>
        <v>0</v>
      </c>
      <c r="AU16" s="683">
        <v>0</v>
      </c>
      <c r="AV16" s="559">
        <f>ROUND(25.74*0.64*0,0)</f>
        <v>0</v>
      </c>
      <c r="AW16" s="683">
        <v>0</v>
      </c>
      <c r="AX16" s="559">
        <f>ROUND(25.74*0.64*0,0)</f>
        <v>0</v>
      </c>
      <c r="AY16" s="683">
        <v>0</v>
      </c>
      <c r="AZ16" s="559">
        <f>ROUND(25.74*0.64*0,0)</f>
        <v>0</v>
      </c>
      <c r="BA16" s="683">
        <v>0</v>
      </c>
      <c r="BB16" s="684">
        <f>ROUND(25.74*0.64*0,0)</f>
        <v>0</v>
      </c>
      <c r="BC16" s="562"/>
      <c r="BD16" s="552"/>
      <c r="BE16" s="554" t="s">
        <v>219</v>
      </c>
      <c r="BF16" s="679" t="s">
        <v>72</v>
      </c>
      <c r="BG16" s="555">
        <v>25.74</v>
      </c>
      <c r="BH16" s="680">
        <v>0.64</v>
      </c>
      <c r="BI16" s="681"/>
      <c r="BJ16" s="682">
        <v>0</v>
      </c>
      <c r="BK16" s="559">
        <f>ROUND(25.74*0.64*0,0)</f>
        <v>0</v>
      </c>
      <c r="BL16" s="683">
        <v>0</v>
      </c>
      <c r="BM16" s="559">
        <f>ROUND(25.74*0.64*0,0)</f>
        <v>0</v>
      </c>
      <c r="BN16" s="683">
        <v>0</v>
      </c>
      <c r="BO16" s="559">
        <f>ROUND(25.74*0.64*0,0)</f>
        <v>0</v>
      </c>
      <c r="BP16" s="683">
        <v>0</v>
      </c>
      <c r="BQ16" s="559">
        <f>ROUND(25.74*0.64*0,0)</f>
        <v>0</v>
      </c>
      <c r="BR16" s="683">
        <v>0</v>
      </c>
      <c r="BS16" s="559">
        <f>ROUND(25.74*0.64*0,0)</f>
        <v>0</v>
      </c>
      <c r="BT16" s="683">
        <v>0</v>
      </c>
      <c r="BU16" s="559">
        <f>ROUND(25.74*0.64*0,0)</f>
        <v>0</v>
      </c>
      <c r="BV16" s="683">
        <v>0</v>
      </c>
      <c r="BW16" s="559">
        <f>ROUND(25.74*0.64*0,0)</f>
        <v>0</v>
      </c>
      <c r="BX16" s="683">
        <v>0</v>
      </c>
      <c r="BY16" s="559">
        <f>ROUND(25.74*0.64*0,0)</f>
        <v>0</v>
      </c>
      <c r="BZ16" s="683">
        <v>2.6</v>
      </c>
      <c r="CA16" s="559">
        <f>ROUND(25.74*0.64*2.6,0)</f>
        <v>43</v>
      </c>
      <c r="CB16" s="683">
        <v>4.4000000000000004</v>
      </c>
      <c r="CC16" s="559">
        <f>ROUND(25.74*0.64*4.4,0)</f>
        <v>72</v>
      </c>
      <c r="CD16" s="683">
        <v>6.7</v>
      </c>
      <c r="CE16" s="559">
        <f>ROUND(25.74*0.64*6.7,0)</f>
        <v>110</v>
      </c>
      <c r="CF16" s="683">
        <v>9.5</v>
      </c>
      <c r="CG16" s="559">
        <f>ROUND(25.74*0.64*9.5,0)</f>
        <v>156</v>
      </c>
      <c r="CH16" s="683">
        <v>12.2</v>
      </c>
      <c r="CI16" s="559">
        <f>ROUND(25.74*0.64*12.2,0)</f>
        <v>201</v>
      </c>
      <c r="CJ16" s="683">
        <v>14.5</v>
      </c>
      <c r="CK16" s="559">
        <f>ROUND(25.74*0.64*14.5,0)</f>
        <v>239</v>
      </c>
      <c r="CL16" s="683">
        <v>15.7</v>
      </c>
      <c r="CM16" s="559">
        <f>ROUND(25.74*0.64*15.7,0)</f>
        <v>259</v>
      </c>
      <c r="CN16" s="683">
        <v>15.8</v>
      </c>
      <c r="CO16" s="559">
        <f>ROUND(25.74*0.64*15.8,0)</f>
        <v>260</v>
      </c>
      <c r="CP16" s="683">
        <v>14.6</v>
      </c>
      <c r="CQ16" s="559">
        <f>ROUND(25.74*0.64*14.6,0)</f>
        <v>241</v>
      </c>
      <c r="CR16" s="683">
        <v>12.4</v>
      </c>
      <c r="CS16" s="559">
        <f>ROUND(25.74*0.64*12.4,0)</f>
        <v>204</v>
      </c>
      <c r="CT16" s="683">
        <v>0</v>
      </c>
      <c r="CU16" s="559">
        <f>ROUND(25.74*0.64*0,0)</f>
        <v>0</v>
      </c>
      <c r="CV16" s="683">
        <v>0</v>
      </c>
      <c r="CW16" s="559">
        <f>ROUND(25.74*0.64*0,0)</f>
        <v>0</v>
      </c>
      <c r="CX16" s="683">
        <v>0</v>
      </c>
      <c r="CY16" s="559">
        <f>ROUND(25.74*0.64*0,0)</f>
        <v>0</v>
      </c>
      <c r="CZ16" s="683">
        <v>0</v>
      </c>
      <c r="DA16" s="559">
        <f>ROUND(25.74*0.64*0,0)</f>
        <v>0</v>
      </c>
      <c r="DB16" s="683">
        <v>0</v>
      </c>
      <c r="DC16" s="559">
        <f>ROUND(25.74*0.64*0,0)</f>
        <v>0</v>
      </c>
      <c r="DD16" s="683">
        <v>0</v>
      </c>
      <c r="DE16" s="684">
        <f>ROUND(25.74*0.64*0,0)</f>
        <v>0</v>
      </c>
      <c r="DF16" s="562"/>
      <c r="DG16" s="552"/>
      <c r="DH16" s="554" t="s">
        <v>219</v>
      </c>
      <c r="DI16" s="679" t="s">
        <v>72</v>
      </c>
      <c r="DJ16" s="555">
        <v>25.74</v>
      </c>
      <c r="DK16" s="680">
        <v>0.64</v>
      </c>
      <c r="DL16" s="681"/>
      <c r="DM16" s="682">
        <v>0</v>
      </c>
      <c r="DN16" s="559">
        <f>ROUND(25.74*0.64*0,0)</f>
        <v>0</v>
      </c>
      <c r="DO16" s="683">
        <v>0</v>
      </c>
      <c r="DP16" s="559">
        <f>ROUND(25.74*0.64*0,0)</f>
        <v>0</v>
      </c>
      <c r="DQ16" s="683">
        <v>0</v>
      </c>
      <c r="DR16" s="559">
        <f>ROUND(25.74*0.64*0,0)</f>
        <v>0</v>
      </c>
      <c r="DS16" s="683">
        <v>0</v>
      </c>
      <c r="DT16" s="559">
        <f>ROUND(25.74*0.64*0,0)</f>
        <v>0</v>
      </c>
      <c r="DU16" s="683">
        <v>0</v>
      </c>
      <c r="DV16" s="559">
        <f>ROUND(25.74*0.64*0,0)</f>
        <v>0</v>
      </c>
      <c r="DW16" s="683">
        <v>0</v>
      </c>
      <c r="DX16" s="559">
        <f>ROUND(25.74*0.64*0,0)</f>
        <v>0</v>
      </c>
      <c r="DY16" s="683">
        <v>0</v>
      </c>
      <c r="DZ16" s="559">
        <f>ROUND(25.74*0.64*0,0)</f>
        <v>0</v>
      </c>
      <c r="EA16" s="683">
        <v>0</v>
      </c>
      <c r="EB16" s="559">
        <f>ROUND(25.74*0.64*0,0)</f>
        <v>0</v>
      </c>
      <c r="EC16" s="683">
        <v>0.2</v>
      </c>
      <c r="ED16" s="559">
        <f>ROUND(25.74*0.64*0.2,0)</f>
        <v>3</v>
      </c>
      <c r="EE16" s="683">
        <v>3.1</v>
      </c>
      <c r="EF16" s="559">
        <f>ROUND(25.74*0.64*3.1,0)</f>
        <v>51</v>
      </c>
      <c r="EG16" s="683">
        <v>6.9</v>
      </c>
      <c r="EH16" s="559">
        <f>ROUND(25.74*0.64*6.9,0)</f>
        <v>114</v>
      </c>
      <c r="EI16" s="683">
        <v>10.9</v>
      </c>
      <c r="EJ16" s="559">
        <f>ROUND(25.74*0.64*10.9,0)</f>
        <v>180</v>
      </c>
      <c r="EK16" s="683">
        <v>14.4</v>
      </c>
      <c r="EL16" s="559">
        <f>ROUND(25.74*0.64*14.4,0)</f>
        <v>237</v>
      </c>
      <c r="EM16" s="683">
        <v>16.899999999999999</v>
      </c>
      <c r="EN16" s="559">
        <f>ROUND(25.74*0.64*16.9,0)</f>
        <v>278</v>
      </c>
      <c r="EO16" s="683">
        <v>18.2</v>
      </c>
      <c r="EP16" s="559">
        <f>ROUND(25.74*0.64*18.2,0)</f>
        <v>300</v>
      </c>
      <c r="EQ16" s="683">
        <v>17.8</v>
      </c>
      <c r="ER16" s="559">
        <f>ROUND(25.74*0.64*17.8,0)</f>
        <v>293</v>
      </c>
      <c r="ES16" s="683">
        <v>15.7</v>
      </c>
      <c r="ET16" s="559">
        <f>ROUND(25.74*0.64*15.7,0)</f>
        <v>259</v>
      </c>
      <c r="EU16" s="683">
        <v>12.1</v>
      </c>
      <c r="EV16" s="559">
        <f>ROUND(25.74*0.64*12.1,0)</f>
        <v>199</v>
      </c>
      <c r="EW16" s="683">
        <v>0</v>
      </c>
      <c r="EX16" s="559">
        <f>ROUND(25.74*0.64*0,0)</f>
        <v>0</v>
      </c>
      <c r="EY16" s="683">
        <v>0</v>
      </c>
      <c r="EZ16" s="559">
        <f>ROUND(25.74*0.64*0,0)</f>
        <v>0</v>
      </c>
      <c r="FA16" s="683">
        <v>0</v>
      </c>
      <c r="FB16" s="559">
        <f>ROUND(25.74*0.64*0,0)</f>
        <v>0</v>
      </c>
      <c r="FC16" s="683">
        <v>0</v>
      </c>
      <c r="FD16" s="559">
        <f>ROUND(25.74*0.64*0,0)</f>
        <v>0</v>
      </c>
      <c r="FE16" s="683">
        <v>0</v>
      </c>
      <c r="FF16" s="559">
        <f>ROUND(25.74*0.64*0,0)</f>
        <v>0</v>
      </c>
      <c r="FG16" s="683">
        <v>0</v>
      </c>
      <c r="FH16" s="684">
        <f>ROUND(25.74*0.64*0,0)</f>
        <v>0</v>
      </c>
      <c r="FI16" s="563"/>
      <c r="FJ16" s="564"/>
      <c r="FK16" s="554" t="s">
        <v>219</v>
      </c>
      <c r="FL16" s="679" t="s">
        <v>72</v>
      </c>
      <c r="FM16" s="555">
        <v>25.74</v>
      </c>
      <c r="FN16" s="680">
        <v>0.64</v>
      </c>
      <c r="FO16" s="681"/>
      <c r="FP16" s="685">
        <v>9</v>
      </c>
      <c r="FQ16" s="686">
        <v>17</v>
      </c>
      <c r="FR16" s="559">
        <f>ROUND(25.74*0.64*17,0)</f>
        <v>280</v>
      </c>
      <c r="FS16" s="687">
        <v>9</v>
      </c>
      <c r="FT16" s="686">
        <v>17.5</v>
      </c>
      <c r="FU16" s="567">
        <f>ROUND(25.74*0.64*17.5,0)</f>
        <v>288</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229</v>
      </c>
      <c r="C17" s="691" t="s">
        <v>72</v>
      </c>
      <c r="D17" s="583">
        <v>10.8</v>
      </c>
      <c r="E17" s="692" t="s">
        <v>867</v>
      </c>
      <c r="F17" s="693"/>
      <c r="G17" s="694">
        <v>0</v>
      </c>
      <c r="H17" s="587">
        <f>ROUND(10.8*4.2*0,0)</f>
        <v>0</v>
      </c>
      <c r="I17" s="695">
        <v>0</v>
      </c>
      <c r="J17" s="587">
        <f>ROUND(10.8*4.2*0,0)</f>
        <v>0</v>
      </c>
      <c r="K17" s="695">
        <v>0</v>
      </c>
      <c r="L17" s="587">
        <f>ROUND(10.8*4.2*0,0)</f>
        <v>0</v>
      </c>
      <c r="M17" s="695">
        <v>0</v>
      </c>
      <c r="N17" s="587">
        <f>ROUND(10.8*4.2*0,0)</f>
        <v>0</v>
      </c>
      <c r="O17" s="695">
        <v>0</v>
      </c>
      <c r="P17" s="587">
        <f>ROUND(10.8*4.2*0,0)</f>
        <v>0</v>
      </c>
      <c r="Q17" s="695">
        <v>0</v>
      </c>
      <c r="R17" s="587">
        <f>ROUND(10.8*4.2*0,0)</f>
        <v>0</v>
      </c>
      <c r="S17" s="695">
        <v>0</v>
      </c>
      <c r="T17" s="587">
        <f>ROUND(10.8*4.2*0,0)</f>
        <v>0</v>
      </c>
      <c r="U17" s="695">
        <v>0</v>
      </c>
      <c r="V17" s="587">
        <f>ROUND(10.8*4.2*0,0)</f>
        <v>0</v>
      </c>
      <c r="W17" s="695">
        <v>3.3</v>
      </c>
      <c r="X17" s="587">
        <f>ROUND(10.8*4.2*3.3,0)</f>
        <v>150</v>
      </c>
      <c r="Y17" s="695">
        <v>4.5</v>
      </c>
      <c r="Z17" s="587">
        <f>ROUND(10.8*4.2*4.5,0)</f>
        <v>204</v>
      </c>
      <c r="AA17" s="695">
        <v>5.2</v>
      </c>
      <c r="AB17" s="587">
        <f>ROUND(10.8*4.2*5.2,0)</f>
        <v>236</v>
      </c>
      <c r="AC17" s="695">
        <v>5.7</v>
      </c>
      <c r="AD17" s="587">
        <f>ROUND(10.8*4.2*5.7,0)</f>
        <v>259</v>
      </c>
      <c r="AE17" s="695">
        <v>5.9</v>
      </c>
      <c r="AF17" s="587">
        <f>ROUND(10.8*4.2*5.9,0)</f>
        <v>268</v>
      </c>
      <c r="AG17" s="695">
        <v>5.9</v>
      </c>
      <c r="AH17" s="587">
        <f>ROUND(10.8*4.2*5.9,0)</f>
        <v>268</v>
      </c>
      <c r="AI17" s="695">
        <v>5.4</v>
      </c>
      <c r="AJ17" s="587">
        <f>ROUND(10.8*4.2*5.4,0)</f>
        <v>245</v>
      </c>
      <c r="AK17" s="695">
        <v>4.9000000000000004</v>
      </c>
      <c r="AL17" s="587">
        <f>ROUND(10.8*4.2*4.9,0)</f>
        <v>222</v>
      </c>
      <c r="AM17" s="695">
        <v>4</v>
      </c>
      <c r="AN17" s="587">
        <f>ROUND(10.8*4.2*4,0)</f>
        <v>181</v>
      </c>
      <c r="AO17" s="695">
        <v>3.3</v>
      </c>
      <c r="AP17" s="587">
        <f>ROUND(10.8*4.2*3.3,0)</f>
        <v>150</v>
      </c>
      <c r="AQ17" s="695">
        <v>0</v>
      </c>
      <c r="AR17" s="587">
        <f>ROUND(10.8*4.2*0,0)</f>
        <v>0</v>
      </c>
      <c r="AS17" s="695">
        <v>0</v>
      </c>
      <c r="AT17" s="587">
        <f>ROUND(10.8*4.2*0,0)</f>
        <v>0</v>
      </c>
      <c r="AU17" s="695">
        <v>0</v>
      </c>
      <c r="AV17" s="587">
        <f>ROUND(10.8*4.2*0,0)</f>
        <v>0</v>
      </c>
      <c r="AW17" s="695">
        <v>0</v>
      </c>
      <c r="AX17" s="587">
        <f>ROUND(10.8*4.2*0,0)</f>
        <v>0</v>
      </c>
      <c r="AY17" s="695">
        <v>0</v>
      </c>
      <c r="AZ17" s="587">
        <f>ROUND(10.8*4.2*0,0)</f>
        <v>0</v>
      </c>
      <c r="BA17" s="695">
        <v>0</v>
      </c>
      <c r="BB17" s="589">
        <f>ROUND(10.8*4.2*0,0)</f>
        <v>0</v>
      </c>
      <c r="BC17" s="562"/>
      <c r="BD17" s="552"/>
      <c r="BE17" s="582" t="s">
        <v>229</v>
      </c>
      <c r="BF17" s="691" t="s">
        <v>72</v>
      </c>
      <c r="BG17" s="583">
        <v>10.8</v>
      </c>
      <c r="BH17" s="692" t="s">
        <v>867</v>
      </c>
      <c r="BI17" s="693"/>
      <c r="BJ17" s="694">
        <v>0</v>
      </c>
      <c r="BK17" s="587">
        <f>ROUND(10.8*4.2*0,0)</f>
        <v>0</v>
      </c>
      <c r="BL17" s="695">
        <v>0</v>
      </c>
      <c r="BM17" s="587">
        <f>ROUND(10.8*4.2*0,0)</f>
        <v>0</v>
      </c>
      <c r="BN17" s="695">
        <v>0</v>
      </c>
      <c r="BO17" s="587">
        <f>ROUND(10.8*4.2*0,0)</f>
        <v>0</v>
      </c>
      <c r="BP17" s="695">
        <v>0</v>
      </c>
      <c r="BQ17" s="587">
        <f>ROUND(10.8*4.2*0,0)</f>
        <v>0</v>
      </c>
      <c r="BR17" s="695">
        <v>0</v>
      </c>
      <c r="BS17" s="587">
        <f>ROUND(10.8*4.2*0,0)</f>
        <v>0</v>
      </c>
      <c r="BT17" s="695">
        <v>0</v>
      </c>
      <c r="BU17" s="587">
        <f>ROUND(10.8*4.2*0,0)</f>
        <v>0</v>
      </c>
      <c r="BV17" s="695">
        <v>0</v>
      </c>
      <c r="BW17" s="587">
        <f>ROUND(10.8*4.2*0,0)</f>
        <v>0</v>
      </c>
      <c r="BX17" s="695">
        <v>0</v>
      </c>
      <c r="BY17" s="587">
        <f>ROUND(10.8*4.2*0,0)</f>
        <v>0</v>
      </c>
      <c r="BZ17" s="695">
        <v>3.1</v>
      </c>
      <c r="CA17" s="587">
        <f>ROUND(10.8*4.2*3.1,0)</f>
        <v>141</v>
      </c>
      <c r="CB17" s="695">
        <v>4.0999999999999996</v>
      </c>
      <c r="CC17" s="587">
        <f>ROUND(10.8*4.2*4.1,0)</f>
        <v>186</v>
      </c>
      <c r="CD17" s="695">
        <v>5</v>
      </c>
      <c r="CE17" s="587">
        <f>ROUND(10.8*4.2*5,0)</f>
        <v>227</v>
      </c>
      <c r="CF17" s="695">
        <v>5.4</v>
      </c>
      <c r="CG17" s="587">
        <f>ROUND(10.8*4.2*5.4,0)</f>
        <v>245</v>
      </c>
      <c r="CH17" s="695">
        <v>5.6</v>
      </c>
      <c r="CI17" s="587">
        <f>ROUND(10.8*4.2*5.6,0)</f>
        <v>254</v>
      </c>
      <c r="CJ17" s="695">
        <v>5.4</v>
      </c>
      <c r="CK17" s="587">
        <f>ROUND(10.8*4.2*5.4,0)</f>
        <v>245</v>
      </c>
      <c r="CL17" s="695">
        <v>4.9000000000000004</v>
      </c>
      <c r="CM17" s="587">
        <f>ROUND(10.8*4.2*4.9,0)</f>
        <v>222</v>
      </c>
      <c r="CN17" s="695">
        <v>4.5</v>
      </c>
      <c r="CO17" s="587">
        <f>ROUND(10.8*4.2*4.5,0)</f>
        <v>204</v>
      </c>
      <c r="CP17" s="695">
        <v>4</v>
      </c>
      <c r="CQ17" s="587">
        <f>ROUND(10.8*4.2*4,0)</f>
        <v>181</v>
      </c>
      <c r="CR17" s="695">
        <v>3.1</v>
      </c>
      <c r="CS17" s="587">
        <f>ROUND(10.8*4.2*3.1,0)</f>
        <v>141</v>
      </c>
      <c r="CT17" s="695">
        <v>0</v>
      </c>
      <c r="CU17" s="587">
        <f>ROUND(10.8*4.2*0,0)</f>
        <v>0</v>
      </c>
      <c r="CV17" s="695">
        <v>0</v>
      </c>
      <c r="CW17" s="587">
        <f>ROUND(10.8*4.2*0,0)</f>
        <v>0</v>
      </c>
      <c r="CX17" s="695">
        <v>0</v>
      </c>
      <c r="CY17" s="587">
        <f>ROUND(10.8*4.2*0,0)</f>
        <v>0</v>
      </c>
      <c r="CZ17" s="695">
        <v>0</v>
      </c>
      <c r="DA17" s="587">
        <f>ROUND(10.8*4.2*0,0)</f>
        <v>0</v>
      </c>
      <c r="DB17" s="695">
        <v>0</v>
      </c>
      <c r="DC17" s="587">
        <f>ROUND(10.8*4.2*0,0)</f>
        <v>0</v>
      </c>
      <c r="DD17" s="695">
        <v>0</v>
      </c>
      <c r="DE17" s="589">
        <f>ROUND(10.8*4.2*0,0)</f>
        <v>0</v>
      </c>
      <c r="DF17" s="562"/>
      <c r="DG17" s="552"/>
      <c r="DH17" s="582" t="s">
        <v>229</v>
      </c>
      <c r="DI17" s="691" t="s">
        <v>72</v>
      </c>
      <c r="DJ17" s="583">
        <v>10.8</v>
      </c>
      <c r="DK17" s="692" t="s">
        <v>867</v>
      </c>
      <c r="DL17" s="693"/>
      <c r="DM17" s="694">
        <v>0</v>
      </c>
      <c r="DN17" s="587">
        <f>ROUND(10.8*4.2*0,0)</f>
        <v>0</v>
      </c>
      <c r="DO17" s="695">
        <v>0</v>
      </c>
      <c r="DP17" s="587">
        <f>ROUND(10.8*4.2*0,0)</f>
        <v>0</v>
      </c>
      <c r="DQ17" s="695">
        <v>0</v>
      </c>
      <c r="DR17" s="587">
        <f>ROUND(10.8*4.2*0,0)</f>
        <v>0</v>
      </c>
      <c r="DS17" s="695">
        <v>0</v>
      </c>
      <c r="DT17" s="587">
        <f>ROUND(10.8*4.2*0,0)</f>
        <v>0</v>
      </c>
      <c r="DU17" s="695">
        <v>0</v>
      </c>
      <c r="DV17" s="587">
        <f>ROUND(10.8*4.2*0,0)</f>
        <v>0</v>
      </c>
      <c r="DW17" s="695">
        <v>0</v>
      </c>
      <c r="DX17" s="587">
        <f>ROUND(10.8*4.2*0,0)</f>
        <v>0</v>
      </c>
      <c r="DY17" s="695">
        <v>0</v>
      </c>
      <c r="DZ17" s="587">
        <f>ROUND(10.8*4.2*0,0)</f>
        <v>0</v>
      </c>
      <c r="EA17" s="695">
        <v>0</v>
      </c>
      <c r="EB17" s="587">
        <f>ROUND(10.8*4.2*0,0)</f>
        <v>0</v>
      </c>
      <c r="EC17" s="695">
        <v>0.80000000000000104</v>
      </c>
      <c r="ED17" s="587">
        <f>ROUND(10.8*4.2*0.800000000000001,0)</f>
        <v>36</v>
      </c>
      <c r="EE17" s="695">
        <v>2.1</v>
      </c>
      <c r="EF17" s="587">
        <f>ROUND(10.8*4.2*2.1,0)</f>
        <v>95</v>
      </c>
      <c r="EG17" s="695">
        <v>2.9</v>
      </c>
      <c r="EH17" s="587">
        <f>ROUND(10.8*4.2*2.9,0)</f>
        <v>132</v>
      </c>
      <c r="EI17" s="695">
        <v>3.6</v>
      </c>
      <c r="EJ17" s="587">
        <f>ROUND(10.8*4.2*3.6,0)</f>
        <v>163</v>
      </c>
      <c r="EK17" s="695">
        <v>3.8</v>
      </c>
      <c r="EL17" s="587">
        <f>ROUND(10.8*4.2*3.8,0)</f>
        <v>172</v>
      </c>
      <c r="EM17" s="695">
        <v>3.5</v>
      </c>
      <c r="EN17" s="587">
        <f>ROUND(10.8*4.2*3.5,0)</f>
        <v>159</v>
      </c>
      <c r="EO17" s="695">
        <v>3.1</v>
      </c>
      <c r="EP17" s="587">
        <f>ROUND(10.8*4.2*3.1,0)</f>
        <v>141</v>
      </c>
      <c r="EQ17" s="695">
        <v>2.7</v>
      </c>
      <c r="ER17" s="587">
        <f>ROUND(10.8*4.2*2.7,0)</f>
        <v>122</v>
      </c>
      <c r="ES17" s="695">
        <v>1.7</v>
      </c>
      <c r="ET17" s="587">
        <f>ROUND(10.8*4.2*1.7,0)</f>
        <v>77</v>
      </c>
      <c r="EU17" s="695">
        <v>0.69999999999999896</v>
      </c>
      <c r="EV17" s="587">
        <f>ROUND(10.8*4.2*0.699999999999999,0)</f>
        <v>32</v>
      </c>
      <c r="EW17" s="695">
        <v>0</v>
      </c>
      <c r="EX17" s="587">
        <f>ROUND(10.8*4.2*0,0)</f>
        <v>0</v>
      </c>
      <c r="EY17" s="695">
        <v>0</v>
      </c>
      <c r="EZ17" s="587">
        <f>ROUND(10.8*4.2*0,0)</f>
        <v>0</v>
      </c>
      <c r="FA17" s="695">
        <v>0</v>
      </c>
      <c r="FB17" s="587">
        <f>ROUND(10.8*4.2*0,0)</f>
        <v>0</v>
      </c>
      <c r="FC17" s="695">
        <v>0</v>
      </c>
      <c r="FD17" s="587">
        <f>ROUND(10.8*4.2*0,0)</f>
        <v>0</v>
      </c>
      <c r="FE17" s="695">
        <v>0</v>
      </c>
      <c r="FF17" s="587">
        <f>ROUND(10.8*4.2*0,0)</f>
        <v>0</v>
      </c>
      <c r="FG17" s="695">
        <v>0</v>
      </c>
      <c r="FH17" s="589">
        <f>ROUND(10.8*4.2*0,0)</f>
        <v>0</v>
      </c>
      <c r="FI17" s="563"/>
      <c r="FJ17" s="564"/>
      <c r="FK17" s="582" t="s">
        <v>229</v>
      </c>
      <c r="FL17" s="691" t="s">
        <v>72</v>
      </c>
      <c r="FM17" s="583">
        <v>10.8</v>
      </c>
      <c r="FN17" s="692" t="s">
        <v>867</v>
      </c>
      <c r="FO17" s="693"/>
      <c r="FP17" s="696">
        <v>9</v>
      </c>
      <c r="FQ17" s="697">
        <v>17</v>
      </c>
      <c r="FR17" s="587">
        <f>ROUND(10.8*4.2*17,0)</f>
        <v>771</v>
      </c>
      <c r="FS17" s="698">
        <v>9</v>
      </c>
      <c r="FT17" s="697">
        <v>17.5</v>
      </c>
      <c r="FU17" s="592">
        <f>ROUND(10.8*4.2*17.5,0)</f>
        <v>794</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250</v>
      </c>
      <c r="C18" s="691"/>
      <c r="D18" s="583">
        <v>7.28</v>
      </c>
      <c r="E18" s="692">
        <v>2.35</v>
      </c>
      <c r="F18" s="693"/>
      <c r="G18" s="694">
        <v>0</v>
      </c>
      <c r="H18" s="587">
        <f>ROUND(7.28*2.35*0,0)</f>
        <v>0</v>
      </c>
      <c r="I18" s="695">
        <v>0</v>
      </c>
      <c r="J18" s="587">
        <f>ROUND(7.28*2.35*0,0)</f>
        <v>0</v>
      </c>
      <c r="K18" s="695">
        <v>0</v>
      </c>
      <c r="L18" s="587">
        <f>ROUND(7.28*2.35*0,0)</f>
        <v>0</v>
      </c>
      <c r="M18" s="695">
        <v>0</v>
      </c>
      <c r="N18" s="587">
        <f>ROUND(7.28*2.35*0,0)</f>
        <v>0</v>
      </c>
      <c r="O18" s="695">
        <v>0</v>
      </c>
      <c r="P18" s="587">
        <f>ROUND(7.28*2.35*0,0)</f>
        <v>0</v>
      </c>
      <c r="Q18" s="695">
        <v>0</v>
      </c>
      <c r="R18" s="587">
        <f>ROUND(7.28*2.35*0,0)</f>
        <v>0</v>
      </c>
      <c r="S18" s="695">
        <v>0</v>
      </c>
      <c r="T18" s="587">
        <f>ROUND(7.28*2.35*0,0)</f>
        <v>0</v>
      </c>
      <c r="U18" s="695">
        <v>0</v>
      </c>
      <c r="V18" s="587">
        <f>ROUND(7.28*2.35*0,0)</f>
        <v>0</v>
      </c>
      <c r="W18" s="695">
        <v>1</v>
      </c>
      <c r="X18" s="587">
        <f>ROUND(7.28*2.35*1,0)</f>
        <v>17</v>
      </c>
      <c r="Y18" s="695">
        <v>1.3</v>
      </c>
      <c r="Z18" s="587">
        <f>ROUND(7.28*2.35*1.3,0)</f>
        <v>22</v>
      </c>
      <c r="AA18" s="695">
        <v>1.6</v>
      </c>
      <c r="AB18" s="587">
        <f>ROUND(7.28*2.35*1.6,0)</f>
        <v>27</v>
      </c>
      <c r="AC18" s="695">
        <v>1.7</v>
      </c>
      <c r="AD18" s="587">
        <f>ROUND(7.28*2.35*1.7,0)</f>
        <v>29</v>
      </c>
      <c r="AE18" s="695">
        <v>1.8</v>
      </c>
      <c r="AF18" s="587">
        <f>ROUND(7.28*2.35*1.8,0)</f>
        <v>31</v>
      </c>
      <c r="AG18" s="695">
        <v>1.8</v>
      </c>
      <c r="AH18" s="587">
        <f>ROUND(7.28*2.35*1.8,0)</f>
        <v>31</v>
      </c>
      <c r="AI18" s="695">
        <v>1.6</v>
      </c>
      <c r="AJ18" s="587">
        <f>ROUND(7.28*2.35*1.6,0)</f>
        <v>27</v>
      </c>
      <c r="AK18" s="695">
        <v>1.5</v>
      </c>
      <c r="AL18" s="587">
        <f>ROUND(7.28*2.35*1.5,0)</f>
        <v>26</v>
      </c>
      <c r="AM18" s="695">
        <v>1.2</v>
      </c>
      <c r="AN18" s="587">
        <f>ROUND(7.28*2.35*1.2,0)</f>
        <v>21</v>
      </c>
      <c r="AO18" s="695">
        <v>1</v>
      </c>
      <c r="AP18" s="587">
        <f>ROUND(7.28*2.35*1,0)</f>
        <v>17</v>
      </c>
      <c r="AQ18" s="695">
        <v>0</v>
      </c>
      <c r="AR18" s="587">
        <f>ROUND(7.28*2.35*0,0)</f>
        <v>0</v>
      </c>
      <c r="AS18" s="695">
        <v>0</v>
      </c>
      <c r="AT18" s="587">
        <f>ROUND(7.28*2.35*0,0)</f>
        <v>0</v>
      </c>
      <c r="AU18" s="695">
        <v>0</v>
      </c>
      <c r="AV18" s="587">
        <f>ROUND(7.28*2.35*0,0)</f>
        <v>0</v>
      </c>
      <c r="AW18" s="695">
        <v>0</v>
      </c>
      <c r="AX18" s="587">
        <f>ROUND(7.28*2.35*0,0)</f>
        <v>0</v>
      </c>
      <c r="AY18" s="695">
        <v>0</v>
      </c>
      <c r="AZ18" s="587">
        <f>ROUND(7.28*2.35*0,0)</f>
        <v>0</v>
      </c>
      <c r="BA18" s="695">
        <v>0</v>
      </c>
      <c r="BB18" s="589">
        <f>ROUND(7.28*2.35*0,0)</f>
        <v>0</v>
      </c>
      <c r="BC18" s="562"/>
      <c r="BD18" s="552"/>
      <c r="BE18" s="700" t="s">
        <v>250</v>
      </c>
      <c r="BF18" s="691"/>
      <c r="BG18" s="583">
        <v>7.28</v>
      </c>
      <c r="BH18" s="692">
        <v>2.35</v>
      </c>
      <c r="BI18" s="693"/>
      <c r="BJ18" s="694">
        <v>0</v>
      </c>
      <c r="BK18" s="587">
        <f>ROUND(7.28*2.35*0,0)</f>
        <v>0</v>
      </c>
      <c r="BL18" s="695">
        <v>0</v>
      </c>
      <c r="BM18" s="587">
        <f>ROUND(7.28*2.35*0,0)</f>
        <v>0</v>
      </c>
      <c r="BN18" s="695">
        <v>0</v>
      </c>
      <c r="BO18" s="587">
        <f>ROUND(7.28*2.35*0,0)</f>
        <v>0</v>
      </c>
      <c r="BP18" s="695">
        <v>0</v>
      </c>
      <c r="BQ18" s="587">
        <f>ROUND(7.28*2.35*0,0)</f>
        <v>0</v>
      </c>
      <c r="BR18" s="695">
        <v>0</v>
      </c>
      <c r="BS18" s="587">
        <f>ROUND(7.28*2.35*0,0)</f>
        <v>0</v>
      </c>
      <c r="BT18" s="695">
        <v>0</v>
      </c>
      <c r="BU18" s="587">
        <f>ROUND(7.28*2.35*0,0)</f>
        <v>0</v>
      </c>
      <c r="BV18" s="695">
        <v>0</v>
      </c>
      <c r="BW18" s="587">
        <f>ROUND(7.28*2.35*0,0)</f>
        <v>0</v>
      </c>
      <c r="BX18" s="695">
        <v>0</v>
      </c>
      <c r="BY18" s="587">
        <f>ROUND(7.28*2.35*0,0)</f>
        <v>0</v>
      </c>
      <c r="BZ18" s="695">
        <v>0.9</v>
      </c>
      <c r="CA18" s="587">
        <f>ROUND(7.28*2.35*0.9,0)</f>
        <v>15</v>
      </c>
      <c r="CB18" s="695">
        <v>1.2</v>
      </c>
      <c r="CC18" s="587">
        <f>ROUND(7.28*2.35*1.2,0)</f>
        <v>21</v>
      </c>
      <c r="CD18" s="695">
        <v>1.5</v>
      </c>
      <c r="CE18" s="587">
        <f>ROUND(7.28*2.35*1.5,0)</f>
        <v>26</v>
      </c>
      <c r="CF18" s="695">
        <v>1.6</v>
      </c>
      <c r="CG18" s="587">
        <f>ROUND(7.28*2.35*1.6,0)</f>
        <v>27</v>
      </c>
      <c r="CH18" s="695">
        <v>1.7</v>
      </c>
      <c r="CI18" s="587">
        <f>ROUND(7.28*2.35*1.7,0)</f>
        <v>29</v>
      </c>
      <c r="CJ18" s="695">
        <v>1.6</v>
      </c>
      <c r="CK18" s="587">
        <f>ROUND(7.28*2.35*1.6,0)</f>
        <v>27</v>
      </c>
      <c r="CL18" s="695">
        <v>1.5</v>
      </c>
      <c r="CM18" s="587">
        <f>ROUND(7.28*2.35*1.5,0)</f>
        <v>26</v>
      </c>
      <c r="CN18" s="695">
        <v>1.3</v>
      </c>
      <c r="CO18" s="587">
        <f>ROUND(7.28*2.35*1.3,0)</f>
        <v>22</v>
      </c>
      <c r="CP18" s="695">
        <v>1.2</v>
      </c>
      <c r="CQ18" s="587">
        <f>ROUND(7.28*2.35*1.2,0)</f>
        <v>21</v>
      </c>
      <c r="CR18" s="695">
        <v>0.9</v>
      </c>
      <c r="CS18" s="587">
        <f>ROUND(7.28*2.35*0.9,0)</f>
        <v>15</v>
      </c>
      <c r="CT18" s="695">
        <v>0</v>
      </c>
      <c r="CU18" s="587">
        <f>ROUND(7.28*2.35*0,0)</f>
        <v>0</v>
      </c>
      <c r="CV18" s="695">
        <v>0</v>
      </c>
      <c r="CW18" s="587">
        <f>ROUND(7.28*2.35*0,0)</f>
        <v>0</v>
      </c>
      <c r="CX18" s="695">
        <v>0</v>
      </c>
      <c r="CY18" s="587">
        <f>ROUND(7.28*2.35*0,0)</f>
        <v>0</v>
      </c>
      <c r="CZ18" s="695">
        <v>0</v>
      </c>
      <c r="DA18" s="587">
        <f>ROUND(7.28*2.35*0,0)</f>
        <v>0</v>
      </c>
      <c r="DB18" s="695">
        <v>0</v>
      </c>
      <c r="DC18" s="587">
        <f>ROUND(7.28*2.35*0,0)</f>
        <v>0</v>
      </c>
      <c r="DD18" s="695">
        <v>0</v>
      </c>
      <c r="DE18" s="589">
        <f>ROUND(7.28*2.35*0,0)</f>
        <v>0</v>
      </c>
      <c r="DF18" s="562"/>
      <c r="DG18" s="552"/>
      <c r="DH18" s="700" t="s">
        <v>250</v>
      </c>
      <c r="DI18" s="691"/>
      <c r="DJ18" s="583">
        <v>7.28</v>
      </c>
      <c r="DK18" s="692">
        <v>2.35</v>
      </c>
      <c r="DL18" s="693"/>
      <c r="DM18" s="694">
        <v>0</v>
      </c>
      <c r="DN18" s="587">
        <f>ROUND(7.28*2.35*0,0)</f>
        <v>0</v>
      </c>
      <c r="DO18" s="695">
        <v>0</v>
      </c>
      <c r="DP18" s="587">
        <f>ROUND(7.28*2.35*0,0)</f>
        <v>0</v>
      </c>
      <c r="DQ18" s="695">
        <v>0</v>
      </c>
      <c r="DR18" s="587">
        <f>ROUND(7.28*2.35*0,0)</f>
        <v>0</v>
      </c>
      <c r="DS18" s="695">
        <v>0</v>
      </c>
      <c r="DT18" s="587">
        <f>ROUND(7.28*2.35*0,0)</f>
        <v>0</v>
      </c>
      <c r="DU18" s="695">
        <v>0</v>
      </c>
      <c r="DV18" s="587">
        <f>ROUND(7.28*2.35*0,0)</f>
        <v>0</v>
      </c>
      <c r="DW18" s="695">
        <v>0</v>
      </c>
      <c r="DX18" s="587">
        <f>ROUND(7.28*2.35*0,0)</f>
        <v>0</v>
      </c>
      <c r="DY18" s="695">
        <v>0</v>
      </c>
      <c r="DZ18" s="587">
        <f>ROUND(7.28*2.35*0,0)</f>
        <v>0</v>
      </c>
      <c r="EA18" s="695">
        <v>0</v>
      </c>
      <c r="EB18" s="587">
        <f>ROUND(7.28*2.35*0,0)</f>
        <v>0</v>
      </c>
      <c r="EC18" s="695">
        <v>0.2</v>
      </c>
      <c r="ED18" s="587">
        <f>ROUND(7.28*2.35*0.2,0)</f>
        <v>3</v>
      </c>
      <c r="EE18" s="695">
        <v>0.6</v>
      </c>
      <c r="EF18" s="587">
        <f>ROUND(7.28*2.35*0.6,0)</f>
        <v>10</v>
      </c>
      <c r="EG18" s="695">
        <v>0.9</v>
      </c>
      <c r="EH18" s="587">
        <f>ROUND(7.28*2.35*0.9,0)</f>
        <v>15</v>
      </c>
      <c r="EI18" s="695">
        <v>1.1000000000000001</v>
      </c>
      <c r="EJ18" s="587">
        <f>ROUND(7.28*2.35*1.1,0)</f>
        <v>19</v>
      </c>
      <c r="EK18" s="695">
        <v>1.1000000000000001</v>
      </c>
      <c r="EL18" s="587">
        <f>ROUND(7.28*2.35*1.1,0)</f>
        <v>19</v>
      </c>
      <c r="EM18" s="695">
        <v>1</v>
      </c>
      <c r="EN18" s="587">
        <f>ROUND(7.28*2.35*1,0)</f>
        <v>17</v>
      </c>
      <c r="EO18" s="695">
        <v>0.9</v>
      </c>
      <c r="EP18" s="587">
        <f>ROUND(7.28*2.35*0.9,0)</f>
        <v>15</v>
      </c>
      <c r="EQ18" s="695">
        <v>0.8</v>
      </c>
      <c r="ER18" s="587">
        <f>ROUND(7.28*2.35*0.8,0)</f>
        <v>14</v>
      </c>
      <c r="ES18" s="695">
        <v>0.5</v>
      </c>
      <c r="ET18" s="587">
        <f>ROUND(7.28*2.35*0.5,0)</f>
        <v>9</v>
      </c>
      <c r="EU18" s="695">
        <v>0.2</v>
      </c>
      <c r="EV18" s="587">
        <f>ROUND(7.28*2.35*0.2,0)</f>
        <v>3</v>
      </c>
      <c r="EW18" s="695">
        <v>0</v>
      </c>
      <c r="EX18" s="587">
        <f>ROUND(7.28*2.35*0,0)</f>
        <v>0</v>
      </c>
      <c r="EY18" s="695">
        <v>0</v>
      </c>
      <c r="EZ18" s="587">
        <f>ROUND(7.28*2.35*0,0)</f>
        <v>0</v>
      </c>
      <c r="FA18" s="695">
        <v>0</v>
      </c>
      <c r="FB18" s="587">
        <f>ROUND(7.28*2.35*0,0)</f>
        <v>0</v>
      </c>
      <c r="FC18" s="695">
        <v>0</v>
      </c>
      <c r="FD18" s="587">
        <f>ROUND(7.28*2.35*0,0)</f>
        <v>0</v>
      </c>
      <c r="FE18" s="695">
        <v>0</v>
      </c>
      <c r="FF18" s="587">
        <f>ROUND(7.28*2.35*0,0)</f>
        <v>0</v>
      </c>
      <c r="FG18" s="695">
        <v>0</v>
      </c>
      <c r="FH18" s="589">
        <f>ROUND(7.28*2.35*0,0)</f>
        <v>0</v>
      </c>
      <c r="FI18" s="563"/>
      <c r="FJ18" s="564"/>
      <c r="FK18" s="700" t="s">
        <v>250</v>
      </c>
      <c r="FL18" s="691"/>
      <c r="FM18" s="583">
        <v>7.28</v>
      </c>
      <c r="FN18" s="692">
        <v>2.35</v>
      </c>
      <c r="FO18" s="693"/>
      <c r="FP18" s="696">
        <v>9</v>
      </c>
      <c r="FQ18" s="697">
        <v>5.0999999999999996</v>
      </c>
      <c r="FR18" s="587">
        <f>ROUND(7.28*2.35*5.1,0)</f>
        <v>87</v>
      </c>
      <c r="FS18" s="698">
        <v>9</v>
      </c>
      <c r="FT18" s="697">
        <v>5.2</v>
      </c>
      <c r="FU18" s="592">
        <f>ROUND(7.28*2.35*5.2,0)</f>
        <v>89</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t="s">
        <v>250</v>
      </c>
      <c r="C19" s="691"/>
      <c r="D19" s="583">
        <v>19.88</v>
      </c>
      <c r="E19" s="692">
        <v>2.35</v>
      </c>
      <c r="F19" s="693"/>
      <c r="G19" s="694">
        <v>0</v>
      </c>
      <c r="H19" s="587">
        <f>ROUND(19.88*2.35*0,0)</f>
        <v>0</v>
      </c>
      <c r="I19" s="695">
        <v>0</v>
      </c>
      <c r="J19" s="587">
        <f>ROUND(19.88*2.35*0,0)</f>
        <v>0</v>
      </c>
      <c r="K19" s="695">
        <v>0</v>
      </c>
      <c r="L19" s="587">
        <f>ROUND(19.88*2.35*0,0)</f>
        <v>0</v>
      </c>
      <c r="M19" s="695">
        <v>0</v>
      </c>
      <c r="N19" s="587">
        <f>ROUND(19.88*2.35*0,0)</f>
        <v>0</v>
      </c>
      <c r="O19" s="695">
        <v>0</v>
      </c>
      <c r="P19" s="587">
        <f>ROUND(19.88*2.35*0,0)</f>
        <v>0</v>
      </c>
      <c r="Q19" s="695">
        <v>0</v>
      </c>
      <c r="R19" s="587">
        <f>ROUND(19.88*2.35*0,0)</f>
        <v>0</v>
      </c>
      <c r="S19" s="695">
        <v>0</v>
      </c>
      <c r="T19" s="587">
        <f>ROUND(19.88*2.35*0,0)</f>
        <v>0</v>
      </c>
      <c r="U19" s="695">
        <v>0</v>
      </c>
      <c r="V19" s="587">
        <f>ROUND(19.88*2.35*0,0)</f>
        <v>0</v>
      </c>
      <c r="W19" s="695">
        <v>1.3</v>
      </c>
      <c r="X19" s="587">
        <f>ROUND(19.88*2.35*1.3,0)</f>
        <v>61</v>
      </c>
      <c r="Y19" s="695">
        <v>1.8</v>
      </c>
      <c r="Z19" s="587">
        <f>ROUND(19.88*2.35*1.8,0)</f>
        <v>84</v>
      </c>
      <c r="AA19" s="695">
        <v>2.1</v>
      </c>
      <c r="AB19" s="587">
        <f>ROUND(19.88*2.35*2.1,0)</f>
        <v>98</v>
      </c>
      <c r="AC19" s="695">
        <v>2.2999999999999998</v>
      </c>
      <c r="AD19" s="587">
        <f>ROUND(19.88*2.35*2.3,0)</f>
        <v>107</v>
      </c>
      <c r="AE19" s="695">
        <v>2.4</v>
      </c>
      <c r="AF19" s="587">
        <f>ROUND(19.88*2.35*2.4,0)</f>
        <v>112</v>
      </c>
      <c r="AG19" s="695">
        <v>2.4</v>
      </c>
      <c r="AH19" s="587">
        <f>ROUND(19.88*2.35*2.4,0)</f>
        <v>112</v>
      </c>
      <c r="AI19" s="695">
        <v>2.2000000000000002</v>
      </c>
      <c r="AJ19" s="587">
        <f>ROUND(19.88*2.35*2.2,0)</f>
        <v>103</v>
      </c>
      <c r="AK19" s="695">
        <v>2</v>
      </c>
      <c r="AL19" s="587">
        <f>ROUND(19.88*2.35*2,0)</f>
        <v>93</v>
      </c>
      <c r="AM19" s="695">
        <v>1.6</v>
      </c>
      <c r="AN19" s="587">
        <f>ROUND(19.88*2.35*1.6,0)</f>
        <v>75</v>
      </c>
      <c r="AO19" s="695">
        <v>1.3</v>
      </c>
      <c r="AP19" s="587">
        <f>ROUND(19.88*2.35*1.3,0)</f>
        <v>61</v>
      </c>
      <c r="AQ19" s="695">
        <v>0</v>
      </c>
      <c r="AR19" s="587">
        <f>ROUND(19.88*2.35*0,0)</f>
        <v>0</v>
      </c>
      <c r="AS19" s="695">
        <v>0</v>
      </c>
      <c r="AT19" s="587">
        <f>ROUND(19.88*2.35*0,0)</f>
        <v>0</v>
      </c>
      <c r="AU19" s="695">
        <v>0</v>
      </c>
      <c r="AV19" s="587">
        <f>ROUND(19.88*2.35*0,0)</f>
        <v>0</v>
      </c>
      <c r="AW19" s="695">
        <v>0</v>
      </c>
      <c r="AX19" s="587">
        <f>ROUND(19.88*2.35*0,0)</f>
        <v>0</v>
      </c>
      <c r="AY19" s="695">
        <v>0</v>
      </c>
      <c r="AZ19" s="587">
        <f>ROUND(19.88*2.35*0,0)</f>
        <v>0</v>
      </c>
      <c r="BA19" s="695">
        <v>0</v>
      </c>
      <c r="BB19" s="589">
        <f>ROUND(19.88*2.35*0,0)</f>
        <v>0</v>
      </c>
      <c r="BC19" s="562"/>
      <c r="BD19" s="552"/>
      <c r="BE19" s="700" t="s">
        <v>250</v>
      </c>
      <c r="BF19" s="691"/>
      <c r="BG19" s="583">
        <v>19.88</v>
      </c>
      <c r="BH19" s="692">
        <v>2.35</v>
      </c>
      <c r="BI19" s="693"/>
      <c r="BJ19" s="694">
        <v>0</v>
      </c>
      <c r="BK19" s="587">
        <f>ROUND(19.88*2.35*0,0)</f>
        <v>0</v>
      </c>
      <c r="BL19" s="695">
        <v>0</v>
      </c>
      <c r="BM19" s="587">
        <f>ROUND(19.88*2.35*0,0)</f>
        <v>0</v>
      </c>
      <c r="BN19" s="695">
        <v>0</v>
      </c>
      <c r="BO19" s="587">
        <f>ROUND(19.88*2.35*0,0)</f>
        <v>0</v>
      </c>
      <c r="BP19" s="695">
        <v>0</v>
      </c>
      <c r="BQ19" s="587">
        <f>ROUND(19.88*2.35*0,0)</f>
        <v>0</v>
      </c>
      <c r="BR19" s="695">
        <v>0</v>
      </c>
      <c r="BS19" s="587">
        <f>ROUND(19.88*2.35*0,0)</f>
        <v>0</v>
      </c>
      <c r="BT19" s="695">
        <v>0</v>
      </c>
      <c r="BU19" s="587">
        <f>ROUND(19.88*2.35*0,0)</f>
        <v>0</v>
      </c>
      <c r="BV19" s="695">
        <v>0</v>
      </c>
      <c r="BW19" s="587">
        <f>ROUND(19.88*2.35*0,0)</f>
        <v>0</v>
      </c>
      <c r="BX19" s="695">
        <v>0</v>
      </c>
      <c r="BY19" s="587">
        <f>ROUND(19.88*2.35*0,0)</f>
        <v>0</v>
      </c>
      <c r="BZ19" s="695">
        <v>1.2</v>
      </c>
      <c r="CA19" s="587">
        <f>ROUND(19.88*2.35*1.2,0)</f>
        <v>56</v>
      </c>
      <c r="CB19" s="695">
        <v>1.6</v>
      </c>
      <c r="CC19" s="587">
        <f>ROUND(19.88*2.35*1.6,0)</f>
        <v>75</v>
      </c>
      <c r="CD19" s="695">
        <v>2</v>
      </c>
      <c r="CE19" s="587">
        <f>ROUND(19.88*2.35*2,0)</f>
        <v>93</v>
      </c>
      <c r="CF19" s="695">
        <v>2.2000000000000002</v>
      </c>
      <c r="CG19" s="587">
        <f>ROUND(19.88*2.35*2.2,0)</f>
        <v>103</v>
      </c>
      <c r="CH19" s="695">
        <v>2.2000000000000002</v>
      </c>
      <c r="CI19" s="587">
        <f>ROUND(19.88*2.35*2.2,0)</f>
        <v>103</v>
      </c>
      <c r="CJ19" s="695">
        <v>2.2000000000000002</v>
      </c>
      <c r="CK19" s="587">
        <f>ROUND(19.88*2.35*2.2,0)</f>
        <v>103</v>
      </c>
      <c r="CL19" s="695">
        <v>2</v>
      </c>
      <c r="CM19" s="587">
        <f>ROUND(19.88*2.35*2,0)</f>
        <v>93</v>
      </c>
      <c r="CN19" s="695">
        <v>1.8</v>
      </c>
      <c r="CO19" s="587">
        <f>ROUND(19.88*2.35*1.8,0)</f>
        <v>84</v>
      </c>
      <c r="CP19" s="695">
        <v>1.6</v>
      </c>
      <c r="CQ19" s="587">
        <f>ROUND(19.88*2.35*1.6,0)</f>
        <v>75</v>
      </c>
      <c r="CR19" s="695">
        <v>1.2</v>
      </c>
      <c r="CS19" s="587">
        <f>ROUND(19.88*2.35*1.2,0)</f>
        <v>56</v>
      </c>
      <c r="CT19" s="695">
        <v>0</v>
      </c>
      <c r="CU19" s="587">
        <f>ROUND(19.88*2.35*0,0)</f>
        <v>0</v>
      </c>
      <c r="CV19" s="695">
        <v>0</v>
      </c>
      <c r="CW19" s="587">
        <f>ROUND(19.88*2.35*0,0)</f>
        <v>0</v>
      </c>
      <c r="CX19" s="695">
        <v>0</v>
      </c>
      <c r="CY19" s="587">
        <f>ROUND(19.88*2.35*0,0)</f>
        <v>0</v>
      </c>
      <c r="CZ19" s="695">
        <v>0</v>
      </c>
      <c r="DA19" s="587">
        <f>ROUND(19.88*2.35*0,0)</f>
        <v>0</v>
      </c>
      <c r="DB19" s="695">
        <v>0</v>
      </c>
      <c r="DC19" s="587">
        <f>ROUND(19.88*2.35*0,0)</f>
        <v>0</v>
      </c>
      <c r="DD19" s="695">
        <v>0</v>
      </c>
      <c r="DE19" s="589">
        <f>ROUND(19.88*2.35*0,0)</f>
        <v>0</v>
      </c>
      <c r="DF19" s="562"/>
      <c r="DG19" s="552"/>
      <c r="DH19" s="700" t="s">
        <v>250</v>
      </c>
      <c r="DI19" s="691"/>
      <c r="DJ19" s="583">
        <v>19.88</v>
      </c>
      <c r="DK19" s="692">
        <v>2.35</v>
      </c>
      <c r="DL19" s="693"/>
      <c r="DM19" s="694">
        <v>0</v>
      </c>
      <c r="DN19" s="587">
        <f>ROUND(19.88*2.35*0,0)</f>
        <v>0</v>
      </c>
      <c r="DO19" s="695">
        <v>0</v>
      </c>
      <c r="DP19" s="587">
        <f>ROUND(19.88*2.35*0,0)</f>
        <v>0</v>
      </c>
      <c r="DQ19" s="695">
        <v>0</v>
      </c>
      <c r="DR19" s="587">
        <f>ROUND(19.88*2.35*0,0)</f>
        <v>0</v>
      </c>
      <c r="DS19" s="695">
        <v>0</v>
      </c>
      <c r="DT19" s="587">
        <f>ROUND(19.88*2.35*0,0)</f>
        <v>0</v>
      </c>
      <c r="DU19" s="695">
        <v>0</v>
      </c>
      <c r="DV19" s="587">
        <f>ROUND(19.88*2.35*0,0)</f>
        <v>0</v>
      </c>
      <c r="DW19" s="695">
        <v>0</v>
      </c>
      <c r="DX19" s="587">
        <f>ROUND(19.88*2.35*0,0)</f>
        <v>0</v>
      </c>
      <c r="DY19" s="695">
        <v>0</v>
      </c>
      <c r="DZ19" s="587">
        <f>ROUND(19.88*2.35*0,0)</f>
        <v>0</v>
      </c>
      <c r="EA19" s="695">
        <v>0</v>
      </c>
      <c r="EB19" s="587">
        <f>ROUND(19.88*2.35*0,0)</f>
        <v>0</v>
      </c>
      <c r="EC19" s="695">
        <v>0.3</v>
      </c>
      <c r="ED19" s="587">
        <f>ROUND(19.88*2.35*0.3,0)</f>
        <v>14</v>
      </c>
      <c r="EE19" s="695">
        <v>0.8</v>
      </c>
      <c r="EF19" s="587">
        <f>ROUND(19.88*2.35*0.8,0)</f>
        <v>37</v>
      </c>
      <c r="EG19" s="695">
        <v>1.2</v>
      </c>
      <c r="EH19" s="587">
        <f>ROUND(19.88*2.35*1.2,0)</f>
        <v>56</v>
      </c>
      <c r="EI19" s="695">
        <v>1.4</v>
      </c>
      <c r="EJ19" s="587">
        <f>ROUND(19.88*2.35*1.4,0)</f>
        <v>65</v>
      </c>
      <c r="EK19" s="695">
        <v>1.5</v>
      </c>
      <c r="EL19" s="587">
        <f>ROUND(19.88*2.35*1.5,0)</f>
        <v>70</v>
      </c>
      <c r="EM19" s="695">
        <v>1.4</v>
      </c>
      <c r="EN19" s="587">
        <f>ROUND(19.88*2.35*1.4,0)</f>
        <v>65</v>
      </c>
      <c r="EO19" s="695">
        <v>1.2</v>
      </c>
      <c r="EP19" s="587">
        <f>ROUND(19.88*2.35*1.2,0)</f>
        <v>56</v>
      </c>
      <c r="EQ19" s="695">
        <v>1.1000000000000001</v>
      </c>
      <c r="ER19" s="587">
        <f>ROUND(19.88*2.35*1.1,0)</f>
        <v>51</v>
      </c>
      <c r="ES19" s="695">
        <v>0.7</v>
      </c>
      <c r="ET19" s="587">
        <f>ROUND(19.88*2.35*0.7,0)</f>
        <v>33</v>
      </c>
      <c r="EU19" s="695">
        <v>0.3</v>
      </c>
      <c r="EV19" s="587">
        <f>ROUND(19.88*2.35*0.3,0)</f>
        <v>14</v>
      </c>
      <c r="EW19" s="695">
        <v>0</v>
      </c>
      <c r="EX19" s="587">
        <f>ROUND(19.88*2.35*0,0)</f>
        <v>0</v>
      </c>
      <c r="EY19" s="695">
        <v>0</v>
      </c>
      <c r="EZ19" s="587">
        <f>ROUND(19.88*2.35*0,0)</f>
        <v>0</v>
      </c>
      <c r="FA19" s="695">
        <v>0</v>
      </c>
      <c r="FB19" s="587">
        <f>ROUND(19.88*2.35*0,0)</f>
        <v>0</v>
      </c>
      <c r="FC19" s="695">
        <v>0</v>
      </c>
      <c r="FD19" s="587">
        <f>ROUND(19.88*2.35*0,0)</f>
        <v>0</v>
      </c>
      <c r="FE19" s="695">
        <v>0</v>
      </c>
      <c r="FF19" s="587">
        <f>ROUND(19.88*2.35*0,0)</f>
        <v>0</v>
      </c>
      <c r="FG19" s="695">
        <v>0</v>
      </c>
      <c r="FH19" s="589">
        <f>ROUND(19.88*2.35*0,0)</f>
        <v>0</v>
      </c>
      <c r="FI19" s="563"/>
      <c r="FJ19" s="564"/>
      <c r="FK19" s="700" t="s">
        <v>250</v>
      </c>
      <c r="FL19" s="691"/>
      <c r="FM19" s="583">
        <v>19.88</v>
      </c>
      <c r="FN19" s="692">
        <v>2.35</v>
      </c>
      <c r="FO19" s="693"/>
      <c r="FP19" s="696">
        <v>9</v>
      </c>
      <c r="FQ19" s="697">
        <v>6.8</v>
      </c>
      <c r="FR19" s="587">
        <f>ROUND(19.88*2.35*6.8,0)</f>
        <v>318</v>
      </c>
      <c r="FS19" s="698">
        <v>9</v>
      </c>
      <c r="FT19" s="697">
        <v>7</v>
      </c>
      <c r="FU19" s="592">
        <f>ROUND(19.88*2.35*7,0)</f>
        <v>327</v>
      </c>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t="s">
        <v>250</v>
      </c>
      <c r="C20" s="691"/>
      <c r="D20" s="583">
        <v>14.42</v>
      </c>
      <c r="E20" s="692">
        <v>2.35</v>
      </c>
      <c r="F20" s="693"/>
      <c r="G20" s="694">
        <v>0</v>
      </c>
      <c r="H20" s="587">
        <f>ROUND(14.42*2.35*0,0)</f>
        <v>0</v>
      </c>
      <c r="I20" s="695">
        <v>0</v>
      </c>
      <c r="J20" s="587">
        <f>ROUND(14.42*2.35*0,0)</f>
        <v>0</v>
      </c>
      <c r="K20" s="695">
        <v>0</v>
      </c>
      <c r="L20" s="587">
        <f>ROUND(14.42*2.35*0,0)</f>
        <v>0</v>
      </c>
      <c r="M20" s="695">
        <v>0</v>
      </c>
      <c r="N20" s="587">
        <f>ROUND(14.42*2.35*0,0)</f>
        <v>0</v>
      </c>
      <c r="O20" s="695">
        <v>0</v>
      </c>
      <c r="P20" s="587">
        <f>ROUND(14.42*2.35*0,0)</f>
        <v>0</v>
      </c>
      <c r="Q20" s="695">
        <v>0</v>
      </c>
      <c r="R20" s="587">
        <f>ROUND(14.42*2.35*0,0)</f>
        <v>0</v>
      </c>
      <c r="S20" s="695">
        <v>0</v>
      </c>
      <c r="T20" s="587">
        <f>ROUND(14.42*2.35*0,0)</f>
        <v>0</v>
      </c>
      <c r="U20" s="695">
        <v>0</v>
      </c>
      <c r="V20" s="587">
        <f>ROUND(14.42*2.35*0,0)</f>
        <v>0</v>
      </c>
      <c r="W20" s="695">
        <v>1.3</v>
      </c>
      <c r="X20" s="587">
        <f>ROUND(14.42*2.35*1.3,0)</f>
        <v>44</v>
      </c>
      <c r="Y20" s="695">
        <v>1.8</v>
      </c>
      <c r="Z20" s="587">
        <f>ROUND(14.42*2.35*1.8,0)</f>
        <v>61</v>
      </c>
      <c r="AA20" s="695">
        <v>2.1</v>
      </c>
      <c r="AB20" s="587">
        <f>ROUND(14.42*2.35*2.1,0)</f>
        <v>71</v>
      </c>
      <c r="AC20" s="695">
        <v>2.2999999999999998</v>
      </c>
      <c r="AD20" s="587">
        <f>ROUND(14.42*2.35*2.3,0)</f>
        <v>78</v>
      </c>
      <c r="AE20" s="695">
        <v>2.4</v>
      </c>
      <c r="AF20" s="587">
        <f>ROUND(14.42*2.35*2.4,0)</f>
        <v>81</v>
      </c>
      <c r="AG20" s="695">
        <v>2.4</v>
      </c>
      <c r="AH20" s="587">
        <f>ROUND(14.42*2.35*2.4,0)</f>
        <v>81</v>
      </c>
      <c r="AI20" s="695">
        <v>2.2000000000000002</v>
      </c>
      <c r="AJ20" s="587">
        <f>ROUND(14.42*2.35*2.2,0)</f>
        <v>75</v>
      </c>
      <c r="AK20" s="695">
        <v>2</v>
      </c>
      <c r="AL20" s="587">
        <f>ROUND(14.42*2.35*2,0)</f>
        <v>68</v>
      </c>
      <c r="AM20" s="695">
        <v>1.6</v>
      </c>
      <c r="AN20" s="587">
        <f>ROUND(14.42*2.35*1.6,0)</f>
        <v>54</v>
      </c>
      <c r="AO20" s="695">
        <v>1.3</v>
      </c>
      <c r="AP20" s="587">
        <f>ROUND(14.42*2.35*1.3,0)</f>
        <v>44</v>
      </c>
      <c r="AQ20" s="695">
        <v>0</v>
      </c>
      <c r="AR20" s="587">
        <f>ROUND(14.42*2.35*0,0)</f>
        <v>0</v>
      </c>
      <c r="AS20" s="695">
        <v>0</v>
      </c>
      <c r="AT20" s="587">
        <f>ROUND(14.42*2.35*0,0)</f>
        <v>0</v>
      </c>
      <c r="AU20" s="695">
        <v>0</v>
      </c>
      <c r="AV20" s="587">
        <f>ROUND(14.42*2.35*0,0)</f>
        <v>0</v>
      </c>
      <c r="AW20" s="695">
        <v>0</v>
      </c>
      <c r="AX20" s="587">
        <f>ROUND(14.42*2.35*0,0)</f>
        <v>0</v>
      </c>
      <c r="AY20" s="695">
        <v>0</v>
      </c>
      <c r="AZ20" s="587">
        <f>ROUND(14.42*2.35*0,0)</f>
        <v>0</v>
      </c>
      <c r="BA20" s="695">
        <v>0</v>
      </c>
      <c r="BB20" s="589">
        <f>ROUND(14.42*2.35*0,0)</f>
        <v>0</v>
      </c>
      <c r="BC20" s="562"/>
      <c r="BD20" s="552"/>
      <c r="BE20" s="700" t="s">
        <v>250</v>
      </c>
      <c r="BF20" s="691"/>
      <c r="BG20" s="583">
        <v>14.42</v>
      </c>
      <c r="BH20" s="692">
        <v>2.35</v>
      </c>
      <c r="BI20" s="693"/>
      <c r="BJ20" s="694">
        <v>0</v>
      </c>
      <c r="BK20" s="587">
        <f>ROUND(14.42*2.35*0,0)</f>
        <v>0</v>
      </c>
      <c r="BL20" s="695">
        <v>0</v>
      </c>
      <c r="BM20" s="587">
        <f>ROUND(14.42*2.35*0,0)</f>
        <v>0</v>
      </c>
      <c r="BN20" s="695">
        <v>0</v>
      </c>
      <c r="BO20" s="587">
        <f>ROUND(14.42*2.35*0,0)</f>
        <v>0</v>
      </c>
      <c r="BP20" s="695">
        <v>0</v>
      </c>
      <c r="BQ20" s="587">
        <f>ROUND(14.42*2.35*0,0)</f>
        <v>0</v>
      </c>
      <c r="BR20" s="695">
        <v>0</v>
      </c>
      <c r="BS20" s="587">
        <f>ROUND(14.42*2.35*0,0)</f>
        <v>0</v>
      </c>
      <c r="BT20" s="695">
        <v>0</v>
      </c>
      <c r="BU20" s="587">
        <f>ROUND(14.42*2.35*0,0)</f>
        <v>0</v>
      </c>
      <c r="BV20" s="695">
        <v>0</v>
      </c>
      <c r="BW20" s="587">
        <f>ROUND(14.42*2.35*0,0)</f>
        <v>0</v>
      </c>
      <c r="BX20" s="695">
        <v>0</v>
      </c>
      <c r="BY20" s="587">
        <f>ROUND(14.42*2.35*0,0)</f>
        <v>0</v>
      </c>
      <c r="BZ20" s="695">
        <v>1.2</v>
      </c>
      <c r="CA20" s="587">
        <f>ROUND(14.42*2.35*1.2,0)</f>
        <v>41</v>
      </c>
      <c r="CB20" s="695">
        <v>1.6</v>
      </c>
      <c r="CC20" s="587">
        <f>ROUND(14.42*2.35*1.6,0)</f>
        <v>54</v>
      </c>
      <c r="CD20" s="695">
        <v>2</v>
      </c>
      <c r="CE20" s="587">
        <f>ROUND(14.42*2.35*2,0)</f>
        <v>68</v>
      </c>
      <c r="CF20" s="695">
        <v>2.2000000000000002</v>
      </c>
      <c r="CG20" s="587">
        <f>ROUND(14.42*2.35*2.2,0)</f>
        <v>75</v>
      </c>
      <c r="CH20" s="695">
        <v>2.2000000000000002</v>
      </c>
      <c r="CI20" s="587">
        <f>ROUND(14.42*2.35*2.2,0)</f>
        <v>75</v>
      </c>
      <c r="CJ20" s="695">
        <v>2.2000000000000002</v>
      </c>
      <c r="CK20" s="587">
        <f>ROUND(14.42*2.35*2.2,0)</f>
        <v>75</v>
      </c>
      <c r="CL20" s="695">
        <v>2</v>
      </c>
      <c r="CM20" s="587">
        <f>ROUND(14.42*2.35*2,0)</f>
        <v>68</v>
      </c>
      <c r="CN20" s="695">
        <v>1.8</v>
      </c>
      <c r="CO20" s="587">
        <f>ROUND(14.42*2.35*1.8,0)</f>
        <v>61</v>
      </c>
      <c r="CP20" s="695">
        <v>1.6</v>
      </c>
      <c r="CQ20" s="587">
        <f>ROUND(14.42*2.35*1.6,0)</f>
        <v>54</v>
      </c>
      <c r="CR20" s="695">
        <v>1.2</v>
      </c>
      <c r="CS20" s="587">
        <f>ROUND(14.42*2.35*1.2,0)</f>
        <v>41</v>
      </c>
      <c r="CT20" s="695">
        <v>0</v>
      </c>
      <c r="CU20" s="587">
        <f>ROUND(14.42*2.35*0,0)</f>
        <v>0</v>
      </c>
      <c r="CV20" s="695">
        <v>0</v>
      </c>
      <c r="CW20" s="587">
        <f>ROUND(14.42*2.35*0,0)</f>
        <v>0</v>
      </c>
      <c r="CX20" s="695">
        <v>0</v>
      </c>
      <c r="CY20" s="587">
        <f>ROUND(14.42*2.35*0,0)</f>
        <v>0</v>
      </c>
      <c r="CZ20" s="695">
        <v>0</v>
      </c>
      <c r="DA20" s="587">
        <f>ROUND(14.42*2.35*0,0)</f>
        <v>0</v>
      </c>
      <c r="DB20" s="695">
        <v>0</v>
      </c>
      <c r="DC20" s="587">
        <f>ROUND(14.42*2.35*0,0)</f>
        <v>0</v>
      </c>
      <c r="DD20" s="695">
        <v>0</v>
      </c>
      <c r="DE20" s="589">
        <f>ROUND(14.42*2.35*0,0)</f>
        <v>0</v>
      </c>
      <c r="DF20" s="562"/>
      <c r="DG20" s="552"/>
      <c r="DH20" s="700" t="s">
        <v>250</v>
      </c>
      <c r="DI20" s="691"/>
      <c r="DJ20" s="583">
        <v>14.42</v>
      </c>
      <c r="DK20" s="692">
        <v>2.35</v>
      </c>
      <c r="DL20" s="693"/>
      <c r="DM20" s="694">
        <v>0</v>
      </c>
      <c r="DN20" s="587">
        <f>ROUND(14.42*2.35*0,0)</f>
        <v>0</v>
      </c>
      <c r="DO20" s="695">
        <v>0</v>
      </c>
      <c r="DP20" s="587">
        <f>ROUND(14.42*2.35*0,0)</f>
        <v>0</v>
      </c>
      <c r="DQ20" s="695">
        <v>0</v>
      </c>
      <c r="DR20" s="587">
        <f>ROUND(14.42*2.35*0,0)</f>
        <v>0</v>
      </c>
      <c r="DS20" s="695">
        <v>0</v>
      </c>
      <c r="DT20" s="587">
        <f>ROUND(14.42*2.35*0,0)</f>
        <v>0</v>
      </c>
      <c r="DU20" s="695">
        <v>0</v>
      </c>
      <c r="DV20" s="587">
        <f>ROUND(14.42*2.35*0,0)</f>
        <v>0</v>
      </c>
      <c r="DW20" s="695">
        <v>0</v>
      </c>
      <c r="DX20" s="587">
        <f>ROUND(14.42*2.35*0,0)</f>
        <v>0</v>
      </c>
      <c r="DY20" s="695">
        <v>0</v>
      </c>
      <c r="DZ20" s="587">
        <f>ROUND(14.42*2.35*0,0)</f>
        <v>0</v>
      </c>
      <c r="EA20" s="695">
        <v>0</v>
      </c>
      <c r="EB20" s="587">
        <f>ROUND(14.42*2.35*0,0)</f>
        <v>0</v>
      </c>
      <c r="EC20" s="695">
        <v>0.3</v>
      </c>
      <c r="ED20" s="587">
        <f>ROUND(14.42*2.35*0.3,0)</f>
        <v>10</v>
      </c>
      <c r="EE20" s="695">
        <v>0.8</v>
      </c>
      <c r="EF20" s="587">
        <f>ROUND(14.42*2.35*0.8,0)</f>
        <v>27</v>
      </c>
      <c r="EG20" s="695">
        <v>1.2</v>
      </c>
      <c r="EH20" s="587">
        <f>ROUND(14.42*2.35*1.2,0)</f>
        <v>41</v>
      </c>
      <c r="EI20" s="695">
        <v>1.4</v>
      </c>
      <c r="EJ20" s="587">
        <f>ROUND(14.42*2.35*1.4,0)</f>
        <v>47</v>
      </c>
      <c r="EK20" s="695">
        <v>1.5</v>
      </c>
      <c r="EL20" s="587">
        <f>ROUND(14.42*2.35*1.5,0)</f>
        <v>51</v>
      </c>
      <c r="EM20" s="695">
        <v>1.4</v>
      </c>
      <c r="EN20" s="587">
        <f>ROUND(14.42*2.35*1.4,0)</f>
        <v>47</v>
      </c>
      <c r="EO20" s="695">
        <v>1.2</v>
      </c>
      <c r="EP20" s="587">
        <f>ROUND(14.42*2.35*1.2,0)</f>
        <v>41</v>
      </c>
      <c r="EQ20" s="695">
        <v>1.1000000000000001</v>
      </c>
      <c r="ER20" s="587">
        <f>ROUND(14.42*2.35*1.1,0)</f>
        <v>37</v>
      </c>
      <c r="ES20" s="695">
        <v>0.7</v>
      </c>
      <c r="ET20" s="587">
        <f>ROUND(14.42*2.35*0.7,0)</f>
        <v>24</v>
      </c>
      <c r="EU20" s="695">
        <v>0.3</v>
      </c>
      <c r="EV20" s="587">
        <f>ROUND(14.42*2.35*0.3,0)</f>
        <v>10</v>
      </c>
      <c r="EW20" s="695">
        <v>0</v>
      </c>
      <c r="EX20" s="587">
        <f>ROUND(14.42*2.35*0,0)</f>
        <v>0</v>
      </c>
      <c r="EY20" s="695">
        <v>0</v>
      </c>
      <c r="EZ20" s="587">
        <f>ROUND(14.42*2.35*0,0)</f>
        <v>0</v>
      </c>
      <c r="FA20" s="695">
        <v>0</v>
      </c>
      <c r="FB20" s="587">
        <f>ROUND(14.42*2.35*0,0)</f>
        <v>0</v>
      </c>
      <c r="FC20" s="695">
        <v>0</v>
      </c>
      <c r="FD20" s="587">
        <f>ROUND(14.42*2.35*0,0)</f>
        <v>0</v>
      </c>
      <c r="FE20" s="695">
        <v>0</v>
      </c>
      <c r="FF20" s="587">
        <f>ROUND(14.42*2.35*0,0)</f>
        <v>0</v>
      </c>
      <c r="FG20" s="695">
        <v>0</v>
      </c>
      <c r="FH20" s="589">
        <f>ROUND(14.42*2.35*0,0)</f>
        <v>0</v>
      </c>
      <c r="FI20" s="563"/>
      <c r="FJ20" s="564"/>
      <c r="FK20" s="700" t="s">
        <v>250</v>
      </c>
      <c r="FL20" s="691"/>
      <c r="FM20" s="583">
        <v>14.42</v>
      </c>
      <c r="FN20" s="692">
        <v>2.35</v>
      </c>
      <c r="FO20" s="693"/>
      <c r="FP20" s="696">
        <v>9</v>
      </c>
      <c r="FQ20" s="697">
        <v>6.8</v>
      </c>
      <c r="FR20" s="587">
        <f>ROUND(14.42*2.35*6.8,0)</f>
        <v>230</v>
      </c>
      <c r="FS20" s="698">
        <v>9</v>
      </c>
      <c r="FT20" s="697">
        <v>7</v>
      </c>
      <c r="FU20" s="592">
        <f>ROUND(14.42*2.35*7,0)</f>
        <v>237</v>
      </c>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t="s">
        <v>238</v>
      </c>
      <c r="C21" s="691"/>
      <c r="D21" s="583">
        <v>54.8</v>
      </c>
      <c r="E21" s="692">
        <v>0.47</v>
      </c>
      <c r="F21" s="693"/>
      <c r="G21" s="694">
        <v>0</v>
      </c>
      <c r="H21" s="587">
        <f>ROUND(54.8*0.47*0,0)</f>
        <v>0</v>
      </c>
      <c r="I21" s="695">
        <v>0</v>
      </c>
      <c r="J21" s="587">
        <f>ROUND(54.8*0.47*0,0)</f>
        <v>0</v>
      </c>
      <c r="K21" s="695">
        <v>0</v>
      </c>
      <c r="L21" s="587">
        <f>ROUND(54.8*0.47*0,0)</f>
        <v>0</v>
      </c>
      <c r="M21" s="695">
        <v>0</v>
      </c>
      <c r="N21" s="587">
        <f>ROUND(54.8*0.47*0,0)</f>
        <v>0</v>
      </c>
      <c r="O21" s="695">
        <v>0</v>
      </c>
      <c r="P21" s="587">
        <f>ROUND(54.8*0.47*0,0)</f>
        <v>0</v>
      </c>
      <c r="Q21" s="695">
        <v>0</v>
      </c>
      <c r="R21" s="587">
        <f>ROUND(54.8*0.47*0,0)</f>
        <v>0</v>
      </c>
      <c r="S21" s="695">
        <v>0</v>
      </c>
      <c r="T21" s="587">
        <f>ROUND(54.8*0.47*0,0)</f>
        <v>0</v>
      </c>
      <c r="U21" s="695">
        <v>0</v>
      </c>
      <c r="V21" s="587">
        <f>ROUND(54.8*0.47*0,0)</f>
        <v>0</v>
      </c>
      <c r="W21" s="695">
        <v>3.3</v>
      </c>
      <c r="X21" s="587">
        <f>ROUND(54.8*0.47*3.3,0)</f>
        <v>85</v>
      </c>
      <c r="Y21" s="695">
        <v>3.2</v>
      </c>
      <c r="Z21" s="587">
        <f>ROUND(54.8*0.47*3.2,0)</f>
        <v>82</v>
      </c>
      <c r="AA21" s="695">
        <v>3.2</v>
      </c>
      <c r="AB21" s="587">
        <f>ROUND(54.8*0.47*3.2,0)</f>
        <v>82</v>
      </c>
      <c r="AC21" s="695">
        <v>3.3</v>
      </c>
      <c r="AD21" s="587">
        <f>ROUND(54.8*0.47*3.3,0)</f>
        <v>85</v>
      </c>
      <c r="AE21" s="695">
        <v>3.7</v>
      </c>
      <c r="AF21" s="587">
        <f>ROUND(54.8*0.47*3.7,0)</f>
        <v>95</v>
      </c>
      <c r="AG21" s="695">
        <v>4.3</v>
      </c>
      <c r="AH21" s="587">
        <f>ROUND(54.8*0.47*4.3,0)</f>
        <v>111</v>
      </c>
      <c r="AI21" s="695">
        <v>5</v>
      </c>
      <c r="AJ21" s="587">
        <f>ROUND(54.8*0.47*5,0)</f>
        <v>129</v>
      </c>
      <c r="AK21" s="695">
        <v>5.8</v>
      </c>
      <c r="AL21" s="587">
        <f>ROUND(54.8*0.47*5.8,0)</f>
        <v>149</v>
      </c>
      <c r="AM21" s="695">
        <v>6.6</v>
      </c>
      <c r="AN21" s="587">
        <f>ROUND(54.8*0.47*6.6,0)</f>
        <v>170</v>
      </c>
      <c r="AO21" s="695">
        <v>7.4</v>
      </c>
      <c r="AP21" s="587">
        <f>ROUND(54.8*0.47*7.4,0)</f>
        <v>191</v>
      </c>
      <c r="AQ21" s="695">
        <v>0</v>
      </c>
      <c r="AR21" s="587">
        <f>ROUND(54.8*0.47*0,0)</f>
        <v>0</v>
      </c>
      <c r="AS21" s="695">
        <v>0</v>
      </c>
      <c r="AT21" s="587">
        <f>ROUND(54.8*0.47*0,0)</f>
        <v>0</v>
      </c>
      <c r="AU21" s="695">
        <v>0</v>
      </c>
      <c r="AV21" s="587">
        <f>ROUND(54.8*0.47*0,0)</f>
        <v>0</v>
      </c>
      <c r="AW21" s="695">
        <v>0</v>
      </c>
      <c r="AX21" s="587">
        <f>ROUND(54.8*0.47*0,0)</f>
        <v>0</v>
      </c>
      <c r="AY21" s="695">
        <v>0</v>
      </c>
      <c r="AZ21" s="587">
        <f>ROUND(54.8*0.47*0,0)</f>
        <v>0</v>
      </c>
      <c r="BA21" s="695">
        <v>0</v>
      </c>
      <c r="BB21" s="589">
        <f>ROUND(54.8*0.47*0,0)</f>
        <v>0</v>
      </c>
      <c r="BC21" s="562"/>
      <c r="BD21" s="552"/>
      <c r="BE21" s="700" t="s">
        <v>238</v>
      </c>
      <c r="BF21" s="691"/>
      <c r="BG21" s="583">
        <v>54.8</v>
      </c>
      <c r="BH21" s="692">
        <v>0.47</v>
      </c>
      <c r="BI21" s="693"/>
      <c r="BJ21" s="694">
        <v>0</v>
      </c>
      <c r="BK21" s="587">
        <f>ROUND(54.8*0.47*0,0)</f>
        <v>0</v>
      </c>
      <c r="BL21" s="695">
        <v>0</v>
      </c>
      <c r="BM21" s="587">
        <f>ROUND(54.8*0.47*0,0)</f>
        <v>0</v>
      </c>
      <c r="BN21" s="695">
        <v>0</v>
      </c>
      <c r="BO21" s="587">
        <f>ROUND(54.8*0.47*0,0)</f>
        <v>0</v>
      </c>
      <c r="BP21" s="695">
        <v>0</v>
      </c>
      <c r="BQ21" s="587">
        <f>ROUND(54.8*0.47*0,0)</f>
        <v>0</v>
      </c>
      <c r="BR21" s="695">
        <v>0</v>
      </c>
      <c r="BS21" s="587">
        <f>ROUND(54.8*0.47*0,0)</f>
        <v>0</v>
      </c>
      <c r="BT21" s="695">
        <v>0</v>
      </c>
      <c r="BU21" s="587">
        <f>ROUND(54.8*0.47*0,0)</f>
        <v>0</v>
      </c>
      <c r="BV21" s="695">
        <v>0</v>
      </c>
      <c r="BW21" s="587">
        <f>ROUND(54.8*0.47*0,0)</f>
        <v>0</v>
      </c>
      <c r="BX21" s="695">
        <v>0</v>
      </c>
      <c r="BY21" s="587">
        <f>ROUND(54.8*0.47*0,0)</f>
        <v>0</v>
      </c>
      <c r="BZ21" s="695">
        <v>3.2</v>
      </c>
      <c r="CA21" s="587">
        <f>ROUND(54.8*0.47*3.2,0)</f>
        <v>82</v>
      </c>
      <c r="CB21" s="695">
        <v>3</v>
      </c>
      <c r="CC21" s="587">
        <f>ROUND(54.8*0.47*3,0)</f>
        <v>77</v>
      </c>
      <c r="CD21" s="695">
        <v>3</v>
      </c>
      <c r="CE21" s="587">
        <f>ROUND(54.8*0.47*3,0)</f>
        <v>77</v>
      </c>
      <c r="CF21" s="695">
        <v>3.1</v>
      </c>
      <c r="CG21" s="587">
        <f>ROUND(54.8*0.47*3.1,0)</f>
        <v>80</v>
      </c>
      <c r="CH21" s="695">
        <v>3.4</v>
      </c>
      <c r="CI21" s="587">
        <f>ROUND(54.8*0.47*3.4,0)</f>
        <v>88</v>
      </c>
      <c r="CJ21" s="695">
        <v>4</v>
      </c>
      <c r="CK21" s="587">
        <f>ROUND(54.8*0.47*4,0)</f>
        <v>103</v>
      </c>
      <c r="CL21" s="695">
        <v>4.8</v>
      </c>
      <c r="CM21" s="587">
        <f>ROUND(54.8*0.47*4.8,0)</f>
        <v>124</v>
      </c>
      <c r="CN21" s="695">
        <v>5.8</v>
      </c>
      <c r="CO21" s="587">
        <f>ROUND(54.8*0.47*5.8,0)</f>
        <v>149</v>
      </c>
      <c r="CP21" s="695">
        <v>6.7</v>
      </c>
      <c r="CQ21" s="587">
        <f>ROUND(54.8*0.47*6.7,0)</f>
        <v>173</v>
      </c>
      <c r="CR21" s="695">
        <v>7.6</v>
      </c>
      <c r="CS21" s="587">
        <f>ROUND(54.8*0.47*7.6,0)</f>
        <v>196</v>
      </c>
      <c r="CT21" s="695">
        <v>0</v>
      </c>
      <c r="CU21" s="587">
        <f>ROUND(54.8*0.47*0,0)</f>
        <v>0</v>
      </c>
      <c r="CV21" s="695">
        <v>0</v>
      </c>
      <c r="CW21" s="587">
        <f>ROUND(54.8*0.47*0,0)</f>
        <v>0</v>
      </c>
      <c r="CX21" s="695">
        <v>0</v>
      </c>
      <c r="CY21" s="587">
        <f>ROUND(54.8*0.47*0,0)</f>
        <v>0</v>
      </c>
      <c r="CZ21" s="695">
        <v>0</v>
      </c>
      <c r="DA21" s="587">
        <f>ROUND(54.8*0.47*0,0)</f>
        <v>0</v>
      </c>
      <c r="DB21" s="695">
        <v>0</v>
      </c>
      <c r="DC21" s="587">
        <f>ROUND(54.8*0.47*0,0)</f>
        <v>0</v>
      </c>
      <c r="DD21" s="695">
        <v>0</v>
      </c>
      <c r="DE21" s="589">
        <f>ROUND(54.8*0.47*0,0)</f>
        <v>0</v>
      </c>
      <c r="DF21" s="562"/>
      <c r="DG21" s="552"/>
      <c r="DH21" s="700" t="s">
        <v>238</v>
      </c>
      <c r="DI21" s="691"/>
      <c r="DJ21" s="583">
        <v>54.8</v>
      </c>
      <c r="DK21" s="692">
        <v>0.47</v>
      </c>
      <c r="DL21" s="693"/>
      <c r="DM21" s="694">
        <v>0</v>
      </c>
      <c r="DN21" s="587">
        <f>ROUND(54.8*0.47*0,0)</f>
        <v>0</v>
      </c>
      <c r="DO21" s="695">
        <v>0</v>
      </c>
      <c r="DP21" s="587">
        <f>ROUND(54.8*0.47*0,0)</f>
        <v>0</v>
      </c>
      <c r="DQ21" s="695">
        <v>0</v>
      </c>
      <c r="DR21" s="587">
        <f>ROUND(54.8*0.47*0,0)</f>
        <v>0</v>
      </c>
      <c r="DS21" s="695">
        <v>0</v>
      </c>
      <c r="DT21" s="587">
        <f>ROUND(54.8*0.47*0,0)</f>
        <v>0</v>
      </c>
      <c r="DU21" s="695">
        <v>0</v>
      </c>
      <c r="DV21" s="587">
        <f>ROUND(54.8*0.47*0,0)</f>
        <v>0</v>
      </c>
      <c r="DW21" s="695">
        <v>0</v>
      </c>
      <c r="DX21" s="587">
        <f>ROUND(54.8*0.47*0,0)</f>
        <v>0</v>
      </c>
      <c r="DY21" s="695">
        <v>0</v>
      </c>
      <c r="DZ21" s="587">
        <f>ROUND(54.8*0.47*0,0)</f>
        <v>0</v>
      </c>
      <c r="EA21" s="695">
        <v>0</v>
      </c>
      <c r="EB21" s="587">
        <f>ROUND(54.8*0.47*0,0)</f>
        <v>0</v>
      </c>
      <c r="EC21" s="695">
        <v>1.8</v>
      </c>
      <c r="ED21" s="587">
        <f>ROUND(54.8*0.47*1.8,0)</f>
        <v>46</v>
      </c>
      <c r="EE21" s="695">
        <v>1.5</v>
      </c>
      <c r="EF21" s="587">
        <f>ROUND(54.8*0.47*1.5,0)</f>
        <v>39</v>
      </c>
      <c r="EG21" s="695">
        <v>1.4</v>
      </c>
      <c r="EH21" s="587">
        <f>ROUND(54.8*0.47*1.4,0)</f>
        <v>36</v>
      </c>
      <c r="EI21" s="695">
        <v>1.6</v>
      </c>
      <c r="EJ21" s="587">
        <f>ROUND(54.8*0.47*1.6,0)</f>
        <v>41</v>
      </c>
      <c r="EK21" s="695">
        <v>2.1</v>
      </c>
      <c r="EL21" s="587">
        <f>ROUND(54.8*0.47*2.1,0)</f>
        <v>54</v>
      </c>
      <c r="EM21" s="695">
        <v>2.9</v>
      </c>
      <c r="EN21" s="587">
        <f>ROUND(54.8*0.47*2.9,0)</f>
        <v>75</v>
      </c>
      <c r="EO21" s="695">
        <v>4</v>
      </c>
      <c r="EP21" s="587">
        <f>ROUND(54.8*0.47*4,0)</f>
        <v>103</v>
      </c>
      <c r="EQ21" s="695">
        <v>5.3</v>
      </c>
      <c r="ER21" s="587">
        <f>ROUND(54.8*0.47*5.3,0)</f>
        <v>137</v>
      </c>
      <c r="ES21" s="695">
        <v>6.5</v>
      </c>
      <c r="ET21" s="587">
        <f>ROUND(54.8*0.47*6.5,0)</f>
        <v>167</v>
      </c>
      <c r="EU21" s="695">
        <v>7.6</v>
      </c>
      <c r="EV21" s="587">
        <f>ROUND(54.8*0.47*7.6,0)</f>
        <v>196</v>
      </c>
      <c r="EW21" s="695">
        <v>0</v>
      </c>
      <c r="EX21" s="587">
        <f>ROUND(54.8*0.47*0,0)</f>
        <v>0</v>
      </c>
      <c r="EY21" s="695">
        <v>0</v>
      </c>
      <c r="EZ21" s="587">
        <f>ROUND(54.8*0.47*0,0)</f>
        <v>0</v>
      </c>
      <c r="FA21" s="695">
        <v>0</v>
      </c>
      <c r="FB21" s="587">
        <f>ROUND(54.8*0.47*0,0)</f>
        <v>0</v>
      </c>
      <c r="FC21" s="695">
        <v>0</v>
      </c>
      <c r="FD21" s="587">
        <f>ROUND(54.8*0.47*0,0)</f>
        <v>0</v>
      </c>
      <c r="FE21" s="695">
        <v>0</v>
      </c>
      <c r="FF21" s="587">
        <f>ROUND(54.8*0.47*0,0)</f>
        <v>0</v>
      </c>
      <c r="FG21" s="695">
        <v>0</v>
      </c>
      <c r="FH21" s="589">
        <f>ROUND(54.8*0.47*0,0)</f>
        <v>0</v>
      </c>
      <c r="FI21" s="563"/>
      <c r="FJ21" s="564"/>
      <c r="FK21" s="700" t="s">
        <v>238</v>
      </c>
      <c r="FL21" s="691"/>
      <c r="FM21" s="583">
        <v>54.8</v>
      </c>
      <c r="FN21" s="692">
        <v>0.47</v>
      </c>
      <c r="FO21" s="693"/>
      <c r="FP21" s="696">
        <v>9</v>
      </c>
      <c r="FQ21" s="697">
        <v>17</v>
      </c>
      <c r="FR21" s="587">
        <f>ROUND(54.8*0.47*17,0)</f>
        <v>438</v>
      </c>
      <c r="FS21" s="698">
        <v>9</v>
      </c>
      <c r="FT21" s="697">
        <v>17.5</v>
      </c>
      <c r="FU21" s="592">
        <f>ROUND(54.8*0.47*17.5,0)</f>
        <v>451</v>
      </c>
      <c r="FV21" s="593"/>
      <c r="FW21" s="594"/>
      <c r="FX21" s="595"/>
      <c r="FY21" s="596"/>
      <c r="FZ21" s="597"/>
      <c r="GA21" s="598"/>
      <c r="GB21" s="599"/>
      <c r="GC21" s="600"/>
      <c r="GD21" s="599"/>
      <c r="GE21" s="601"/>
      <c r="GF21" s="688"/>
      <c r="GG21" s="602"/>
      <c r="GH21" s="602"/>
      <c r="GI21" s="602"/>
      <c r="GJ21" s="409"/>
      <c r="GK21" s="701" t="s">
        <v>699</v>
      </c>
      <c r="GL21" s="702"/>
      <c r="GM21" s="703"/>
      <c r="GN21" s="638">
        <v>10.8</v>
      </c>
      <c r="GO21" s="704"/>
      <c r="GP21" s="705"/>
      <c r="GQ21" s="633">
        <v>0</v>
      </c>
      <c r="GR21" s="634">
        <v>10.8</v>
      </c>
      <c r="GS21" s="578"/>
      <c r="GT21" s="677"/>
      <c r="GU21" s="701" t="s">
        <v>536</v>
      </c>
      <c r="GV21" s="702"/>
      <c r="GW21" s="703"/>
      <c r="GX21" s="706">
        <v>10.8</v>
      </c>
      <c r="GY21" s="707"/>
      <c r="GZ21" s="704"/>
      <c r="HA21" s="708">
        <v>7.02</v>
      </c>
      <c r="HB21" s="709"/>
      <c r="HC21" s="710"/>
      <c r="HD21" s="562"/>
      <c r="HE21" s="615"/>
      <c r="HF21" s="615"/>
      <c r="HG21" s="415"/>
    </row>
    <row r="22" spans="1:218" ht="20.100000000000001" customHeight="1">
      <c r="A22" s="552"/>
      <c r="B22" s="700" t="s">
        <v>261</v>
      </c>
      <c r="C22" s="691"/>
      <c r="D22" s="583">
        <v>54.8</v>
      </c>
      <c r="E22" s="692">
        <v>2.84</v>
      </c>
      <c r="F22" s="693"/>
      <c r="G22" s="694">
        <v>0</v>
      </c>
      <c r="H22" s="587">
        <f>ROUND(54.8*2.84*0,0)</f>
        <v>0</v>
      </c>
      <c r="I22" s="695">
        <v>0</v>
      </c>
      <c r="J22" s="587">
        <f>ROUND(54.8*2.84*0,0)</f>
        <v>0</v>
      </c>
      <c r="K22" s="695">
        <v>0</v>
      </c>
      <c r="L22" s="587">
        <f>ROUND(54.8*2.84*0,0)</f>
        <v>0</v>
      </c>
      <c r="M22" s="695">
        <v>0</v>
      </c>
      <c r="N22" s="587">
        <f>ROUND(54.8*2.84*0,0)</f>
        <v>0</v>
      </c>
      <c r="O22" s="695">
        <v>0</v>
      </c>
      <c r="P22" s="587">
        <f>ROUND(54.8*2.84*0,0)</f>
        <v>0</v>
      </c>
      <c r="Q22" s="695">
        <v>0</v>
      </c>
      <c r="R22" s="587">
        <f>ROUND(54.8*2.84*0,0)</f>
        <v>0</v>
      </c>
      <c r="S22" s="695">
        <v>0</v>
      </c>
      <c r="T22" s="587">
        <f>ROUND(54.8*2.84*0,0)</f>
        <v>0</v>
      </c>
      <c r="U22" s="695">
        <v>0</v>
      </c>
      <c r="V22" s="587">
        <f>ROUND(54.8*2.84*0,0)</f>
        <v>0</v>
      </c>
      <c r="W22" s="695">
        <v>1</v>
      </c>
      <c r="X22" s="587">
        <f>ROUND(54.8*2.84*1,0)</f>
        <v>156</v>
      </c>
      <c r="Y22" s="695">
        <v>1.3</v>
      </c>
      <c r="Z22" s="587">
        <f>ROUND(54.8*2.84*1.3,0)</f>
        <v>202</v>
      </c>
      <c r="AA22" s="695">
        <v>1.6</v>
      </c>
      <c r="AB22" s="587">
        <f>ROUND(54.8*2.84*1.6,0)</f>
        <v>249</v>
      </c>
      <c r="AC22" s="695">
        <v>1.7</v>
      </c>
      <c r="AD22" s="587">
        <f>ROUND(54.8*2.84*1.7,0)</f>
        <v>265</v>
      </c>
      <c r="AE22" s="695">
        <v>1.8</v>
      </c>
      <c r="AF22" s="587">
        <f>ROUND(54.8*2.84*1.8,0)</f>
        <v>280</v>
      </c>
      <c r="AG22" s="695">
        <v>1.8</v>
      </c>
      <c r="AH22" s="587">
        <f>ROUND(54.8*2.84*1.8,0)</f>
        <v>280</v>
      </c>
      <c r="AI22" s="695">
        <v>1.6</v>
      </c>
      <c r="AJ22" s="587">
        <f>ROUND(54.8*2.84*1.6,0)</f>
        <v>249</v>
      </c>
      <c r="AK22" s="695">
        <v>1.5</v>
      </c>
      <c r="AL22" s="587">
        <f>ROUND(54.8*2.84*1.5,0)</f>
        <v>233</v>
      </c>
      <c r="AM22" s="695">
        <v>1.2</v>
      </c>
      <c r="AN22" s="587">
        <f>ROUND(54.8*2.84*1.2,0)</f>
        <v>187</v>
      </c>
      <c r="AO22" s="695">
        <v>1</v>
      </c>
      <c r="AP22" s="587">
        <f>ROUND(54.8*2.84*1,0)</f>
        <v>156</v>
      </c>
      <c r="AQ22" s="695">
        <v>0</v>
      </c>
      <c r="AR22" s="587">
        <f>ROUND(54.8*2.84*0,0)</f>
        <v>0</v>
      </c>
      <c r="AS22" s="695">
        <v>0</v>
      </c>
      <c r="AT22" s="587">
        <f>ROUND(54.8*2.84*0,0)</f>
        <v>0</v>
      </c>
      <c r="AU22" s="695">
        <v>0</v>
      </c>
      <c r="AV22" s="587">
        <f>ROUND(54.8*2.84*0,0)</f>
        <v>0</v>
      </c>
      <c r="AW22" s="695">
        <v>0</v>
      </c>
      <c r="AX22" s="587">
        <f>ROUND(54.8*2.84*0,0)</f>
        <v>0</v>
      </c>
      <c r="AY22" s="695">
        <v>0</v>
      </c>
      <c r="AZ22" s="587">
        <f>ROUND(54.8*2.84*0,0)</f>
        <v>0</v>
      </c>
      <c r="BA22" s="695">
        <v>0</v>
      </c>
      <c r="BB22" s="589">
        <f>ROUND(54.8*2.84*0,0)</f>
        <v>0</v>
      </c>
      <c r="BC22" s="562"/>
      <c r="BD22" s="552"/>
      <c r="BE22" s="700" t="s">
        <v>261</v>
      </c>
      <c r="BF22" s="691"/>
      <c r="BG22" s="583">
        <v>54.8</v>
      </c>
      <c r="BH22" s="692">
        <v>2.84</v>
      </c>
      <c r="BI22" s="693"/>
      <c r="BJ22" s="694">
        <v>0</v>
      </c>
      <c r="BK22" s="587">
        <f>ROUND(54.8*2.84*0,0)</f>
        <v>0</v>
      </c>
      <c r="BL22" s="695">
        <v>0</v>
      </c>
      <c r="BM22" s="587">
        <f>ROUND(54.8*2.84*0,0)</f>
        <v>0</v>
      </c>
      <c r="BN22" s="695">
        <v>0</v>
      </c>
      <c r="BO22" s="587">
        <f>ROUND(54.8*2.84*0,0)</f>
        <v>0</v>
      </c>
      <c r="BP22" s="695">
        <v>0</v>
      </c>
      <c r="BQ22" s="587">
        <f>ROUND(54.8*2.84*0,0)</f>
        <v>0</v>
      </c>
      <c r="BR22" s="695">
        <v>0</v>
      </c>
      <c r="BS22" s="587">
        <f>ROUND(54.8*2.84*0,0)</f>
        <v>0</v>
      </c>
      <c r="BT22" s="695">
        <v>0</v>
      </c>
      <c r="BU22" s="587">
        <f>ROUND(54.8*2.84*0,0)</f>
        <v>0</v>
      </c>
      <c r="BV22" s="695">
        <v>0</v>
      </c>
      <c r="BW22" s="587">
        <f>ROUND(54.8*2.84*0,0)</f>
        <v>0</v>
      </c>
      <c r="BX22" s="695">
        <v>0</v>
      </c>
      <c r="BY22" s="587">
        <f>ROUND(54.8*2.84*0,0)</f>
        <v>0</v>
      </c>
      <c r="BZ22" s="695">
        <v>0.9</v>
      </c>
      <c r="CA22" s="587">
        <f>ROUND(54.8*2.84*0.9,0)</f>
        <v>140</v>
      </c>
      <c r="CB22" s="695">
        <v>1.2</v>
      </c>
      <c r="CC22" s="587">
        <f>ROUND(54.8*2.84*1.2,0)</f>
        <v>187</v>
      </c>
      <c r="CD22" s="695">
        <v>1.5</v>
      </c>
      <c r="CE22" s="587">
        <f>ROUND(54.8*2.84*1.5,0)</f>
        <v>233</v>
      </c>
      <c r="CF22" s="695">
        <v>1.6</v>
      </c>
      <c r="CG22" s="587">
        <f>ROUND(54.8*2.84*1.6,0)</f>
        <v>249</v>
      </c>
      <c r="CH22" s="695">
        <v>1.7</v>
      </c>
      <c r="CI22" s="587">
        <f>ROUND(54.8*2.84*1.7,0)</f>
        <v>265</v>
      </c>
      <c r="CJ22" s="695">
        <v>1.6</v>
      </c>
      <c r="CK22" s="587">
        <f>ROUND(54.8*2.84*1.6,0)</f>
        <v>249</v>
      </c>
      <c r="CL22" s="695">
        <v>1.5</v>
      </c>
      <c r="CM22" s="587">
        <f>ROUND(54.8*2.84*1.5,0)</f>
        <v>233</v>
      </c>
      <c r="CN22" s="695">
        <v>1.3</v>
      </c>
      <c r="CO22" s="587">
        <f>ROUND(54.8*2.84*1.3,0)</f>
        <v>202</v>
      </c>
      <c r="CP22" s="695">
        <v>1.2</v>
      </c>
      <c r="CQ22" s="587">
        <f>ROUND(54.8*2.84*1.2,0)</f>
        <v>187</v>
      </c>
      <c r="CR22" s="695">
        <v>0.9</v>
      </c>
      <c r="CS22" s="587">
        <f>ROUND(54.8*2.84*0.9,0)</f>
        <v>140</v>
      </c>
      <c r="CT22" s="695">
        <v>0</v>
      </c>
      <c r="CU22" s="587">
        <f>ROUND(54.8*2.84*0,0)</f>
        <v>0</v>
      </c>
      <c r="CV22" s="695">
        <v>0</v>
      </c>
      <c r="CW22" s="587">
        <f>ROUND(54.8*2.84*0,0)</f>
        <v>0</v>
      </c>
      <c r="CX22" s="695">
        <v>0</v>
      </c>
      <c r="CY22" s="587">
        <f>ROUND(54.8*2.84*0,0)</f>
        <v>0</v>
      </c>
      <c r="CZ22" s="695">
        <v>0</v>
      </c>
      <c r="DA22" s="587">
        <f>ROUND(54.8*2.84*0,0)</f>
        <v>0</v>
      </c>
      <c r="DB22" s="695">
        <v>0</v>
      </c>
      <c r="DC22" s="587">
        <f>ROUND(54.8*2.84*0,0)</f>
        <v>0</v>
      </c>
      <c r="DD22" s="695">
        <v>0</v>
      </c>
      <c r="DE22" s="589">
        <f>ROUND(54.8*2.84*0,0)</f>
        <v>0</v>
      </c>
      <c r="DF22" s="562"/>
      <c r="DG22" s="552"/>
      <c r="DH22" s="700" t="s">
        <v>261</v>
      </c>
      <c r="DI22" s="691"/>
      <c r="DJ22" s="583">
        <v>54.8</v>
      </c>
      <c r="DK22" s="692">
        <v>2.84</v>
      </c>
      <c r="DL22" s="693"/>
      <c r="DM22" s="694">
        <v>0</v>
      </c>
      <c r="DN22" s="587">
        <f>ROUND(54.8*2.84*0,0)</f>
        <v>0</v>
      </c>
      <c r="DO22" s="695">
        <v>0</v>
      </c>
      <c r="DP22" s="587">
        <f>ROUND(54.8*2.84*0,0)</f>
        <v>0</v>
      </c>
      <c r="DQ22" s="695">
        <v>0</v>
      </c>
      <c r="DR22" s="587">
        <f>ROUND(54.8*2.84*0,0)</f>
        <v>0</v>
      </c>
      <c r="DS22" s="695">
        <v>0</v>
      </c>
      <c r="DT22" s="587">
        <f>ROUND(54.8*2.84*0,0)</f>
        <v>0</v>
      </c>
      <c r="DU22" s="695">
        <v>0</v>
      </c>
      <c r="DV22" s="587">
        <f>ROUND(54.8*2.84*0,0)</f>
        <v>0</v>
      </c>
      <c r="DW22" s="695">
        <v>0</v>
      </c>
      <c r="DX22" s="587">
        <f>ROUND(54.8*2.84*0,0)</f>
        <v>0</v>
      </c>
      <c r="DY22" s="695">
        <v>0</v>
      </c>
      <c r="DZ22" s="587">
        <f>ROUND(54.8*2.84*0,0)</f>
        <v>0</v>
      </c>
      <c r="EA22" s="695">
        <v>0</v>
      </c>
      <c r="EB22" s="587">
        <f>ROUND(54.8*2.84*0,0)</f>
        <v>0</v>
      </c>
      <c r="EC22" s="695">
        <v>0.2</v>
      </c>
      <c r="ED22" s="587">
        <f>ROUND(54.8*2.84*0.2,0)</f>
        <v>31</v>
      </c>
      <c r="EE22" s="695">
        <v>0.6</v>
      </c>
      <c r="EF22" s="587">
        <f>ROUND(54.8*2.84*0.6,0)</f>
        <v>93</v>
      </c>
      <c r="EG22" s="695">
        <v>0.9</v>
      </c>
      <c r="EH22" s="587">
        <f>ROUND(54.8*2.84*0.9,0)</f>
        <v>140</v>
      </c>
      <c r="EI22" s="695">
        <v>1.1000000000000001</v>
      </c>
      <c r="EJ22" s="587">
        <f>ROUND(54.8*2.84*1.1,0)</f>
        <v>171</v>
      </c>
      <c r="EK22" s="695">
        <v>1.1000000000000001</v>
      </c>
      <c r="EL22" s="587">
        <f>ROUND(54.8*2.84*1.1,0)</f>
        <v>171</v>
      </c>
      <c r="EM22" s="695">
        <v>1</v>
      </c>
      <c r="EN22" s="587">
        <f>ROUND(54.8*2.84*1,0)</f>
        <v>156</v>
      </c>
      <c r="EO22" s="695">
        <v>0.9</v>
      </c>
      <c r="EP22" s="587">
        <f>ROUND(54.8*2.84*0.9,0)</f>
        <v>140</v>
      </c>
      <c r="EQ22" s="695">
        <v>0.8</v>
      </c>
      <c r="ER22" s="587">
        <f>ROUND(54.8*2.84*0.8,0)</f>
        <v>125</v>
      </c>
      <c r="ES22" s="695">
        <v>0.5</v>
      </c>
      <c r="ET22" s="587">
        <f>ROUND(54.8*2.84*0.5,0)</f>
        <v>78</v>
      </c>
      <c r="EU22" s="695">
        <v>0.2</v>
      </c>
      <c r="EV22" s="587">
        <f>ROUND(54.8*2.84*0.2,0)</f>
        <v>31</v>
      </c>
      <c r="EW22" s="695">
        <v>0</v>
      </c>
      <c r="EX22" s="587">
        <f>ROUND(54.8*2.84*0,0)</f>
        <v>0</v>
      </c>
      <c r="EY22" s="695">
        <v>0</v>
      </c>
      <c r="EZ22" s="587">
        <f>ROUND(54.8*2.84*0,0)</f>
        <v>0</v>
      </c>
      <c r="FA22" s="695">
        <v>0</v>
      </c>
      <c r="FB22" s="587">
        <f>ROUND(54.8*2.84*0,0)</f>
        <v>0</v>
      </c>
      <c r="FC22" s="695">
        <v>0</v>
      </c>
      <c r="FD22" s="587">
        <f>ROUND(54.8*2.84*0,0)</f>
        <v>0</v>
      </c>
      <c r="FE22" s="695">
        <v>0</v>
      </c>
      <c r="FF22" s="587">
        <f>ROUND(54.8*2.84*0,0)</f>
        <v>0</v>
      </c>
      <c r="FG22" s="695">
        <v>0</v>
      </c>
      <c r="FH22" s="589">
        <f>ROUND(54.8*2.84*0,0)</f>
        <v>0</v>
      </c>
      <c r="FI22" s="563"/>
      <c r="FJ22" s="564"/>
      <c r="FK22" s="700" t="s">
        <v>261</v>
      </c>
      <c r="FL22" s="691"/>
      <c r="FM22" s="583">
        <v>54.8</v>
      </c>
      <c r="FN22" s="692">
        <v>2.84</v>
      </c>
      <c r="FO22" s="693"/>
      <c r="FP22" s="696">
        <v>9</v>
      </c>
      <c r="FQ22" s="697">
        <v>5.0999999999999996</v>
      </c>
      <c r="FR22" s="587">
        <f>ROUND(54.8*2.84*5.1,0)</f>
        <v>794</v>
      </c>
      <c r="FS22" s="698">
        <v>9</v>
      </c>
      <c r="FT22" s="697">
        <v>5.2</v>
      </c>
      <c r="FU22" s="592">
        <f>ROUND(54.8*2.84*5.2,0)</f>
        <v>809</v>
      </c>
      <c r="FV22" s="593"/>
      <c r="FW22" s="594"/>
      <c r="FX22" s="595"/>
      <c r="FY22" s="596"/>
      <c r="FZ22" s="597"/>
      <c r="GA22" s="598"/>
      <c r="GB22" s="599"/>
      <c r="GC22" s="600"/>
      <c r="GD22" s="599"/>
      <c r="GE22" s="601"/>
      <c r="GF22" s="688"/>
      <c r="GG22" s="602"/>
      <c r="GH22" s="602"/>
      <c r="GI22" s="602"/>
      <c r="GJ22" s="530"/>
      <c r="GK22" s="711" t="s">
        <v>700</v>
      </c>
      <c r="GL22" s="712"/>
      <c r="GM22" s="712"/>
      <c r="GN22" s="713"/>
      <c r="GO22" s="633">
        <v>0</v>
      </c>
      <c r="GP22" s="633">
        <v>1</v>
      </c>
      <c r="GQ22" s="714"/>
      <c r="GR22" s="715"/>
      <c r="GS22" s="578"/>
      <c r="GT22" s="677"/>
      <c r="GU22" s="711" t="s">
        <v>700</v>
      </c>
      <c r="GV22" s="712"/>
      <c r="GW22" s="712"/>
      <c r="GX22" s="712"/>
      <c r="GY22" s="713"/>
      <c r="GZ22" s="633">
        <v>0.65</v>
      </c>
      <c r="HA22" s="716"/>
      <c r="HB22" s="717"/>
      <c r="HC22" s="413"/>
      <c r="HD22" s="562"/>
      <c r="HE22" s="415"/>
      <c r="HF22" s="415"/>
      <c r="HG22" s="415"/>
    </row>
    <row r="23" spans="1:218" ht="20.100000000000001" customHeight="1">
      <c r="A23" s="552"/>
      <c r="B23" s="700"/>
      <c r="C23" s="691"/>
      <c r="D23" s="583"/>
      <c r="E23" s="692"/>
      <c r="F23" s="693"/>
      <c r="G23" s="694"/>
      <c r="H23" s="587"/>
      <c r="I23" s="695"/>
      <c r="J23" s="587"/>
      <c r="K23" s="695"/>
      <c r="L23" s="587"/>
      <c r="M23" s="695"/>
      <c r="N23" s="587"/>
      <c r="O23" s="695"/>
      <c r="P23" s="587"/>
      <c r="Q23" s="695"/>
      <c r="R23" s="587"/>
      <c r="S23" s="695"/>
      <c r="T23" s="587"/>
      <c r="U23" s="695"/>
      <c r="V23" s="587"/>
      <c r="W23" s="695"/>
      <c r="X23" s="587"/>
      <c r="Y23" s="695"/>
      <c r="Z23" s="587"/>
      <c r="AA23" s="695"/>
      <c r="AB23" s="587"/>
      <c r="AC23" s="695"/>
      <c r="AD23" s="587"/>
      <c r="AE23" s="695"/>
      <c r="AF23" s="587"/>
      <c r="AG23" s="695"/>
      <c r="AH23" s="587"/>
      <c r="AI23" s="695"/>
      <c r="AJ23" s="587"/>
      <c r="AK23" s="695"/>
      <c r="AL23" s="587"/>
      <c r="AM23" s="695"/>
      <c r="AN23" s="587"/>
      <c r="AO23" s="695"/>
      <c r="AP23" s="587"/>
      <c r="AQ23" s="695"/>
      <c r="AR23" s="587"/>
      <c r="AS23" s="695"/>
      <c r="AT23" s="587"/>
      <c r="AU23" s="695"/>
      <c r="AV23" s="587"/>
      <c r="AW23" s="695"/>
      <c r="AX23" s="587"/>
      <c r="AY23" s="695"/>
      <c r="AZ23" s="587"/>
      <c r="BA23" s="695"/>
      <c r="BB23" s="589"/>
      <c r="BC23" s="562"/>
      <c r="BD23" s="552"/>
      <c r="BE23" s="700"/>
      <c r="BF23" s="691"/>
      <c r="BG23" s="583"/>
      <c r="BH23" s="692"/>
      <c r="BI23" s="693"/>
      <c r="BJ23" s="694"/>
      <c r="BK23" s="587"/>
      <c r="BL23" s="695"/>
      <c r="BM23" s="587"/>
      <c r="BN23" s="695"/>
      <c r="BO23" s="587"/>
      <c r="BP23" s="695"/>
      <c r="BQ23" s="587"/>
      <c r="BR23" s="695"/>
      <c r="BS23" s="587"/>
      <c r="BT23" s="695"/>
      <c r="BU23" s="587"/>
      <c r="BV23" s="695"/>
      <c r="BW23" s="587"/>
      <c r="BX23" s="695"/>
      <c r="BY23" s="587"/>
      <c r="BZ23" s="695"/>
      <c r="CA23" s="587"/>
      <c r="CB23" s="695"/>
      <c r="CC23" s="587"/>
      <c r="CD23" s="695"/>
      <c r="CE23" s="587"/>
      <c r="CF23" s="695"/>
      <c r="CG23" s="587"/>
      <c r="CH23" s="695"/>
      <c r="CI23" s="587"/>
      <c r="CJ23" s="695"/>
      <c r="CK23" s="587"/>
      <c r="CL23" s="695"/>
      <c r="CM23" s="587"/>
      <c r="CN23" s="695"/>
      <c r="CO23" s="587"/>
      <c r="CP23" s="695"/>
      <c r="CQ23" s="587"/>
      <c r="CR23" s="695"/>
      <c r="CS23" s="587"/>
      <c r="CT23" s="695"/>
      <c r="CU23" s="587"/>
      <c r="CV23" s="695"/>
      <c r="CW23" s="587"/>
      <c r="CX23" s="695"/>
      <c r="CY23" s="587"/>
      <c r="CZ23" s="695"/>
      <c r="DA23" s="587"/>
      <c r="DB23" s="695"/>
      <c r="DC23" s="587"/>
      <c r="DD23" s="695"/>
      <c r="DE23" s="589"/>
      <c r="DF23" s="562"/>
      <c r="DG23" s="552"/>
      <c r="DH23" s="700"/>
      <c r="DI23" s="691"/>
      <c r="DJ23" s="583"/>
      <c r="DK23" s="692"/>
      <c r="DL23" s="693"/>
      <c r="DM23" s="694"/>
      <c r="DN23" s="587"/>
      <c r="DO23" s="695"/>
      <c r="DP23" s="587"/>
      <c r="DQ23" s="695"/>
      <c r="DR23" s="587"/>
      <c r="DS23" s="695"/>
      <c r="DT23" s="587"/>
      <c r="DU23" s="695"/>
      <c r="DV23" s="587"/>
      <c r="DW23" s="695"/>
      <c r="DX23" s="587"/>
      <c r="DY23" s="695"/>
      <c r="DZ23" s="587"/>
      <c r="EA23" s="695"/>
      <c r="EB23" s="587"/>
      <c r="EC23" s="695"/>
      <c r="ED23" s="587"/>
      <c r="EE23" s="695"/>
      <c r="EF23" s="587"/>
      <c r="EG23" s="695"/>
      <c r="EH23" s="587"/>
      <c r="EI23" s="695"/>
      <c r="EJ23" s="587"/>
      <c r="EK23" s="695"/>
      <c r="EL23" s="587"/>
      <c r="EM23" s="695"/>
      <c r="EN23" s="587"/>
      <c r="EO23" s="695"/>
      <c r="EP23" s="587"/>
      <c r="EQ23" s="695"/>
      <c r="ER23" s="587"/>
      <c r="ES23" s="695"/>
      <c r="ET23" s="587"/>
      <c r="EU23" s="695"/>
      <c r="EV23" s="587"/>
      <c r="EW23" s="695"/>
      <c r="EX23" s="587"/>
      <c r="EY23" s="695"/>
      <c r="EZ23" s="587"/>
      <c r="FA23" s="695"/>
      <c r="FB23" s="587"/>
      <c r="FC23" s="695"/>
      <c r="FD23" s="587"/>
      <c r="FE23" s="695"/>
      <c r="FF23" s="587"/>
      <c r="FG23" s="695"/>
      <c r="FH23" s="589"/>
      <c r="FI23" s="563"/>
      <c r="FJ23" s="564"/>
      <c r="FK23" s="700"/>
      <c r="FL23" s="691"/>
      <c r="FM23" s="583"/>
      <c r="FN23" s="692"/>
      <c r="FO23" s="693"/>
      <c r="FP23" s="696"/>
      <c r="FQ23" s="697"/>
      <c r="FR23" s="587"/>
      <c r="FS23" s="698"/>
      <c r="FT23" s="697"/>
      <c r="FU23" s="592"/>
      <c r="FV23" s="593"/>
      <c r="FW23" s="594"/>
      <c r="FX23" s="595"/>
      <c r="FY23" s="596"/>
      <c r="FZ23" s="597"/>
      <c r="GA23" s="598"/>
      <c r="GB23" s="599"/>
      <c r="GC23" s="600"/>
      <c r="GD23" s="599"/>
      <c r="GE23" s="601"/>
      <c r="GF23" s="688"/>
      <c r="GG23" s="602"/>
      <c r="GH23" s="602"/>
      <c r="GI23" s="602"/>
      <c r="GJ23" s="615"/>
      <c r="GK23" s="580" t="s">
        <v>701</v>
      </c>
      <c r="GL23" s="609"/>
      <c r="GM23" s="718"/>
      <c r="GN23" s="719">
        <v>54.81</v>
      </c>
      <c r="GO23" s="500" t="s">
        <v>318</v>
      </c>
      <c r="GP23" s="719"/>
      <c r="GQ23" s="609"/>
      <c r="GR23" s="615"/>
      <c r="GS23" s="578"/>
      <c r="GT23" s="677"/>
      <c r="GU23" s="609"/>
      <c r="GV23" s="530"/>
      <c r="GW23" s="609"/>
      <c r="GX23" s="609"/>
      <c r="GY23" s="720"/>
      <c r="GZ23" s="721"/>
      <c r="HA23" s="413"/>
      <c r="HB23" s="721" t="s">
        <v>778</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703</v>
      </c>
      <c r="GL24" s="609"/>
      <c r="GM24" s="718"/>
      <c r="GN24" s="719">
        <v>0.2</v>
      </c>
      <c r="GO24" s="719"/>
      <c r="GP24" s="719"/>
      <c r="GQ24" s="609"/>
      <c r="GR24" s="615"/>
      <c r="GS24" s="609"/>
      <c r="GT24" s="677"/>
      <c r="GU24" s="580" t="s">
        <v>704</v>
      </c>
      <c r="GV24" s="609"/>
      <c r="GW24" s="609"/>
      <c r="GX24" s="413"/>
      <c r="GY24" s="722">
        <v>614</v>
      </c>
      <c r="GZ24" s="580" t="s">
        <v>705</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544</v>
      </c>
      <c r="GV25" s="609"/>
      <c r="GW25" s="609"/>
      <c r="GX25" s="413"/>
      <c r="GY25" s="733">
        <v>1</v>
      </c>
      <c r="GZ25" s="580"/>
      <c r="HA25" s="530"/>
      <c r="HB25" s="530"/>
      <c r="HC25" s="530"/>
      <c r="HD25" s="562"/>
      <c r="HE25" s="562"/>
      <c r="HF25" s="415"/>
      <c r="HG25" s="415"/>
    </row>
    <row r="26" spans="1:218" ht="20.100000000000001" customHeight="1">
      <c r="A26" s="641"/>
      <c r="B26" s="642"/>
      <c r="C26" s="642"/>
      <c r="D26" s="642" t="s">
        <v>864</v>
      </c>
      <c r="E26" s="642"/>
      <c r="F26" s="642"/>
      <c r="G26" s="644"/>
      <c r="H26" s="645">
        <f>SUM(H16:H25)</f>
        <v>0</v>
      </c>
      <c r="I26" s="734"/>
      <c r="J26" s="645">
        <f>SUM(J16:J25)</f>
        <v>0</v>
      </c>
      <c r="K26" s="735"/>
      <c r="L26" s="645">
        <f>SUM(L16:L25)</f>
        <v>0</v>
      </c>
      <c r="M26" s="735"/>
      <c r="N26" s="645">
        <f>SUM(N16:N25)</f>
        <v>0</v>
      </c>
      <c r="O26" s="735"/>
      <c r="P26" s="645">
        <f>SUM(P16:P25)</f>
        <v>0</v>
      </c>
      <c r="Q26" s="735"/>
      <c r="R26" s="645">
        <f>SUM(R16:R25)</f>
        <v>0</v>
      </c>
      <c r="S26" s="735"/>
      <c r="T26" s="645">
        <f>SUM(T16:T25)</f>
        <v>0</v>
      </c>
      <c r="U26" s="735"/>
      <c r="V26" s="645">
        <f>SUM(V16:V25)</f>
        <v>0</v>
      </c>
      <c r="W26" s="735"/>
      <c r="X26" s="645">
        <f>SUM(X16:X25)</f>
        <v>564</v>
      </c>
      <c r="Y26" s="735"/>
      <c r="Z26" s="645">
        <f>SUM(Z16:Z25)</f>
        <v>736</v>
      </c>
      <c r="AA26" s="735"/>
      <c r="AB26" s="645">
        <f>SUM(AB16:AB25)</f>
        <v>880</v>
      </c>
      <c r="AC26" s="735"/>
      <c r="AD26" s="645">
        <f>SUM(AD16:AD25)</f>
        <v>979</v>
      </c>
      <c r="AE26" s="735"/>
      <c r="AF26" s="645">
        <f>SUM(AF16:AF25)</f>
        <v>1060</v>
      </c>
      <c r="AG26" s="735"/>
      <c r="AH26" s="645">
        <f>SUM(AH16:AH25)</f>
        <v>1105</v>
      </c>
      <c r="AI26" s="735"/>
      <c r="AJ26" s="645">
        <f>SUM(AJ16:AJ25)</f>
        <v>1064</v>
      </c>
      <c r="AK26" s="735"/>
      <c r="AL26" s="645">
        <f>SUM(AL16:AL25)</f>
        <v>1022</v>
      </c>
      <c r="AM26" s="735"/>
      <c r="AN26" s="645">
        <f>SUM(AN16:AN25)</f>
        <v>897</v>
      </c>
      <c r="AO26" s="735"/>
      <c r="AP26" s="645">
        <f>SUM(AP16:AP25)</f>
        <v>794</v>
      </c>
      <c r="AQ26" s="735"/>
      <c r="AR26" s="645">
        <f>SUM(AR16:AR25)</f>
        <v>0</v>
      </c>
      <c r="AS26" s="735"/>
      <c r="AT26" s="645">
        <f>SUM(AT16:AT25)</f>
        <v>0</v>
      </c>
      <c r="AU26" s="735"/>
      <c r="AV26" s="645">
        <f>SUM(AV16:AV25)</f>
        <v>0</v>
      </c>
      <c r="AW26" s="735"/>
      <c r="AX26" s="645">
        <f>SUM(AX16:AX25)</f>
        <v>0</v>
      </c>
      <c r="AY26" s="735"/>
      <c r="AZ26" s="645">
        <f>SUM(AZ16:AZ25)</f>
        <v>0</v>
      </c>
      <c r="BA26" s="735"/>
      <c r="BB26" s="647">
        <f>SUM(BB16:BB25)</f>
        <v>0</v>
      </c>
      <c r="BC26" s="648"/>
      <c r="BD26" s="641"/>
      <c r="BE26" s="642"/>
      <c r="BF26" s="642"/>
      <c r="BG26" s="642" t="s">
        <v>865</v>
      </c>
      <c r="BH26" s="642"/>
      <c r="BI26" s="642"/>
      <c r="BJ26" s="644"/>
      <c r="BK26" s="645">
        <f>SUM(BK16:BK25)</f>
        <v>0</v>
      </c>
      <c r="BL26" s="734"/>
      <c r="BM26" s="645">
        <f>SUM(BM16:BM25)</f>
        <v>0</v>
      </c>
      <c r="BN26" s="735"/>
      <c r="BO26" s="645">
        <f>SUM(BO16:BO25)</f>
        <v>0</v>
      </c>
      <c r="BP26" s="735"/>
      <c r="BQ26" s="645">
        <f>SUM(BQ16:BQ25)</f>
        <v>0</v>
      </c>
      <c r="BR26" s="735"/>
      <c r="BS26" s="645">
        <f>SUM(BS16:BS25)</f>
        <v>0</v>
      </c>
      <c r="BT26" s="735"/>
      <c r="BU26" s="645">
        <f>SUM(BU16:BU25)</f>
        <v>0</v>
      </c>
      <c r="BV26" s="735"/>
      <c r="BW26" s="645">
        <f>SUM(BW16:BW25)</f>
        <v>0</v>
      </c>
      <c r="BX26" s="735"/>
      <c r="BY26" s="645">
        <f>SUM(BY16:BY25)</f>
        <v>0</v>
      </c>
      <c r="BZ26" s="735"/>
      <c r="CA26" s="645">
        <f>SUM(CA16:CA25)</f>
        <v>518</v>
      </c>
      <c r="CB26" s="735"/>
      <c r="CC26" s="645">
        <f>SUM(CC16:CC25)</f>
        <v>672</v>
      </c>
      <c r="CD26" s="735"/>
      <c r="CE26" s="645">
        <f>SUM(CE16:CE25)</f>
        <v>834</v>
      </c>
      <c r="CF26" s="735"/>
      <c r="CG26" s="645">
        <f>SUM(CG16:CG25)</f>
        <v>935</v>
      </c>
      <c r="CH26" s="735"/>
      <c r="CI26" s="645">
        <f>SUM(CI16:CI25)</f>
        <v>1015</v>
      </c>
      <c r="CJ26" s="735"/>
      <c r="CK26" s="645">
        <f>SUM(CK16:CK25)</f>
        <v>1041</v>
      </c>
      <c r="CL26" s="735"/>
      <c r="CM26" s="645">
        <f>SUM(CM16:CM25)</f>
        <v>1025</v>
      </c>
      <c r="CN26" s="735"/>
      <c r="CO26" s="645">
        <f>SUM(CO16:CO25)</f>
        <v>982</v>
      </c>
      <c r="CP26" s="735"/>
      <c r="CQ26" s="645">
        <f>SUM(CQ16:CQ25)</f>
        <v>932</v>
      </c>
      <c r="CR26" s="735"/>
      <c r="CS26" s="645">
        <f>SUM(CS16:CS25)</f>
        <v>793</v>
      </c>
      <c r="CT26" s="735"/>
      <c r="CU26" s="645">
        <f>SUM(CU16:CU25)</f>
        <v>0</v>
      </c>
      <c r="CV26" s="735"/>
      <c r="CW26" s="645">
        <f>SUM(CW16:CW25)</f>
        <v>0</v>
      </c>
      <c r="CX26" s="735"/>
      <c r="CY26" s="645">
        <f>SUM(CY16:CY25)</f>
        <v>0</v>
      </c>
      <c r="CZ26" s="735"/>
      <c r="DA26" s="645">
        <f>SUM(DA16:DA25)</f>
        <v>0</v>
      </c>
      <c r="DB26" s="735"/>
      <c r="DC26" s="645">
        <f>SUM(DC16:DC25)</f>
        <v>0</v>
      </c>
      <c r="DD26" s="735"/>
      <c r="DE26" s="647">
        <f>SUM(DE16:DE25)</f>
        <v>0</v>
      </c>
      <c r="DF26" s="648"/>
      <c r="DG26" s="641"/>
      <c r="DH26" s="642"/>
      <c r="DI26" s="642"/>
      <c r="DJ26" s="642" t="s">
        <v>865</v>
      </c>
      <c r="DK26" s="642"/>
      <c r="DL26" s="642"/>
      <c r="DM26" s="644"/>
      <c r="DN26" s="645">
        <f>SUM(DN16:DN25)</f>
        <v>0</v>
      </c>
      <c r="DO26" s="734"/>
      <c r="DP26" s="645">
        <f>SUM(DP16:DP25)</f>
        <v>0</v>
      </c>
      <c r="DQ26" s="735"/>
      <c r="DR26" s="645">
        <f>SUM(DR16:DR25)</f>
        <v>0</v>
      </c>
      <c r="DS26" s="735"/>
      <c r="DT26" s="645">
        <f>SUM(DT16:DT25)</f>
        <v>0</v>
      </c>
      <c r="DU26" s="735"/>
      <c r="DV26" s="645">
        <f>SUM(DV16:DV25)</f>
        <v>0</v>
      </c>
      <c r="DW26" s="735"/>
      <c r="DX26" s="645">
        <f>SUM(DX16:DX25)</f>
        <v>0</v>
      </c>
      <c r="DY26" s="735"/>
      <c r="DZ26" s="645">
        <f>SUM(DZ16:DZ25)</f>
        <v>0</v>
      </c>
      <c r="EA26" s="735"/>
      <c r="EB26" s="645">
        <f>SUM(EB16:EB25)</f>
        <v>0</v>
      </c>
      <c r="EC26" s="735"/>
      <c r="ED26" s="645">
        <f>SUM(ED16:ED25)</f>
        <v>143</v>
      </c>
      <c r="EE26" s="735"/>
      <c r="EF26" s="645">
        <f>SUM(EF16:EF25)</f>
        <v>352</v>
      </c>
      <c r="EG26" s="735"/>
      <c r="EH26" s="645">
        <f>SUM(EH16:EH25)</f>
        <v>534</v>
      </c>
      <c r="EI26" s="735"/>
      <c r="EJ26" s="645">
        <f>SUM(EJ16:EJ25)</f>
        <v>686</v>
      </c>
      <c r="EK26" s="735"/>
      <c r="EL26" s="645">
        <f>SUM(EL16:EL25)</f>
        <v>774</v>
      </c>
      <c r="EM26" s="735"/>
      <c r="EN26" s="645">
        <f>SUM(EN16:EN25)</f>
        <v>797</v>
      </c>
      <c r="EO26" s="735"/>
      <c r="EP26" s="645">
        <f>SUM(EP16:EP25)</f>
        <v>796</v>
      </c>
      <c r="EQ26" s="735"/>
      <c r="ER26" s="645">
        <f>SUM(ER16:ER25)</f>
        <v>779</v>
      </c>
      <c r="ES26" s="735"/>
      <c r="ET26" s="645">
        <f>SUM(ET16:ET25)</f>
        <v>647</v>
      </c>
      <c r="EU26" s="735"/>
      <c r="EV26" s="645">
        <f>SUM(EV16:EV25)</f>
        <v>485</v>
      </c>
      <c r="EW26" s="735"/>
      <c r="EX26" s="645">
        <f>SUM(EX16:EX25)</f>
        <v>0</v>
      </c>
      <c r="EY26" s="735"/>
      <c r="EZ26" s="645">
        <f>SUM(EZ16:EZ25)</f>
        <v>0</v>
      </c>
      <c r="FA26" s="735"/>
      <c r="FB26" s="645">
        <f>SUM(FB16:FB25)</f>
        <v>0</v>
      </c>
      <c r="FC26" s="735"/>
      <c r="FD26" s="645">
        <f>SUM(FD16:FD25)</f>
        <v>0</v>
      </c>
      <c r="FE26" s="735"/>
      <c r="FF26" s="645">
        <f>SUM(FF16:FF25)</f>
        <v>0</v>
      </c>
      <c r="FG26" s="735"/>
      <c r="FH26" s="647">
        <f>SUM(FH16:FH25)</f>
        <v>0</v>
      </c>
      <c r="FI26" s="649"/>
      <c r="FJ26" s="564"/>
      <c r="FK26" s="642"/>
      <c r="FL26" s="642"/>
      <c r="FM26" s="642" t="s">
        <v>641</v>
      </c>
      <c r="FN26" s="642"/>
      <c r="FO26" s="642"/>
      <c r="FP26" s="650"/>
      <c r="FQ26" s="651"/>
      <c r="FR26" s="645">
        <f>SUM(FR16:FR25)</f>
        <v>2918</v>
      </c>
      <c r="FS26" s="736"/>
      <c r="FT26" s="651"/>
      <c r="FU26" s="653">
        <f>SUM(FU16:FU25)</f>
        <v>2995</v>
      </c>
      <c r="FV26" s="593"/>
      <c r="FW26" s="594"/>
      <c r="FX26" s="595"/>
      <c r="FY26" s="596"/>
      <c r="FZ26" s="597"/>
      <c r="GA26" s="598"/>
      <c r="GB26" s="599"/>
      <c r="GC26" s="600"/>
      <c r="GD26" s="599"/>
      <c r="GE26" s="601"/>
      <c r="GF26" s="654"/>
      <c r="GG26" s="655"/>
      <c r="GH26" s="655"/>
      <c r="GI26" s="655"/>
      <c r="GJ26" s="615"/>
      <c r="GK26" s="530" t="s">
        <v>722</v>
      </c>
      <c r="GL26" s="615"/>
      <c r="GM26" s="530"/>
      <c r="GN26" s="615"/>
      <c r="GO26" s="530"/>
      <c r="GP26" s="615"/>
      <c r="GQ26" s="615"/>
      <c r="GR26" s="615"/>
      <c r="GS26" s="579"/>
      <c r="GT26" s="677"/>
      <c r="GU26" s="580" t="s">
        <v>706</v>
      </c>
      <c r="GV26" s="609"/>
      <c r="GW26" s="609"/>
      <c r="GX26" s="413"/>
      <c r="GY26" s="733">
        <v>0.65</v>
      </c>
      <c r="GZ26" s="580"/>
      <c r="HA26" s="530"/>
      <c r="HB26" s="530"/>
      <c r="HC26" s="530"/>
      <c r="HD26" s="648"/>
      <c r="HE26" s="415"/>
      <c r="HF26" s="415"/>
      <c r="HG26" s="580"/>
      <c r="HH26" s="648"/>
      <c r="HI26" s="415"/>
      <c r="HJ26" s="415"/>
    </row>
    <row r="27" spans="1:218" ht="20.100000000000001" customHeight="1">
      <c r="A27" s="1292" t="s">
        <v>876</v>
      </c>
      <c r="B27" s="738"/>
      <c r="C27" s="739"/>
      <c r="D27" s="663"/>
      <c r="E27" s="739"/>
      <c r="F27" s="739"/>
      <c r="G27" s="740" t="s">
        <v>429</v>
      </c>
      <c r="H27" s="663" t="s">
        <v>428</v>
      </c>
      <c r="I27" s="741" t="s">
        <v>322</v>
      </c>
      <c r="J27" s="663" t="s">
        <v>428</v>
      </c>
      <c r="K27" s="742" t="s">
        <v>429</v>
      </c>
      <c r="L27" s="663" t="s">
        <v>430</v>
      </c>
      <c r="M27" s="742" t="s">
        <v>322</v>
      </c>
      <c r="N27" s="663" t="s">
        <v>430</v>
      </c>
      <c r="O27" s="742" t="s">
        <v>322</v>
      </c>
      <c r="P27" s="663" t="s">
        <v>430</v>
      </c>
      <c r="Q27" s="742" t="s">
        <v>429</v>
      </c>
      <c r="R27" s="663" t="s">
        <v>430</v>
      </c>
      <c r="S27" s="742" t="s">
        <v>322</v>
      </c>
      <c r="T27" s="663" t="s">
        <v>430</v>
      </c>
      <c r="U27" s="742" t="s">
        <v>322</v>
      </c>
      <c r="V27" s="663" t="s">
        <v>428</v>
      </c>
      <c r="W27" s="742" t="s">
        <v>429</v>
      </c>
      <c r="X27" s="663" t="s">
        <v>430</v>
      </c>
      <c r="Y27" s="742" t="s">
        <v>322</v>
      </c>
      <c r="Z27" s="663" t="s">
        <v>430</v>
      </c>
      <c r="AA27" s="742" t="s">
        <v>322</v>
      </c>
      <c r="AB27" s="663" t="s">
        <v>428</v>
      </c>
      <c r="AC27" s="742" t="s">
        <v>322</v>
      </c>
      <c r="AD27" s="663" t="s">
        <v>430</v>
      </c>
      <c r="AE27" s="742" t="s">
        <v>429</v>
      </c>
      <c r="AF27" s="663" t="s">
        <v>430</v>
      </c>
      <c r="AG27" s="742" t="s">
        <v>429</v>
      </c>
      <c r="AH27" s="663" t="s">
        <v>430</v>
      </c>
      <c r="AI27" s="742" t="s">
        <v>429</v>
      </c>
      <c r="AJ27" s="663" t="s">
        <v>428</v>
      </c>
      <c r="AK27" s="742" t="s">
        <v>429</v>
      </c>
      <c r="AL27" s="663" t="s">
        <v>428</v>
      </c>
      <c r="AM27" s="742" t="s">
        <v>429</v>
      </c>
      <c r="AN27" s="663" t="s">
        <v>428</v>
      </c>
      <c r="AO27" s="742" t="s">
        <v>429</v>
      </c>
      <c r="AP27" s="663" t="s">
        <v>428</v>
      </c>
      <c r="AQ27" s="742" t="s">
        <v>429</v>
      </c>
      <c r="AR27" s="663" t="s">
        <v>430</v>
      </c>
      <c r="AS27" s="742" t="s">
        <v>429</v>
      </c>
      <c r="AT27" s="663" t="s">
        <v>430</v>
      </c>
      <c r="AU27" s="742" t="s">
        <v>429</v>
      </c>
      <c r="AV27" s="663" t="s">
        <v>430</v>
      </c>
      <c r="AW27" s="742" t="s">
        <v>429</v>
      </c>
      <c r="AX27" s="663" t="s">
        <v>428</v>
      </c>
      <c r="AY27" s="742" t="s">
        <v>322</v>
      </c>
      <c r="AZ27" s="663" t="s">
        <v>430</v>
      </c>
      <c r="BA27" s="742" t="s">
        <v>322</v>
      </c>
      <c r="BB27" s="665" t="s">
        <v>430</v>
      </c>
      <c r="BC27" s="723"/>
      <c r="BD27" s="1292" t="s">
        <v>432</v>
      </c>
      <c r="BE27" s="738"/>
      <c r="BF27" s="739"/>
      <c r="BG27" s="663"/>
      <c r="BH27" s="739"/>
      <c r="BI27" s="739"/>
      <c r="BJ27" s="740" t="s">
        <v>322</v>
      </c>
      <c r="BK27" s="663" t="s">
        <v>430</v>
      </c>
      <c r="BL27" s="741" t="s">
        <v>322</v>
      </c>
      <c r="BM27" s="663" t="s">
        <v>430</v>
      </c>
      <c r="BN27" s="742" t="s">
        <v>322</v>
      </c>
      <c r="BO27" s="663" t="s">
        <v>430</v>
      </c>
      <c r="BP27" s="742" t="s">
        <v>322</v>
      </c>
      <c r="BQ27" s="663" t="s">
        <v>428</v>
      </c>
      <c r="BR27" s="742" t="s">
        <v>429</v>
      </c>
      <c r="BS27" s="663" t="s">
        <v>428</v>
      </c>
      <c r="BT27" s="742" t="s">
        <v>322</v>
      </c>
      <c r="BU27" s="663" t="s">
        <v>430</v>
      </c>
      <c r="BV27" s="742" t="s">
        <v>322</v>
      </c>
      <c r="BW27" s="663" t="s">
        <v>428</v>
      </c>
      <c r="BX27" s="742" t="s">
        <v>429</v>
      </c>
      <c r="BY27" s="663" t="s">
        <v>430</v>
      </c>
      <c r="BZ27" s="742" t="s">
        <v>429</v>
      </c>
      <c r="CA27" s="663" t="s">
        <v>428</v>
      </c>
      <c r="CB27" s="742" t="s">
        <v>429</v>
      </c>
      <c r="CC27" s="663" t="s">
        <v>430</v>
      </c>
      <c r="CD27" s="742" t="s">
        <v>429</v>
      </c>
      <c r="CE27" s="663" t="s">
        <v>430</v>
      </c>
      <c r="CF27" s="742" t="s">
        <v>429</v>
      </c>
      <c r="CG27" s="663" t="s">
        <v>428</v>
      </c>
      <c r="CH27" s="742" t="s">
        <v>429</v>
      </c>
      <c r="CI27" s="663" t="s">
        <v>430</v>
      </c>
      <c r="CJ27" s="742" t="s">
        <v>429</v>
      </c>
      <c r="CK27" s="663" t="s">
        <v>428</v>
      </c>
      <c r="CL27" s="742" t="s">
        <v>429</v>
      </c>
      <c r="CM27" s="663" t="s">
        <v>430</v>
      </c>
      <c r="CN27" s="742" t="s">
        <v>322</v>
      </c>
      <c r="CO27" s="663" t="s">
        <v>430</v>
      </c>
      <c r="CP27" s="742" t="s">
        <v>322</v>
      </c>
      <c r="CQ27" s="663" t="s">
        <v>428</v>
      </c>
      <c r="CR27" s="742" t="s">
        <v>322</v>
      </c>
      <c r="CS27" s="663" t="s">
        <v>430</v>
      </c>
      <c r="CT27" s="742" t="s">
        <v>322</v>
      </c>
      <c r="CU27" s="663" t="s">
        <v>430</v>
      </c>
      <c r="CV27" s="742" t="s">
        <v>429</v>
      </c>
      <c r="CW27" s="663" t="s">
        <v>428</v>
      </c>
      <c r="CX27" s="742" t="s">
        <v>322</v>
      </c>
      <c r="CY27" s="663" t="s">
        <v>430</v>
      </c>
      <c r="CZ27" s="742" t="s">
        <v>322</v>
      </c>
      <c r="DA27" s="663" t="s">
        <v>428</v>
      </c>
      <c r="DB27" s="742" t="s">
        <v>429</v>
      </c>
      <c r="DC27" s="663" t="s">
        <v>430</v>
      </c>
      <c r="DD27" s="742" t="s">
        <v>322</v>
      </c>
      <c r="DE27" s="665" t="s">
        <v>428</v>
      </c>
      <c r="DF27" s="723"/>
      <c r="DG27" s="1292" t="s">
        <v>432</v>
      </c>
      <c r="DH27" s="743"/>
      <c r="DI27" s="744"/>
      <c r="DJ27" s="745"/>
      <c r="DK27" s="744"/>
      <c r="DL27" s="744"/>
      <c r="DM27" s="740" t="s">
        <v>429</v>
      </c>
      <c r="DN27" s="663" t="s">
        <v>430</v>
      </c>
      <c r="DO27" s="741" t="s">
        <v>429</v>
      </c>
      <c r="DP27" s="663" t="s">
        <v>428</v>
      </c>
      <c r="DQ27" s="742" t="s">
        <v>322</v>
      </c>
      <c r="DR27" s="663" t="s">
        <v>430</v>
      </c>
      <c r="DS27" s="742" t="s">
        <v>429</v>
      </c>
      <c r="DT27" s="663" t="s">
        <v>430</v>
      </c>
      <c r="DU27" s="742" t="s">
        <v>429</v>
      </c>
      <c r="DV27" s="663" t="s">
        <v>430</v>
      </c>
      <c r="DW27" s="742" t="s">
        <v>429</v>
      </c>
      <c r="DX27" s="663" t="s">
        <v>428</v>
      </c>
      <c r="DY27" s="742" t="s">
        <v>429</v>
      </c>
      <c r="DZ27" s="663" t="s">
        <v>428</v>
      </c>
      <c r="EA27" s="742" t="s">
        <v>429</v>
      </c>
      <c r="EB27" s="663" t="s">
        <v>428</v>
      </c>
      <c r="EC27" s="742" t="s">
        <v>429</v>
      </c>
      <c r="ED27" s="663" t="s">
        <v>428</v>
      </c>
      <c r="EE27" s="742" t="s">
        <v>429</v>
      </c>
      <c r="EF27" s="663" t="s">
        <v>430</v>
      </c>
      <c r="EG27" s="742" t="s">
        <v>429</v>
      </c>
      <c r="EH27" s="663" t="s">
        <v>430</v>
      </c>
      <c r="EI27" s="742" t="s">
        <v>429</v>
      </c>
      <c r="EJ27" s="663" t="s">
        <v>430</v>
      </c>
      <c r="EK27" s="742" t="s">
        <v>429</v>
      </c>
      <c r="EL27" s="663" t="s">
        <v>428</v>
      </c>
      <c r="EM27" s="742" t="s">
        <v>322</v>
      </c>
      <c r="EN27" s="663" t="s">
        <v>430</v>
      </c>
      <c r="EO27" s="742" t="s">
        <v>322</v>
      </c>
      <c r="EP27" s="663" t="s">
        <v>430</v>
      </c>
      <c r="EQ27" s="742" t="s">
        <v>429</v>
      </c>
      <c r="ER27" s="663" t="s">
        <v>428</v>
      </c>
      <c r="ES27" s="742" t="s">
        <v>429</v>
      </c>
      <c r="ET27" s="663" t="s">
        <v>430</v>
      </c>
      <c r="EU27" s="742" t="s">
        <v>322</v>
      </c>
      <c r="EV27" s="663" t="s">
        <v>430</v>
      </c>
      <c r="EW27" s="742" t="s">
        <v>429</v>
      </c>
      <c r="EX27" s="663" t="s">
        <v>428</v>
      </c>
      <c r="EY27" s="742" t="s">
        <v>322</v>
      </c>
      <c r="EZ27" s="663" t="s">
        <v>428</v>
      </c>
      <c r="FA27" s="742" t="s">
        <v>429</v>
      </c>
      <c r="FB27" s="663" t="s">
        <v>428</v>
      </c>
      <c r="FC27" s="742" t="s">
        <v>322</v>
      </c>
      <c r="FD27" s="663" t="s">
        <v>428</v>
      </c>
      <c r="FE27" s="742" t="s">
        <v>322</v>
      </c>
      <c r="FF27" s="663" t="s">
        <v>428</v>
      </c>
      <c r="FG27" s="742" t="s">
        <v>429</v>
      </c>
      <c r="FH27" s="665" t="s">
        <v>428</v>
      </c>
      <c r="FI27" s="746"/>
      <c r="FJ27" s="542" t="s">
        <v>431</v>
      </c>
      <c r="FK27" s="743"/>
      <c r="FL27" s="744"/>
      <c r="FM27" s="745"/>
      <c r="FN27" s="744"/>
      <c r="FO27" s="744"/>
      <c r="FP27" s="747" t="s">
        <v>433</v>
      </c>
      <c r="FQ27" s="673" t="s">
        <v>322</v>
      </c>
      <c r="FR27" s="663" t="s">
        <v>434</v>
      </c>
      <c r="FS27" s="748" t="s">
        <v>450</v>
      </c>
      <c r="FT27" s="673" t="s">
        <v>322</v>
      </c>
      <c r="FU27" s="675" t="s">
        <v>434</v>
      </c>
      <c r="FV27" s="593"/>
      <c r="FW27" s="594"/>
      <c r="FX27" s="595"/>
      <c r="FY27" s="596"/>
      <c r="FZ27" s="597"/>
      <c r="GA27" s="598"/>
      <c r="GB27" s="599"/>
      <c r="GC27" s="600"/>
      <c r="GD27" s="599"/>
      <c r="GE27" s="601"/>
      <c r="GF27" s="749"/>
      <c r="GG27" s="750"/>
      <c r="GH27" s="750"/>
      <c r="GI27" s="750"/>
      <c r="GJ27" s="615"/>
      <c r="GK27" s="530" t="s">
        <v>779</v>
      </c>
      <c r="GL27" s="615"/>
      <c r="GM27" s="615"/>
      <c r="GN27" s="615"/>
      <c r="GO27" s="413"/>
      <c r="GP27" s="751">
        <v>27.3</v>
      </c>
      <c r="GQ27" s="413" t="s">
        <v>707</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435</v>
      </c>
      <c r="C28" s="753"/>
      <c r="D28" s="754">
        <v>55</v>
      </c>
      <c r="E28" s="755">
        <v>6</v>
      </c>
      <c r="F28" s="756" t="s">
        <v>436</v>
      </c>
      <c r="G28" s="757"/>
      <c r="H28" s="559"/>
      <c r="I28" s="758"/>
      <c r="J28" s="559"/>
      <c r="K28" s="758"/>
      <c r="L28" s="559"/>
      <c r="M28" s="758"/>
      <c r="N28" s="559"/>
      <c r="O28" s="758"/>
      <c r="P28" s="559"/>
      <c r="Q28" s="758"/>
      <c r="R28" s="559"/>
      <c r="S28" s="758"/>
      <c r="T28" s="559"/>
      <c r="U28" s="758"/>
      <c r="V28" s="559"/>
      <c r="W28" s="758">
        <v>1</v>
      </c>
      <c r="X28" s="559">
        <v>330</v>
      </c>
      <c r="Y28" s="758">
        <v>1</v>
      </c>
      <c r="Z28" s="559">
        <v>330</v>
      </c>
      <c r="AA28" s="758">
        <v>1</v>
      </c>
      <c r="AB28" s="559">
        <v>330</v>
      </c>
      <c r="AC28" s="758">
        <v>0.6</v>
      </c>
      <c r="AD28" s="559">
        <v>198</v>
      </c>
      <c r="AE28" s="758">
        <v>1</v>
      </c>
      <c r="AF28" s="559">
        <v>330</v>
      </c>
      <c r="AG28" s="758">
        <v>1</v>
      </c>
      <c r="AH28" s="559">
        <v>330</v>
      </c>
      <c r="AI28" s="758">
        <v>1</v>
      </c>
      <c r="AJ28" s="559">
        <v>330</v>
      </c>
      <c r="AK28" s="758">
        <v>1</v>
      </c>
      <c r="AL28" s="559">
        <v>330</v>
      </c>
      <c r="AM28" s="758">
        <v>1</v>
      </c>
      <c r="AN28" s="559">
        <v>330</v>
      </c>
      <c r="AO28" s="758">
        <v>0.5</v>
      </c>
      <c r="AP28" s="559">
        <v>165</v>
      </c>
      <c r="AQ28" s="758"/>
      <c r="AR28" s="559"/>
      <c r="AS28" s="758"/>
      <c r="AT28" s="559"/>
      <c r="AU28" s="758"/>
      <c r="AV28" s="559"/>
      <c r="AW28" s="758"/>
      <c r="AX28" s="559"/>
      <c r="AY28" s="758"/>
      <c r="AZ28" s="559"/>
      <c r="BA28" s="758"/>
      <c r="BB28" s="684"/>
      <c r="BC28" s="562"/>
      <c r="BD28" s="552"/>
      <c r="BE28" s="752" t="s">
        <v>435</v>
      </c>
      <c r="BF28" s="753"/>
      <c r="BG28" s="754">
        <v>55</v>
      </c>
      <c r="BH28" s="755">
        <v>6</v>
      </c>
      <c r="BI28" s="756" t="s">
        <v>436</v>
      </c>
      <c r="BJ28" s="757"/>
      <c r="BK28" s="559"/>
      <c r="BL28" s="758"/>
      <c r="BM28" s="559"/>
      <c r="BN28" s="758"/>
      <c r="BO28" s="559"/>
      <c r="BP28" s="758"/>
      <c r="BQ28" s="559"/>
      <c r="BR28" s="758"/>
      <c r="BS28" s="559"/>
      <c r="BT28" s="758"/>
      <c r="BU28" s="559"/>
      <c r="BV28" s="758"/>
      <c r="BW28" s="559"/>
      <c r="BX28" s="758"/>
      <c r="BY28" s="559"/>
      <c r="BZ28" s="758">
        <v>1</v>
      </c>
      <c r="CA28" s="559">
        <v>330</v>
      </c>
      <c r="CB28" s="758">
        <v>1</v>
      </c>
      <c r="CC28" s="559">
        <v>330</v>
      </c>
      <c r="CD28" s="758">
        <v>1</v>
      </c>
      <c r="CE28" s="559">
        <v>330</v>
      </c>
      <c r="CF28" s="758">
        <v>0.6</v>
      </c>
      <c r="CG28" s="559">
        <v>198</v>
      </c>
      <c r="CH28" s="758">
        <v>1</v>
      </c>
      <c r="CI28" s="559">
        <v>330</v>
      </c>
      <c r="CJ28" s="758">
        <v>1</v>
      </c>
      <c r="CK28" s="559">
        <v>330</v>
      </c>
      <c r="CL28" s="758">
        <v>1</v>
      </c>
      <c r="CM28" s="559">
        <v>330</v>
      </c>
      <c r="CN28" s="758">
        <v>1</v>
      </c>
      <c r="CO28" s="559">
        <v>330</v>
      </c>
      <c r="CP28" s="758">
        <v>1</v>
      </c>
      <c r="CQ28" s="559">
        <v>330</v>
      </c>
      <c r="CR28" s="758">
        <v>0.5</v>
      </c>
      <c r="CS28" s="559">
        <v>165</v>
      </c>
      <c r="CT28" s="758"/>
      <c r="CU28" s="559"/>
      <c r="CV28" s="758"/>
      <c r="CW28" s="559"/>
      <c r="CX28" s="758"/>
      <c r="CY28" s="559"/>
      <c r="CZ28" s="758"/>
      <c r="DA28" s="559"/>
      <c r="DB28" s="758"/>
      <c r="DC28" s="559"/>
      <c r="DD28" s="758"/>
      <c r="DE28" s="684"/>
      <c r="DF28" s="562"/>
      <c r="DG28" s="552"/>
      <c r="DH28" s="752" t="s">
        <v>435</v>
      </c>
      <c r="DI28" s="753"/>
      <c r="DJ28" s="754">
        <v>55</v>
      </c>
      <c r="DK28" s="755">
        <v>6</v>
      </c>
      <c r="DL28" s="756" t="s">
        <v>436</v>
      </c>
      <c r="DM28" s="757"/>
      <c r="DN28" s="559"/>
      <c r="DO28" s="758"/>
      <c r="DP28" s="559"/>
      <c r="DQ28" s="758"/>
      <c r="DR28" s="559"/>
      <c r="DS28" s="758"/>
      <c r="DT28" s="559"/>
      <c r="DU28" s="758"/>
      <c r="DV28" s="559"/>
      <c r="DW28" s="758"/>
      <c r="DX28" s="559"/>
      <c r="DY28" s="758"/>
      <c r="DZ28" s="559"/>
      <c r="EA28" s="758"/>
      <c r="EB28" s="559"/>
      <c r="EC28" s="758">
        <v>1</v>
      </c>
      <c r="ED28" s="559">
        <v>330</v>
      </c>
      <c r="EE28" s="758">
        <v>1</v>
      </c>
      <c r="EF28" s="559">
        <v>330</v>
      </c>
      <c r="EG28" s="758">
        <v>1</v>
      </c>
      <c r="EH28" s="559">
        <v>330</v>
      </c>
      <c r="EI28" s="758">
        <v>0.6</v>
      </c>
      <c r="EJ28" s="559">
        <v>198</v>
      </c>
      <c r="EK28" s="758">
        <v>1</v>
      </c>
      <c r="EL28" s="559">
        <v>330</v>
      </c>
      <c r="EM28" s="758">
        <v>1</v>
      </c>
      <c r="EN28" s="559">
        <v>330</v>
      </c>
      <c r="EO28" s="758">
        <v>1</v>
      </c>
      <c r="EP28" s="559">
        <v>330</v>
      </c>
      <c r="EQ28" s="758">
        <v>1</v>
      </c>
      <c r="ER28" s="559">
        <v>330</v>
      </c>
      <c r="ES28" s="758">
        <v>1</v>
      </c>
      <c r="ET28" s="559">
        <v>330</v>
      </c>
      <c r="EU28" s="758">
        <v>0.5</v>
      </c>
      <c r="EV28" s="559">
        <v>165</v>
      </c>
      <c r="EW28" s="758"/>
      <c r="EX28" s="559"/>
      <c r="EY28" s="758"/>
      <c r="EZ28" s="559"/>
      <c r="FA28" s="758"/>
      <c r="FB28" s="559"/>
      <c r="FC28" s="758"/>
      <c r="FD28" s="559"/>
      <c r="FE28" s="758"/>
      <c r="FF28" s="559"/>
      <c r="FG28" s="758"/>
      <c r="FH28" s="684"/>
      <c r="FI28" s="563"/>
      <c r="FJ28" s="564"/>
      <c r="FK28" s="752" t="s">
        <v>437</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549</v>
      </c>
      <c r="GL28" s="413"/>
      <c r="GM28" s="413"/>
      <c r="GN28" s="413"/>
      <c r="GO28" s="530"/>
      <c r="GP28" s="751">
        <v>28</v>
      </c>
      <c r="GQ28" s="413" t="s">
        <v>550</v>
      </c>
      <c r="GR28" s="733"/>
      <c r="GS28" s="530"/>
      <c r="GT28" s="763"/>
      <c r="GU28" s="580" t="s">
        <v>780</v>
      </c>
      <c r="GV28" s="609"/>
      <c r="GW28" s="530"/>
      <c r="GX28" s="529"/>
      <c r="GY28" s="409"/>
      <c r="GZ28" s="615"/>
      <c r="HA28" s="530"/>
      <c r="HB28" s="530"/>
      <c r="HC28" s="530"/>
      <c r="HD28" s="530"/>
      <c r="HE28" s="415"/>
      <c r="HF28" s="415"/>
      <c r="HG28" s="415"/>
      <c r="HH28" s="415"/>
    </row>
    <row r="29" spans="1:218" ht="20.100000000000001" customHeight="1" thickBot="1">
      <c r="A29" s="552"/>
      <c r="B29" s="764" t="s">
        <v>438</v>
      </c>
      <c r="C29" s="765"/>
      <c r="D29" s="766">
        <v>12</v>
      </c>
      <c r="E29" s="767">
        <v>54.81</v>
      </c>
      <c r="F29" s="768" t="s">
        <v>436</v>
      </c>
      <c r="G29" s="769"/>
      <c r="H29" s="587"/>
      <c r="I29" s="770"/>
      <c r="J29" s="587"/>
      <c r="K29" s="770"/>
      <c r="L29" s="587"/>
      <c r="M29" s="770"/>
      <c r="N29" s="587"/>
      <c r="O29" s="770"/>
      <c r="P29" s="587"/>
      <c r="Q29" s="770"/>
      <c r="R29" s="587"/>
      <c r="S29" s="770"/>
      <c r="T29" s="587"/>
      <c r="U29" s="770"/>
      <c r="V29" s="587"/>
      <c r="W29" s="770">
        <v>1</v>
      </c>
      <c r="X29" s="587">
        <v>658</v>
      </c>
      <c r="Y29" s="770">
        <v>1</v>
      </c>
      <c r="Z29" s="587">
        <v>658</v>
      </c>
      <c r="AA29" s="770">
        <v>1</v>
      </c>
      <c r="AB29" s="587">
        <v>658</v>
      </c>
      <c r="AC29" s="770">
        <v>0.5</v>
      </c>
      <c r="AD29" s="587">
        <v>329</v>
      </c>
      <c r="AE29" s="770">
        <v>1</v>
      </c>
      <c r="AF29" s="587">
        <v>658</v>
      </c>
      <c r="AG29" s="770">
        <v>1</v>
      </c>
      <c r="AH29" s="587">
        <v>658</v>
      </c>
      <c r="AI29" s="770">
        <v>1</v>
      </c>
      <c r="AJ29" s="587">
        <v>658</v>
      </c>
      <c r="AK29" s="770">
        <v>1</v>
      </c>
      <c r="AL29" s="587">
        <v>658</v>
      </c>
      <c r="AM29" s="770">
        <v>1</v>
      </c>
      <c r="AN29" s="587">
        <v>658</v>
      </c>
      <c r="AO29" s="770">
        <v>1</v>
      </c>
      <c r="AP29" s="587">
        <v>658</v>
      </c>
      <c r="AQ29" s="770"/>
      <c r="AR29" s="587"/>
      <c r="AS29" s="770"/>
      <c r="AT29" s="587"/>
      <c r="AU29" s="770"/>
      <c r="AV29" s="587"/>
      <c r="AW29" s="770"/>
      <c r="AX29" s="587"/>
      <c r="AY29" s="770"/>
      <c r="AZ29" s="587"/>
      <c r="BA29" s="770"/>
      <c r="BB29" s="589"/>
      <c r="BC29" s="562"/>
      <c r="BD29" s="552"/>
      <c r="BE29" s="764" t="s">
        <v>438</v>
      </c>
      <c r="BF29" s="765"/>
      <c r="BG29" s="766">
        <v>12</v>
      </c>
      <c r="BH29" s="767">
        <v>54.81</v>
      </c>
      <c r="BI29" s="768" t="s">
        <v>436</v>
      </c>
      <c r="BJ29" s="769"/>
      <c r="BK29" s="587"/>
      <c r="BL29" s="770"/>
      <c r="BM29" s="587"/>
      <c r="BN29" s="770"/>
      <c r="BO29" s="587"/>
      <c r="BP29" s="770"/>
      <c r="BQ29" s="587"/>
      <c r="BR29" s="770"/>
      <c r="BS29" s="587"/>
      <c r="BT29" s="770"/>
      <c r="BU29" s="587"/>
      <c r="BV29" s="770"/>
      <c r="BW29" s="587"/>
      <c r="BX29" s="770"/>
      <c r="BY29" s="587"/>
      <c r="BZ29" s="770">
        <v>1</v>
      </c>
      <c r="CA29" s="587">
        <v>658</v>
      </c>
      <c r="CB29" s="770">
        <v>1</v>
      </c>
      <c r="CC29" s="587">
        <v>658</v>
      </c>
      <c r="CD29" s="770">
        <v>1</v>
      </c>
      <c r="CE29" s="587">
        <v>658</v>
      </c>
      <c r="CF29" s="770">
        <v>0.5</v>
      </c>
      <c r="CG29" s="587">
        <v>329</v>
      </c>
      <c r="CH29" s="770">
        <v>1</v>
      </c>
      <c r="CI29" s="587">
        <v>658</v>
      </c>
      <c r="CJ29" s="770">
        <v>1</v>
      </c>
      <c r="CK29" s="587">
        <v>658</v>
      </c>
      <c r="CL29" s="770">
        <v>1</v>
      </c>
      <c r="CM29" s="587">
        <v>658</v>
      </c>
      <c r="CN29" s="770">
        <v>1</v>
      </c>
      <c r="CO29" s="587">
        <v>658</v>
      </c>
      <c r="CP29" s="770">
        <v>1</v>
      </c>
      <c r="CQ29" s="587">
        <v>658</v>
      </c>
      <c r="CR29" s="770">
        <v>1</v>
      </c>
      <c r="CS29" s="587">
        <v>658</v>
      </c>
      <c r="CT29" s="770"/>
      <c r="CU29" s="587"/>
      <c r="CV29" s="770"/>
      <c r="CW29" s="587"/>
      <c r="CX29" s="770"/>
      <c r="CY29" s="587"/>
      <c r="CZ29" s="770"/>
      <c r="DA29" s="587"/>
      <c r="DB29" s="770"/>
      <c r="DC29" s="587"/>
      <c r="DD29" s="770"/>
      <c r="DE29" s="589"/>
      <c r="DF29" s="562"/>
      <c r="DG29" s="552"/>
      <c r="DH29" s="764" t="s">
        <v>438</v>
      </c>
      <c r="DI29" s="765"/>
      <c r="DJ29" s="766">
        <v>12</v>
      </c>
      <c r="DK29" s="767">
        <v>54.81</v>
      </c>
      <c r="DL29" s="768" t="s">
        <v>436</v>
      </c>
      <c r="DM29" s="769"/>
      <c r="DN29" s="587"/>
      <c r="DO29" s="770"/>
      <c r="DP29" s="587"/>
      <c r="DQ29" s="770"/>
      <c r="DR29" s="587"/>
      <c r="DS29" s="770"/>
      <c r="DT29" s="587"/>
      <c r="DU29" s="770"/>
      <c r="DV29" s="587"/>
      <c r="DW29" s="770"/>
      <c r="DX29" s="587"/>
      <c r="DY29" s="770"/>
      <c r="DZ29" s="587"/>
      <c r="EA29" s="770"/>
      <c r="EB29" s="587"/>
      <c r="EC29" s="770">
        <v>1</v>
      </c>
      <c r="ED29" s="587">
        <v>658</v>
      </c>
      <c r="EE29" s="770">
        <v>1</v>
      </c>
      <c r="EF29" s="587">
        <v>658</v>
      </c>
      <c r="EG29" s="770">
        <v>1</v>
      </c>
      <c r="EH29" s="587">
        <v>658</v>
      </c>
      <c r="EI29" s="770">
        <v>0.5</v>
      </c>
      <c r="EJ29" s="587">
        <v>329</v>
      </c>
      <c r="EK29" s="770">
        <v>1</v>
      </c>
      <c r="EL29" s="587">
        <v>658</v>
      </c>
      <c r="EM29" s="770">
        <v>1</v>
      </c>
      <c r="EN29" s="587">
        <v>658</v>
      </c>
      <c r="EO29" s="770">
        <v>1</v>
      </c>
      <c r="EP29" s="587">
        <v>658</v>
      </c>
      <c r="EQ29" s="770">
        <v>1</v>
      </c>
      <c r="ER29" s="587">
        <v>658</v>
      </c>
      <c r="ES29" s="770">
        <v>1</v>
      </c>
      <c r="ET29" s="587">
        <v>658</v>
      </c>
      <c r="EU29" s="770">
        <v>1</v>
      </c>
      <c r="EV29" s="587">
        <v>658</v>
      </c>
      <c r="EW29" s="770"/>
      <c r="EX29" s="587"/>
      <c r="EY29" s="770"/>
      <c r="EZ29" s="587"/>
      <c r="FA29" s="770"/>
      <c r="FB29" s="587"/>
      <c r="FC29" s="770"/>
      <c r="FD29" s="587"/>
      <c r="FE29" s="770"/>
      <c r="FF29" s="587"/>
      <c r="FG29" s="770"/>
      <c r="FH29" s="589"/>
      <c r="FI29" s="563"/>
      <c r="FJ29" s="564"/>
      <c r="FK29" s="764" t="s">
        <v>439</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552</v>
      </c>
      <c r="GL29" s="774"/>
      <c r="GM29" s="774"/>
      <c r="GN29" s="774"/>
      <c r="GO29" s="615"/>
      <c r="GP29" s="751">
        <v>-0.69999999999999929</v>
      </c>
      <c r="GQ29" s="413" t="s">
        <v>550</v>
      </c>
      <c r="GR29" s="775"/>
      <c r="GS29" s="530"/>
      <c r="GT29" s="763"/>
      <c r="GU29" s="580" t="s">
        <v>553</v>
      </c>
      <c r="GV29" s="609"/>
      <c r="GW29" s="530"/>
      <c r="GX29" s="529"/>
      <c r="GY29" s="409"/>
      <c r="GZ29" s="530"/>
      <c r="HA29" s="580"/>
      <c r="HB29" s="580"/>
      <c r="HC29" s="579"/>
      <c r="HD29" s="530"/>
      <c r="HE29" s="415"/>
      <c r="HF29" s="415"/>
    </row>
    <row r="30" spans="1:218" ht="20.100000000000001" customHeight="1">
      <c r="A30" s="552"/>
      <c r="B30" s="764" t="s">
        <v>440</v>
      </c>
      <c r="C30" s="766">
        <v>12</v>
      </c>
      <c r="D30" s="767">
        <v>54.81</v>
      </c>
      <c r="E30" s="776">
        <v>1</v>
      </c>
      <c r="F30" s="777" t="s">
        <v>436</v>
      </c>
      <c r="G30" s="769"/>
      <c r="H30" s="587"/>
      <c r="I30" s="770"/>
      <c r="J30" s="587"/>
      <c r="K30" s="770"/>
      <c r="L30" s="587"/>
      <c r="M30" s="770"/>
      <c r="N30" s="587"/>
      <c r="O30" s="770"/>
      <c r="P30" s="587"/>
      <c r="Q30" s="770"/>
      <c r="R30" s="587"/>
      <c r="S30" s="770"/>
      <c r="T30" s="587"/>
      <c r="U30" s="770"/>
      <c r="V30" s="587"/>
      <c r="W30" s="770">
        <v>1</v>
      </c>
      <c r="X30" s="587">
        <v>658</v>
      </c>
      <c r="Y30" s="770">
        <v>1</v>
      </c>
      <c r="Z30" s="587">
        <v>658</v>
      </c>
      <c r="AA30" s="770">
        <v>1</v>
      </c>
      <c r="AB30" s="587">
        <v>658</v>
      </c>
      <c r="AC30" s="770">
        <v>0.8</v>
      </c>
      <c r="AD30" s="587">
        <v>526</v>
      </c>
      <c r="AE30" s="770">
        <v>1</v>
      </c>
      <c r="AF30" s="587">
        <v>658</v>
      </c>
      <c r="AG30" s="770">
        <v>1</v>
      </c>
      <c r="AH30" s="587">
        <v>658</v>
      </c>
      <c r="AI30" s="770">
        <v>1</v>
      </c>
      <c r="AJ30" s="587">
        <v>658</v>
      </c>
      <c r="AK30" s="770">
        <v>1</v>
      </c>
      <c r="AL30" s="587">
        <v>658</v>
      </c>
      <c r="AM30" s="770">
        <v>1</v>
      </c>
      <c r="AN30" s="587">
        <v>658</v>
      </c>
      <c r="AO30" s="770">
        <v>1</v>
      </c>
      <c r="AP30" s="587">
        <v>658</v>
      </c>
      <c r="AQ30" s="770"/>
      <c r="AR30" s="587"/>
      <c r="AS30" s="770"/>
      <c r="AT30" s="587"/>
      <c r="AU30" s="770"/>
      <c r="AV30" s="587"/>
      <c r="AW30" s="770"/>
      <c r="AX30" s="587"/>
      <c r="AY30" s="770"/>
      <c r="AZ30" s="587"/>
      <c r="BA30" s="770"/>
      <c r="BB30" s="589"/>
      <c r="BC30" s="562"/>
      <c r="BD30" s="552"/>
      <c r="BE30" s="764" t="s">
        <v>441</v>
      </c>
      <c r="BF30" s="766">
        <v>12</v>
      </c>
      <c r="BG30" s="767">
        <v>54.81</v>
      </c>
      <c r="BH30" s="776">
        <v>1</v>
      </c>
      <c r="BI30" s="777" t="s">
        <v>436</v>
      </c>
      <c r="BJ30" s="769"/>
      <c r="BK30" s="587"/>
      <c r="BL30" s="770"/>
      <c r="BM30" s="587"/>
      <c r="BN30" s="770"/>
      <c r="BO30" s="587"/>
      <c r="BP30" s="770"/>
      <c r="BQ30" s="587"/>
      <c r="BR30" s="770"/>
      <c r="BS30" s="587"/>
      <c r="BT30" s="770"/>
      <c r="BU30" s="587"/>
      <c r="BV30" s="770"/>
      <c r="BW30" s="587"/>
      <c r="BX30" s="770"/>
      <c r="BY30" s="587"/>
      <c r="BZ30" s="770">
        <v>1</v>
      </c>
      <c r="CA30" s="587">
        <v>658</v>
      </c>
      <c r="CB30" s="770">
        <v>1</v>
      </c>
      <c r="CC30" s="587">
        <v>658</v>
      </c>
      <c r="CD30" s="770">
        <v>1</v>
      </c>
      <c r="CE30" s="587">
        <v>658</v>
      </c>
      <c r="CF30" s="770">
        <v>0.8</v>
      </c>
      <c r="CG30" s="587">
        <v>526</v>
      </c>
      <c r="CH30" s="770">
        <v>1</v>
      </c>
      <c r="CI30" s="587">
        <v>658</v>
      </c>
      <c r="CJ30" s="770">
        <v>1</v>
      </c>
      <c r="CK30" s="587">
        <v>658</v>
      </c>
      <c r="CL30" s="770">
        <v>1</v>
      </c>
      <c r="CM30" s="587">
        <v>658</v>
      </c>
      <c r="CN30" s="770">
        <v>1</v>
      </c>
      <c r="CO30" s="587">
        <v>658</v>
      </c>
      <c r="CP30" s="770">
        <v>1</v>
      </c>
      <c r="CQ30" s="587">
        <v>658</v>
      </c>
      <c r="CR30" s="770">
        <v>1</v>
      </c>
      <c r="CS30" s="587">
        <v>658</v>
      </c>
      <c r="CT30" s="770"/>
      <c r="CU30" s="587"/>
      <c r="CV30" s="770"/>
      <c r="CW30" s="587"/>
      <c r="CX30" s="770"/>
      <c r="CY30" s="587"/>
      <c r="CZ30" s="770"/>
      <c r="DA30" s="587"/>
      <c r="DB30" s="770"/>
      <c r="DC30" s="587"/>
      <c r="DD30" s="770"/>
      <c r="DE30" s="589"/>
      <c r="DF30" s="562"/>
      <c r="DG30" s="552"/>
      <c r="DH30" s="764" t="s">
        <v>440</v>
      </c>
      <c r="DI30" s="766">
        <v>12</v>
      </c>
      <c r="DJ30" s="767">
        <v>54.81</v>
      </c>
      <c r="DK30" s="776">
        <v>1</v>
      </c>
      <c r="DL30" s="777" t="s">
        <v>436</v>
      </c>
      <c r="DM30" s="769"/>
      <c r="DN30" s="587"/>
      <c r="DO30" s="770"/>
      <c r="DP30" s="587"/>
      <c r="DQ30" s="770"/>
      <c r="DR30" s="587"/>
      <c r="DS30" s="770"/>
      <c r="DT30" s="587"/>
      <c r="DU30" s="770"/>
      <c r="DV30" s="587"/>
      <c r="DW30" s="770"/>
      <c r="DX30" s="587"/>
      <c r="DY30" s="770"/>
      <c r="DZ30" s="587"/>
      <c r="EA30" s="770"/>
      <c r="EB30" s="587"/>
      <c r="EC30" s="770">
        <v>1</v>
      </c>
      <c r="ED30" s="587">
        <v>658</v>
      </c>
      <c r="EE30" s="770">
        <v>1</v>
      </c>
      <c r="EF30" s="587">
        <v>658</v>
      </c>
      <c r="EG30" s="770">
        <v>1</v>
      </c>
      <c r="EH30" s="587">
        <v>658</v>
      </c>
      <c r="EI30" s="770">
        <v>0.8</v>
      </c>
      <c r="EJ30" s="587">
        <v>526</v>
      </c>
      <c r="EK30" s="770">
        <v>1</v>
      </c>
      <c r="EL30" s="587">
        <v>658</v>
      </c>
      <c r="EM30" s="770">
        <v>1</v>
      </c>
      <c r="EN30" s="587">
        <v>658</v>
      </c>
      <c r="EO30" s="770">
        <v>1</v>
      </c>
      <c r="EP30" s="587">
        <v>658</v>
      </c>
      <c r="EQ30" s="770">
        <v>1</v>
      </c>
      <c r="ER30" s="587">
        <v>658</v>
      </c>
      <c r="ES30" s="770">
        <v>1</v>
      </c>
      <c r="ET30" s="587">
        <v>658</v>
      </c>
      <c r="EU30" s="770">
        <v>1</v>
      </c>
      <c r="EV30" s="587">
        <v>658</v>
      </c>
      <c r="EW30" s="770"/>
      <c r="EX30" s="587"/>
      <c r="EY30" s="770"/>
      <c r="EZ30" s="587"/>
      <c r="FA30" s="770"/>
      <c r="FB30" s="587"/>
      <c r="FC30" s="770"/>
      <c r="FD30" s="587"/>
      <c r="FE30" s="770"/>
      <c r="FF30" s="587"/>
      <c r="FG30" s="770"/>
      <c r="FH30" s="589"/>
      <c r="FI30" s="563"/>
      <c r="FJ30" s="564"/>
      <c r="FK30" s="764" t="s">
        <v>441</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554</v>
      </c>
      <c r="GL30" s="774"/>
      <c r="GM30" s="774"/>
      <c r="GN30" s="774"/>
      <c r="GO30" s="530"/>
      <c r="GP30" s="778">
        <v>-0.44</v>
      </c>
      <c r="GQ30" s="413"/>
      <c r="GR30" s="413"/>
      <c r="GS30" s="530"/>
      <c r="GT30" s="763"/>
      <c r="GU30" s="779" t="s">
        <v>384</v>
      </c>
      <c r="GV30" s="780"/>
      <c r="GW30" s="781" t="s">
        <v>782</v>
      </c>
      <c r="GX30" s="781"/>
      <c r="GY30" s="781"/>
      <c r="GZ30" s="781"/>
      <c r="HA30" s="782"/>
      <c r="HB30" s="783" t="s">
        <v>878</v>
      </c>
      <c r="HC30" s="579"/>
      <c r="HD30" s="562"/>
      <c r="HE30" s="415"/>
      <c r="HF30" s="415"/>
    </row>
    <row r="31" spans="1:218" ht="20.100000000000001" customHeight="1">
      <c r="A31" s="552"/>
      <c r="B31" s="784" t="s">
        <v>442</v>
      </c>
      <c r="C31" s="784"/>
      <c r="D31" s="785"/>
      <c r="E31" s="786"/>
      <c r="F31" s="787"/>
      <c r="G31" s="769"/>
      <c r="H31" s="587"/>
      <c r="I31" s="770"/>
      <c r="J31" s="587"/>
      <c r="K31" s="770"/>
      <c r="L31" s="587"/>
      <c r="M31" s="770"/>
      <c r="N31" s="587"/>
      <c r="O31" s="770"/>
      <c r="P31" s="587"/>
      <c r="Q31" s="770"/>
      <c r="R31" s="587"/>
      <c r="S31" s="770"/>
      <c r="T31" s="587"/>
      <c r="U31" s="770"/>
      <c r="V31" s="587"/>
      <c r="W31" s="770"/>
      <c r="X31" s="587">
        <v>0</v>
      </c>
      <c r="Y31" s="770"/>
      <c r="Z31" s="587">
        <v>0</v>
      </c>
      <c r="AA31" s="770"/>
      <c r="AB31" s="587">
        <v>0</v>
      </c>
      <c r="AC31" s="770"/>
      <c r="AD31" s="587">
        <v>0</v>
      </c>
      <c r="AE31" s="770"/>
      <c r="AF31" s="587">
        <v>0</v>
      </c>
      <c r="AG31" s="770"/>
      <c r="AH31" s="587">
        <v>0</v>
      </c>
      <c r="AI31" s="770"/>
      <c r="AJ31" s="587">
        <v>0</v>
      </c>
      <c r="AK31" s="770"/>
      <c r="AL31" s="587">
        <v>0</v>
      </c>
      <c r="AM31" s="770"/>
      <c r="AN31" s="587">
        <v>0</v>
      </c>
      <c r="AO31" s="770"/>
      <c r="AP31" s="587">
        <v>0</v>
      </c>
      <c r="AQ31" s="770"/>
      <c r="AR31" s="587"/>
      <c r="AS31" s="770"/>
      <c r="AT31" s="587"/>
      <c r="AU31" s="770"/>
      <c r="AV31" s="587"/>
      <c r="AW31" s="770"/>
      <c r="AX31" s="587"/>
      <c r="AY31" s="770"/>
      <c r="AZ31" s="587"/>
      <c r="BA31" s="770"/>
      <c r="BB31" s="589"/>
      <c r="BC31" s="562"/>
      <c r="BD31" s="552"/>
      <c r="BE31" s="784" t="s">
        <v>443</v>
      </c>
      <c r="BF31" s="784"/>
      <c r="BG31" s="785">
        <v>0</v>
      </c>
      <c r="BH31" s="786">
        <v>0</v>
      </c>
      <c r="BI31" s="787"/>
      <c r="BJ31" s="769"/>
      <c r="BK31" s="587"/>
      <c r="BL31" s="770"/>
      <c r="BM31" s="587"/>
      <c r="BN31" s="770"/>
      <c r="BO31" s="587"/>
      <c r="BP31" s="770"/>
      <c r="BQ31" s="587"/>
      <c r="BR31" s="770"/>
      <c r="BS31" s="587"/>
      <c r="BT31" s="770"/>
      <c r="BU31" s="587"/>
      <c r="BV31" s="770"/>
      <c r="BW31" s="587"/>
      <c r="BX31" s="770"/>
      <c r="BY31" s="587"/>
      <c r="BZ31" s="770"/>
      <c r="CA31" s="587">
        <v>0</v>
      </c>
      <c r="CB31" s="770"/>
      <c r="CC31" s="587">
        <v>0</v>
      </c>
      <c r="CD31" s="770"/>
      <c r="CE31" s="587">
        <v>0</v>
      </c>
      <c r="CF31" s="770"/>
      <c r="CG31" s="587">
        <v>0</v>
      </c>
      <c r="CH31" s="770"/>
      <c r="CI31" s="587">
        <v>0</v>
      </c>
      <c r="CJ31" s="770"/>
      <c r="CK31" s="587">
        <v>0</v>
      </c>
      <c r="CL31" s="770"/>
      <c r="CM31" s="587">
        <v>0</v>
      </c>
      <c r="CN31" s="770"/>
      <c r="CO31" s="587">
        <v>0</v>
      </c>
      <c r="CP31" s="770"/>
      <c r="CQ31" s="587">
        <v>0</v>
      </c>
      <c r="CR31" s="770"/>
      <c r="CS31" s="587">
        <v>0</v>
      </c>
      <c r="CT31" s="770"/>
      <c r="CU31" s="587"/>
      <c r="CV31" s="770"/>
      <c r="CW31" s="587"/>
      <c r="CX31" s="770"/>
      <c r="CY31" s="587"/>
      <c r="CZ31" s="770"/>
      <c r="DA31" s="587"/>
      <c r="DB31" s="770"/>
      <c r="DC31" s="587"/>
      <c r="DD31" s="770"/>
      <c r="DE31" s="589"/>
      <c r="DF31" s="562"/>
      <c r="DG31" s="552"/>
      <c r="DH31" s="784" t="s">
        <v>442</v>
      </c>
      <c r="DI31" s="784"/>
      <c r="DJ31" s="785">
        <v>0</v>
      </c>
      <c r="DK31" s="786">
        <v>0</v>
      </c>
      <c r="DL31" s="787"/>
      <c r="DM31" s="769"/>
      <c r="DN31" s="587"/>
      <c r="DO31" s="770"/>
      <c r="DP31" s="587"/>
      <c r="DQ31" s="770"/>
      <c r="DR31" s="587"/>
      <c r="DS31" s="770"/>
      <c r="DT31" s="587"/>
      <c r="DU31" s="770"/>
      <c r="DV31" s="587"/>
      <c r="DW31" s="770"/>
      <c r="DX31" s="587"/>
      <c r="DY31" s="770"/>
      <c r="DZ31" s="587"/>
      <c r="EA31" s="770"/>
      <c r="EB31" s="587"/>
      <c r="EC31" s="770"/>
      <c r="ED31" s="587">
        <v>0</v>
      </c>
      <c r="EE31" s="770"/>
      <c r="EF31" s="587">
        <v>0</v>
      </c>
      <c r="EG31" s="770"/>
      <c r="EH31" s="587">
        <v>0</v>
      </c>
      <c r="EI31" s="770"/>
      <c r="EJ31" s="587">
        <v>0</v>
      </c>
      <c r="EK31" s="770"/>
      <c r="EL31" s="587">
        <v>0</v>
      </c>
      <c r="EM31" s="770"/>
      <c r="EN31" s="587">
        <v>0</v>
      </c>
      <c r="EO31" s="770"/>
      <c r="EP31" s="587">
        <v>0</v>
      </c>
      <c r="EQ31" s="770"/>
      <c r="ER31" s="587">
        <v>0</v>
      </c>
      <c r="ES31" s="770"/>
      <c r="ET31" s="587">
        <v>0</v>
      </c>
      <c r="EU31" s="770"/>
      <c r="EV31" s="587">
        <v>0</v>
      </c>
      <c r="EW31" s="770"/>
      <c r="EX31" s="587"/>
      <c r="EY31" s="770"/>
      <c r="EZ31" s="587"/>
      <c r="FA31" s="770"/>
      <c r="FB31" s="587"/>
      <c r="FC31" s="770"/>
      <c r="FD31" s="587"/>
      <c r="FE31" s="770"/>
      <c r="FF31" s="587"/>
      <c r="FG31" s="770"/>
      <c r="FH31" s="589"/>
      <c r="FI31" s="563"/>
      <c r="FJ31" s="564"/>
      <c r="FK31" s="784" t="s">
        <v>442</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-0.44</v>
      </c>
      <c r="GQ31" s="413"/>
      <c r="GR31" s="413"/>
      <c r="GS31" s="580"/>
      <c r="GT31" s="763"/>
      <c r="GU31" s="779"/>
      <c r="GV31" s="780"/>
      <c r="GW31" s="789" t="s">
        <v>835</v>
      </c>
      <c r="GX31" s="790" t="s">
        <v>559</v>
      </c>
      <c r="GY31" s="791" t="s">
        <v>716</v>
      </c>
      <c r="GZ31" s="792" t="s">
        <v>783</v>
      </c>
      <c r="HA31" s="792" t="s">
        <v>536</v>
      </c>
      <c r="HB31" s="793"/>
      <c r="HC31" s="579"/>
      <c r="HD31" s="562"/>
      <c r="HE31" s="415"/>
      <c r="HF31" s="415"/>
    </row>
    <row r="32" spans="1:218" ht="20.100000000000001" customHeight="1">
      <c r="A32" s="552"/>
      <c r="B32" s="794" t="s">
        <v>669</v>
      </c>
      <c r="C32" s="795"/>
      <c r="D32" s="785"/>
      <c r="E32" s="796"/>
      <c r="F32" s="797"/>
      <c r="G32" s="798"/>
      <c r="H32" s="799"/>
      <c r="I32" s="800"/>
      <c r="J32" s="799"/>
      <c r="K32" s="800"/>
      <c r="L32" s="799"/>
      <c r="M32" s="800"/>
      <c r="N32" s="799"/>
      <c r="O32" s="800"/>
      <c r="P32" s="799"/>
      <c r="Q32" s="800"/>
      <c r="R32" s="799"/>
      <c r="S32" s="800"/>
      <c r="T32" s="799"/>
      <c r="U32" s="800"/>
      <c r="V32" s="799"/>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c r="AS32" s="800"/>
      <c r="AT32" s="799"/>
      <c r="AU32" s="800"/>
      <c r="AV32" s="799"/>
      <c r="AW32" s="800"/>
      <c r="AX32" s="799"/>
      <c r="AY32" s="800"/>
      <c r="AZ32" s="799"/>
      <c r="BA32" s="800"/>
      <c r="BB32" s="801"/>
      <c r="BC32" s="562"/>
      <c r="BD32" s="552"/>
      <c r="BE32" s="794" t="s">
        <v>669</v>
      </c>
      <c r="BF32" s="795"/>
      <c r="BG32" s="785">
        <v>0</v>
      </c>
      <c r="BH32" s="796">
        <v>0</v>
      </c>
      <c r="BI32" s="797"/>
      <c r="BJ32" s="798"/>
      <c r="BK32" s="799"/>
      <c r="BL32" s="800"/>
      <c r="BM32" s="799"/>
      <c r="BN32" s="800"/>
      <c r="BO32" s="799"/>
      <c r="BP32" s="800"/>
      <c r="BQ32" s="799"/>
      <c r="BR32" s="800"/>
      <c r="BS32" s="799"/>
      <c r="BT32" s="800"/>
      <c r="BU32" s="799"/>
      <c r="BV32" s="800"/>
      <c r="BW32" s="799"/>
      <c r="BX32" s="800"/>
      <c r="BY32" s="799"/>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c r="CV32" s="800"/>
      <c r="CW32" s="799"/>
      <c r="CX32" s="800"/>
      <c r="CY32" s="799"/>
      <c r="CZ32" s="800"/>
      <c r="DA32" s="799"/>
      <c r="DB32" s="800"/>
      <c r="DC32" s="799"/>
      <c r="DD32" s="800"/>
      <c r="DE32" s="801"/>
      <c r="DF32" s="562"/>
      <c r="DG32" s="552"/>
      <c r="DH32" s="794" t="s">
        <v>444</v>
      </c>
      <c r="DI32" s="795"/>
      <c r="DJ32" s="785">
        <v>0</v>
      </c>
      <c r="DK32" s="796">
        <v>0</v>
      </c>
      <c r="DL32" s="797"/>
      <c r="DM32" s="798"/>
      <c r="DN32" s="799"/>
      <c r="DO32" s="800"/>
      <c r="DP32" s="799"/>
      <c r="DQ32" s="800"/>
      <c r="DR32" s="799"/>
      <c r="DS32" s="800"/>
      <c r="DT32" s="799"/>
      <c r="DU32" s="800"/>
      <c r="DV32" s="799"/>
      <c r="DW32" s="800"/>
      <c r="DX32" s="799"/>
      <c r="DY32" s="800"/>
      <c r="DZ32" s="799"/>
      <c r="EA32" s="800"/>
      <c r="EB32" s="799"/>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c r="EY32" s="800"/>
      <c r="EZ32" s="799"/>
      <c r="FA32" s="800"/>
      <c r="FB32" s="799"/>
      <c r="FC32" s="800"/>
      <c r="FD32" s="799"/>
      <c r="FE32" s="800"/>
      <c r="FF32" s="799"/>
      <c r="FG32" s="800"/>
      <c r="FH32" s="801"/>
      <c r="FI32" s="563"/>
      <c r="FJ32" s="564"/>
      <c r="FK32" s="794" t="s">
        <v>669</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445</v>
      </c>
      <c r="E33" s="642"/>
      <c r="F33" s="642"/>
      <c r="G33" s="644"/>
      <c r="H33" s="645">
        <v>0</v>
      </c>
      <c r="I33" s="1291"/>
      <c r="J33" s="645">
        <v>0</v>
      </c>
      <c r="K33" s="1291"/>
      <c r="L33" s="645">
        <v>0</v>
      </c>
      <c r="M33" s="1291"/>
      <c r="N33" s="645">
        <v>0</v>
      </c>
      <c r="O33" s="1291"/>
      <c r="P33" s="645">
        <v>0</v>
      </c>
      <c r="Q33" s="1291"/>
      <c r="R33" s="645">
        <v>0</v>
      </c>
      <c r="S33" s="1291"/>
      <c r="T33" s="645">
        <v>0</v>
      </c>
      <c r="U33" s="1291"/>
      <c r="V33" s="645">
        <v>0</v>
      </c>
      <c r="W33" s="1291"/>
      <c r="X33" s="645">
        <v>1646</v>
      </c>
      <c r="Y33" s="1291"/>
      <c r="Z33" s="645">
        <v>1646</v>
      </c>
      <c r="AA33" s="1291"/>
      <c r="AB33" s="645">
        <v>1646</v>
      </c>
      <c r="AC33" s="1291"/>
      <c r="AD33" s="645">
        <v>1053</v>
      </c>
      <c r="AE33" s="1291"/>
      <c r="AF33" s="645">
        <v>1646</v>
      </c>
      <c r="AG33" s="1291"/>
      <c r="AH33" s="645">
        <v>1646</v>
      </c>
      <c r="AI33" s="1291"/>
      <c r="AJ33" s="645">
        <v>1646</v>
      </c>
      <c r="AK33" s="1291"/>
      <c r="AL33" s="645">
        <v>1646</v>
      </c>
      <c r="AM33" s="1291"/>
      <c r="AN33" s="645">
        <v>1646</v>
      </c>
      <c r="AO33" s="1291"/>
      <c r="AP33" s="645">
        <v>1481</v>
      </c>
      <c r="AQ33" s="1291"/>
      <c r="AR33" s="645">
        <v>0</v>
      </c>
      <c r="AS33" s="1291"/>
      <c r="AT33" s="645">
        <v>0</v>
      </c>
      <c r="AU33" s="1291"/>
      <c r="AV33" s="645">
        <v>0</v>
      </c>
      <c r="AW33" s="1291"/>
      <c r="AX33" s="645">
        <v>0</v>
      </c>
      <c r="AY33" s="1291"/>
      <c r="AZ33" s="645">
        <v>0</v>
      </c>
      <c r="BA33" s="1291"/>
      <c r="BB33" s="647">
        <v>0</v>
      </c>
      <c r="BC33" s="648"/>
      <c r="BD33" s="641"/>
      <c r="BE33" s="642"/>
      <c r="BF33" s="642"/>
      <c r="BG33" s="643" t="s">
        <v>325</v>
      </c>
      <c r="BH33" s="642"/>
      <c r="BI33" s="642"/>
      <c r="BJ33" s="644"/>
      <c r="BK33" s="645">
        <v>0</v>
      </c>
      <c r="BL33" s="1291"/>
      <c r="BM33" s="645">
        <v>0</v>
      </c>
      <c r="BN33" s="1291"/>
      <c r="BO33" s="645">
        <v>0</v>
      </c>
      <c r="BP33" s="1291"/>
      <c r="BQ33" s="645">
        <v>0</v>
      </c>
      <c r="BR33" s="1291"/>
      <c r="BS33" s="645">
        <v>0</v>
      </c>
      <c r="BT33" s="1291"/>
      <c r="BU33" s="645">
        <v>0</v>
      </c>
      <c r="BV33" s="1291"/>
      <c r="BW33" s="645">
        <v>0</v>
      </c>
      <c r="BX33" s="1291"/>
      <c r="BY33" s="645">
        <v>0</v>
      </c>
      <c r="BZ33" s="1291"/>
      <c r="CA33" s="645">
        <v>1646</v>
      </c>
      <c r="CB33" s="1291"/>
      <c r="CC33" s="645">
        <v>1646</v>
      </c>
      <c r="CD33" s="1291"/>
      <c r="CE33" s="645">
        <v>1646</v>
      </c>
      <c r="CF33" s="1291"/>
      <c r="CG33" s="645">
        <v>1053</v>
      </c>
      <c r="CH33" s="1291"/>
      <c r="CI33" s="645">
        <v>1646</v>
      </c>
      <c r="CJ33" s="1291"/>
      <c r="CK33" s="645">
        <v>1646</v>
      </c>
      <c r="CL33" s="1291"/>
      <c r="CM33" s="645">
        <v>1646</v>
      </c>
      <c r="CN33" s="1291"/>
      <c r="CO33" s="645">
        <v>1646</v>
      </c>
      <c r="CP33" s="1291"/>
      <c r="CQ33" s="645">
        <v>1646</v>
      </c>
      <c r="CR33" s="1291"/>
      <c r="CS33" s="645">
        <v>1481</v>
      </c>
      <c r="CT33" s="1291"/>
      <c r="CU33" s="645">
        <v>0</v>
      </c>
      <c r="CV33" s="1291"/>
      <c r="CW33" s="645">
        <v>0</v>
      </c>
      <c r="CX33" s="1291"/>
      <c r="CY33" s="645">
        <v>0</v>
      </c>
      <c r="CZ33" s="1291"/>
      <c r="DA33" s="645">
        <v>0</v>
      </c>
      <c r="DB33" s="1291"/>
      <c r="DC33" s="645">
        <v>0</v>
      </c>
      <c r="DD33" s="1291"/>
      <c r="DE33" s="647">
        <v>0</v>
      </c>
      <c r="DF33" s="648"/>
      <c r="DG33" s="641"/>
      <c r="DH33" s="642"/>
      <c r="DI33" s="642"/>
      <c r="DJ33" s="643" t="s">
        <v>445</v>
      </c>
      <c r="DK33" s="642"/>
      <c r="DL33" s="642"/>
      <c r="DM33" s="644"/>
      <c r="DN33" s="645">
        <v>0</v>
      </c>
      <c r="DO33" s="1291"/>
      <c r="DP33" s="645">
        <v>0</v>
      </c>
      <c r="DQ33" s="1291"/>
      <c r="DR33" s="645">
        <v>0</v>
      </c>
      <c r="DS33" s="1291"/>
      <c r="DT33" s="645">
        <v>0</v>
      </c>
      <c r="DU33" s="1291"/>
      <c r="DV33" s="645">
        <v>0</v>
      </c>
      <c r="DW33" s="1291"/>
      <c r="DX33" s="645">
        <v>0</v>
      </c>
      <c r="DY33" s="1291"/>
      <c r="DZ33" s="645">
        <v>0</v>
      </c>
      <c r="EA33" s="1291"/>
      <c r="EB33" s="645">
        <v>0</v>
      </c>
      <c r="EC33" s="1291"/>
      <c r="ED33" s="645">
        <v>1646</v>
      </c>
      <c r="EE33" s="1291"/>
      <c r="EF33" s="645">
        <v>1646</v>
      </c>
      <c r="EG33" s="1291"/>
      <c r="EH33" s="645">
        <v>1646</v>
      </c>
      <c r="EI33" s="1291"/>
      <c r="EJ33" s="645">
        <v>1053</v>
      </c>
      <c r="EK33" s="1291"/>
      <c r="EL33" s="645">
        <v>1646</v>
      </c>
      <c r="EM33" s="1291"/>
      <c r="EN33" s="645">
        <v>1646</v>
      </c>
      <c r="EO33" s="1291"/>
      <c r="EP33" s="645">
        <v>1646</v>
      </c>
      <c r="EQ33" s="1291"/>
      <c r="ER33" s="645">
        <v>1646</v>
      </c>
      <c r="ES33" s="1291"/>
      <c r="ET33" s="645">
        <v>1646</v>
      </c>
      <c r="EU33" s="1291"/>
      <c r="EV33" s="645">
        <v>1481</v>
      </c>
      <c r="EW33" s="1291"/>
      <c r="EX33" s="645">
        <v>0</v>
      </c>
      <c r="EY33" s="1291"/>
      <c r="EZ33" s="645">
        <v>0</v>
      </c>
      <c r="FA33" s="1291"/>
      <c r="FB33" s="645">
        <v>0</v>
      </c>
      <c r="FC33" s="1291"/>
      <c r="FD33" s="645">
        <v>0</v>
      </c>
      <c r="FE33" s="1291"/>
      <c r="FF33" s="645">
        <v>0</v>
      </c>
      <c r="FG33" s="1291"/>
      <c r="FH33" s="647">
        <v>0</v>
      </c>
      <c r="FI33" s="649"/>
      <c r="FJ33" s="564"/>
      <c r="FK33" s="642"/>
      <c r="FL33" s="642"/>
      <c r="FM33" s="643" t="s">
        <v>445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784</v>
      </c>
      <c r="GL33" s="579"/>
      <c r="GM33" s="530"/>
      <c r="GN33" s="579"/>
      <c r="GO33" s="530"/>
      <c r="GP33" s="530"/>
      <c r="GQ33" s="530"/>
      <c r="GR33" s="579"/>
      <c r="GS33" s="530"/>
      <c r="GT33" s="763"/>
      <c r="GU33" s="811">
        <v>201</v>
      </c>
      <c r="GV33" s="812"/>
      <c r="GW33" s="813">
        <v>45.36</v>
      </c>
      <c r="GX33" s="814">
        <v>42.230000000000004</v>
      </c>
      <c r="GY33" s="814">
        <v>84.06</v>
      </c>
      <c r="GZ33" s="814">
        <v>0</v>
      </c>
      <c r="HA33" s="814">
        <v>171.65</v>
      </c>
      <c r="HB33" s="815">
        <v>54.81</v>
      </c>
      <c r="HC33" s="413"/>
      <c r="HD33" s="648"/>
      <c r="HE33" s="415"/>
      <c r="HF33" s="415"/>
    </row>
    <row r="34" spans="1:219" ht="20.100000000000001" customHeight="1">
      <c r="A34" s="1293" t="s">
        <v>449</v>
      </c>
      <c r="B34" s="743"/>
      <c r="C34" s="817"/>
      <c r="D34" s="818"/>
      <c r="E34" s="817"/>
      <c r="F34" s="819"/>
      <c r="G34" s="740" t="s">
        <v>448</v>
      </c>
      <c r="H34" s="663" t="s">
        <v>430</v>
      </c>
      <c r="I34" s="741" t="s">
        <v>447</v>
      </c>
      <c r="J34" s="663" t="s">
        <v>430</v>
      </c>
      <c r="K34" s="742" t="s">
        <v>447</v>
      </c>
      <c r="L34" s="663" t="s">
        <v>430</v>
      </c>
      <c r="M34" s="742" t="s">
        <v>447</v>
      </c>
      <c r="N34" s="663" t="s">
        <v>430</v>
      </c>
      <c r="O34" s="742" t="s">
        <v>448</v>
      </c>
      <c r="P34" s="663" t="s">
        <v>428</v>
      </c>
      <c r="Q34" s="742" t="s">
        <v>448</v>
      </c>
      <c r="R34" s="663" t="s">
        <v>430</v>
      </c>
      <c r="S34" s="742" t="s">
        <v>447</v>
      </c>
      <c r="T34" s="663" t="s">
        <v>428</v>
      </c>
      <c r="U34" s="742" t="s">
        <v>448</v>
      </c>
      <c r="V34" s="663" t="s">
        <v>430</v>
      </c>
      <c r="W34" s="742" t="s">
        <v>448</v>
      </c>
      <c r="X34" s="663" t="s">
        <v>430</v>
      </c>
      <c r="Y34" s="742" t="s">
        <v>447</v>
      </c>
      <c r="Z34" s="663" t="s">
        <v>430</v>
      </c>
      <c r="AA34" s="742" t="s">
        <v>448</v>
      </c>
      <c r="AB34" s="663" t="s">
        <v>428</v>
      </c>
      <c r="AC34" s="742" t="s">
        <v>448</v>
      </c>
      <c r="AD34" s="663" t="s">
        <v>428</v>
      </c>
      <c r="AE34" s="742" t="s">
        <v>448</v>
      </c>
      <c r="AF34" s="663" t="s">
        <v>428</v>
      </c>
      <c r="AG34" s="742" t="s">
        <v>448</v>
      </c>
      <c r="AH34" s="663" t="s">
        <v>430</v>
      </c>
      <c r="AI34" s="742" t="s">
        <v>448</v>
      </c>
      <c r="AJ34" s="663" t="s">
        <v>430</v>
      </c>
      <c r="AK34" s="742" t="s">
        <v>448</v>
      </c>
      <c r="AL34" s="663" t="s">
        <v>430</v>
      </c>
      <c r="AM34" s="742" t="s">
        <v>447</v>
      </c>
      <c r="AN34" s="663" t="s">
        <v>430</v>
      </c>
      <c r="AO34" s="742" t="s">
        <v>448</v>
      </c>
      <c r="AP34" s="663" t="s">
        <v>428</v>
      </c>
      <c r="AQ34" s="742" t="s">
        <v>448</v>
      </c>
      <c r="AR34" s="663" t="s">
        <v>428</v>
      </c>
      <c r="AS34" s="742" t="s">
        <v>447</v>
      </c>
      <c r="AT34" s="663" t="s">
        <v>430</v>
      </c>
      <c r="AU34" s="742" t="s">
        <v>448</v>
      </c>
      <c r="AV34" s="663" t="s">
        <v>428</v>
      </c>
      <c r="AW34" s="742" t="s">
        <v>447</v>
      </c>
      <c r="AX34" s="663" t="s">
        <v>428</v>
      </c>
      <c r="AY34" s="742" t="s">
        <v>448</v>
      </c>
      <c r="AZ34" s="663" t="s">
        <v>428</v>
      </c>
      <c r="BA34" s="742" t="s">
        <v>448</v>
      </c>
      <c r="BB34" s="665" t="s">
        <v>428</v>
      </c>
      <c r="BC34" s="723"/>
      <c r="BD34" s="1293" t="s">
        <v>446</v>
      </c>
      <c r="BE34" s="820"/>
      <c r="BF34" s="821"/>
      <c r="BG34" s="822"/>
      <c r="BH34" s="821"/>
      <c r="BI34" s="823"/>
      <c r="BJ34" s="740" t="s">
        <v>448</v>
      </c>
      <c r="BK34" s="663" t="s">
        <v>428</v>
      </c>
      <c r="BL34" s="741" t="s">
        <v>447</v>
      </c>
      <c r="BM34" s="663" t="s">
        <v>428</v>
      </c>
      <c r="BN34" s="742" t="s">
        <v>448</v>
      </c>
      <c r="BO34" s="663" t="s">
        <v>428</v>
      </c>
      <c r="BP34" s="742" t="s">
        <v>448</v>
      </c>
      <c r="BQ34" s="663" t="s">
        <v>428</v>
      </c>
      <c r="BR34" s="742" t="s">
        <v>447</v>
      </c>
      <c r="BS34" s="663" t="s">
        <v>428</v>
      </c>
      <c r="BT34" s="742" t="s">
        <v>448</v>
      </c>
      <c r="BU34" s="663" t="s">
        <v>430</v>
      </c>
      <c r="BV34" s="742" t="s">
        <v>447</v>
      </c>
      <c r="BW34" s="663" t="s">
        <v>430</v>
      </c>
      <c r="BX34" s="742" t="s">
        <v>448</v>
      </c>
      <c r="BY34" s="663" t="s">
        <v>428</v>
      </c>
      <c r="BZ34" s="742" t="s">
        <v>448</v>
      </c>
      <c r="CA34" s="663" t="s">
        <v>428</v>
      </c>
      <c r="CB34" s="742" t="s">
        <v>448</v>
      </c>
      <c r="CC34" s="663" t="s">
        <v>430</v>
      </c>
      <c r="CD34" s="742" t="s">
        <v>448</v>
      </c>
      <c r="CE34" s="663" t="s">
        <v>428</v>
      </c>
      <c r="CF34" s="742" t="s">
        <v>448</v>
      </c>
      <c r="CG34" s="663" t="s">
        <v>428</v>
      </c>
      <c r="CH34" s="742" t="s">
        <v>447</v>
      </c>
      <c r="CI34" s="663" t="s">
        <v>430</v>
      </c>
      <c r="CJ34" s="742" t="s">
        <v>447</v>
      </c>
      <c r="CK34" s="663" t="s">
        <v>430</v>
      </c>
      <c r="CL34" s="742" t="s">
        <v>447</v>
      </c>
      <c r="CM34" s="663" t="s">
        <v>430</v>
      </c>
      <c r="CN34" s="742" t="s">
        <v>447</v>
      </c>
      <c r="CO34" s="663" t="s">
        <v>428</v>
      </c>
      <c r="CP34" s="742" t="s">
        <v>447</v>
      </c>
      <c r="CQ34" s="663" t="s">
        <v>428</v>
      </c>
      <c r="CR34" s="742" t="s">
        <v>447</v>
      </c>
      <c r="CS34" s="663" t="s">
        <v>430</v>
      </c>
      <c r="CT34" s="742" t="s">
        <v>448</v>
      </c>
      <c r="CU34" s="663" t="s">
        <v>428</v>
      </c>
      <c r="CV34" s="742" t="s">
        <v>447</v>
      </c>
      <c r="CW34" s="663" t="s">
        <v>428</v>
      </c>
      <c r="CX34" s="742" t="s">
        <v>447</v>
      </c>
      <c r="CY34" s="663" t="s">
        <v>430</v>
      </c>
      <c r="CZ34" s="742" t="s">
        <v>447</v>
      </c>
      <c r="DA34" s="663" t="s">
        <v>428</v>
      </c>
      <c r="DB34" s="742" t="s">
        <v>448</v>
      </c>
      <c r="DC34" s="663" t="s">
        <v>428</v>
      </c>
      <c r="DD34" s="742" t="s">
        <v>448</v>
      </c>
      <c r="DE34" s="665" t="s">
        <v>428</v>
      </c>
      <c r="DF34" s="723"/>
      <c r="DG34" s="1293" t="s">
        <v>446</v>
      </c>
      <c r="DH34" s="738"/>
      <c r="DI34" s="824"/>
      <c r="DJ34" s="825"/>
      <c r="DK34" s="824"/>
      <c r="DL34" s="826"/>
      <c r="DM34" s="740" t="s">
        <v>447</v>
      </c>
      <c r="DN34" s="663" t="s">
        <v>430</v>
      </c>
      <c r="DO34" s="741" t="s">
        <v>448</v>
      </c>
      <c r="DP34" s="663" t="s">
        <v>428</v>
      </c>
      <c r="DQ34" s="742" t="s">
        <v>448</v>
      </c>
      <c r="DR34" s="663" t="s">
        <v>428</v>
      </c>
      <c r="DS34" s="742" t="s">
        <v>448</v>
      </c>
      <c r="DT34" s="663" t="s">
        <v>428</v>
      </c>
      <c r="DU34" s="742" t="s">
        <v>448</v>
      </c>
      <c r="DV34" s="663" t="s">
        <v>430</v>
      </c>
      <c r="DW34" s="742" t="s">
        <v>448</v>
      </c>
      <c r="DX34" s="663" t="s">
        <v>430</v>
      </c>
      <c r="DY34" s="742" t="s">
        <v>448</v>
      </c>
      <c r="DZ34" s="663" t="s">
        <v>430</v>
      </c>
      <c r="EA34" s="742" t="s">
        <v>447</v>
      </c>
      <c r="EB34" s="663" t="s">
        <v>430</v>
      </c>
      <c r="EC34" s="742" t="s">
        <v>448</v>
      </c>
      <c r="ED34" s="663" t="s">
        <v>428</v>
      </c>
      <c r="EE34" s="742" t="s">
        <v>448</v>
      </c>
      <c r="EF34" s="663" t="s">
        <v>428</v>
      </c>
      <c r="EG34" s="742" t="s">
        <v>447</v>
      </c>
      <c r="EH34" s="663" t="s">
        <v>430</v>
      </c>
      <c r="EI34" s="742" t="s">
        <v>448</v>
      </c>
      <c r="EJ34" s="663" t="s">
        <v>428</v>
      </c>
      <c r="EK34" s="742" t="s">
        <v>447</v>
      </c>
      <c r="EL34" s="663" t="s">
        <v>428</v>
      </c>
      <c r="EM34" s="742" t="s">
        <v>448</v>
      </c>
      <c r="EN34" s="663" t="s">
        <v>428</v>
      </c>
      <c r="EO34" s="742" t="s">
        <v>448</v>
      </c>
      <c r="EP34" s="663" t="s">
        <v>428</v>
      </c>
      <c r="EQ34" s="742" t="s">
        <v>448</v>
      </c>
      <c r="ER34" s="663" t="s">
        <v>430</v>
      </c>
      <c r="ES34" s="742" t="s">
        <v>448</v>
      </c>
      <c r="ET34" s="663" t="s">
        <v>428</v>
      </c>
      <c r="EU34" s="742" t="s">
        <v>447</v>
      </c>
      <c r="EV34" s="663" t="s">
        <v>430</v>
      </c>
      <c r="EW34" s="742" t="s">
        <v>447</v>
      </c>
      <c r="EX34" s="663" t="s">
        <v>428</v>
      </c>
      <c r="EY34" s="742" t="s">
        <v>448</v>
      </c>
      <c r="EZ34" s="663" t="s">
        <v>428</v>
      </c>
      <c r="FA34" s="742" t="s">
        <v>448</v>
      </c>
      <c r="FB34" s="663" t="s">
        <v>428</v>
      </c>
      <c r="FC34" s="742" t="s">
        <v>447</v>
      </c>
      <c r="FD34" s="663" t="s">
        <v>428</v>
      </c>
      <c r="FE34" s="742" t="s">
        <v>448</v>
      </c>
      <c r="FF34" s="663" t="s">
        <v>428</v>
      </c>
      <c r="FG34" s="742" t="s">
        <v>448</v>
      </c>
      <c r="FH34" s="665" t="s">
        <v>430</v>
      </c>
      <c r="FI34" s="746"/>
      <c r="FJ34" s="827" t="s">
        <v>449</v>
      </c>
      <c r="FK34" s="738"/>
      <c r="FL34" s="824"/>
      <c r="FM34" s="825"/>
      <c r="FN34" s="824"/>
      <c r="FO34" s="826"/>
      <c r="FP34" s="747" t="s">
        <v>450</v>
      </c>
      <c r="FQ34" s="673" t="s">
        <v>447</v>
      </c>
      <c r="FR34" s="663" t="s">
        <v>434</v>
      </c>
      <c r="FS34" s="748" t="s">
        <v>433</v>
      </c>
      <c r="FT34" s="673" t="s">
        <v>447</v>
      </c>
      <c r="FU34" s="675" t="s">
        <v>434</v>
      </c>
      <c r="FV34" s="593"/>
      <c r="FW34" s="594"/>
      <c r="FX34" s="806"/>
      <c r="FY34" s="596"/>
      <c r="FZ34" s="807"/>
      <c r="GA34" s="598"/>
      <c r="GB34" s="808"/>
      <c r="GC34" s="600"/>
      <c r="GD34" s="808"/>
      <c r="GE34" s="601"/>
      <c r="GF34" s="749"/>
      <c r="GG34" s="750"/>
      <c r="GH34" s="750"/>
      <c r="GI34" s="750"/>
      <c r="GJ34" s="579"/>
      <c r="GK34" s="828" t="s">
        <v>879</v>
      </c>
      <c r="GL34" s="828"/>
      <c r="GM34" s="828"/>
      <c r="GN34" s="828"/>
      <c r="GO34" s="828"/>
      <c r="GP34" s="828"/>
      <c r="GQ34" s="615">
        <v>8.5</v>
      </c>
      <c r="GR34" s="579" t="s">
        <v>705</v>
      </c>
      <c r="GS34" s="580"/>
      <c r="GT34" s="763"/>
      <c r="GU34" s="829"/>
      <c r="GV34" s="830"/>
      <c r="GW34" s="831"/>
      <c r="GX34" s="633"/>
      <c r="GY34" s="633"/>
      <c r="GZ34" s="633"/>
      <c r="HA34" s="633"/>
      <c r="HB34" s="634"/>
      <c r="HC34" s="530"/>
      <c r="HD34" s="723"/>
      <c r="HE34" s="415"/>
      <c r="HF34" s="415"/>
    </row>
    <row r="35" spans="1:219" ht="20.100000000000001" customHeight="1">
      <c r="A35" s="832"/>
      <c r="B35" s="466" t="s">
        <v>452</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790</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327</v>
      </c>
      <c r="E36" s="642"/>
      <c r="F36" s="642"/>
      <c r="G36" s="845"/>
      <c r="H36" s="1294">
        <v>0</v>
      </c>
      <c r="I36" s="1295"/>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1296">
        <v>0</v>
      </c>
      <c r="BC36" s="648"/>
      <c r="BD36" s="832"/>
      <c r="BE36" s="642"/>
      <c r="BF36" s="642"/>
      <c r="BG36" s="643" t="s">
        <v>327</v>
      </c>
      <c r="BH36" s="642"/>
      <c r="BI36" s="642"/>
      <c r="BJ36" s="845"/>
      <c r="BK36" s="1294">
        <v>0</v>
      </c>
      <c r="BL36" s="1295"/>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1296">
        <v>0</v>
      </c>
      <c r="DF36" s="648"/>
      <c r="DG36" s="832"/>
      <c r="DH36" s="642"/>
      <c r="DI36" s="642"/>
      <c r="DJ36" s="643" t="s">
        <v>453</v>
      </c>
      <c r="DK36" s="642"/>
      <c r="DL36" s="642"/>
      <c r="DM36" s="845"/>
      <c r="DN36" s="1294">
        <v>0</v>
      </c>
      <c r="DO36" s="1295"/>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1296">
        <v>0</v>
      </c>
      <c r="FI36" s="649"/>
      <c r="FJ36" s="841"/>
      <c r="FK36" s="642"/>
      <c r="FL36" s="642"/>
      <c r="FM36" s="643" t="s">
        <v>327</v>
      </c>
      <c r="FN36" s="642"/>
      <c r="FO36" s="642"/>
      <c r="FP36" s="650"/>
      <c r="FQ36" s="1295"/>
      <c r="FR36" s="1294">
        <v>0</v>
      </c>
      <c r="FS36" s="1297"/>
      <c r="FT36" s="1295"/>
      <c r="FU36" s="1298">
        <v>0</v>
      </c>
      <c r="FV36" s="593"/>
      <c r="FW36" s="594"/>
      <c r="FX36" s="806"/>
      <c r="FY36" s="596"/>
      <c r="FZ36" s="807"/>
      <c r="GA36" s="598"/>
      <c r="GB36" s="808"/>
      <c r="GC36" s="600"/>
      <c r="GD36" s="808"/>
      <c r="GE36" s="601"/>
      <c r="GF36" s="654"/>
      <c r="GG36" s="655"/>
      <c r="GH36" s="655"/>
      <c r="GI36" s="655"/>
      <c r="GJ36" s="530"/>
      <c r="GK36" s="828" t="s">
        <v>880</v>
      </c>
      <c r="GL36" s="828"/>
      <c r="GM36" s="828"/>
      <c r="GN36" s="828"/>
      <c r="GO36" s="828"/>
      <c r="GP36" s="828"/>
      <c r="GQ36" s="615">
        <v>16.899999999999999</v>
      </c>
      <c r="GR36" s="579" t="s">
        <v>319</v>
      </c>
      <c r="GS36" s="530"/>
      <c r="GT36" s="763"/>
      <c r="GU36" s="829"/>
      <c r="GV36" s="830"/>
      <c r="GW36" s="831"/>
      <c r="GX36" s="633"/>
      <c r="GY36" s="633"/>
      <c r="GZ36" s="633"/>
      <c r="HA36" s="633"/>
      <c r="HB36" s="634"/>
      <c r="HC36" s="530"/>
      <c r="HD36" s="648"/>
      <c r="HE36" s="415"/>
      <c r="HF36" s="415"/>
    </row>
    <row r="37" spans="1:219" ht="24" customHeight="1">
      <c r="A37" s="853" t="s">
        <v>462</v>
      </c>
      <c r="B37" s="854"/>
      <c r="C37" s="855" t="s">
        <v>455</v>
      </c>
      <c r="D37" s="856"/>
      <c r="E37" s="857" t="s">
        <v>461</v>
      </c>
      <c r="F37" s="858"/>
      <c r="G37" s="662" t="s">
        <v>447</v>
      </c>
      <c r="H37" s="663" t="s">
        <v>328</v>
      </c>
      <c r="I37" s="664" t="s">
        <v>448</v>
      </c>
      <c r="J37" s="663" t="s">
        <v>459</v>
      </c>
      <c r="K37" s="664" t="s">
        <v>448</v>
      </c>
      <c r="L37" s="663" t="s">
        <v>459</v>
      </c>
      <c r="M37" s="664" t="s">
        <v>448</v>
      </c>
      <c r="N37" s="663" t="s">
        <v>458</v>
      </c>
      <c r="O37" s="664" t="s">
        <v>447</v>
      </c>
      <c r="P37" s="663" t="s">
        <v>458</v>
      </c>
      <c r="Q37" s="664" t="s">
        <v>447</v>
      </c>
      <c r="R37" s="663" t="s">
        <v>458</v>
      </c>
      <c r="S37" s="664" t="s">
        <v>447</v>
      </c>
      <c r="T37" s="663" t="s">
        <v>458</v>
      </c>
      <c r="U37" s="664" t="s">
        <v>448</v>
      </c>
      <c r="V37" s="663" t="s">
        <v>459</v>
      </c>
      <c r="W37" s="664" t="s">
        <v>448</v>
      </c>
      <c r="X37" s="663" t="s">
        <v>458</v>
      </c>
      <c r="Y37" s="664" t="s">
        <v>447</v>
      </c>
      <c r="Z37" s="663" t="s">
        <v>458</v>
      </c>
      <c r="AA37" s="664" t="s">
        <v>447</v>
      </c>
      <c r="AB37" s="663" t="s">
        <v>458</v>
      </c>
      <c r="AC37" s="664" t="s">
        <v>448</v>
      </c>
      <c r="AD37" s="663" t="s">
        <v>458</v>
      </c>
      <c r="AE37" s="664" t="s">
        <v>448</v>
      </c>
      <c r="AF37" s="663" t="s">
        <v>458</v>
      </c>
      <c r="AG37" s="664" t="s">
        <v>447</v>
      </c>
      <c r="AH37" s="663" t="s">
        <v>459</v>
      </c>
      <c r="AI37" s="664" t="s">
        <v>448</v>
      </c>
      <c r="AJ37" s="663" t="s">
        <v>458</v>
      </c>
      <c r="AK37" s="664" t="s">
        <v>447</v>
      </c>
      <c r="AL37" s="663" t="s">
        <v>458</v>
      </c>
      <c r="AM37" s="664" t="s">
        <v>448</v>
      </c>
      <c r="AN37" s="663" t="s">
        <v>458</v>
      </c>
      <c r="AO37" s="664" t="s">
        <v>447</v>
      </c>
      <c r="AP37" s="663" t="s">
        <v>458</v>
      </c>
      <c r="AQ37" s="664" t="s">
        <v>447</v>
      </c>
      <c r="AR37" s="663" t="s">
        <v>459</v>
      </c>
      <c r="AS37" s="664" t="s">
        <v>447</v>
      </c>
      <c r="AT37" s="663" t="s">
        <v>459</v>
      </c>
      <c r="AU37" s="664" t="s">
        <v>447</v>
      </c>
      <c r="AV37" s="663" t="s">
        <v>458</v>
      </c>
      <c r="AW37" s="664" t="s">
        <v>448</v>
      </c>
      <c r="AX37" s="663" t="s">
        <v>458</v>
      </c>
      <c r="AY37" s="664" t="s">
        <v>448</v>
      </c>
      <c r="AZ37" s="663" t="s">
        <v>458</v>
      </c>
      <c r="BA37" s="664" t="s">
        <v>447</v>
      </c>
      <c r="BB37" s="665" t="s">
        <v>459</v>
      </c>
      <c r="BC37" s="723"/>
      <c r="BD37" s="853" t="s">
        <v>462</v>
      </c>
      <c r="BE37" s="854"/>
      <c r="BF37" s="855" t="s">
        <v>455</v>
      </c>
      <c r="BG37" s="856"/>
      <c r="BH37" s="857" t="s">
        <v>456</v>
      </c>
      <c r="BI37" s="858"/>
      <c r="BJ37" s="662" t="s">
        <v>447</v>
      </c>
      <c r="BK37" s="663" t="s">
        <v>328</v>
      </c>
      <c r="BL37" s="664" t="s">
        <v>447</v>
      </c>
      <c r="BM37" s="663" t="s">
        <v>459</v>
      </c>
      <c r="BN37" s="664" t="s">
        <v>448</v>
      </c>
      <c r="BO37" s="663" t="s">
        <v>459</v>
      </c>
      <c r="BP37" s="664" t="s">
        <v>448</v>
      </c>
      <c r="BQ37" s="663" t="s">
        <v>458</v>
      </c>
      <c r="BR37" s="664" t="s">
        <v>448</v>
      </c>
      <c r="BS37" s="663" t="s">
        <v>459</v>
      </c>
      <c r="BT37" s="664" t="s">
        <v>448</v>
      </c>
      <c r="BU37" s="663" t="s">
        <v>458</v>
      </c>
      <c r="BV37" s="664" t="s">
        <v>447</v>
      </c>
      <c r="BW37" s="663" t="s">
        <v>458</v>
      </c>
      <c r="BX37" s="664" t="s">
        <v>447</v>
      </c>
      <c r="BY37" s="663" t="s">
        <v>459</v>
      </c>
      <c r="BZ37" s="664" t="s">
        <v>448</v>
      </c>
      <c r="CA37" s="663" t="s">
        <v>459</v>
      </c>
      <c r="CB37" s="664" t="s">
        <v>448</v>
      </c>
      <c r="CC37" s="663" t="s">
        <v>458</v>
      </c>
      <c r="CD37" s="664" t="s">
        <v>448</v>
      </c>
      <c r="CE37" s="663" t="s">
        <v>458</v>
      </c>
      <c r="CF37" s="664" t="s">
        <v>448</v>
      </c>
      <c r="CG37" s="663" t="s">
        <v>459</v>
      </c>
      <c r="CH37" s="664" t="s">
        <v>447</v>
      </c>
      <c r="CI37" s="663" t="s">
        <v>458</v>
      </c>
      <c r="CJ37" s="664" t="s">
        <v>448</v>
      </c>
      <c r="CK37" s="663" t="s">
        <v>459</v>
      </c>
      <c r="CL37" s="664" t="s">
        <v>448</v>
      </c>
      <c r="CM37" s="663" t="s">
        <v>458</v>
      </c>
      <c r="CN37" s="664" t="s">
        <v>448</v>
      </c>
      <c r="CO37" s="663" t="s">
        <v>459</v>
      </c>
      <c r="CP37" s="664" t="s">
        <v>448</v>
      </c>
      <c r="CQ37" s="663" t="s">
        <v>459</v>
      </c>
      <c r="CR37" s="664" t="s">
        <v>447</v>
      </c>
      <c r="CS37" s="663" t="s">
        <v>459</v>
      </c>
      <c r="CT37" s="664" t="s">
        <v>447</v>
      </c>
      <c r="CU37" s="663" t="s">
        <v>459</v>
      </c>
      <c r="CV37" s="664" t="s">
        <v>448</v>
      </c>
      <c r="CW37" s="663" t="s">
        <v>458</v>
      </c>
      <c r="CX37" s="664" t="s">
        <v>448</v>
      </c>
      <c r="CY37" s="663" t="s">
        <v>458</v>
      </c>
      <c r="CZ37" s="664" t="s">
        <v>448</v>
      </c>
      <c r="DA37" s="663" t="s">
        <v>459</v>
      </c>
      <c r="DB37" s="664" t="s">
        <v>447</v>
      </c>
      <c r="DC37" s="663" t="s">
        <v>459</v>
      </c>
      <c r="DD37" s="664" t="s">
        <v>448</v>
      </c>
      <c r="DE37" s="665" t="s">
        <v>458</v>
      </c>
      <c r="DF37" s="723"/>
      <c r="DG37" s="853" t="s">
        <v>462</v>
      </c>
      <c r="DH37" s="854"/>
      <c r="DI37" s="855" t="s">
        <v>460</v>
      </c>
      <c r="DJ37" s="856"/>
      <c r="DK37" s="857" t="s">
        <v>461</v>
      </c>
      <c r="DL37" s="858"/>
      <c r="DM37" s="662" t="s">
        <v>447</v>
      </c>
      <c r="DN37" s="663" t="s">
        <v>457</v>
      </c>
      <c r="DO37" s="664" t="s">
        <v>448</v>
      </c>
      <c r="DP37" s="663" t="s">
        <v>459</v>
      </c>
      <c r="DQ37" s="664" t="s">
        <v>447</v>
      </c>
      <c r="DR37" s="663" t="s">
        <v>458</v>
      </c>
      <c r="DS37" s="664" t="s">
        <v>447</v>
      </c>
      <c r="DT37" s="663" t="s">
        <v>458</v>
      </c>
      <c r="DU37" s="664" t="s">
        <v>448</v>
      </c>
      <c r="DV37" s="663" t="s">
        <v>459</v>
      </c>
      <c r="DW37" s="664" t="s">
        <v>448</v>
      </c>
      <c r="DX37" s="663" t="s">
        <v>458</v>
      </c>
      <c r="DY37" s="664" t="s">
        <v>447</v>
      </c>
      <c r="DZ37" s="663" t="s">
        <v>458</v>
      </c>
      <c r="EA37" s="664" t="s">
        <v>447</v>
      </c>
      <c r="EB37" s="663" t="s">
        <v>458</v>
      </c>
      <c r="EC37" s="664" t="s">
        <v>447</v>
      </c>
      <c r="ED37" s="663" t="s">
        <v>458</v>
      </c>
      <c r="EE37" s="664" t="s">
        <v>448</v>
      </c>
      <c r="EF37" s="663" t="s">
        <v>458</v>
      </c>
      <c r="EG37" s="664" t="s">
        <v>447</v>
      </c>
      <c r="EH37" s="663" t="s">
        <v>459</v>
      </c>
      <c r="EI37" s="664" t="s">
        <v>448</v>
      </c>
      <c r="EJ37" s="663" t="s">
        <v>458</v>
      </c>
      <c r="EK37" s="664" t="s">
        <v>447</v>
      </c>
      <c r="EL37" s="663" t="s">
        <v>458</v>
      </c>
      <c r="EM37" s="664" t="s">
        <v>448</v>
      </c>
      <c r="EN37" s="663" t="s">
        <v>458</v>
      </c>
      <c r="EO37" s="664" t="s">
        <v>447</v>
      </c>
      <c r="EP37" s="663" t="s">
        <v>458</v>
      </c>
      <c r="EQ37" s="664" t="s">
        <v>447</v>
      </c>
      <c r="ER37" s="663" t="s">
        <v>459</v>
      </c>
      <c r="ES37" s="664" t="s">
        <v>447</v>
      </c>
      <c r="ET37" s="663" t="s">
        <v>459</v>
      </c>
      <c r="EU37" s="664" t="s">
        <v>447</v>
      </c>
      <c r="EV37" s="663" t="s">
        <v>458</v>
      </c>
      <c r="EW37" s="664" t="s">
        <v>448</v>
      </c>
      <c r="EX37" s="663" t="s">
        <v>458</v>
      </c>
      <c r="EY37" s="664" t="s">
        <v>448</v>
      </c>
      <c r="EZ37" s="663" t="s">
        <v>458</v>
      </c>
      <c r="FA37" s="664" t="s">
        <v>447</v>
      </c>
      <c r="FB37" s="663" t="s">
        <v>459</v>
      </c>
      <c r="FC37" s="664" t="s">
        <v>447</v>
      </c>
      <c r="FD37" s="663" t="s">
        <v>458</v>
      </c>
      <c r="FE37" s="664" t="s">
        <v>448</v>
      </c>
      <c r="FF37" s="663" t="s">
        <v>459</v>
      </c>
      <c r="FG37" s="664" t="s">
        <v>448</v>
      </c>
      <c r="FH37" s="665" t="s">
        <v>458</v>
      </c>
      <c r="FI37" s="746"/>
      <c r="FJ37" s="827" t="s">
        <v>454</v>
      </c>
      <c r="FK37" s="854"/>
      <c r="FL37" s="855" t="s">
        <v>460</v>
      </c>
      <c r="FM37" s="856"/>
      <c r="FN37" s="857" t="s">
        <v>456</v>
      </c>
      <c r="FO37" s="858"/>
      <c r="FP37" s="672"/>
      <c r="FQ37" s="859" t="s">
        <v>463</v>
      </c>
      <c r="FR37" s="663" t="s">
        <v>458</v>
      </c>
      <c r="FS37" s="674"/>
      <c r="FT37" s="859" t="s">
        <v>463</v>
      </c>
      <c r="FU37" s="675" t="s">
        <v>458</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670</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c r="FM38" s="865"/>
      <c r="FN38" s="866">
        <v>0</v>
      </c>
      <c r="FO38" s="867"/>
      <c r="FP38" s="685"/>
      <c r="FQ38" s="686"/>
      <c r="FR38" s="559">
        <v>0</v>
      </c>
      <c r="FS38" s="687"/>
      <c r="FT38" s="686"/>
      <c r="FU38" s="567">
        <v>0</v>
      </c>
      <c r="FV38" s="593"/>
      <c r="FW38" s="594"/>
      <c r="FX38" s="806"/>
      <c r="FY38" s="596"/>
      <c r="FZ38" s="807"/>
      <c r="GA38" s="598"/>
      <c r="GB38" s="808"/>
      <c r="GC38" s="600"/>
      <c r="GD38" s="808"/>
      <c r="GE38" s="601"/>
      <c r="GF38" s="688"/>
      <c r="GG38" s="602"/>
      <c r="GH38" s="602"/>
      <c r="GI38" s="602"/>
      <c r="GJ38" s="580"/>
      <c r="GK38" s="413" t="s">
        <v>719</v>
      </c>
      <c r="GL38" s="409"/>
      <c r="GM38" s="413"/>
      <c r="GN38" s="409"/>
      <c r="GO38" s="413"/>
      <c r="GP38" s="413"/>
      <c r="GQ38" s="413"/>
      <c r="GR38" s="413"/>
      <c r="GS38" s="580"/>
      <c r="GT38" s="861"/>
      <c r="GU38" s="872" t="s">
        <v>699</v>
      </c>
      <c r="GV38" s="873"/>
      <c r="GW38" s="873"/>
      <c r="GX38" s="873"/>
      <c r="GY38" s="873"/>
      <c r="GZ38" s="874"/>
      <c r="HA38" s="633">
        <v>171.65</v>
      </c>
      <c r="HB38" s="875">
        <v>54.81</v>
      </c>
      <c r="HC38" s="530"/>
      <c r="HD38" s="530"/>
      <c r="HE38" s="387"/>
      <c r="HF38" s="387"/>
      <c r="HK38" s="415"/>
    </row>
    <row r="39" spans="1:219" ht="20.100000000000001" customHeight="1">
      <c r="A39" s="832"/>
      <c r="B39" s="876" t="s">
        <v>465</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409"/>
      <c r="GK39" s="885"/>
      <c r="GL39" s="886"/>
      <c r="GM39" s="887" t="s">
        <v>881</v>
      </c>
      <c r="GN39" s="886"/>
      <c r="GO39" s="887" t="s">
        <v>837</v>
      </c>
      <c r="GP39" s="886"/>
      <c r="GQ39" s="887" t="s">
        <v>572</v>
      </c>
      <c r="GR39" s="888"/>
      <c r="GS39" s="413"/>
      <c r="GT39" s="689"/>
      <c r="GU39" s="530" t="s">
        <v>573</v>
      </c>
      <c r="GV39" s="530"/>
      <c r="GW39" s="530"/>
      <c r="GX39" s="530"/>
      <c r="GY39" s="530"/>
      <c r="GZ39" s="530"/>
      <c r="HA39" s="690">
        <v>3.13</v>
      </c>
      <c r="HB39" s="579"/>
      <c r="HC39" s="530"/>
      <c r="HD39" s="562"/>
    </row>
    <row r="40" spans="1:219" ht="20.100000000000001" customHeight="1">
      <c r="A40" s="889"/>
      <c r="B40" s="642"/>
      <c r="C40" s="642"/>
      <c r="D40" s="643" t="s">
        <v>329</v>
      </c>
      <c r="E40" s="642"/>
      <c r="F40" s="642"/>
      <c r="G40" s="845"/>
      <c r="H40" s="1294">
        <v>0</v>
      </c>
      <c r="I40" s="1295"/>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1296">
        <v>0</v>
      </c>
      <c r="BC40" s="648"/>
      <c r="BD40" s="889"/>
      <c r="BE40" s="642"/>
      <c r="BF40" s="642"/>
      <c r="BG40" s="643" t="s">
        <v>329</v>
      </c>
      <c r="BH40" s="642"/>
      <c r="BI40" s="642"/>
      <c r="BJ40" s="845"/>
      <c r="BK40" s="1294">
        <v>0</v>
      </c>
      <c r="BL40" s="1295"/>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1296">
        <v>0</v>
      </c>
      <c r="DF40" s="648"/>
      <c r="DG40" s="889"/>
      <c r="DH40" s="642"/>
      <c r="DI40" s="642"/>
      <c r="DJ40" s="643" t="s">
        <v>466</v>
      </c>
      <c r="DK40" s="642"/>
      <c r="DL40" s="642"/>
      <c r="DM40" s="845"/>
      <c r="DN40" s="1294">
        <v>0</v>
      </c>
      <c r="DO40" s="1295"/>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1296">
        <v>0</v>
      </c>
      <c r="FI40" s="649"/>
      <c r="FJ40" s="841"/>
      <c r="FK40" s="642"/>
      <c r="FL40" s="642"/>
      <c r="FM40" s="643" t="s">
        <v>466</v>
      </c>
      <c r="FN40" s="642"/>
      <c r="FO40" s="642"/>
      <c r="FP40" s="650"/>
      <c r="FQ40" s="1295"/>
      <c r="FR40" s="1294">
        <v>0</v>
      </c>
      <c r="FS40" s="1297"/>
      <c r="FT40" s="1295"/>
      <c r="FU40" s="1298">
        <v>0</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610</v>
      </c>
      <c r="GV40" s="530"/>
      <c r="GW40" s="530"/>
      <c r="GX40" s="530"/>
      <c r="GY40" s="530"/>
      <c r="GZ40" s="530"/>
      <c r="HA40" s="894">
        <v>55.9</v>
      </c>
      <c r="HB40" s="413"/>
      <c r="HC40" s="530"/>
      <c r="HD40" s="580"/>
      <c r="HK40" s="415"/>
    </row>
    <row r="41" spans="1:219" ht="20.100000000000001" customHeight="1">
      <c r="A41" s="862" t="s">
        <v>468</v>
      </c>
      <c r="B41" s="738"/>
      <c r="C41" s="895"/>
      <c r="D41" s="895"/>
      <c r="E41" s="895"/>
      <c r="F41" s="896"/>
      <c r="G41" s="740"/>
      <c r="H41" s="663" t="s">
        <v>428</v>
      </c>
      <c r="I41" s="741"/>
      <c r="J41" s="663" t="s">
        <v>430</v>
      </c>
      <c r="K41" s="742"/>
      <c r="L41" s="663" t="s">
        <v>430</v>
      </c>
      <c r="M41" s="742"/>
      <c r="N41" s="663" t="s">
        <v>430</v>
      </c>
      <c r="O41" s="742"/>
      <c r="P41" s="663" t="s">
        <v>430</v>
      </c>
      <c r="Q41" s="742"/>
      <c r="R41" s="663" t="s">
        <v>430</v>
      </c>
      <c r="S41" s="742"/>
      <c r="T41" s="663" t="s">
        <v>430</v>
      </c>
      <c r="U41" s="742"/>
      <c r="V41" s="663" t="s">
        <v>428</v>
      </c>
      <c r="W41" s="742"/>
      <c r="X41" s="663" t="s">
        <v>430</v>
      </c>
      <c r="Y41" s="742" t="s">
        <v>447</v>
      </c>
      <c r="Z41" s="663" t="s">
        <v>428</v>
      </c>
      <c r="AA41" s="742" t="s">
        <v>448</v>
      </c>
      <c r="AB41" s="663" t="s">
        <v>430</v>
      </c>
      <c r="AC41" s="742"/>
      <c r="AD41" s="663" t="s">
        <v>430</v>
      </c>
      <c r="AE41" s="742"/>
      <c r="AF41" s="663" t="s">
        <v>428</v>
      </c>
      <c r="AG41" s="742"/>
      <c r="AH41" s="663" t="s">
        <v>428</v>
      </c>
      <c r="AI41" s="742"/>
      <c r="AJ41" s="663" t="s">
        <v>428</v>
      </c>
      <c r="AK41" s="742"/>
      <c r="AL41" s="663" t="s">
        <v>428</v>
      </c>
      <c r="AM41" s="742"/>
      <c r="AN41" s="663" t="s">
        <v>430</v>
      </c>
      <c r="AO41" s="742"/>
      <c r="AP41" s="663" t="s">
        <v>430</v>
      </c>
      <c r="AQ41" s="742"/>
      <c r="AR41" s="663" t="s">
        <v>430</v>
      </c>
      <c r="AS41" s="742"/>
      <c r="AT41" s="663" t="s">
        <v>430</v>
      </c>
      <c r="AU41" s="742"/>
      <c r="AV41" s="663" t="s">
        <v>430</v>
      </c>
      <c r="AW41" s="742"/>
      <c r="AX41" s="663" t="s">
        <v>428</v>
      </c>
      <c r="AY41" s="742"/>
      <c r="AZ41" s="663" t="s">
        <v>430</v>
      </c>
      <c r="BA41" s="742"/>
      <c r="BB41" s="665" t="s">
        <v>428</v>
      </c>
      <c r="BC41" s="723"/>
      <c r="BD41" s="862" t="s">
        <v>468</v>
      </c>
      <c r="BE41" s="738"/>
      <c r="BF41" s="895"/>
      <c r="BG41" s="895"/>
      <c r="BH41" s="895"/>
      <c r="BI41" s="896"/>
      <c r="BJ41" s="740"/>
      <c r="BK41" s="663" t="s">
        <v>430</v>
      </c>
      <c r="BL41" s="741"/>
      <c r="BM41" s="663" t="s">
        <v>430</v>
      </c>
      <c r="BN41" s="742"/>
      <c r="BO41" s="663" t="s">
        <v>428</v>
      </c>
      <c r="BP41" s="742"/>
      <c r="BQ41" s="663" t="s">
        <v>428</v>
      </c>
      <c r="BR41" s="742"/>
      <c r="BS41" s="663" t="s">
        <v>430</v>
      </c>
      <c r="BT41" s="742"/>
      <c r="BU41" s="663" t="s">
        <v>430</v>
      </c>
      <c r="BV41" s="742"/>
      <c r="BW41" s="663" t="s">
        <v>430</v>
      </c>
      <c r="BX41" s="742"/>
      <c r="BY41" s="663" t="s">
        <v>430</v>
      </c>
      <c r="BZ41" s="742"/>
      <c r="CA41" s="663" t="s">
        <v>428</v>
      </c>
      <c r="CB41" s="742" t="s">
        <v>447</v>
      </c>
      <c r="CC41" s="663" t="s">
        <v>430</v>
      </c>
      <c r="CD41" s="742" t="s">
        <v>447</v>
      </c>
      <c r="CE41" s="663" t="s">
        <v>428</v>
      </c>
      <c r="CF41" s="742"/>
      <c r="CG41" s="663" t="s">
        <v>428</v>
      </c>
      <c r="CH41" s="742"/>
      <c r="CI41" s="663" t="s">
        <v>430</v>
      </c>
      <c r="CJ41" s="742"/>
      <c r="CK41" s="663" t="s">
        <v>428</v>
      </c>
      <c r="CL41" s="742"/>
      <c r="CM41" s="663" t="s">
        <v>428</v>
      </c>
      <c r="CN41" s="742"/>
      <c r="CO41" s="663" t="s">
        <v>430</v>
      </c>
      <c r="CP41" s="742"/>
      <c r="CQ41" s="663" t="s">
        <v>428</v>
      </c>
      <c r="CR41" s="742"/>
      <c r="CS41" s="663" t="s">
        <v>430</v>
      </c>
      <c r="CT41" s="742"/>
      <c r="CU41" s="663" t="s">
        <v>430</v>
      </c>
      <c r="CV41" s="742"/>
      <c r="CW41" s="663" t="s">
        <v>430</v>
      </c>
      <c r="CX41" s="742"/>
      <c r="CY41" s="663" t="s">
        <v>430</v>
      </c>
      <c r="CZ41" s="742"/>
      <c r="DA41" s="663" t="s">
        <v>430</v>
      </c>
      <c r="DB41" s="742"/>
      <c r="DC41" s="663" t="s">
        <v>428</v>
      </c>
      <c r="DD41" s="742"/>
      <c r="DE41" s="665" t="s">
        <v>430</v>
      </c>
      <c r="DF41" s="723"/>
      <c r="DG41" s="862" t="s">
        <v>467</v>
      </c>
      <c r="DH41" s="738"/>
      <c r="DI41" s="895"/>
      <c r="DJ41" s="895"/>
      <c r="DK41" s="895"/>
      <c r="DL41" s="896"/>
      <c r="DM41" s="740"/>
      <c r="DN41" s="663" t="s">
        <v>428</v>
      </c>
      <c r="DO41" s="741"/>
      <c r="DP41" s="663" t="s">
        <v>428</v>
      </c>
      <c r="DQ41" s="742"/>
      <c r="DR41" s="663" t="s">
        <v>428</v>
      </c>
      <c r="DS41" s="742"/>
      <c r="DT41" s="663" t="s">
        <v>428</v>
      </c>
      <c r="DU41" s="742"/>
      <c r="DV41" s="663" t="s">
        <v>428</v>
      </c>
      <c r="DW41" s="742"/>
      <c r="DX41" s="663" t="s">
        <v>430</v>
      </c>
      <c r="DY41" s="742"/>
      <c r="DZ41" s="663" t="s">
        <v>430</v>
      </c>
      <c r="EA41" s="742"/>
      <c r="EB41" s="663" t="s">
        <v>430</v>
      </c>
      <c r="EC41" s="742"/>
      <c r="ED41" s="663" t="s">
        <v>430</v>
      </c>
      <c r="EE41" s="742" t="s">
        <v>447</v>
      </c>
      <c r="EF41" s="663" t="s">
        <v>430</v>
      </c>
      <c r="EG41" s="742" t="s">
        <v>447</v>
      </c>
      <c r="EH41" s="663" t="s">
        <v>430</v>
      </c>
      <c r="EI41" s="742"/>
      <c r="EJ41" s="663" t="s">
        <v>428</v>
      </c>
      <c r="EK41" s="742"/>
      <c r="EL41" s="663" t="s">
        <v>428</v>
      </c>
      <c r="EM41" s="742"/>
      <c r="EN41" s="663" t="s">
        <v>430</v>
      </c>
      <c r="EO41" s="742"/>
      <c r="EP41" s="663" t="s">
        <v>428</v>
      </c>
      <c r="EQ41" s="742"/>
      <c r="ER41" s="663" t="s">
        <v>428</v>
      </c>
      <c r="ES41" s="742"/>
      <c r="ET41" s="663" t="s">
        <v>430</v>
      </c>
      <c r="EU41" s="742"/>
      <c r="EV41" s="663" t="s">
        <v>428</v>
      </c>
      <c r="EW41" s="742"/>
      <c r="EX41" s="663" t="s">
        <v>430</v>
      </c>
      <c r="EY41" s="742"/>
      <c r="EZ41" s="663" t="s">
        <v>430</v>
      </c>
      <c r="FA41" s="742"/>
      <c r="FB41" s="663" t="s">
        <v>430</v>
      </c>
      <c r="FC41" s="742"/>
      <c r="FD41" s="663" t="s">
        <v>430</v>
      </c>
      <c r="FE41" s="742"/>
      <c r="FF41" s="663" t="s">
        <v>430</v>
      </c>
      <c r="FG41" s="742"/>
      <c r="FH41" s="665" t="s">
        <v>428</v>
      </c>
      <c r="FI41" s="746"/>
      <c r="FJ41" s="827" t="s">
        <v>468</v>
      </c>
      <c r="FK41" s="743"/>
      <c r="FL41" s="897"/>
      <c r="FM41" s="897"/>
      <c r="FN41" s="897"/>
      <c r="FO41" s="898"/>
      <c r="FP41" s="747"/>
      <c r="FQ41" s="673"/>
      <c r="FR41" s="663" t="s">
        <v>451</v>
      </c>
      <c r="FS41" s="748"/>
      <c r="FT41" s="673"/>
      <c r="FU41" s="675" t="s">
        <v>451</v>
      </c>
      <c r="FV41" s="593"/>
      <c r="FW41" s="594"/>
      <c r="FX41" s="806"/>
      <c r="FY41" s="596"/>
      <c r="FZ41" s="807"/>
      <c r="GA41" s="598"/>
      <c r="GB41" s="808"/>
      <c r="GC41" s="600"/>
      <c r="GD41" s="808"/>
      <c r="GE41" s="601"/>
      <c r="GF41" s="749"/>
      <c r="GG41" s="750"/>
      <c r="GH41" s="750"/>
      <c r="GI41" s="750"/>
      <c r="GJ41" s="580"/>
      <c r="GK41" s="899" t="s">
        <v>720</v>
      </c>
      <c r="GL41" s="900"/>
      <c r="GM41" s="901" t="s">
        <v>838</v>
      </c>
      <c r="GN41" s="901"/>
      <c r="GO41" s="901" t="s">
        <v>576</v>
      </c>
      <c r="GP41" s="901"/>
      <c r="GQ41" s="901"/>
      <c r="GR41" s="902"/>
      <c r="GS41" s="861"/>
      <c r="GT41" s="689"/>
      <c r="GU41" s="530" t="s">
        <v>611</v>
      </c>
      <c r="GV41" s="530"/>
      <c r="GW41" s="530"/>
      <c r="GX41" s="530"/>
      <c r="GY41" s="530"/>
      <c r="GZ41" s="530"/>
      <c r="HA41" s="894">
        <v>38.200000000000003</v>
      </c>
      <c r="HB41" s="413"/>
      <c r="HC41" s="530"/>
      <c r="HD41" s="409"/>
    </row>
    <row r="42" spans="1:219" ht="20.100000000000001" customHeight="1">
      <c r="A42" s="832"/>
      <c r="B42" s="903" t="s">
        <v>470</v>
      </c>
      <c r="C42" s="904"/>
      <c r="D42" s="904"/>
      <c r="E42" s="905"/>
      <c r="F42" s="906"/>
      <c r="G42" s="836"/>
      <c r="H42" s="837"/>
      <c r="I42" s="838"/>
      <c r="J42" s="799"/>
      <c r="K42" s="839"/>
      <c r="L42" s="799"/>
      <c r="M42" s="839"/>
      <c r="N42" s="799"/>
      <c r="O42" s="839"/>
      <c r="P42" s="799"/>
      <c r="Q42" s="839"/>
      <c r="R42" s="799"/>
      <c r="S42" s="839"/>
      <c r="T42" s="799"/>
      <c r="U42" s="839"/>
      <c r="V42" s="799"/>
      <c r="W42" s="839"/>
      <c r="X42" s="799">
        <v>1392</v>
      </c>
      <c r="Y42" s="839"/>
      <c r="Z42" s="799">
        <v>882</v>
      </c>
      <c r="AA42" s="839"/>
      <c r="AB42" s="799">
        <v>861</v>
      </c>
      <c r="AC42" s="839"/>
      <c r="AD42" s="799">
        <v>839</v>
      </c>
      <c r="AE42" s="839"/>
      <c r="AF42" s="799">
        <v>822</v>
      </c>
      <c r="AG42" s="839"/>
      <c r="AH42" s="799">
        <v>800</v>
      </c>
      <c r="AI42" s="839"/>
      <c r="AJ42" s="799">
        <v>789</v>
      </c>
      <c r="AK42" s="839"/>
      <c r="AL42" s="799">
        <v>773</v>
      </c>
      <c r="AM42" s="839"/>
      <c r="AN42" s="799">
        <v>756</v>
      </c>
      <c r="AO42" s="839"/>
      <c r="AP42" s="799">
        <v>745</v>
      </c>
      <c r="AQ42" s="839"/>
      <c r="AR42" s="799"/>
      <c r="AS42" s="839"/>
      <c r="AT42" s="799"/>
      <c r="AU42" s="839"/>
      <c r="AV42" s="799"/>
      <c r="AW42" s="839"/>
      <c r="AX42" s="799"/>
      <c r="AY42" s="839"/>
      <c r="AZ42" s="799"/>
      <c r="BA42" s="839"/>
      <c r="BB42" s="840"/>
      <c r="BC42" s="562"/>
      <c r="BD42" s="832"/>
      <c r="BE42" s="907" t="s">
        <v>469</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1392</v>
      </c>
      <c r="CB42" s="839"/>
      <c r="CC42" s="799">
        <v>882</v>
      </c>
      <c r="CD42" s="839"/>
      <c r="CE42" s="799">
        <v>861</v>
      </c>
      <c r="CF42" s="839"/>
      <c r="CG42" s="799">
        <v>839</v>
      </c>
      <c r="CH42" s="839"/>
      <c r="CI42" s="799">
        <v>822</v>
      </c>
      <c r="CJ42" s="839"/>
      <c r="CK42" s="799">
        <v>800</v>
      </c>
      <c r="CL42" s="839"/>
      <c r="CM42" s="799">
        <v>789</v>
      </c>
      <c r="CN42" s="839"/>
      <c r="CO42" s="799">
        <v>773</v>
      </c>
      <c r="CP42" s="839"/>
      <c r="CQ42" s="799">
        <v>756</v>
      </c>
      <c r="CR42" s="839"/>
      <c r="CS42" s="799">
        <v>745</v>
      </c>
      <c r="CT42" s="839"/>
      <c r="CU42" s="799"/>
      <c r="CV42" s="839"/>
      <c r="CW42" s="799"/>
      <c r="CX42" s="839"/>
      <c r="CY42" s="799"/>
      <c r="CZ42" s="839"/>
      <c r="DA42" s="799"/>
      <c r="DB42" s="839"/>
      <c r="DC42" s="799"/>
      <c r="DD42" s="839"/>
      <c r="DE42" s="840"/>
      <c r="DF42" s="562"/>
      <c r="DG42" s="832"/>
      <c r="DH42" s="907" t="s">
        <v>469</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1392</v>
      </c>
      <c r="EE42" s="839"/>
      <c r="EF42" s="799">
        <v>882</v>
      </c>
      <c r="EG42" s="839"/>
      <c r="EH42" s="799">
        <v>861</v>
      </c>
      <c r="EI42" s="839"/>
      <c r="EJ42" s="799">
        <v>839</v>
      </c>
      <c r="EK42" s="839"/>
      <c r="EL42" s="799">
        <v>822</v>
      </c>
      <c r="EM42" s="839"/>
      <c r="EN42" s="799">
        <v>800</v>
      </c>
      <c r="EO42" s="839"/>
      <c r="EP42" s="799">
        <v>789</v>
      </c>
      <c r="EQ42" s="839"/>
      <c r="ER42" s="799">
        <v>773</v>
      </c>
      <c r="ES42" s="839"/>
      <c r="ET42" s="799">
        <v>756</v>
      </c>
      <c r="EU42" s="839"/>
      <c r="EV42" s="799">
        <v>745</v>
      </c>
      <c r="EW42" s="839"/>
      <c r="EX42" s="799"/>
      <c r="EY42" s="839"/>
      <c r="EZ42" s="799"/>
      <c r="FA42" s="839"/>
      <c r="FB42" s="799"/>
      <c r="FC42" s="839"/>
      <c r="FD42" s="799"/>
      <c r="FE42" s="839"/>
      <c r="FF42" s="799"/>
      <c r="FG42" s="839"/>
      <c r="FH42" s="840"/>
      <c r="FI42" s="563"/>
      <c r="FJ42" s="841"/>
      <c r="FK42" s="907" t="s">
        <v>470</v>
      </c>
      <c r="FL42" s="904"/>
      <c r="FM42" s="904"/>
      <c r="FN42" s="905"/>
      <c r="FO42" s="906"/>
      <c r="FP42" s="842"/>
      <c r="FQ42" s="838"/>
      <c r="FR42" s="837">
        <v>1677</v>
      </c>
      <c r="FS42" s="843"/>
      <c r="FT42" s="838"/>
      <c r="FU42" s="805">
        <v>1677</v>
      </c>
      <c r="FV42" s="593"/>
      <c r="FW42" s="594"/>
      <c r="FX42" s="806"/>
      <c r="FY42" s="596"/>
      <c r="FZ42" s="807"/>
      <c r="GA42" s="598"/>
      <c r="GB42" s="808"/>
      <c r="GC42" s="600"/>
      <c r="GD42" s="808"/>
      <c r="GE42" s="601"/>
      <c r="GF42" s="844"/>
      <c r="GG42" s="602"/>
      <c r="GH42" s="602"/>
      <c r="GI42" s="602"/>
      <c r="GJ42" s="409"/>
      <c r="GK42" s="908"/>
      <c r="GL42" s="909"/>
      <c r="GM42" s="910">
        <v>8.5</v>
      </c>
      <c r="GN42" s="910"/>
      <c r="GO42" s="910">
        <v>16.899999999999999</v>
      </c>
      <c r="GP42" s="910"/>
      <c r="GQ42" s="910">
        <v>25.4</v>
      </c>
      <c r="GR42" s="911"/>
      <c r="GS42" s="580"/>
      <c r="GT42" s="500"/>
      <c r="GU42" s="500"/>
      <c r="GV42" s="500"/>
      <c r="GW42" s="579"/>
      <c r="GX42" s="579"/>
      <c r="GY42" s="579"/>
      <c r="GZ42" s="578"/>
      <c r="HA42" s="500"/>
      <c r="HB42" s="500"/>
      <c r="HC42" s="530"/>
      <c r="HD42" s="530"/>
    </row>
    <row r="43" spans="1:219" ht="20.100000000000001" customHeight="1">
      <c r="A43" s="832"/>
      <c r="B43" s="912" t="s">
        <v>472</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472</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471</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472</v>
      </c>
      <c r="FL43" s="913"/>
      <c r="FM43" s="913"/>
      <c r="FN43" s="913"/>
      <c r="FO43" s="914"/>
      <c r="FP43" s="696"/>
      <c r="FQ43" s="697"/>
      <c r="FR43" s="587">
        <v>0</v>
      </c>
      <c r="FS43" s="698"/>
      <c r="FT43" s="697"/>
      <c r="FU43" s="592">
        <v>0</v>
      </c>
      <c r="FV43" s="918"/>
      <c r="FW43" s="919"/>
      <c r="FX43" s="920"/>
      <c r="FY43" s="921"/>
      <c r="FZ43" s="922"/>
      <c r="GA43" s="923"/>
      <c r="GB43" s="924"/>
      <c r="GC43" s="925"/>
      <c r="GD43" s="924"/>
      <c r="GE43" s="926"/>
      <c r="GF43" s="688"/>
      <c r="GG43" s="602"/>
      <c r="GH43" s="602"/>
      <c r="GI43" s="602"/>
      <c r="GJ43" s="927"/>
      <c r="GK43" s="928" t="s">
        <v>787</v>
      </c>
      <c r="GL43" s="929"/>
      <c r="GM43" s="930" t="s">
        <v>839</v>
      </c>
      <c r="GN43" s="930"/>
      <c r="GO43" s="930" t="s">
        <v>578</v>
      </c>
      <c r="GP43" s="930"/>
      <c r="GQ43" s="930"/>
      <c r="GR43" s="931"/>
      <c r="GS43" s="580"/>
      <c r="GT43" s="609"/>
      <c r="GU43" s="530" t="s">
        <v>722</v>
      </c>
      <c r="GV43" s="413"/>
      <c r="GW43" s="409"/>
      <c r="GX43" s="413"/>
      <c r="GY43" s="413"/>
      <c r="GZ43" s="413"/>
      <c r="HA43" s="409"/>
      <c r="HB43" s="413"/>
      <c r="HC43" s="932"/>
      <c r="HD43" s="415"/>
    </row>
    <row r="44" spans="1:219" ht="20.100000000000001" customHeight="1" thickBot="1">
      <c r="A44" s="933"/>
      <c r="B44" s="642"/>
      <c r="C44" s="642"/>
      <c r="D44" s="643" t="s">
        <v>672</v>
      </c>
      <c r="E44" s="642"/>
      <c r="F44" s="642"/>
      <c r="G44" s="845"/>
      <c r="H44" s="1294">
        <v>0</v>
      </c>
      <c r="I44" s="1295"/>
      <c r="J44" s="848">
        <v>0</v>
      </c>
      <c r="K44" s="849"/>
      <c r="L44" s="848">
        <v>0</v>
      </c>
      <c r="M44" s="849"/>
      <c r="N44" s="848">
        <v>0</v>
      </c>
      <c r="O44" s="849"/>
      <c r="P44" s="848">
        <v>0</v>
      </c>
      <c r="Q44" s="849"/>
      <c r="R44" s="848">
        <v>0</v>
      </c>
      <c r="S44" s="849"/>
      <c r="T44" s="848">
        <v>0</v>
      </c>
      <c r="U44" s="849"/>
      <c r="V44" s="848">
        <v>0</v>
      </c>
      <c r="W44" s="849"/>
      <c r="X44" s="848">
        <v>1392</v>
      </c>
      <c r="Y44" s="849"/>
      <c r="Z44" s="848">
        <v>882</v>
      </c>
      <c r="AA44" s="849"/>
      <c r="AB44" s="848">
        <v>861</v>
      </c>
      <c r="AC44" s="849"/>
      <c r="AD44" s="848">
        <v>839</v>
      </c>
      <c r="AE44" s="849"/>
      <c r="AF44" s="848">
        <v>822</v>
      </c>
      <c r="AG44" s="849"/>
      <c r="AH44" s="848">
        <v>800</v>
      </c>
      <c r="AI44" s="849"/>
      <c r="AJ44" s="848">
        <v>789</v>
      </c>
      <c r="AK44" s="849"/>
      <c r="AL44" s="848">
        <v>773</v>
      </c>
      <c r="AM44" s="849"/>
      <c r="AN44" s="848">
        <v>756</v>
      </c>
      <c r="AO44" s="849"/>
      <c r="AP44" s="848">
        <v>745</v>
      </c>
      <c r="AQ44" s="849"/>
      <c r="AR44" s="848">
        <v>0</v>
      </c>
      <c r="AS44" s="849"/>
      <c r="AT44" s="848">
        <v>0</v>
      </c>
      <c r="AU44" s="849"/>
      <c r="AV44" s="848">
        <v>0</v>
      </c>
      <c r="AW44" s="849"/>
      <c r="AX44" s="848">
        <v>0</v>
      </c>
      <c r="AY44" s="849"/>
      <c r="AZ44" s="848">
        <v>0</v>
      </c>
      <c r="BA44" s="849"/>
      <c r="BB44" s="1296">
        <v>0</v>
      </c>
      <c r="BC44" s="648"/>
      <c r="BD44" s="933"/>
      <c r="BE44" s="642"/>
      <c r="BF44" s="642"/>
      <c r="BG44" s="643" t="s">
        <v>672</v>
      </c>
      <c r="BH44" s="642"/>
      <c r="BI44" s="642"/>
      <c r="BJ44" s="845"/>
      <c r="BK44" s="1294">
        <v>0</v>
      </c>
      <c r="BL44" s="1295"/>
      <c r="BM44" s="848">
        <v>0</v>
      </c>
      <c r="BN44" s="849"/>
      <c r="BO44" s="848">
        <v>0</v>
      </c>
      <c r="BP44" s="849"/>
      <c r="BQ44" s="848">
        <v>0</v>
      </c>
      <c r="BR44" s="849"/>
      <c r="BS44" s="848">
        <v>0</v>
      </c>
      <c r="BT44" s="849"/>
      <c r="BU44" s="848">
        <v>0</v>
      </c>
      <c r="BV44" s="849"/>
      <c r="BW44" s="848">
        <v>0</v>
      </c>
      <c r="BX44" s="849"/>
      <c r="BY44" s="848">
        <v>0</v>
      </c>
      <c r="BZ44" s="849"/>
      <c r="CA44" s="848">
        <v>1392</v>
      </c>
      <c r="CB44" s="849"/>
      <c r="CC44" s="848">
        <v>882</v>
      </c>
      <c r="CD44" s="849"/>
      <c r="CE44" s="848">
        <v>861</v>
      </c>
      <c r="CF44" s="849"/>
      <c r="CG44" s="848">
        <v>839</v>
      </c>
      <c r="CH44" s="849"/>
      <c r="CI44" s="848">
        <v>822</v>
      </c>
      <c r="CJ44" s="849"/>
      <c r="CK44" s="848">
        <v>800</v>
      </c>
      <c r="CL44" s="849"/>
      <c r="CM44" s="848">
        <v>789</v>
      </c>
      <c r="CN44" s="849"/>
      <c r="CO44" s="848">
        <v>773</v>
      </c>
      <c r="CP44" s="849"/>
      <c r="CQ44" s="848">
        <v>756</v>
      </c>
      <c r="CR44" s="849"/>
      <c r="CS44" s="848">
        <v>745</v>
      </c>
      <c r="CT44" s="849"/>
      <c r="CU44" s="848">
        <v>0</v>
      </c>
      <c r="CV44" s="849"/>
      <c r="CW44" s="848">
        <v>0</v>
      </c>
      <c r="CX44" s="849"/>
      <c r="CY44" s="848">
        <v>0</v>
      </c>
      <c r="CZ44" s="849"/>
      <c r="DA44" s="848">
        <v>0</v>
      </c>
      <c r="DB44" s="849"/>
      <c r="DC44" s="848">
        <v>0</v>
      </c>
      <c r="DD44" s="849"/>
      <c r="DE44" s="1296">
        <v>0</v>
      </c>
      <c r="DF44" s="648"/>
      <c r="DG44" s="933"/>
      <c r="DH44" s="642"/>
      <c r="DI44" s="642"/>
      <c r="DJ44" s="643" t="s">
        <v>330</v>
      </c>
      <c r="DK44" s="642"/>
      <c r="DL44" s="642"/>
      <c r="DM44" s="845"/>
      <c r="DN44" s="1294">
        <v>0</v>
      </c>
      <c r="DO44" s="1295"/>
      <c r="DP44" s="848">
        <v>0</v>
      </c>
      <c r="DQ44" s="849"/>
      <c r="DR44" s="848">
        <v>0</v>
      </c>
      <c r="DS44" s="849"/>
      <c r="DT44" s="848">
        <v>0</v>
      </c>
      <c r="DU44" s="849"/>
      <c r="DV44" s="848">
        <v>0</v>
      </c>
      <c r="DW44" s="849"/>
      <c r="DX44" s="848">
        <v>0</v>
      </c>
      <c r="DY44" s="849"/>
      <c r="DZ44" s="848">
        <v>0</v>
      </c>
      <c r="EA44" s="849"/>
      <c r="EB44" s="848">
        <v>0</v>
      </c>
      <c r="EC44" s="849"/>
      <c r="ED44" s="848">
        <v>1392</v>
      </c>
      <c r="EE44" s="849"/>
      <c r="EF44" s="848">
        <v>882</v>
      </c>
      <c r="EG44" s="849"/>
      <c r="EH44" s="848">
        <v>861</v>
      </c>
      <c r="EI44" s="849"/>
      <c r="EJ44" s="848">
        <v>839</v>
      </c>
      <c r="EK44" s="849"/>
      <c r="EL44" s="848">
        <v>822</v>
      </c>
      <c r="EM44" s="849"/>
      <c r="EN44" s="848">
        <v>800</v>
      </c>
      <c r="EO44" s="849"/>
      <c r="EP44" s="848">
        <v>789</v>
      </c>
      <c r="EQ44" s="849"/>
      <c r="ER44" s="848">
        <v>773</v>
      </c>
      <c r="ES44" s="849"/>
      <c r="ET44" s="848">
        <v>756</v>
      </c>
      <c r="EU44" s="849"/>
      <c r="EV44" s="848">
        <v>745</v>
      </c>
      <c r="EW44" s="849"/>
      <c r="EX44" s="848">
        <v>0</v>
      </c>
      <c r="EY44" s="849"/>
      <c r="EZ44" s="848">
        <v>0</v>
      </c>
      <c r="FA44" s="849"/>
      <c r="FB44" s="848">
        <v>0</v>
      </c>
      <c r="FC44" s="849"/>
      <c r="FD44" s="848">
        <v>0</v>
      </c>
      <c r="FE44" s="849"/>
      <c r="FF44" s="848">
        <v>0</v>
      </c>
      <c r="FG44" s="849"/>
      <c r="FH44" s="1296">
        <v>0</v>
      </c>
      <c r="FI44" s="649"/>
      <c r="FJ44" s="934"/>
      <c r="FK44" s="642"/>
      <c r="FL44" s="642"/>
      <c r="FM44" s="643" t="s">
        <v>672</v>
      </c>
      <c r="FN44" s="642"/>
      <c r="FO44" s="642"/>
      <c r="FP44" s="650"/>
      <c r="FQ44" s="1295"/>
      <c r="FR44" s="1294">
        <v>1677</v>
      </c>
      <c r="FS44" s="1297"/>
      <c r="FT44" s="1295"/>
      <c r="FU44" s="1298">
        <v>1677</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5.5</v>
      </c>
      <c r="GN44" s="935"/>
      <c r="GO44" s="935">
        <v>11</v>
      </c>
      <c r="GP44" s="935"/>
      <c r="GQ44" s="910">
        <v>16.5</v>
      </c>
      <c r="GR44" s="911"/>
      <c r="GS44" s="936"/>
      <c r="GT44" s="937"/>
      <c r="GU44" s="530" t="s">
        <v>723</v>
      </c>
      <c r="GV44" s="615"/>
      <c r="GW44" s="615"/>
      <c r="GX44" s="615"/>
      <c r="GY44" s="413"/>
      <c r="GZ44" s="413"/>
      <c r="HA44" s="751">
        <v>1.5</v>
      </c>
      <c r="HB44" s="413" t="s">
        <v>707</v>
      </c>
      <c r="HC44" s="938"/>
      <c r="HD44" s="415"/>
    </row>
    <row r="45" spans="1:219" ht="20.100000000000001" customHeight="1" thickTop="1">
      <c r="A45" s="939" t="s">
        <v>476</v>
      </c>
      <c r="B45" s="940"/>
      <c r="C45" s="940"/>
      <c r="D45" s="940"/>
      <c r="E45" s="940"/>
      <c r="F45" s="941"/>
      <c r="G45" s="942"/>
      <c r="H45" s="943">
        <v>0</v>
      </c>
      <c r="I45" s="944"/>
      <c r="J45" s="943">
        <v>0</v>
      </c>
      <c r="K45" s="944"/>
      <c r="L45" s="943">
        <v>0</v>
      </c>
      <c r="M45" s="944"/>
      <c r="N45" s="943">
        <v>0</v>
      </c>
      <c r="O45" s="944"/>
      <c r="P45" s="943">
        <v>0</v>
      </c>
      <c r="Q45" s="944"/>
      <c r="R45" s="943">
        <v>0</v>
      </c>
      <c r="S45" s="944"/>
      <c r="T45" s="943">
        <v>0</v>
      </c>
      <c r="U45" s="944"/>
      <c r="V45" s="943">
        <v>0</v>
      </c>
      <c r="W45" s="944"/>
      <c r="X45" s="943">
        <v>4124</v>
      </c>
      <c r="Y45" s="944"/>
      <c r="Z45" s="943">
        <v>3849</v>
      </c>
      <c r="AA45" s="944"/>
      <c r="AB45" s="943">
        <v>4120</v>
      </c>
      <c r="AC45" s="944"/>
      <c r="AD45" s="943">
        <v>3901</v>
      </c>
      <c r="AE45" s="944"/>
      <c r="AF45" s="943">
        <v>4738</v>
      </c>
      <c r="AG45" s="944"/>
      <c r="AH45" s="943">
        <v>4752</v>
      </c>
      <c r="AI45" s="944"/>
      <c r="AJ45" s="943">
        <v>4507</v>
      </c>
      <c r="AK45" s="944"/>
      <c r="AL45" s="943">
        <v>4143</v>
      </c>
      <c r="AM45" s="944"/>
      <c r="AN45" s="943">
        <v>3677</v>
      </c>
      <c r="AO45" s="944"/>
      <c r="AP45" s="943">
        <v>3092</v>
      </c>
      <c r="AQ45" s="944"/>
      <c r="AR45" s="943">
        <v>0</v>
      </c>
      <c r="AS45" s="944"/>
      <c r="AT45" s="943">
        <v>0</v>
      </c>
      <c r="AU45" s="944"/>
      <c r="AV45" s="943">
        <v>0</v>
      </c>
      <c r="AW45" s="944"/>
      <c r="AX45" s="943">
        <v>0</v>
      </c>
      <c r="AY45" s="944"/>
      <c r="AZ45" s="943">
        <v>0</v>
      </c>
      <c r="BA45" s="944"/>
      <c r="BB45" s="945">
        <v>0</v>
      </c>
      <c r="BC45" s="648"/>
      <c r="BD45" s="939" t="s">
        <v>476</v>
      </c>
      <c r="BE45" s="940"/>
      <c r="BF45" s="940"/>
      <c r="BG45" s="940"/>
      <c r="BH45" s="940"/>
      <c r="BI45" s="941"/>
      <c r="BJ45" s="942"/>
      <c r="BK45" s="943">
        <v>0</v>
      </c>
      <c r="BL45" s="944"/>
      <c r="BM45" s="943">
        <v>0</v>
      </c>
      <c r="BN45" s="944"/>
      <c r="BO45" s="943">
        <v>0</v>
      </c>
      <c r="BP45" s="944"/>
      <c r="BQ45" s="943">
        <v>0</v>
      </c>
      <c r="BR45" s="944"/>
      <c r="BS45" s="943">
        <v>0</v>
      </c>
      <c r="BT45" s="944"/>
      <c r="BU45" s="943">
        <v>0</v>
      </c>
      <c r="BV45" s="944"/>
      <c r="BW45" s="943">
        <v>0</v>
      </c>
      <c r="BX45" s="944"/>
      <c r="BY45" s="943">
        <v>0</v>
      </c>
      <c r="BZ45" s="944"/>
      <c r="CA45" s="943">
        <v>4019</v>
      </c>
      <c r="CB45" s="944"/>
      <c r="CC45" s="943">
        <v>3695</v>
      </c>
      <c r="CD45" s="944"/>
      <c r="CE45" s="943">
        <v>4038</v>
      </c>
      <c r="CF45" s="944"/>
      <c r="CG45" s="943">
        <v>3970</v>
      </c>
      <c r="CH45" s="944"/>
      <c r="CI45" s="943">
        <v>4922</v>
      </c>
      <c r="CJ45" s="944"/>
      <c r="CK45" s="943">
        <v>4989</v>
      </c>
      <c r="CL45" s="944"/>
      <c r="CM45" s="943">
        <v>4814</v>
      </c>
      <c r="CN45" s="944"/>
      <c r="CO45" s="943">
        <v>4400</v>
      </c>
      <c r="CP45" s="944"/>
      <c r="CQ45" s="943">
        <v>3919</v>
      </c>
      <c r="CR45" s="944"/>
      <c r="CS45" s="943">
        <v>3163</v>
      </c>
      <c r="CT45" s="944"/>
      <c r="CU45" s="943">
        <v>0</v>
      </c>
      <c r="CV45" s="944"/>
      <c r="CW45" s="943">
        <v>0</v>
      </c>
      <c r="CX45" s="944"/>
      <c r="CY45" s="943">
        <v>0</v>
      </c>
      <c r="CZ45" s="944"/>
      <c r="DA45" s="943">
        <v>0</v>
      </c>
      <c r="DB45" s="944"/>
      <c r="DC45" s="943">
        <v>0</v>
      </c>
      <c r="DD45" s="944"/>
      <c r="DE45" s="945">
        <v>0</v>
      </c>
      <c r="DF45" s="648"/>
      <c r="DG45" s="939" t="s">
        <v>673</v>
      </c>
      <c r="DH45" s="940"/>
      <c r="DI45" s="940"/>
      <c r="DJ45" s="940"/>
      <c r="DK45" s="940"/>
      <c r="DL45" s="941"/>
      <c r="DM45" s="942"/>
      <c r="DN45" s="943">
        <v>0</v>
      </c>
      <c r="DO45" s="944"/>
      <c r="DP45" s="943">
        <v>0</v>
      </c>
      <c r="DQ45" s="944"/>
      <c r="DR45" s="943">
        <v>0</v>
      </c>
      <c r="DS45" s="944"/>
      <c r="DT45" s="943">
        <v>0</v>
      </c>
      <c r="DU45" s="944"/>
      <c r="DV45" s="943">
        <v>0</v>
      </c>
      <c r="DW45" s="944"/>
      <c r="DX45" s="943">
        <v>0</v>
      </c>
      <c r="DY45" s="944"/>
      <c r="DZ45" s="943">
        <v>0</v>
      </c>
      <c r="EA45" s="944"/>
      <c r="EB45" s="943">
        <v>0</v>
      </c>
      <c r="EC45" s="944"/>
      <c r="ED45" s="943">
        <v>3577</v>
      </c>
      <c r="EE45" s="944"/>
      <c r="EF45" s="943">
        <v>3645</v>
      </c>
      <c r="EG45" s="944"/>
      <c r="EH45" s="943">
        <v>4512</v>
      </c>
      <c r="EI45" s="944"/>
      <c r="EJ45" s="943">
        <v>4539</v>
      </c>
      <c r="EK45" s="944"/>
      <c r="EL45" s="943">
        <v>5401</v>
      </c>
      <c r="EM45" s="944"/>
      <c r="EN45" s="943">
        <v>5371</v>
      </c>
      <c r="EO45" s="944"/>
      <c r="EP45" s="943">
        <v>5044</v>
      </c>
      <c r="EQ45" s="944"/>
      <c r="ER45" s="943">
        <v>4440</v>
      </c>
      <c r="ES45" s="944"/>
      <c r="ET45" s="943">
        <v>3638</v>
      </c>
      <c r="EU45" s="944"/>
      <c r="EV45" s="943">
        <v>2711</v>
      </c>
      <c r="EW45" s="944"/>
      <c r="EX45" s="943">
        <v>0</v>
      </c>
      <c r="EY45" s="944"/>
      <c r="EZ45" s="943">
        <v>0</v>
      </c>
      <c r="FA45" s="944"/>
      <c r="FB45" s="943">
        <v>0</v>
      </c>
      <c r="FC45" s="944"/>
      <c r="FD45" s="943">
        <v>0</v>
      </c>
      <c r="FE45" s="944"/>
      <c r="FF45" s="943">
        <v>0</v>
      </c>
      <c r="FG45" s="944"/>
      <c r="FH45" s="945">
        <v>0</v>
      </c>
      <c r="FI45" s="648"/>
      <c r="FJ45" s="939" t="s">
        <v>673</v>
      </c>
      <c r="FK45" s="940"/>
      <c r="FL45" s="940"/>
      <c r="FM45" s="940"/>
      <c r="FN45" s="940"/>
      <c r="FO45" s="941"/>
      <c r="FP45" s="946"/>
      <c r="FQ45" s="947"/>
      <c r="FR45" s="943">
        <v>4595</v>
      </c>
      <c r="FS45" s="948"/>
      <c r="FT45" s="947"/>
      <c r="FU45" s="949">
        <v>4672</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580</v>
      </c>
      <c r="GV45" s="413"/>
      <c r="GW45" s="413"/>
      <c r="GX45" s="413"/>
      <c r="GY45" s="530"/>
      <c r="GZ45" s="733"/>
      <c r="HA45" s="751">
        <v>19</v>
      </c>
      <c r="HB45" s="413" t="s">
        <v>550</v>
      </c>
      <c r="HC45" s="938"/>
      <c r="HD45" s="415"/>
    </row>
    <row r="46" spans="1:219" ht="20.100000000000001" customHeight="1">
      <c r="A46" s="954" t="s">
        <v>336</v>
      </c>
      <c r="B46" s="955"/>
      <c r="C46" s="955"/>
      <c r="D46" s="955"/>
      <c r="E46" s="955"/>
      <c r="F46" s="956"/>
      <c r="G46" s="957" t="s">
        <v>477</v>
      </c>
      <c r="H46" s="958"/>
      <c r="I46" s="1287" t="s">
        <v>477</v>
      </c>
      <c r="J46" s="958"/>
      <c r="K46" s="1287" t="s">
        <v>477</v>
      </c>
      <c r="L46" s="958"/>
      <c r="M46" s="1287" t="s">
        <v>477</v>
      </c>
      <c r="N46" s="958"/>
      <c r="O46" s="1287" t="s">
        <v>477</v>
      </c>
      <c r="P46" s="958"/>
      <c r="Q46" s="1287" t="s">
        <v>477</v>
      </c>
      <c r="R46" s="958"/>
      <c r="S46" s="1287" t="s">
        <v>477</v>
      </c>
      <c r="T46" s="958"/>
      <c r="U46" s="1287" t="s">
        <v>477</v>
      </c>
      <c r="V46" s="958"/>
      <c r="W46" s="1287" t="s">
        <v>477</v>
      </c>
      <c r="X46" s="958"/>
      <c r="Y46" s="1287" t="s">
        <v>477</v>
      </c>
      <c r="Z46" s="958"/>
      <c r="AA46" s="1287" t="s">
        <v>477</v>
      </c>
      <c r="AB46" s="958"/>
      <c r="AC46" s="1287" t="s">
        <v>477</v>
      </c>
      <c r="AD46" s="958"/>
      <c r="AE46" s="1287" t="s">
        <v>477</v>
      </c>
      <c r="AF46" s="958"/>
      <c r="AG46" s="1287" t="s">
        <v>477</v>
      </c>
      <c r="AH46" s="958"/>
      <c r="AI46" s="1287" t="s">
        <v>477</v>
      </c>
      <c r="AJ46" s="958"/>
      <c r="AK46" s="1287" t="s">
        <v>477</v>
      </c>
      <c r="AL46" s="958"/>
      <c r="AM46" s="1287" t="s">
        <v>477</v>
      </c>
      <c r="AN46" s="958"/>
      <c r="AO46" s="1287" t="s">
        <v>477</v>
      </c>
      <c r="AP46" s="958"/>
      <c r="AQ46" s="1287" t="s">
        <v>477</v>
      </c>
      <c r="AR46" s="958"/>
      <c r="AS46" s="1287" t="s">
        <v>477</v>
      </c>
      <c r="AT46" s="958"/>
      <c r="AU46" s="1287" t="s">
        <v>477</v>
      </c>
      <c r="AV46" s="958"/>
      <c r="AW46" s="1287" t="s">
        <v>477</v>
      </c>
      <c r="AX46" s="958"/>
      <c r="AY46" s="1287" t="s">
        <v>477</v>
      </c>
      <c r="AZ46" s="960"/>
      <c r="BA46" s="961" t="s">
        <v>477</v>
      </c>
      <c r="BB46" s="962"/>
      <c r="BC46" s="963"/>
      <c r="BD46" s="954" t="s">
        <v>877</v>
      </c>
      <c r="BE46" s="955"/>
      <c r="BF46" s="955"/>
      <c r="BG46" s="955"/>
      <c r="BH46" s="955"/>
      <c r="BI46" s="956"/>
      <c r="BJ46" s="957" t="s">
        <v>477</v>
      </c>
      <c r="BK46" s="958"/>
      <c r="BL46" s="1287" t="s">
        <v>477</v>
      </c>
      <c r="BM46" s="958"/>
      <c r="BN46" s="1287" t="s">
        <v>477</v>
      </c>
      <c r="BO46" s="958"/>
      <c r="BP46" s="1287" t="s">
        <v>477</v>
      </c>
      <c r="BQ46" s="958"/>
      <c r="BR46" s="1287" t="s">
        <v>477</v>
      </c>
      <c r="BS46" s="958"/>
      <c r="BT46" s="1287" t="s">
        <v>477</v>
      </c>
      <c r="BU46" s="958"/>
      <c r="BV46" s="1287" t="s">
        <v>477</v>
      </c>
      <c r="BW46" s="958"/>
      <c r="BX46" s="1287" t="s">
        <v>477</v>
      </c>
      <c r="BY46" s="958"/>
      <c r="BZ46" s="1287" t="s">
        <v>477</v>
      </c>
      <c r="CA46" s="958"/>
      <c r="CB46" s="1287" t="s">
        <v>477</v>
      </c>
      <c r="CC46" s="958"/>
      <c r="CD46" s="1287" t="s">
        <v>477</v>
      </c>
      <c r="CE46" s="958"/>
      <c r="CF46" s="1287" t="s">
        <v>477</v>
      </c>
      <c r="CG46" s="958"/>
      <c r="CH46" s="1287" t="s">
        <v>477</v>
      </c>
      <c r="CI46" s="958"/>
      <c r="CJ46" s="1287" t="s">
        <v>477</v>
      </c>
      <c r="CK46" s="958"/>
      <c r="CL46" s="1287" t="s">
        <v>477</v>
      </c>
      <c r="CM46" s="958"/>
      <c r="CN46" s="1287" t="s">
        <v>477</v>
      </c>
      <c r="CO46" s="958"/>
      <c r="CP46" s="1287" t="s">
        <v>477</v>
      </c>
      <c r="CQ46" s="958"/>
      <c r="CR46" s="1287" t="s">
        <v>477</v>
      </c>
      <c r="CS46" s="958"/>
      <c r="CT46" s="1287" t="s">
        <v>477</v>
      </c>
      <c r="CU46" s="958"/>
      <c r="CV46" s="1287" t="s">
        <v>477</v>
      </c>
      <c r="CW46" s="958"/>
      <c r="CX46" s="1287" t="s">
        <v>477</v>
      </c>
      <c r="CY46" s="958"/>
      <c r="CZ46" s="1287" t="s">
        <v>477</v>
      </c>
      <c r="DA46" s="958"/>
      <c r="DB46" s="1287" t="s">
        <v>477</v>
      </c>
      <c r="DC46" s="960"/>
      <c r="DD46" s="961" t="s">
        <v>477</v>
      </c>
      <c r="DE46" s="962"/>
      <c r="DF46" s="963"/>
      <c r="DG46" s="954" t="s">
        <v>877</v>
      </c>
      <c r="DH46" s="955"/>
      <c r="DI46" s="955"/>
      <c r="DJ46" s="955"/>
      <c r="DK46" s="955"/>
      <c r="DL46" s="956"/>
      <c r="DM46" s="957" t="s">
        <v>477</v>
      </c>
      <c r="DN46" s="958"/>
      <c r="DO46" s="1287" t="s">
        <v>477</v>
      </c>
      <c r="DP46" s="958"/>
      <c r="DQ46" s="1287" t="s">
        <v>477</v>
      </c>
      <c r="DR46" s="958"/>
      <c r="DS46" s="1287" t="s">
        <v>477</v>
      </c>
      <c r="DT46" s="958"/>
      <c r="DU46" s="1287" t="s">
        <v>477</v>
      </c>
      <c r="DV46" s="958"/>
      <c r="DW46" s="1287" t="s">
        <v>477</v>
      </c>
      <c r="DX46" s="958"/>
      <c r="DY46" s="1287" t="s">
        <v>477</v>
      </c>
      <c r="DZ46" s="958"/>
      <c r="EA46" s="1287" t="s">
        <v>477</v>
      </c>
      <c r="EB46" s="958"/>
      <c r="EC46" s="1287" t="s">
        <v>477</v>
      </c>
      <c r="ED46" s="958"/>
      <c r="EE46" s="1287" t="s">
        <v>477</v>
      </c>
      <c r="EF46" s="958"/>
      <c r="EG46" s="1287" t="s">
        <v>477</v>
      </c>
      <c r="EH46" s="958"/>
      <c r="EI46" s="1287" t="s">
        <v>477</v>
      </c>
      <c r="EJ46" s="958"/>
      <c r="EK46" s="1287" t="s">
        <v>477</v>
      </c>
      <c r="EL46" s="958"/>
      <c r="EM46" s="1287" t="s">
        <v>477</v>
      </c>
      <c r="EN46" s="958"/>
      <c r="EO46" s="1287" t="s">
        <v>477</v>
      </c>
      <c r="EP46" s="958"/>
      <c r="EQ46" s="1287" t="s">
        <v>477</v>
      </c>
      <c r="ER46" s="958"/>
      <c r="ES46" s="1287" t="s">
        <v>477</v>
      </c>
      <c r="ET46" s="958"/>
      <c r="EU46" s="1287" t="s">
        <v>477</v>
      </c>
      <c r="EV46" s="958"/>
      <c r="EW46" s="1287" t="s">
        <v>477</v>
      </c>
      <c r="EX46" s="958"/>
      <c r="EY46" s="1287" t="s">
        <v>477</v>
      </c>
      <c r="EZ46" s="958"/>
      <c r="FA46" s="1287" t="s">
        <v>477</v>
      </c>
      <c r="FB46" s="958"/>
      <c r="FC46" s="1287" t="s">
        <v>477</v>
      </c>
      <c r="FD46" s="958"/>
      <c r="FE46" s="1287" t="s">
        <v>477</v>
      </c>
      <c r="FF46" s="960"/>
      <c r="FG46" s="961" t="s">
        <v>477</v>
      </c>
      <c r="FH46" s="962"/>
      <c r="FI46" s="963"/>
      <c r="FJ46" s="954" t="s">
        <v>480</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t="s">
        <v>584</v>
      </c>
      <c r="GL46" s="413"/>
      <c r="GM46" s="750"/>
      <c r="GN46" s="750"/>
      <c r="GO46" s="750"/>
      <c r="GP46" s="750"/>
      <c r="GQ46" s="750"/>
      <c r="GR46" s="861"/>
      <c r="GS46" s="580"/>
      <c r="GT46" s="763"/>
      <c r="GU46" s="774" t="s">
        <v>582</v>
      </c>
      <c r="GV46" s="774"/>
      <c r="GW46" s="774"/>
      <c r="GX46" s="774"/>
      <c r="GY46" s="615"/>
      <c r="GZ46" s="775"/>
      <c r="HA46" s="751">
        <v>17.5</v>
      </c>
      <c r="HB46" s="413" t="s">
        <v>550</v>
      </c>
      <c r="HC46" s="938"/>
      <c r="HD46" s="415"/>
    </row>
    <row r="47" spans="1:219" ht="20.100000000000001" customHeight="1" thickBot="1">
      <c r="A47" s="970" t="s">
        <v>337</v>
      </c>
      <c r="B47" s="971"/>
      <c r="C47" s="971"/>
      <c r="D47" s="972"/>
      <c r="E47" s="973"/>
      <c r="F47" s="973"/>
      <c r="G47" s="974"/>
      <c r="H47" s="975">
        <v>0</v>
      </c>
      <c r="I47" s="976"/>
      <c r="J47" s="975">
        <v>0</v>
      </c>
      <c r="K47" s="976"/>
      <c r="L47" s="975">
        <v>0</v>
      </c>
      <c r="M47" s="976"/>
      <c r="N47" s="975">
        <v>0</v>
      </c>
      <c r="O47" s="976"/>
      <c r="P47" s="975">
        <v>0</v>
      </c>
      <c r="Q47" s="976"/>
      <c r="R47" s="975">
        <v>0</v>
      </c>
      <c r="S47" s="976"/>
      <c r="T47" s="975">
        <v>0</v>
      </c>
      <c r="U47" s="976"/>
      <c r="V47" s="975">
        <v>0</v>
      </c>
      <c r="W47" s="976"/>
      <c r="X47" s="975">
        <v>4330</v>
      </c>
      <c r="Y47" s="976"/>
      <c r="Z47" s="975">
        <v>4041</v>
      </c>
      <c r="AA47" s="976"/>
      <c r="AB47" s="975">
        <v>4326</v>
      </c>
      <c r="AC47" s="976"/>
      <c r="AD47" s="975">
        <v>4096</v>
      </c>
      <c r="AE47" s="976"/>
      <c r="AF47" s="975">
        <v>4975</v>
      </c>
      <c r="AG47" s="976"/>
      <c r="AH47" s="975">
        <v>4990</v>
      </c>
      <c r="AI47" s="976"/>
      <c r="AJ47" s="975">
        <v>4732</v>
      </c>
      <c r="AK47" s="976"/>
      <c r="AL47" s="975">
        <v>4350</v>
      </c>
      <c r="AM47" s="976"/>
      <c r="AN47" s="975">
        <v>3861</v>
      </c>
      <c r="AO47" s="976"/>
      <c r="AP47" s="975">
        <v>3247</v>
      </c>
      <c r="AQ47" s="976"/>
      <c r="AR47" s="975">
        <v>0</v>
      </c>
      <c r="AS47" s="976"/>
      <c r="AT47" s="975">
        <v>0</v>
      </c>
      <c r="AU47" s="976"/>
      <c r="AV47" s="975">
        <v>0</v>
      </c>
      <c r="AW47" s="976"/>
      <c r="AX47" s="975">
        <v>0</v>
      </c>
      <c r="AY47" s="977"/>
      <c r="AZ47" s="978">
        <v>0</v>
      </c>
      <c r="BA47" s="979"/>
      <c r="BB47" s="980">
        <v>0</v>
      </c>
      <c r="BC47" s="981"/>
      <c r="BD47" s="970" t="s">
        <v>337</v>
      </c>
      <c r="BE47" s="971"/>
      <c r="BF47" s="971"/>
      <c r="BG47" s="972"/>
      <c r="BH47" s="973"/>
      <c r="BI47" s="973"/>
      <c r="BJ47" s="974"/>
      <c r="BK47" s="975">
        <v>0</v>
      </c>
      <c r="BL47" s="976"/>
      <c r="BM47" s="975">
        <v>0</v>
      </c>
      <c r="BN47" s="976"/>
      <c r="BO47" s="975">
        <v>0</v>
      </c>
      <c r="BP47" s="976"/>
      <c r="BQ47" s="975">
        <v>0</v>
      </c>
      <c r="BR47" s="976"/>
      <c r="BS47" s="975">
        <v>0</v>
      </c>
      <c r="BT47" s="976"/>
      <c r="BU47" s="975">
        <v>0</v>
      </c>
      <c r="BV47" s="976"/>
      <c r="BW47" s="975">
        <v>0</v>
      </c>
      <c r="BX47" s="976"/>
      <c r="BY47" s="975">
        <v>0</v>
      </c>
      <c r="BZ47" s="976"/>
      <c r="CA47" s="975">
        <v>4220</v>
      </c>
      <c r="CB47" s="976"/>
      <c r="CC47" s="975">
        <v>3880</v>
      </c>
      <c r="CD47" s="976"/>
      <c r="CE47" s="975">
        <v>4240</v>
      </c>
      <c r="CF47" s="976"/>
      <c r="CG47" s="975">
        <v>4169</v>
      </c>
      <c r="CH47" s="976"/>
      <c r="CI47" s="975">
        <v>5168</v>
      </c>
      <c r="CJ47" s="976"/>
      <c r="CK47" s="975">
        <v>5238</v>
      </c>
      <c r="CL47" s="976"/>
      <c r="CM47" s="975">
        <v>5055</v>
      </c>
      <c r="CN47" s="976"/>
      <c r="CO47" s="975">
        <v>4620</v>
      </c>
      <c r="CP47" s="976"/>
      <c r="CQ47" s="975">
        <v>4115</v>
      </c>
      <c r="CR47" s="976"/>
      <c r="CS47" s="975">
        <v>3321</v>
      </c>
      <c r="CT47" s="976"/>
      <c r="CU47" s="975">
        <v>0</v>
      </c>
      <c r="CV47" s="976"/>
      <c r="CW47" s="975">
        <v>0</v>
      </c>
      <c r="CX47" s="976"/>
      <c r="CY47" s="975">
        <v>0</v>
      </c>
      <c r="CZ47" s="976"/>
      <c r="DA47" s="975">
        <v>0</v>
      </c>
      <c r="DB47" s="977"/>
      <c r="DC47" s="978">
        <v>0</v>
      </c>
      <c r="DD47" s="979"/>
      <c r="DE47" s="980">
        <v>0</v>
      </c>
      <c r="DF47" s="981"/>
      <c r="DG47" s="970" t="s">
        <v>768</v>
      </c>
      <c r="DH47" s="971"/>
      <c r="DI47" s="971"/>
      <c r="DJ47" s="972"/>
      <c r="DK47" s="973"/>
      <c r="DL47" s="973"/>
      <c r="DM47" s="974"/>
      <c r="DN47" s="975">
        <v>0</v>
      </c>
      <c r="DO47" s="976"/>
      <c r="DP47" s="975">
        <v>0</v>
      </c>
      <c r="DQ47" s="976"/>
      <c r="DR47" s="975">
        <v>0</v>
      </c>
      <c r="DS47" s="976"/>
      <c r="DT47" s="975">
        <v>0</v>
      </c>
      <c r="DU47" s="976"/>
      <c r="DV47" s="975">
        <v>0</v>
      </c>
      <c r="DW47" s="976"/>
      <c r="DX47" s="975">
        <v>0</v>
      </c>
      <c r="DY47" s="976"/>
      <c r="DZ47" s="975">
        <v>0</v>
      </c>
      <c r="EA47" s="976"/>
      <c r="EB47" s="975">
        <v>0</v>
      </c>
      <c r="EC47" s="976"/>
      <c r="ED47" s="975">
        <v>3756</v>
      </c>
      <c r="EE47" s="976"/>
      <c r="EF47" s="975">
        <v>3827</v>
      </c>
      <c r="EG47" s="976"/>
      <c r="EH47" s="975">
        <v>4738</v>
      </c>
      <c r="EI47" s="976"/>
      <c r="EJ47" s="975">
        <v>4766</v>
      </c>
      <c r="EK47" s="976"/>
      <c r="EL47" s="975">
        <v>5671</v>
      </c>
      <c r="EM47" s="976"/>
      <c r="EN47" s="975">
        <v>5640</v>
      </c>
      <c r="EO47" s="976"/>
      <c r="EP47" s="975">
        <v>5296</v>
      </c>
      <c r="EQ47" s="976"/>
      <c r="ER47" s="975">
        <v>4662</v>
      </c>
      <c r="ES47" s="976"/>
      <c r="ET47" s="975">
        <v>3820</v>
      </c>
      <c r="EU47" s="976"/>
      <c r="EV47" s="975">
        <v>2847</v>
      </c>
      <c r="EW47" s="976"/>
      <c r="EX47" s="975">
        <v>0</v>
      </c>
      <c r="EY47" s="976"/>
      <c r="EZ47" s="975">
        <v>0</v>
      </c>
      <c r="FA47" s="976"/>
      <c r="FB47" s="975">
        <v>0</v>
      </c>
      <c r="FC47" s="976"/>
      <c r="FD47" s="975">
        <v>0</v>
      </c>
      <c r="FE47" s="977"/>
      <c r="FF47" s="978">
        <v>0</v>
      </c>
      <c r="FG47" s="979"/>
      <c r="FH47" s="980">
        <v>0</v>
      </c>
      <c r="FI47" s="981"/>
      <c r="FJ47" s="970" t="s">
        <v>768</v>
      </c>
      <c r="FK47" s="971"/>
      <c r="FL47" s="971"/>
      <c r="FM47" s="972"/>
      <c r="FN47" s="973"/>
      <c r="FO47" s="973"/>
      <c r="FP47" s="982"/>
      <c r="FQ47" s="983"/>
      <c r="FR47" s="975">
        <v>4595</v>
      </c>
      <c r="FS47" s="984"/>
      <c r="FT47" s="983"/>
      <c r="FU47" s="985">
        <v>4672</v>
      </c>
      <c r="FV47" s="986">
        <v>13</v>
      </c>
      <c r="FW47" s="975">
        <v>4975</v>
      </c>
      <c r="FX47" s="987">
        <v>14</v>
      </c>
      <c r="FY47" s="975">
        <v>5238</v>
      </c>
      <c r="FZ47" s="987">
        <v>13</v>
      </c>
      <c r="GA47" s="975">
        <v>5671</v>
      </c>
      <c r="GB47" s="988" t="s">
        <v>366</v>
      </c>
      <c r="GC47" s="975">
        <v>4975</v>
      </c>
      <c r="GD47" s="988" t="s">
        <v>815</v>
      </c>
      <c r="GE47" s="989">
        <v>4672</v>
      </c>
      <c r="GF47" s="688"/>
      <c r="GG47" s="990"/>
      <c r="GH47" s="990"/>
      <c r="GI47" s="990"/>
      <c r="GJ47" s="893"/>
      <c r="GK47" s="413" t="s">
        <v>840</v>
      </c>
      <c r="GL47" s="893"/>
      <c r="GM47" s="530"/>
      <c r="GN47" s="893"/>
      <c r="GO47" s="530"/>
      <c r="GP47" s="530"/>
      <c r="GQ47" s="530"/>
      <c r="GR47" s="893"/>
      <c r="GS47" s="530"/>
      <c r="GT47" s="763"/>
      <c r="GU47" s="774" t="s">
        <v>585</v>
      </c>
      <c r="GV47" s="774"/>
      <c r="GW47" s="774"/>
      <c r="GX47" s="774"/>
      <c r="GY47" s="530"/>
      <c r="GZ47" s="413"/>
      <c r="HA47" s="778">
        <v>-0.15</v>
      </c>
      <c r="HB47" s="413"/>
      <c r="HC47" s="981"/>
      <c r="HD47" s="415"/>
    </row>
    <row r="48" spans="1:219" ht="20.100000000000001" customHeight="1">
      <c r="A48" s="991" t="s">
        <v>676</v>
      </c>
      <c r="B48" s="992" t="s">
        <v>483</v>
      </c>
      <c r="C48" s="895"/>
      <c r="D48" s="825"/>
      <c r="E48" s="825"/>
      <c r="F48" s="826"/>
      <c r="G48" s="740" t="s">
        <v>678</v>
      </c>
      <c r="H48" s="663" t="s">
        <v>430</v>
      </c>
      <c r="I48" s="742" t="s">
        <v>678</v>
      </c>
      <c r="J48" s="993" t="s">
        <v>428</v>
      </c>
      <c r="K48" s="742" t="s">
        <v>678</v>
      </c>
      <c r="L48" s="993" t="s">
        <v>428</v>
      </c>
      <c r="M48" s="742" t="s">
        <v>678</v>
      </c>
      <c r="N48" s="993" t="s">
        <v>428</v>
      </c>
      <c r="O48" s="742" t="s">
        <v>678</v>
      </c>
      <c r="P48" s="993" t="s">
        <v>428</v>
      </c>
      <c r="Q48" s="742" t="s">
        <v>484</v>
      </c>
      <c r="R48" s="993" t="s">
        <v>430</v>
      </c>
      <c r="S48" s="742" t="s">
        <v>678</v>
      </c>
      <c r="T48" s="993" t="s">
        <v>428</v>
      </c>
      <c r="U48" s="742" t="s">
        <v>678</v>
      </c>
      <c r="V48" s="993" t="s">
        <v>430</v>
      </c>
      <c r="W48" s="742" t="s">
        <v>484</v>
      </c>
      <c r="X48" s="993" t="s">
        <v>428</v>
      </c>
      <c r="Y48" s="742" t="s">
        <v>678</v>
      </c>
      <c r="Z48" s="993" t="s">
        <v>428</v>
      </c>
      <c r="AA48" s="742" t="s">
        <v>678</v>
      </c>
      <c r="AB48" s="993" t="s">
        <v>428</v>
      </c>
      <c r="AC48" s="742" t="s">
        <v>484</v>
      </c>
      <c r="AD48" s="993" t="s">
        <v>428</v>
      </c>
      <c r="AE48" s="742" t="s">
        <v>484</v>
      </c>
      <c r="AF48" s="993" t="s">
        <v>428</v>
      </c>
      <c r="AG48" s="742" t="s">
        <v>484</v>
      </c>
      <c r="AH48" s="993" t="s">
        <v>428</v>
      </c>
      <c r="AI48" s="742" t="s">
        <v>484</v>
      </c>
      <c r="AJ48" s="993" t="s">
        <v>428</v>
      </c>
      <c r="AK48" s="742" t="s">
        <v>678</v>
      </c>
      <c r="AL48" s="993" t="s">
        <v>428</v>
      </c>
      <c r="AM48" s="742" t="s">
        <v>678</v>
      </c>
      <c r="AN48" s="993" t="s">
        <v>430</v>
      </c>
      <c r="AO48" s="742" t="s">
        <v>484</v>
      </c>
      <c r="AP48" s="993" t="s">
        <v>430</v>
      </c>
      <c r="AQ48" s="742" t="s">
        <v>484</v>
      </c>
      <c r="AR48" s="993" t="s">
        <v>430</v>
      </c>
      <c r="AS48" s="742" t="s">
        <v>678</v>
      </c>
      <c r="AT48" s="993" t="s">
        <v>430</v>
      </c>
      <c r="AU48" s="742" t="s">
        <v>484</v>
      </c>
      <c r="AV48" s="993" t="s">
        <v>430</v>
      </c>
      <c r="AW48" s="742" t="s">
        <v>484</v>
      </c>
      <c r="AX48" s="993" t="s">
        <v>428</v>
      </c>
      <c r="AY48" s="742" t="s">
        <v>678</v>
      </c>
      <c r="AZ48" s="994" t="s">
        <v>430</v>
      </c>
      <c r="BA48" s="995" t="s">
        <v>484</v>
      </c>
      <c r="BB48" s="996" t="s">
        <v>430</v>
      </c>
      <c r="BC48" s="932"/>
      <c r="BD48" s="991" t="s">
        <v>676</v>
      </c>
      <c r="BE48" s="992" t="s">
        <v>677</v>
      </c>
      <c r="BF48" s="895"/>
      <c r="BG48" s="825"/>
      <c r="BH48" s="825"/>
      <c r="BI48" s="826"/>
      <c r="BJ48" s="740" t="s">
        <v>484</v>
      </c>
      <c r="BK48" s="663" t="s">
        <v>430</v>
      </c>
      <c r="BL48" s="742" t="s">
        <v>678</v>
      </c>
      <c r="BM48" s="993" t="s">
        <v>428</v>
      </c>
      <c r="BN48" s="742" t="s">
        <v>484</v>
      </c>
      <c r="BO48" s="993" t="s">
        <v>428</v>
      </c>
      <c r="BP48" s="742" t="s">
        <v>678</v>
      </c>
      <c r="BQ48" s="993" t="s">
        <v>428</v>
      </c>
      <c r="BR48" s="742" t="s">
        <v>678</v>
      </c>
      <c r="BS48" s="993" t="s">
        <v>428</v>
      </c>
      <c r="BT48" s="742" t="s">
        <v>678</v>
      </c>
      <c r="BU48" s="993" t="s">
        <v>430</v>
      </c>
      <c r="BV48" s="742" t="s">
        <v>678</v>
      </c>
      <c r="BW48" s="993" t="s">
        <v>428</v>
      </c>
      <c r="BX48" s="742" t="s">
        <v>678</v>
      </c>
      <c r="BY48" s="993" t="s">
        <v>430</v>
      </c>
      <c r="BZ48" s="742" t="s">
        <v>484</v>
      </c>
      <c r="CA48" s="993" t="s">
        <v>428</v>
      </c>
      <c r="CB48" s="742" t="s">
        <v>678</v>
      </c>
      <c r="CC48" s="993" t="s">
        <v>428</v>
      </c>
      <c r="CD48" s="742" t="s">
        <v>484</v>
      </c>
      <c r="CE48" s="993" t="s">
        <v>430</v>
      </c>
      <c r="CF48" s="742" t="s">
        <v>678</v>
      </c>
      <c r="CG48" s="993" t="s">
        <v>428</v>
      </c>
      <c r="CH48" s="742" t="s">
        <v>678</v>
      </c>
      <c r="CI48" s="993" t="s">
        <v>430</v>
      </c>
      <c r="CJ48" s="742" t="s">
        <v>484</v>
      </c>
      <c r="CK48" s="993" t="s">
        <v>428</v>
      </c>
      <c r="CL48" s="742" t="s">
        <v>678</v>
      </c>
      <c r="CM48" s="993" t="s">
        <v>428</v>
      </c>
      <c r="CN48" s="742" t="s">
        <v>678</v>
      </c>
      <c r="CO48" s="993" t="s">
        <v>428</v>
      </c>
      <c r="CP48" s="742" t="s">
        <v>484</v>
      </c>
      <c r="CQ48" s="993" t="s">
        <v>428</v>
      </c>
      <c r="CR48" s="742" t="s">
        <v>484</v>
      </c>
      <c r="CS48" s="993" t="s">
        <v>428</v>
      </c>
      <c r="CT48" s="742" t="s">
        <v>484</v>
      </c>
      <c r="CU48" s="993" t="s">
        <v>428</v>
      </c>
      <c r="CV48" s="742" t="s">
        <v>484</v>
      </c>
      <c r="CW48" s="993" t="s">
        <v>428</v>
      </c>
      <c r="CX48" s="742" t="s">
        <v>678</v>
      </c>
      <c r="CY48" s="993" t="s">
        <v>428</v>
      </c>
      <c r="CZ48" s="742" t="s">
        <v>678</v>
      </c>
      <c r="DA48" s="993" t="s">
        <v>430</v>
      </c>
      <c r="DB48" s="742" t="s">
        <v>484</v>
      </c>
      <c r="DC48" s="994" t="s">
        <v>430</v>
      </c>
      <c r="DD48" s="995" t="s">
        <v>484</v>
      </c>
      <c r="DE48" s="996" t="s">
        <v>430</v>
      </c>
      <c r="DF48" s="932"/>
      <c r="DG48" s="991" t="s">
        <v>482</v>
      </c>
      <c r="DH48" s="992" t="s">
        <v>677</v>
      </c>
      <c r="DI48" s="895"/>
      <c r="DJ48" s="825"/>
      <c r="DK48" s="825"/>
      <c r="DL48" s="826"/>
      <c r="DM48" s="740" t="s">
        <v>484</v>
      </c>
      <c r="DN48" s="663" t="s">
        <v>428</v>
      </c>
      <c r="DO48" s="742" t="s">
        <v>484</v>
      </c>
      <c r="DP48" s="993" t="s">
        <v>430</v>
      </c>
      <c r="DQ48" s="742" t="s">
        <v>678</v>
      </c>
      <c r="DR48" s="993" t="s">
        <v>428</v>
      </c>
      <c r="DS48" s="742" t="s">
        <v>484</v>
      </c>
      <c r="DT48" s="993" t="s">
        <v>430</v>
      </c>
      <c r="DU48" s="742" t="s">
        <v>484</v>
      </c>
      <c r="DV48" s="993" t="s">
        <v>430</v>
      </c>
      <c r="DW48" s="742" t="s">
        <v>484</v>
      </c>
      <c r="DX48" s="993" t="s">
        <v>430</v>
      </c>
      <c r="DY48" s="742" t="s">
        <v>678</v>
      </c>
      <c r="DZ48" s="993" t="s">
        <v>428</v>
      </c>
      <c r="EA48" s="742" t="s">
        <v>484</v>
      </c>
      <c r="EB48" s="993" t="s">
        <v>428</v>
      </c>
      <c r="EC48" s="742" t="s">
        <v>678</v>
      </c>
      <c r="ED48" s="993" t="s">
        <v>428</v>
      </c>
      <c r="EE48" s="742" t="s">
        <v>678</v>
      </c>
      <c r="EF48" s="993" t="s">
        <v>428</v>
      </c>
      <c r="EG48" s="742" t="s">
        <v>678</v>
      </c>
      <c r="EH48" s="993" t="s">
        <v>430</v>
      </c>
      <c r="EI48" s="742" t="s">
        <v>678</v>
      </c>
      <c r="EJ48" s="993" t="s">
        <v>428</v>
      </c>
      <c r="EK48" s="742" t="s">
        <v>678</v>
      </c>
      <c r="EL48" s="993" t="s">
        <v>430</v>
      </c>
      <c r="EM48" s="742" t="s">
        <v>484</v>
      </c>
      <c r="EN48" s="993" t="s">
        <v>428</v>
      </c>
      <c r="EO48" s="742" t="s">
        <v>678</v>
      </c>
      <c r="EP48" s="993" t="s">
        <v>428</v>
      </c>
      <c r="EQ48" s="742" t="s">
        <v>484</v>
      </c>
      <c r="ER48" s="993" t="s">
        <v>430</v>
      </c>
      <c r="ES48" s="742" t="s">
        <v>678</v>
      </c>
      <c r="ET48" s="993" t="s">
        <v>428</v>
      </c>
      <c r="EU48" s="742" t="s">
        <v>678</v>
      </c>
      <c r="EV48" s="993" t="s">
        <v>430</v>
      </c>
      <c r="EW48" s="742" t="s">
        <v>484</v>
      </c>
      <c r="EX48" s="993" t="s">
        <v>428</v>
      </c>
      <c r="EY48" s="742" t="s">
        <v>678</v>
      </c>
      <c r="EZ48" s="993" t="s">
        <v>428</v>
      </c>
      <c r="FA48" s="742" t="s">
        <v>678</v>
      </c>
      <c r="FB48" s="993" t="s">
        <v>428</v>
      </c>
      <c r="FC48" s="742" t="s">
        <v>484</v>
      </c>
      <c r="FD48" s="993" t="s">
        <v>428</v>
      </c>
      <c r="FE48" s="742" t="s">
        <v>484</v>
      </c>
      <c r="FF48" s="994" t="s">
        <v>428</v>
      </c>
      <c r="FG48" s="995" t="s">
        <v>484</v>
      </c>
      <c r="FH48" s="996" t="s">
        <v>428</v>
      </c>
      <c r="FI48" s="932"/>
      <c r="FJ48" s="991" t="s">
        <v>482</v>
      </c>
      <c r="FK48" s="738" t="s">
        <v>483</v>
      </c>
      <c r="FL48" s="895"/>
      <c r="FM48" s="825"/>
      <c r="FN48" s="825"/>
      <c r="FO48" s="826"/>
      <c r="FP48" s="747" t="s">
        <v>450</v>
      </c>
      <c r="FQ48" s="673" t="s">
        <v>484</v>
      </c>
      <c r="FR48" s="663" t="s">
        <v>451</v>
      </c>
      <c r="FS48" s="997" t="s">
        <v>450</v>
      </c>
      <c r="FT48" s="673" t="s">
        <v>678</v>
      </c>
      <c r="FU48" s="998" t="s">
        <v>451</v>
      </c>
      <c r="FV48" s="999"/>
      <c r="FW48" s="993" t="s">
        <v>323</v>
      </c>
      <c r="FX48" s="997"/>
      <c r="FY48" s="993" t="s">
        <v>323</v>
      </c>
      <c r="FZ48" s="997"/>
      <c r="GA48" s="993" t="s">
        <v>323</v>
      </c>
      <c r="GB48" s="997"/>
      <c r="GC48" s="993" t="s">
        <v>323</v>
      </c>
      <c r="GD48" s="997"/>
      <c r="GE48" s="1000" t="s">
        <v>324</v>
      </c>
      <c r="GF48" s="688"/>
      <c r="GG48" s="655"/>
      <c r="GH48" s="655"/>
      <c r="GI48" s="655"/>
      <c r="GJ48" s="530"/>
      <c r="GK48" s="615" t="s">
        <v>841</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435</v>
      </c>
      <c r="C49" s="1002"/>
      <c r="D49" s="754">
        <v>66</v>
      </c>
      <c r="E49" s="755">
        <v>6</v>
      </c>
      <c r="F49" s="1003" t="s">
        <v>436</v>
      </c>
      <c r="G49" s="757"/>
      <c r="H49" s="559"/>
      <c r="I49" s="758"/>
      <c r="J49" s="559"/>
      <c r="K49" s="758"/>
      <c r="L49" s="559"/>
      <c r="M49" s="758"/>
      <c r="N49" s="559"/>
      <c r="O49" s="758"/>
      <c r="P49" s="559"/>
      <c r="Q49" s="758"/>
      <c r="R49" s="559"/>
      <c r="S49" s="758"/>
      <c r="T49" s="559"/>
      <c r="U49" s="758"/>
      <c r="V49" s="559"/>
      <c r="W49" s="758">
        <v>1</v>
      </c>
      <c r="X49" s="559">
        <v>396</v>
      </c>
      <c r="Y49" s="758">
        <v>1</v>
      </c>
      <c r="Z49" s="559">
        <v>396</v>
      </c>
      <c r="AA49" s="758">
        <v>1</v>
      </c>
      <c r="AB49" s="559">
        <v>396</v>
      </c>
      <c r="AC49" s="758">
        <v>0.6</v>
      </c>
      <c r="AD49" s="559">
        <v>238</v>
      </c>
      <c r="AE49" s="758">
        <v>1</v>
      </c>
      <c r="AF49" s="559">
        <v>396</v>
      </c>
      <c r="AG49" s="758">
        <v>1</v>
      </c>
      <c r="AH49" s="559">
        <v>396</v>
      </c>
      <c r="AI49" s="758">
        <v>1</v>
      </c>
      <c r="AJ49" s="559">
        <v>396</v>
      </c>
      <c r="AK49" s="758">
        <v>1</v>
      </c>
      <c r="AL49" s="559">
        <v>396</v>
      </c>
      <c r="AM49" s="758">
        <v>1</v>
      </c>
      <c r="AN49" s="559">
        <v>396</v>
      </c>
      <c r="AO49" s="758">
        <v>0.5</v>
      </c>
      <c r="AP49" s="559">
        <v>198</v>
      </c>
      <c r="AQ49" s="758"/>
      <c r="AR49" s="559"/>
      <c r="AS49" s="758"/>
      <c r="AT49" s="559"/>
      <c r="AU49" s="758"/>
      <c r="AV49" s="559"/>
      <c r="AW49" s="758"/>
      <c r="AX49" s="559"/>
      <c r="AY49" s="1004"/>
      <c r="AZ49" s="1005"/>
      <c r="BA49" s="1006"/>
      <c r="BB49" s="1007"/>
      <c r="BC49" s="938"/>
      <c r="BD49" s="1001"/>
      <c r="BE49" s="752" t="s">
        <v>435</v>
      </c>
      <c r="BF49" s="1002"/>
      <c r="BG49" s="754"/>
      <c r="BH49" s="755">
        <v>6</v>
      </c>
      <c r="BI49" s="1003" t="s">
        <v>436</v>
      </c>
      <c r="BJ49" s="757"/>
      <c r="BK49" s="559"/>
      <c r="BL49" s="758"/>
      <c r="BM49" s="559"/>
      <c r="BN49" s="758"/>
      <c r="BO49" s="559"/>
      <c r="BP49" s="758"/>
      <c r="BQ49" s="559"/>
      <c r="BR49" s="758"/>
      <c r="BS49" s="559"/>
      <c r="BT49" s="758"/>
      <c r="BU49" s="559"/>
      <c r="BV49" s="758"/>
      <c r="BW49" s="559"/>
      <c r="BX49" s="758"/>
      <c r="BY49" s="559"/>
      <c r="BZ49" s="758">
        <v>1</v>
      </c>
      <c r="CA49" s="559">
        <v>396</v>
      </c>
      <c r="CB49" s="758">
        <v>1</v>
      </c>
      <c r="CC49" s="559">
        <v>396</v>
      </c>
      <c r="CD49" s="758">
        <v>1</v>
      </c>
      <c r="CE49" s="559">
        <v>396</v>
      </c>
      <c r="CF49" s="758">
        <v>0.6</v>
      </c>
      <c r="CG49" s="559">
        <v>238</v>
      </c>
      <c r="CH49" s="758">
        <v>1</v>
      </c>
      <c r="CI49" s="559">
        <v>396</v>
      </c>
      <c r="CJ49" s="758">
        <v>1</v>
      </c>
      <c r="CK49" s="559">
        <v>396</v>
      </c>
      <c r="CL49" s="758">
        <v>1</v>
      </c>
      <c r="CM49" s="559">
        <v>396</v>
      </c>
      <c r="CN49" s="758">
        <v>1</v>
      </c>
      <c r="CO49" s="559">
        <v>396</v>
      </c>
      <c r="CP49" s="758">
        <v>1</v>
      </c>
      <c r="CQ49" s="559">
        <v>396</v>
      </c>
      <c r="CR49" s="758">
        <v>0.5</v>
      </c>
      <c r="CS49" s="559">
        <v>198</v>
      </c>
      <c r="CT49" s="758"/>
      <c r="CU49" s="559"/>
      <c r="CV49" s="758"/>
      <c r="CW49" s="559"/>
      <c r="CX49" s="758"/>
      <c r="CY49" s="559"/>
      <c r="CZ49" s="758"/>
      <c r="DA49" s="559"/>
      <c r="DB49" s="1004"/>
      <c r="DC49" s="1005"/>
      <c r="DD49" s="1006"/>
      <c r="DE49" s="1007"/>
      <c r="DF49" s="938"/>
      <c r="DG49" s="1001"/>
      <c r="DH49" s="752" t="s">
        <v>437</v>
      </c>
      <c r="DI49" s="1002"/>
      <c r="DJ49" s="754"/>
      <c r="DK49" s="755">
        <v>6</v>
      </c>
      <c r="DL49" s="1003" t="s">
        <v>436</v>
      </c>
      <c r="DM49" s="757"/>
      <c r="DN49" s="559"/>
      <c r="DO49" s="758"/>
      <c r="DP49" s="559"/>
      <c r="DQ49" s="758"/>
      <c r="DR49" s="559"/>
      <c r="DS49" s="758"/>
      <c r="DT49" s="559"/>
      <c r="DU49" s="758"/>
      <c r="DV49" s="559"/>
      <c r="DW49" s="758"/>
      <c r="DX49" s="559"/>
      <c r="DY49" s="758"/>
      <c r="DZ49" s="559"/>
      <c r="EA49" s="758"/>
      <c r="EB49" s="559"/>
      <c r="EC49" s="758">
        <v>1</v>
      </c>
      <c r="ED49" s="559">
        <v>396</v>
      </c>
      <c r="EE49" s="758">
        <v>1</v>
      </c>
      <c r="EF49" s="559">
        <v>396</v>
      </c>
      <c r="EG49" s="758">
        <v>1</v>
      </c>
      <c r="EH49" s="559">
        <v>396</v>
      </c>
      <c r="EI49" s="758">
        <v>0.6</v>
      </c>
      <c r="EJ49" s="559">
        <v>238</v>
      </c>
      <c r="EK49" s="758">
        <v>1</v>
      </c>
      <c r="EL49" s="559">
        <v>396</v>
      </c>
      <c r="EM49" s="758">
        <v>1</v>
      </c>
      <c r="EN49" s="559">
        <v>396</v>
      </c>
      <c r="EO49" s="758">
        <v>1</v>
      </c>
      <c r="EP49" s="559">
        <v>396</v>
      </c>
      <c r="EQ49" s="758">
        <v>1</v>
      </c>
      <c r="ER49" s="559">
        <v>396</v>
      </c>
      <c r="ES49" s="758">
        <v>1</v>
      </c>
      <c r="ET49" s="559">
        <v>396</v>
      </c>
      <c r="EU49" s="758">
        <v>0.5</v>
      </c>
      <c r="EV49" s="559">
        <v>198</v>
      </c>
      <c r="EW49" s="758"/>
      <c r="EX49" s="559"/>
      <c r="EY49" s="758"/>
      <c r="EZ49" s="559"/>
      <c r="FA49" s="758"/>
      <c r="FB49" s="559"/>
      <c r="FC49" s="758"/>
      <c r="FD49" s="559"/>
      <c r="FE49" s="1004"/>
      <c r="FF49" s="1005"/>
      <c r="FG49" s="1006"/>
      <c r="FH49" s="1007"/>
      <c r="FI49" s="938"/>
      <c r="FJ49" s="1001"/>
      <c r="FK49" s="752" t="s">
        <v>437</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842</v>
      </c>
      <c r="GL49" s="580"/>
      <c r="GM49" s="413"/>
      <c r="GN49" s="580"/>
      <c r="GO49" s="413"/>
      <c r="GP49" s="413"/>
      <c r="GQ49" s="413"/>
      <c r="GR49" s="580"/>
      <c r="GS49" s="530"/>
      <c r="GT49" s="861"/>
      <c r="GU49" s="530" t="s">
        <v>784</v>
      </c>
      <c r="GV49" s="615"/>
      <c r="GW49" s="530"/>
      <c r="GX49" s="615"/>
      <c r="GY49" s="530"/>
      <c r="GZ49" s="391"/>
      <c r="HA49" s="580"/>
      <c r="HB49" s="391"/>
      <c r="HC49" s="1017"/>
      <c r="HD49" s="415"/>
    </row>
    <row r="50" spans="1:212" ht="20.100000000000001" customHeight="1">
      <c r="A50" s="1001"/>
      <c r="B50" s="764" t="s">
        <v>449</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446</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449</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446</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843</v>
      </c>
      <c r="GL50" s="580"/>
      <c r="GM50" s="413"/>
      <c r="GN50" s="580"/>
      <c r="GO50" s="413"/>
      <c r="GP50" s="413"/>
      <c r="GQ50" s="413"/>
      <c r="GR50" s="580"/>
      <c r="GS50" s="953"/>
      <c r="GT50" s="937"/>
      <c r="GU50" s="580" t="s">
        <v>882</v>
      </c>
      <c r="GV50" s="580"/>
      <c r="GW50" s="580"/>
      <c r="GX50" s="580"/>
      <c r="GY50" s="615"/>
      <c r="GZ50" s="579"/>
      <c r="HA50" s="615">
        <v>27.5</v>
      </c>
      <c r="HB50" s="579" t="s">
        <v>319</v>
      </c>
      <c r="HC50" s="1038"/>
      <c r="HD50" s="415"/>
    </row>
    <row r="51" spans="1:212" ht="20.100000000000001" customHeight="1" thickBot="1">
      <c r="A51" s="1039"/>
      <c r="B51" s="466" t="s">
        <v>679</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679</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506</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506</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433</v>
      </c>
      <c r="GM51" s="1047" t="s">
        <v>590</v>
      </c>
      <c r="GN51" s="1048" t="s">
        <v>343</v>
      </c>
      <c r="GO51" s="1049" t="s">
        <v>788</v>
      </c>
      <c r="GP51" s="1049" t="s">
        <v>592</v>
      </c>
      <c r="GQ51" s="1050" t="s">
        <v>572</v>
      </c>
      <c r="GR51" s="733"/>
      <c r="GS51" s="953"/>
      <c r="GT51" s="763"/>
      <c r="GU51" s="580" t="s">
        <v>845</v>
      </c>
      <c r="GV51" s="580"/>
      <c r="GW51" s="580"/>
      <c r="GX51" s="580"/>
      <c r="GY51" s="413"/>
      <c r="GZ51" s="1051"/>
      <c r="HA51" s="615">
        <v>27.5</v>
      </c>
      <c r="HB51" s="579" t="s">
        <v>319</v>
      </c>
      <c r="HC51" s="1052"/>
      <c r="HD51" s="415"/>
    </row>
    <row r="52" spans="1:212" ht="20.100000000000001" customHeight="1" thickBot="1">
      <c r="A52" s="1053" t="s">
        <v>680</v>
      </c>
      <c r="B52" s="1054"/>
      <c r="C52" s="1055"/>
      <c r="D52" s="1055"/>
      <c r="E52" s="1056"/>
      <c r="F52" s="1055"/>
      <c r="G52" s="1057"/>
      <c r="H52" s="1058">
        <v>0</v>
      </c>
      <c r="I52" s="1059"/>
      <c r="J52" s="1058">
        <v>0</v>
      </c>
      <c r="K52" s="1059"/>
      <c r="L52" s="1058">
        <v>0</v>
      </c>
      <c r="M52" s="1059"/>
      <c r="N52" s="1058">
        <v>0</v>
      </c>
      <c r="O52" s="1059"/>
      <c r="P52" s="1058">
        <v>0</v>
      </c>
      <c r="Q52" s="1059"/>
      <c r="R52" s="1058">
        <v>0</v>
      </c>
      <c r="S52" s="1059"/>
      <c r="T52" s="1058">
        <v>0</v>
      </c>
      <c r="U52" s="1059"/>
      <c r="V52" s="1058">
        <v>0</v>
      </c>
      <c r="W52" s="1059"/>
      <c r="X52" s="1058">
        <v>396</v>
      </c>
      <c r="Y52" s="1059"/>
      <c r="Z52" s="1058">
        <v>396</v>
      </c>
      <c r="AA52" s="1059"/>
      <c r="AB52" s="1058">
        <v>396</v>
      </c>
      <c r="AC52" s="1059"/>
      <c r="AD52" s="1058">
        <v>238</v>
      </c>
      <c r="AE52" s="1059"/>
      <c r="AF52" s="1058">
        <v>396</v>
      </c>
      <c r="AG52" s="1059"/>
      <c r="AH52" s="1058">
        <v>396</v>
      </c>
      <c r="AI52" s="1059"/>
      <c r="AJ52" s="1058">
        <v>396</v>
      </c>
      <c r="AK52" s="1059"/>
      <c r="AL52" s="1058">
        <v>396</v>
      </c>
      <c r="AM52" s="1059"/>
      <c r="AN52" s="1058">
        <v>396</v>
      </c>
      <c r="AO52" s="1059"/>
      <c r="AP52" s="1058">
        <v>198</v>
      </c>
      <c r="AQ52" s="1059"/>
      <c r="AR52" s="1058">
        <v>0</v>
      </c>
      <c r="AS52" s="1059"/>
      <c r="AT52" s="1058">
        <v>0</v>
      </c>
      <c r="AU52" s="1059"/>
      <c r="AV52" s="1058">
        <v>0</v>
      </c>
      <c r="AW52" s="1059"/>
      <c r="AX52" s="1058">
        <v>0</v>
      </c>
      <c r="AY52" s="1060"/>
      <c r="AZ52" s="1061">
        <v>0</v>
      </c>
      <c r="BA52" s="1062"/>
      <c r="BB52" s="1063">
        <v>0</v>
      </c>
      <c r="BC52" s="981"/>
      <c r="BD52" s="1053" t="s">
        <v>508</v>
      </c>
      <c r="BE52" s="1054"/>
      <c r="BF52" s="1055"/>
      <c r="BG52" s="1055"/>
      <c r="BH52" s="1056"/>
      <c r="BI52" s="1055"/>
      <c r="BJ52" s="1057"/>
      <c r="BK52" s="1058">
        <v>0</v>
      </c>
      <c r="BL52" s="1059"/>
      <c r="BM52" s="1058">
        <v>0</v>
      </c>
      <c r="BN52" s="1059"/>
      <c r="BO52" s="1058">
        <v>0</v>
      </c>
      <c r="BP52" s="1059"/>
      <c r="BQ52" s="1058">
        <v>0</v>
      </c>
      <c r="BR52" s="1059"/>
      <c r="BS52" s="1058">
        <v>0</v>
      </c>
      <c r="BT52" s="1059"/>
      <c r="BU52" s="1058">
        <v>0</v>
      </c>
      <c r="BV52" s="1059"/>
      <c r="BW52" s="1058">
        <v>0</v>
      </c>
      <c r="BX52" s="1059"/>
      <c r="BY52" s="1058">
        <v>0</v>
      </c>
      <c r="BZ52" s="1059"/>
      <c r="CA52" s="1058">
        <v>396</v>
      </c>
      <c r="CB52" s="1059"/>
      <c r="CC52" s="1058">
        <v>396</v>
      </c>
      <c r="CD52" s="1059"/>
      <c r="CE52" s="1058">
        <v>396</v>
      </c>
      <c r="CF52" s="1059"/>
      <c r="CG52" s="1058">
        <v>238</v>
      </c>
      <c r="CH52" s="1059"/>
      <c r="CI52" s="1058">
        <v>396</v>
      </c>
      <c r="CJ52" s="1059"/>
      <c r="CK52" s="1058">
        <v>396</v>
      </c>
      <c r="CL52" s="1059"/>
      <c r="CM52" s="1058">
        <v>396</v>
      </c>
      <c r="CN52" s="1059"/>
      <c r="CO52" s="1058">
        <v>396</v>
      </c>
      <c r="CP52" s="1059"/>
      <c r="CQ52" s="1058">
        <v>396</v>
      </c>
      <c r="CR52" s="1059"/>
      <c r="CS52" s="1058">
        <v>198</v>
      </c>
      <c r="CT52" s="1059"/>
      <c r="CU52" s="1058">
        <v>0</v>
      </c>
      <c r="CV52" s="1059"/>
      <c r="CW52" s="1058">
        <v>0</v>
      </c>
      <c r="CX52" s="1059"/>
      <c r="CY52" s="1058">
        <v>0</v>
      </c>
      <c r="CZ52" s="1059"/>
      <c r="DA52" s="1058">
        <v>0</v>
      </c>
      <c r="DB52" s="1060"/>
      <c r="DC52" s="1061">
        <v>0</v>
      </c>
      <c r="DD52" s="1062"/>
      <c r="DE52" s="1063">
        <v>0</v>
      </c>
      <c r="DF52" s="981"/>
      <c r="DG52" s="1053" t="s">
        <v>680</v>
      </c>
      <c r="DH52" s="1054"/>
      <c r="DI52" s="1055"/>
      <c r="DJ52" s="1055"/>
      <c r="DK52" s="1056"/>
      <c r="DL52" s="1055"/>
      <c r="DM52" s="1057"/>
      <c r="DN52" s="1058">
        <v>0</v>
      </c>
      <c r="DO52" s="1059"/>
      <c r="DP52" s="1058">
        <v>0</v>
      </c>
      <c r="DQ52" s="1059"/>
      <c r="DR52" s="1058">
        <v>0</v>
      </c>
      <c r="DS52" s="1059"/>
      <c r="DT52" s="1058">
        <v>0</v>
      </c>
      <c r="DU52" s="1059"/>
      <c r="DV52" s="1058">
        <v>0</v>
      </c>
      <c r="DW52" s="1059"/>
      <c r="DX52" s="1058">
        <v>0</v>
      </c>
      <c r="DY52" s="1059"/>
      <c r="DZ52" s="1058">
        <v>0</v>
      </c>
      <c r="EA52" s="1059"/>
      <c r="EB52" s="1058">
        <v>0</v>
      </c>
      <c r="EC52" s="1059"/>
      <c r="ED52" s="1058">
        <v>396</v>
      </c>
      <c r="EE52" s="1059"/>
      <c r="EF52" s="1058">
        <v>396</v>
      </c>
      <c r="EG52" s="1059"/>
      <c r="EH52" s="1058">
        <v>396</v>
      </c>
      <c r="EI52" s="1059"/>
      <c r="EJ52" s="1058">
        <v>238</v>
      </c>
      <c r="EK52" s="1059"/>
      <c r="EL52" s="1058">
        <v>396</v>
      </c>
      <c r="EM52" s="1059"/>
      <c r="EN52" s="1058">
        <v>396</v>
      </c>
      <c r="EO52" s="1059"/>
      <c r="EP52" s="1058">
        <v>396</v>
      </c>
      <c r="EQ52" s="1059"/>
      <c r="ER52" s="1058">
        <v>396</v>
      </c>
      <c r="ES52" s="1059"/>
      <c r="ET52" s="1058">
        <v>396</v>
      </c>
      <c r="EU52" s="1059"/>
      <c r="EV52" s="1058">
        <v>198</v>
      </c>
      <c r="EW52" s="1059"/>
      <c r="EX52" s="1058">
        <v>0</v>
      </c>
      <c r="EY52" s="1059"/>
      <c r="EZ52" s="1058">
        <v>0</v>
      </c>
      <c r="FA52" s="1059"/>
      <c r="FB52" s="1058">
        <v>0</v>
      </c>
      <c r="FC52" s="1059"/>
      <c r="FD52" s="1058">
        <v>0</v>
      </c>
      <c r="FE52" s="1060"/>
      <c r="FF52" s="1061">
        <v>0</v>
      </c>
      <c r="FG52" s="1062"/>
      <c r="FH52" s="1063">
        <v>0</v>
      </c>
      <c r="FI52" s="981"/>
      <c r="FJ52" s="1053" t="s">
        <v>680</v>
      </c>
      <c r="FK52" s="1054"/>
      <c r="FL52" s="1055"/>
      <c r="FM52" s="1055"/>
      <c r="FN52" s="1056"/>
      <c r="FO52" s="1055"/>
      <c r="FP52" s="1064"/>
      <c r="FQ52" s="1065"/>
      <c r="FR52" s="1058">
        <v>0</v>
      </c>
      <c r="FS52" s="1066"/>
      <c r="FT52" s="1065"/>
      <c r="FU52" s="1067">
        <v>0</v>
      </c>
      <c r="FV52" s="1068">
        <v>13</v>
      </c>
      <c r="FW52" s="1069">
        <v>396</v>
      </c>
      <c r="FX52" s="1070">
        <v>14</v>
      </c>
      <c r="FY52" s="1069">
        <v>396</v>
      </c>
      <c r="FZ52" s="1070">
        <v>13</v>
      </c>
      <c r="GA52" s="1069">
        <v>396</v>
      </c>
      <c r="GB52" s="1071" t="s">
        <v>366</v>
      </c>
      <c r="GC52" s="1072">
        <v>396</v>
      </c>
      <c r="GD52" s="1071" t="s">
        <v>815</v>
      </c>
      <c r="GE52" s="1073">
        <v>0</v>
      </c>
      <c r="GF52" s="688"/>
      <c r="GG52" s="990"/>
      <c r="GH52" s="990"/>
      <c r="GI52" s="990"/>
      <c r="GJ52" s="936"/>
      <c r="GK52" s="733"/>
      <c r="GL52" s="1074"/>
      <c r="GM52" s="1075"/>
      <c r="GN52" s="1075"/>
      <c r="GO52" s="1076"/>
      <c r="GP52" s="1076"/>
      <c r="GQ52" s="1077"/>
      <c r="GR52" s="953"/>
      <c r="GS52" s="893"/>
      <c r="GT52" s="861"/>
      <c r="GU52" s="530" t="s">
        <v>566</v>
      </c>
      <c r="GV52" s="733"/>
      <c r="GW52" s="936"/>
      <c r="GX52" s="733"/>
      <c r="GY52" s="413"/>
      <c r="GZ52" s="1078"/>
      <c r="HA52" s="953"/>
      <c r="HB52" s="1078"/>
      <c r="HC52" s="562"/>
      <c r="HD52" s="415"/>
    </row>
    <row r="53" spans="1:212" ht="20.100000000000001" customHeight="1" thickTop="1">
      <c r="A53" s="1079" t="s">
        <v>344</v>
      </c>
      <c r="B53" s="1080"/>
      <c r="C53" s="1081"/>
      <c r="D53" s="1081"/>
      <c r="E53" s="1082"/>
      <c r="F53" s="1083"/>
      <c r="G53" s="1084"/>
      <c r="H53" s="1085">
        <v>0</v>
      </c>
      <c r="I53" s="1086"/>
      <c r="J53" s="1085">
        <v>0</v>
      </c>
      <c r="K53" s="1086"/>
      <c r="L53" s="1085">
        <v>0</v>
      </c>
      <c r="M53" s="1086"/>
      <c r="N53" s="1085">
        <v>0</v>
      </c>
      <c r="O53" s="1086"/>
      <c r="P53" s="1085">
        <v>0</v>
      </c>
      <c r="Q53" s="1086"/>
      <c r="R53" s="1085">
        <v>0</v>
      </c>
      <c r="S53" s="1086"/>
      <c r="T53" s="1085">
        <v>0</v>
      </c>
      <c r="U53" s="1086"/>
      <c r="V53" s="1085">
        <v>0</v>
      </c>
      <c r="W53" s="1086"/>
      <c r="X53" s="1085">
        <v>4726</v>
      </c>
      <c r="Y53" s="1086"/>
      <c r="Z53" s="1085">
        <v>4437</v>
      </c>
      <c r="AA53" s="1086"/>
      <c r="AB53" s="1085">
        <v>4722</v>
      </c>
      <c r="AC53" s="1086"/>
      <c r="AD53" s="1085">
        <v>4334</v>
      </c>
      <c r="AE53" s="1086"/>
      <c r="AF53" s="1085">
        <v>5371</v>
      </c>
      <c r="AG53" s="1086"/>
      <c r="AH53" s="1085">
        <v>5386</v>
      </c>
      <c r="AI53" s="1086"/>
      <c r="AJ53" s="1085">
        <v>5128</v>
      </c>
      <c r="AK53" s="1086"/>
      <c r="AL53" s="1085">
        <v>4746</v>
      </c>
      <c r="AM53" s="1086"/>
      <c r="AN53" s="1085">
        <v>4257</v>
      </c>
      <c r="AO53" s="1086"/>
      <c r="AP53" s="1085">
        <v>3445</v>
      </c>
      <c r="AQ53" s="1086"/>
      <c r="AR53" s="1085">
        <v>0</v>
      </c>
      <c r="AS53" s="1086"/>
      <c r="AT53" s="1085">
        <v>0</v>
      </c>
      <c r="AU53" s="1086"/>
      <c r="AV53" s="1085">
        <v>0</v>
      </c>
      <c r="AW53" s="1086"/>
      <c r="AX53" s="1085">
        <v>0</v>
      </c>
      <c r="AY53" s="1087"/>
      <c r="AZ53" s="1088">
        <v>0</v>
      </c>
      <c r="BA53" s="1089"/>
      <c r="BB53" s="1090">
        <v>0</v>
      </c>
      <c r="BC53" s="981"/>
      <c r="BD53" s="1079" t="s">
        <v>681</v>
      </c>
      <c r="BE53" s="1080"/>
      <c r="BF53" s="1081"/>
      <c r="BG53" s="1081"/>
      <c r="BH53" s="1082"/>
      <c r="BI53" s="1083"/>
      <c r="BJ53" s="1084"/>
      <c r="BK53" s="1085">
        <v>0</v>
      </c>
      <c r="BL53" s="1086"/>
      <c r="BM53" s="1085">
        <v>0</v>
      </c>
      <c r="BN53" s="1086"/>
      <c r="BO53" s="1085">
        <v>0</v>
      </c>
      <c r="BP53" s="1086"/>
      <c r="BQ53" s="1085">
        <v>0</v>
      </c>
      <c r="BR53" s="1086"/>
      <c r="BS53" s="1085">
        <v>0</v>
      </c>
      <c r="BT53" s="1086"/>
      <c r="BU53" s="1085">
        <v>0</v>
      </c>
      <c r="BV53" s="1086"/>
      <c r="BW53" s="1085">
        <v>0</v>
      </c>
      <c r="BX53" s="1086"/>
      <c r="BY53" s="1085">
        <v>0</v>
      </c>
      <c r="BZ53" s="1086"/>
      <c r="CA53" s="1085">
        <v>4616</v>
      </c>
      <c r="CB53" s="1086"/>
      <c r="CC53" s="1085">
        <v>4276</v>
      </c>
      <c r="CD53" s="1086"/>
      <c r="CE53" s="1085">
        <v>4636</v>
      </c>
      <c r="CF53" s="1086"/>
      <c r="CG53" s="1085">
        <v>4407</v>
      </c>
      <c r="CH53" s="1086"/>
      <c r="CI53" s="1085">
        <v>5564</v>
      </c>
      <c r="CJ53" s="1086"/>
      <c r="CK53" s="1085">
        <v>5634</v>
      </c>
      <c r="CL53" s="1086"/>
      <c r="CM53" s="1085">
        <v>5451</v>
      </c>
      <c r="CN53" s="1086"/>
      <c r="CO53" s="1085">
        <v>5016</v>
      </c>
      <c r="CP53" s="1086"/>
      <c r="CQ53" s="1085">
        <v>4511</v>
      </c>
      <c r="CR53" s="1086"/>
      <c r="CS53" s="1085">
        <v>3519</v>
      </c>
      <c r="CT53" s="1086"/>
      <c r="CU53" s="1085">
        <v>0</v>
      </c>
      <c r="CV53" s="1086"/>
      <c r="CW53" s="1085">
        <v>0</v>
      </c>
      <c r="CX53" s="1086"/>
      <c r="CY53" s="1085">
        <v>0</v>
      </c>
      <c r="CZ53" s="1086"/>
      <c r="DA53" s="1085">
        <v>0</v>
      </c>
      <c r="DB53" s="1087"/>
      <c r="DC53" s="1088">
        <v>0</v>
      </c>
      <c r="DD53" s="1089"/>
      <c r="DE53" s="1090">
        <v>0</v>
      </c>
      <c r="DF53" s="981"/>
      <c r="DG53" s="1079" t="s">
        <v>344</v>
      </c>
      <c r="DH53" s="1080"/>
      <c r="DI53" s="1081"/>
      <c r="DJ53" s="1081"/>
      <c r="DK53" s="1082"/>
      <c r="DL53" s="1083"/>
      <c r="DM53" s="1084"/>
      <c r="DN53" s="1085">
        <v>0</v>
      </c>
      <c r="DO53" s="1086"/>
      <c r="DP53" s="1085">
        <v>0</v>
      </c>
      <c r="DQ53" s="1086"/>
      <c r="DR53" s="1085">
        <v>0</v>
      </c>
      <c r="DS53" s="1086"/>
      <c r="DT53" s="1085">
        <v>0</v>
      </c>
      <c r="DU53" s="1086"/>
      <c r="DV53" s="1085">
        <v>0</v>
      </c>
      <c r="DW53" s="1086"/>
      <c r="DX53" s="1085">
        <v>0</v>
      </c>
      <c r="DY53" s="1086"/>
      <c r="DZ53" s="1085">
        <v>0</v>
      </c>
      <c r="EA53" s="1086"/>
      <c r="EB53" s="1085">
        <v>0</v>
      </c>
      <c r="EC53" s="1086"/>
      <c r="ED53" s="1085">
        <v>4152</v>
      </c>
      <c r="EE53" s="1086"/>
      <c r="EF53" s="1085">
        <v>4223</v>
      </c>
      <c r="EG53" s="1086"/>
      <c r="EH53" s="1085">
        <v>5134</v>
      </c>
      <c r="EI53" s="1086"/>
      <c r="EJ53" s="1085">
        <v>5004</v>
      </c>
      <c r="EK53" s="1086"/>
      <c r="EL53" s="1085">
        <v>6067</v>
      </c>
      <c r="EM53" s="1086"/>
      <c r="EN53" s="1085">
        <v>6036</v>
      </c>
      <c r="EO53" s="1086"/>
      <c r="EP53" s="1085">
        <v>5692</v>
      </c>
      <c r="EQ53" s="1086"/>
      <c r="ER53" s="1085">
        <v>5058</v>
      </c>
      <c r="ES53" s="1086"/>
      <c r="ET53" s="1085">
        <v>4216</v>
      </c>
      <c r="EU53" s="1086"/>
      <c r="EV53" s="1085">
        <v>3045</v>
      </c>
      <c r="EW53" s="1086"/>
      <c r="EX53" s="1085">
        <v>0</v>
      </c>
      <c r="EY53" s="1086"/>
      <c r="EZ53" s="1085">
        <v>0</v>
      </c>
      <c r="FA53" s="1086"/>
      <c r="FB53" s="1085">
        <v>0</v>
      </c>
      <c r="FC53" s="1086"/>
      <c r="FD53" s="1085">
        <v>0</v>
      </c>
      <c r="FE53" s="1087"/>
      <c r="FF53" s="1088">
        <v>0</v>
      </c>
      <c r="FG53" s="1089"/>
      <c r="FH53" s="1090">
        <v>0</v>
      </c>
      <c r="FI53" s="981"/>
      <c r="FJ53" s="1079" t="s">
        <v>344</v>
      </c>
      <c r="FK53" s="1080"/>
      <c r="FL53" s="1081"/>
      <c r="FM53" s="1081"/>
      <c r="FN53" s="1082"/>
      <c r="FO53" s="1083"/>
      <c r="FP53" s="1091"/>
      <c r="FQ53" s="1092"/>
      <c r="FR53" s="1085">
        <v>4595</v>
      </c>
      <c r="FS53" s="1093"/>
      <c r="FT53" s="1092"/>
      <c r="FU53" s="1094">
        <v>4672</v>
      </c>
      <c r="FV53" s="1095">
        <v>13</v>
      </c>
      <c r="FW53" s="1096">
        <v>5371</v>
      </c>
      <c r="FX53" s="1097">
        <v>14</v>
      </c>
      <c r="FY53" s="1096">
        <v>5634</v>
      </c>
      <c r="FZ53" s="1097">
        <v>13</v>
      </c>
      <c r="GA53" s="1096">
        <v>6067</v>
      </c>
      <c r="GB53" s="1098" t="s">
        <v>366</v>
      </c>
      <c r="GC53" s="1096">
        <v>5371</v>
      </c>
      <c r="GD53" s="1098" t="s">
        <v>815</v>
      </c>
      <c r="GE53" s="1099">
        <v>4672</v>
      </c>
      <c r="GF53" s="688"/>
      <c r="GG53" s="990"/>
      <c r="GH53" s="990"/>
      <c r="GI53" s="990"/>
      <c r="GJ53" s="953"/>
      <c r="GK53" s="413"/>
      <c r="GL53" s="1100">
        <v>10</v>
      </c>
      <c r="GM53" s="1101">
        <v>1</v>
      </c>
      <c r="GN53" s="1102">
        <v>0.92</v>
      </c>
      <c r="GO53" s="1103">
        <v>5.0999999999999996</v>
      </c>
      <c r="GP53" s="1103">
        <v>11</v>
      </c>
      <c r="GQ53" s="1104">
        <v>16.100000000000001</v>
      </c>
      <c r="GR53" s="580"/>
      <c r="GS53" s="483"/>
      <c r="GT53" s="861"/>
      <c r="GU53" s="580" t="s">
        <v>883</v>
      </c>
      <c r="GV53" s="580"/>
      <c r="GW53" s="580"/>
      <c r="GX53" s="580"/>
      <c r="GY53" s="413"/>
      <c r="GZ53" s="409"/>
      <c r="HA53" s="615">
        <v>3.1</v>
      </c>
      <c r="HB53" s="579" t="s">
        <v>319</v>
      </c>
      <c r="HC53" s="799"/>
      <c r="HD53" s="415"/>
    </row>
    <row r="54" spans="1:212" ht="20.100000000000001" customHeight="1">
      <c r="A54" s="1105" t="s">
        <v>682</v>
      </c>
      <c r="B54" s="1106"/>
      <c r="C54" s="1107"/>
      <c r="D54" s="1108"/>
      <c r="E54" s="1109"/>
      <c r="F54" s="1110"/>
      <c r="G54" s="1111"/>
      <c r="H54" s="1112">
        <v>0</v>
      </c>
      <c r="I54" s="1113"/>
      <c r="J54" s="1112">
        <v>0</v>
      </c>
      <c r="K54" s="1113"/>
      <c r="L54" s="1112">
        <v>0</v>
      </c>
      <c r="M54" s="1113"/>
      <c r="N54" s="1112">
        <v>0</v>
      </c>
      <c r="O54" s="1113"/>
      <c r="P54" s="1112">
        <v>0</v>
      </c>
      <c r="Q54" s="1113"/>
      <c r="R54" s="1112">
        <v>0</v>
      </c>
      <c r="S54" s="1113"/>
      <c r="T54" s="1112">
        <v>0</v>
      </c>
      <c r="U54" s="1113"/>
      <c r="V54" s="1112">
        <v>0</v>
      </c>
      <c r="W54" s="1113"/>
      <c r="X54" s="1112">
        <v>86.2</v>
      </c>
      <c r="Y54" s="1113"/>
      <c r="Z54" s="1112">
        <v>81</v>
      </c>
      <c r="AA54" s="1113"/>
      <c r="AB54" s="1112">
        <v>86.2</v>
      </c>
      <c r="AC54" s="1113"/>
      <c r="AD54" s="1112">
        <v>79.099999999999994</v>
      </c>
      <c r="AE54" s="1113"/>
      <c r="AF54" s="1112">
        <v>98</v>
      </c>
      <c r="AG54" s="1113"/>
      <c r="AH54" s="1112">
        <v>98.3</v>
      </c>
      <c r="AI54" s="1113"/>
      <c r="AJ54" s="1112">
        <v>93.6</v>
      </c>
      <c r="AK54" s="1113"/>
      <c r="AL54" s="1112">
        <v>86.6</v>
      </c>
      <c r="AM54" s="1113"/>
      <c r="AN54" s="1112">
        <v>77.7</v>
      </c>
      <c r="AO54" s="1113"/>
      <c r="AP54" s="1112">
        <v>62.9</v>
      </c>
      <c r="AQ54" s="1113"/>
      <c r="AR54" s="1112">
        <v>0</v>
      </c>
      <c r="AS54" s="1113"/>
      <c r="AT54" s="1112">
        <v>0</v>
      </c>
      <c r="AU54" s="1113"/>
      <c r="AV54" s="1112">
        <v>0</v>
      </c>
      <c r="AW54" s="1113"/>
      <c r="AX54" s="1112">
        <v>0</v>
      </c>
      <c r="AY54" s="1113"/>
      <c r="AZ54" s="1112">
        <v>0</v>
      </c>
      <c r="BA54" s="1113"/>
      <c r="BB54" s="1114">
        <v>0</v>
      </c>
      <c r="BC54" s="1017"/>
      <c r="BD54" s="1105" t="s">
        <v>345</v>
      </c>
      <c r="BE54" s="1106"/>
      <c r="BF54" s="1107"/>
      <c r="BG54" s="1108"/>
      <c r="BH54" s="1109"/>
      <c r="BI54" s="1110"/>
      <c r="BJ54" s="1111"/>
      <c r="BK54" s="1112">
        <v>0</v>
      </c>
      <c r="BL54" s="1113"/>
      <c r="BM54" s="1112">
        <v>0</v>
      </c>
      <c r="BN54" s="1113"/>
      <c r="BO54" s="1112">
        <v>0</v>
      </c>
      <c r="BP54" s="1113"/>
      <c r="BQ54" s="1112">
        <v>0</v>
      </c>
      <c r="BR54" s="1113"/>
      <c r="BS54" s="1112">
        <v>0</v>
      </c>
      <c r="BT54" s="1113"/>
      <c r="BU54" s="1112">
        <v>0</v>
      </c>
      <c r="BV54" s="1113"/>
      <c r="BW54" s="1112">
        <v>0</v>
      </c>
      <c r="BX54" s="1113"/>
      <c r="BY54" s="1112">
        <v>0</v>
      </c>
      <c r="BZ54" s="1113"/>
      <c r="CA54" s="1112">
        <v>84.2</v>
      </c>
      <c r="CB54" s="1113"/>
      <c r="CC54" s="1112">
        <v>78</v>
      </c>
      <c r="CD54" s="1113"/>
      <c r="CE54" s="1112">
        <v>84.6</v>
      </c>
      <c r="CF54" s="1113"/>
      <c r="CG54" s="1112">
        <v>80.400000000000006</v>
      </c>
      <c r="CH54" s="1113"/>
      <c r="CI54" s="1112">
        <v>101.5</v>
      </c>
      <c r="CJ54" s="1113"/>
      <c r="CK54" s="1112">
        <v>102.8</v>
      </c>
      <c r="CL54" s="1113"/>
      <c r="CM54" s="1112">
        <v>99.5</v>
      </c>
      <c r="CN54" s="1113"/>
      <c r="CO54" s="1112">
        <v>91.5</v>
      </c>
      <c r="CP54" s="1113"/>
      <c r="CQ54" s="1112">
        <v>82.3</v>
      </c>
      <c r="CR54" s="1113"/>
      <c r="CS54" s="1112">
        <v>64.2</v>
      </c>
      <c r="CT54" s="1113"/>
      <c r="CU54" s="1112">
        <v>0</v>
      </c>
      <c r="CV54" s="1113"/>
      <c r="CW54" s="1112">
        <v>0</v>
      </c>
      <c r="CX54" s="1113"/>
      <c r="CY54" s="1112">
        <v>0</v>
      </c>
      <c r="CZ54" s="1113"/>
      <c r="DA54" s="1112">
        <v>0</v>
      </c>
      <c r="DB54" s="1113"/>
      <c r="DC54" s="1112">
        <v>0</v>
      </c>
      <c r="DD54" s="1113"/>
      <c r="DE54" s="1114">
        <v>0</v>
      </c>
      <c r="DF54" s="1017"/>
      <c r="DG54" s="1105" t="s">
        <v>682</v>
      </c>
      <c r="DH54" s="1106"/>
      <c r="DI54" s="1107"/>
      <c r="DJ54" s="1108"/>
      <c r="DK54" s="1109"/>
      <c r="DL54" s="1110"/>
      <c r="DM54" s="1111"/>
      <c r="DN54" s="1112">
        <v>0</v>
      </c>
      <c r="DO54" s="1113"/>
      <c r="DP54" s="1112">
        <v>0</v>
      </c>
      <c r="DQ54" s="1113"/>
      <c r="DR54" s="1112">
        <v>0</v>
      </c>
      <c r="DS54" s="1113"/>
      <c r="DT54" s="1112">
        <v>0</v>
      </c>
      <c r="DU54" s="1113"/>
      <c r="DV54" s="1112">
        <v>0</v>
      </c>
      <c r="DW54" s="1113"/>
      <c r="DX54" s="1112">
        <v>0</v>
      </c>
      <c r="DY54" s="1113"/>
      <c r="DZ54" s="1112">
        <v>0</v>
      </c>
      <c r="EA54" s="1113"/>
      <c r="EB54" s="1112">
        <v>0</v>
      </c>
      <c r="EC54" s="1113"/>
      <c r="ED54" s="1112">
        <v>75.8</v>
      </c>
      <c r="EE54" s="1113"/>
      <c r="EF54" s="1112">
        <v>77</v>
      </c>
      <c r="EG54" s="1113"/>
      <c r="EH54" s="1112">
        <v>93.7</v>
      </c>
      <c r="EI54" s="1113"/>
      <c r="EJ54" s="1112">
        <v>91.3</v>
      </c>
      <c r="EK54" s="1113"/>
      <c r="EL54" s="1112">
        <v>110.7</v>
      </c>
      <c r="EM54" s="1113"/>
      <c r="EN54" s="1112">
        <v>110.1</v>
      </c>
      <c r="EO54" s="1113"/>
      <c r="EP54" s="1112">
        <v>103.8</v>
      </c>
      <c r="EQ54" s="1113"/>
      <c r="ER54" s="1112">
        <v>92.3</v>
      </c>
      <c r="ES54" s="1113"/>
      <c r="ET54" s="1112">
        <v>76.900000000000006</v>
      </c>
      <c r="EU54" s="1113"/>
      <c r="EV54" s="1112">
        <v>55.6</v>
      </c>
      <c r="EW54" s="1113"/>
      <c r="EX54" s="1112">
        <v>0</v>
      </c>
      <c r="EY54" s="1113"/>
      <c r="EZ54" s="1112">
        <v>0</v>
      </c>
      <c r="FA54" s="1113"/>
      <c r="FB54" s="1112">
        <v>0</v>
      </c>
      <c r="FC54" s="1113"/>
      <c r="FD54" s="1112">
        <v>0</v>
      </c>
      <c r="FE54" s="1113"/>
      <c r="FF54" s="1112">
        <v>0</v>
      </c>
      <c r="FG54" s="1113"/>
      <c r="FH54" s="1114">
        <v>0</v>
      </c>
      <c r="FI54" s="1017"/>
      <c r="FJ54" s="1105" t="s">
        <v>682</v>
      </c>
      <c r="FK54" s="1106"/>
      <c r="FL54" s="1107"/>
      <c r="FM54" s="1108"/>
      <c r="FN54" s="1109"/>
      <c r="FO54" s="1110"/>
      <c r="FP54" s="1115"/>
      <c r="FQ54" s="1113"/>
      <c r="FR54" s="1112">
        <v>83.8</v>
      </c>
      <c r="FS54" s="1116"/>
      <c r="FT54" s="1113"/>
      <c r="FU54" s="1117">
        <v>85.2</v>
      </c>
      <c r="FV54" s="1116"/>
      <c r="FW54" s="1112">
        <f>IF(面積=0,0,ROUND(FW53/面積,1))</f>
        <v>98</v>
      </c>
      <c r="FX54" s="1116"/>
      <c r="FY54" s="1112">
        <f>IF(面積=0,0,ROUND(FY53/面積,1))</f>
        <v>102.8</v>
      </c>
      <c r="FZ54" s="1116"/>
      <c r="GA54" s="1112">
        <f>IF(面積=0,0,ROUND(GA53/面積,1))</f>
        <v>110.7</v>
      </c>
      <c r="GB54" s="1116"/>
      <c r="GC54" s="1112">
        <f>IF(面積=0,0,ROUND(GC53/面積,1))</f>
        <v>98</v>
      </c>
      <c r="GD54" s="1116"/>
      <c r="GE54" s="1114">
        <f>IF(面積=0,0,ROUND(GE53/面積,1))</f>
        <v>85.2</v>
      </c>
      <c r="GF54" s="688"/>
      <c r="GG54" s="937"/>
      <c r="GH54" s="937"/>
      <c r="GI54" s="937"/>
      <c r="GJ54" s="580"/>
      <c r="GK54" s="579"/>
      <c r="GL54" s="1100">
        <v>11</v>
      </c>
      <c r="GM54" s="1101">
        <v>2</v>
      </c>
      <c r="GN54" s="1102">
        <v>0.85</v>
      </c>
      <c r="GO54" s="1103">
        <v>4.7</v>
      </c>
      <c r="GP54" s="1103">
        <v>11</v>
      </c>
      <c r="GQ54" s="1104">
        <v>15.7</v>
      </c>
      <c r="GR54" s="530"/>
      <c r="GS54" s="580"/>
      <c r="GT54" s="861"/>
      <c r="GU54" s="1118" t="s">
        <v>728</v>
      </c>
      <c r="GV54" s="1118"/>
      <c r="GW54" s="1118"/>
      <c r="GX54" s="1118"/>
      <c r="GY54" s="775"/>
      <c r="GZ54" s="1119"/>
      <c r="HA54" s="1120">
        <v>30.6</v>
      </c>
      <c r="HB54" s="1121" t="s">
        <v>319</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4.3</v>
      </c>
      <c r="GP55" s="1103">
        <v>11</v>
      </c>
      <c r="GQ55" s="1104">
        <v>15.3</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759</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4</v>
      </c>
      <c r="GP56" s="1103">
        <v>11</v>
      </c>
      <c r="GQ56" s="1104">
        <v>15</v>
      </c>
      <c r="GR56" s="530"/>
      <c r="GS56" s="529"/>
      <c r="GT56" s="1303"/>
      <c r="GU56" s="578"/>
      <c r="GV56" s="579"/>
      <c r="GW56" s="578"/>
      <c r="GX56" s="579"/>
      <c r="GY56" s="579"/>
      <c r="GZ56" s="500"/>
      <c r="HA56" s="578"/>
      <c r="HB56" s="500"/>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3.6</v>
      </c>
      <c r="GP57" s="1103">
        <v>11</v>
      </c>
      <c r="GQ57" s="1104">
        <v>14.6</v>
      </c>
      <c r="GR57" s="953"/>
      <c r="GS57" s="529"/>
      <c r="GT57" s="1303"/>
      <c r="GU57" s="578"/>
      <c r="GV57" s="578"/>
      <c r="GW57" s="500"/>
      <c r="GX57" s="1306"/>
      <c r="GY57" s="579"/>
      <c r="GZ57" s="500"/>
      <c r="HA57" s="578"/>
      <c r="HB57" s="500"/>
      <c r="HC57" s="1052"/>
    </row>
    <row r="58" spans="1:212" ht="20.100000000000001" customHeight="1">
      <c r="A58" s="1163" t="s">
        <v>884</v>
      </c>
      <c r="B58" s="1164"/>
      <c r="C58" s="1164"/>
      <c r="D58" s="1164"/>
      <c r="E58" s="1165"/>
      <c r="F58" s="1166"/>
      <c r="G58" s="1167"/>
      <c r="H58" s="1168"/>
      <c r="I58" s="1169"/>
      <c r="J58" s="1168"/>
      <c r="K58" s="1169"/>
      <c r="L58" s="1168"/>
      <c r="M58" s="1169"/>
      <c r="N58" s="1168"/>
      <c r="O58" s="1169"/>
      <c r="P58" s="1168"/>
      <c r="Q58" s="1169"/>
      <c r="R58" s="1168"/>
      <c r="S58" s="1169"/>
      <c r="T58" s="1168"/>
      <c r="U58" s="1169"/>
      <c r="V58" s="1168"/>
      <c r="W58" s="1169"/>
      <c r="X58" s="1168">
        <v>180</v>
      </c>
      <c r="Y58" s="1169"/>
      <c r="Z58" s="1168">
        <v>180</v>
      </c>
      <c r="AA58" s="1169"/>
      <c r="AB58" s="1168">
        <v>180</v>
      </c>
      <c r="AC58" s="1169"/>
      <c r="AD58" s="1168">
        <v>180</v>
      </c>
      <c r="AE58" s="1169"/>
      <c r="AF58" s="1168">
        <v>180</v>
      </c>
      <c r="AG58" s="1169"/>
      <c r="AH58" s="1168">
        <v>180</v>
      </c>
      <c r="AI58" s="1169"/>
      <c r="AJ58" s="1168">
        <v>180</v>
      </c>
      <c r="AK58" s="1169"/>
      <c r="AL58" s="1168">
        <v>180</v>
      </c>
      <c r="AM58" s="1169"/>
      <c r="AN58" s="1168">
        <v>180</v>
      </c>
      <c r="AO58" s="1169"/>
      <c r="AP58" s="1168">
        <v>180</v>
      </c>
      <c r="AQ58" s="1169"/>
      <c r="AR58" s="1168"/>
      <c r="AS58" s="1169"/>
      <c r="AT58" s="1168"/>
      <c r="AU58" s="1169"/>
      <c r="AV58" s="1168"/>
      <c r="AW58" s="1169"/>
      <c r="AX58" s="1168"/>
      <c r="AY58" s="1169"/>
      <c r="AZ58" s="1168"/>
      <c r="BA58" s="1169"/>
      <c r="BB58" s="561"/>
      <c r="BC58" s="563"/>
      <c r="BD58" s="1163" t="s">
        <v>612</v>
      </c>
      <c r="BE58" s="1164"/>
      <c r="BF58" s="1164"/>
      <c r="BG58" s="1164"/>
      <c r="BH58" s="1165"/>
      <c r="BI58" s="1166"/>
      <c r="BJ58" s="1167"/>
      <c r="BK58" s="1168"/>
      <c r="BL58" s="1169"/>
      <c r="BM58" s="1168"/>
      <c r="BN58" s="1169"/>
      <c r="BO58" s="1168"/>
      <c r="BP58" s="1169"/>
      <c r="BQ58" s="1168"/>
      <c r="BR58" s="1169"/>
      <c r="BS58" s="1168"/>
      <c r="BT58" s="1169"/>
      <c r="BU58" s="1168"/>
      <c r="BV58" s="1169"/>
      <c r="BW58" s="1168"/>
      <c r="BX58" s="1169"/>
      <c r="BY58" s="1168"/>
      <c r="BZ58" s="1169"/>
      <c r="CA58" s="1168">
        <v>180</v>
      </c>
      <c r="CB58" s="1169"/>
      <c r="CC58" s="1168">
        <v>180</v>
      </c>
      <c r="CD58" s="1169"/>
      <c r="CE58" s="1168">
        <v>180</v>
      </c>
      <c r="CF58" s="1169"/>
      <c r="CG58" s="1168">
        <v>180</v>
      </c>
      <c r="CH58" s="1169"/>
      <c r="CI58" s="1168">
        <v>180</v>
      </c>
      <c r="CJ58" s="1169"/>
      <c r="CK58" s="1168">
        <v>180</v>
      </c>
      <c r="CL58" s="1169"/>
      <c r="CM58" s="1168">
        <v>180</v>
      </c>
      <c r="CN58" s="1169"/>
      <c r="CO58" s="1168">
        <v>180</v>
      </c>
      <c r="CP58" s="1169"/>
      <c r="CQ58" s="1168">
        <v>180</v>
      </c>
      <c r="CR58" s="1169"/>
      <c r="CS58" s="1168">
        <v>180</v>
      </c>
      <c r="CT58" s="1169"/>
      <c r="CU58" s="1168"/>
      <c r="CV58" s="1169"/>
      <c r="CW58" s="1168"/>
      <c r="CX58" s="1169"/>
      <c r="CY58" s="1168"/>
      <c r="CZ58" s="1169"/>
      <c r="DA58" s="1168"/>
      <c r="DB58" s="1169"/>
      <c r="DC58" s="1168"/>
      <c r="DD58" s="1169"/>
      <c r="DE58" s="561"/>
      <c r="DF58" s="562"/>
      <c r="DG58" s="1163" t="s">
        <v>737</v>
      </c>
      <c r="DH58" s="1164"/>
      <c r="DI58" s="1164"/>
      <c r="DJ58" s="1164"/>
      <c r="DK58" s="1165"/>
      <c r="DL58" s="1166"/>
      <c r="DM58" s="1167"/>
      <c r="DN58" s="1168"/>
      <c r="DO58" s="1169"/>
      <c r="DP58" s="1168"/>
      <c r="DQ58" s="1169"/>
      <c r="DR58" s="1168"/>
      <c r="DS58" s="1169"/>
      <c r="DT58" s="1168"/>
      <c r="DU58" s="1169"/>
      <c r="DV58" s="1168"/>
      <c r="DW58" s="1169"/>
      <c r="DX58" s="1168"/>
      <c r="DY58" s="1169"/>
      <c r="DZ58" s="1168"/>
      <c r="EA58" s="1169"/>
      <c r="EB58" s="1168"/>
      <c r="EC58" s="1169"/>
      <c r="ED58" s="1168">
        <v>180</v>
      </c>
      <c r="EE58" s="1169"/>
      <c r="EF58" s="1168">
        <v>180</v>
      </c>
      <c r="EG58" s="1169"/>
      <c r="EH58" s="1168">
        <v>180</v>
      </c>
      <c r="EI58" s="1169"/>
      <c r="EJ58" s="1168">
        <v>180</v>
      </c>
      <c r="EK58" s="1169"/>
      <c r="EL58" s="1168">
        <v>180</v>
      </c>
      <c r="EM58" s="1169"/>
      <c r="EN58" s="1168">
        <v>180</v>
      </c>
      <c r="EO58" s="1169"/>
      <c r="EP58" s="1168">
        <v>180</v>
      </c>
      <c r="EQ58" s="1169"/>
      <c r="ER58" s="1168">
        <v>180</v>
      </c>
      <c r="ES58" s="1169"/>
      <c r="ET58" s="1168">
        <v>180</v>
      </c>
      <c r="EU58" s="1169"/>
      <c r="EV58" s="1168">
        <v>180</v>
      </c>
      <c r="EW58" s="1169"/>
      <c r="EX58" s="1168"/>
      <c r="EY58" s="1169"/>
      <c r="EZ58" s="1168"/>
      <c r="FA58" s="1169"/>
      <c r="FB58" s="1168"/>
      <c r="FC58" s="1169"/>
      <c r="FD58" s="1168"/>
      <c r="FE58" s="1169"/>
      <c r="FF58" s="1168"/>
      <c r="FG58" s="1169"/>
      <c r="FH58" s="561"/>
      <c r="FI58" s="563"/>
      <c r="FJ58" s="1163" t="s">
        <v>737</v>
      </c>
      <c r="FK58" s="1164"/>
      <c r="FL58" s="1164"/>
      <c r="FM58" s="1164"/>
      <c r="FN58" s="1165"/>
      <c r="FO58" s="1166"/>
      <c r="FP58" s="1170"/>
      <c r="FQ58" s="1171"/>
      <c r="FR58" s="1168">
        <v>180</v>
      </c>
      <c r="FS58" s="1172"/>
      <c r="FT58" s="1171"/>
      <c r="FU58" s="1173">
        <v>180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3.4</v>
      </c>
      <c r="GP58" s="1103">
        <v>11</v>
      </c>
      <c r="GQ58" s="1104">
        <v>14.4</v>
      </c>
      <c r="GR58" s="953"/>
      <c r="GS58" s="530"/>
      <c r="GT58" s="689"/>
      <c r="GU58" s="500"/>
      <c r="GV58" s="578"/>
      <c r="GW58" s="500"/>
      <c r="GX58" s="1306"/>
      <c r="GY58" s="1304"/>
      <c r="GZ58" s="579"/>
      <c r="HA58" s="578"/>
      <c r="HB58" s="500"/>
      <c r="HC58" s="562"/>
      <c r="HD58" s="1179"/>
    </row>
    <row r="59" spans="1:212" ht="20.100000000000001" customHeight="1">
      <c r="A59" s="1180" t="s">
        <v>738</v>
      </c>
      <c r="B59" s="1181"/>
      <c r="C59" s="1181"/>
      <c r="D59" s="1182" t="s">
        <v>615</v>
      </c>
      <c r="E59" s="1183"/>
      <c r="F59" s="1021"/>
      <c r="G59" s="1184">
        <v>0</v>
      </c>
      <c r="H59" s="585">
        <v>0</v>
      </c>
      <c r="I59" s="1185">
        <v>0</v>
      </c>
      <c r="J59" s="587">
        <v>0</v>
      </c>
      <c r="K59" s="1185">
        <v>0</v>
      </c>
      <c r="L59" s="587">
        <v>0</v>
      </c>
      <c r="M59" s="1185">
        <v>0</v>
      </c>
      <c r="N59" s="587">
        <v>0</v>
      </c>
      <c r="O59" s="1185">
        <v>0</v>
      </c>
      <c r="P59" s="587">
        <v>0</v>
      </c>
      <c r="Q59" s="1185">
        <v>0</v>
      </c>
      <c r="R59" s="587">
        <v>0</v>
      </c>
      <c r="S59" s="1185">
        <v>0</v>
      </c>
      <c r="T59" s="587">
        <v>0</v>
      </c>
      <c r="U59" s="1185">
        <v>0</v>
      </c>
      <c r="V59" s="587">
        <v>0</v>
      </c>
      <c r="W59" s="1185">
        <v>23.7</v>
      </c>
      <c r="X59" s="587">
        <v>1422</v>
      </c>
      <c r="Y59" s="1185">
        <v>24.6</v>
      </c>
      <c r="Z59" s="587">
        <v>1476</v>
      </c>
      <c r="AA59" s="1185">
        <v>24.9</v>
      </c>
      <c r="AB59" s="587">
        <v>1494</v>
      </c>
      <c r="AC59" s="1185">
        <v>26.2</v>
      </c>
      <c r="AD59" s="587">
        <v>1572</v>
      </c>
      <c r="AE59" s="1185">
        <v>25.8</v>
      </c>
      <c r="AF59" s="587">
        <v>1548</v>
      </c>
      <c r="AG59" s="1185">
        <v>25.1</v>
      </c>
      <c r="AH59" s="587">
        <v>1506</v>
      </c>
      <c r="AI59" s="1185">
        <v>25.1</v>
      </c>
      <c r="AJ59" s="587">
        <v>1506</v>
      </c>
      <c r="AK59" s="1185">
        <v>24.8</v>
      </c>
      <c r="AL59" s="587">
        <v>1488</v>
      </c>
      <c r="AM59" s="1185">
        <v>24.1</v>
      </c>
      <c r="AN59" s="587">
        <v>1446</v>
      </c>
      <c r="AO59" s="1185">
        <v>23.4</v>
      </c>
      <c r="AP59" s="587">
        <v>1404</v>
      </c>
      <c r="AQ59" s="1185">
        <v>0</v>
      </c>
      <c r="AR59" s="587">
        <v>0</v>
      </c>
      <c r="AS59" s="1185">
        <v>0</v>
      </c>
      <c r="AT59" s="587">
        <v>0</v>
      </c>
      <c r="AU59" s="1185">
        <v>0</v>
      </c>
      <c r="AV59" s="587">
        <v>0</v>
      </c>
      <c r="AW59" s="1185">
        <v>0</v>
      </c>
      <c r="AX59" s="587">
        <v>0</v>
      </c>
      <c r="AY59" s="1185">
        <v>0</v>
      </c>
      <c r="AZ59" s="587">
        <v>0</v>
      </c>
      <c r="BA59" s="1185">
        <v>0</v>
      </c>
      <c r="BB59" s="589">
        <v>0</v>
      </c>
      <c r="BC59" s="563"/>
      <c r="BD59" s="1180" t="s">
        <v>616</v>
      </c>
      <c r="BE59" s="1181"/>
      <c r="BF59" s="1181"/>
      <c r="BG59" s="1182" t="s">
        <v>615</v>
      </c>
      <c r="BH59" s="1183"/>
      <c r="BI59" s="1021"/>
      <c r="BJ59" s="1184">
        <v>0</v>
      </c>
      <c r="BK59" s="585">
        <v>0</v>
      </c>
      <c r="BL59" s="1185">
        <v>0</v>
      </c>
      <c r="BM59" s="587">
        <v>0</v>
      </c>
      <c r="BN59" s="1185">
        <v>0</v>
      </c>
      <c r="BO59" s="587">
        <v>0</v>
      </c>
      <c r="BP59" s="1185">
        <v>0</v>
      </c>
      <c r="BQ59" s="587">
        <v>0</v>
      </c>
      <c r="BR59" s="1185">
        <v>0</v>
      </c>
      <c r="BS59" s="587">
        <v>0</v>
      </c>
      <c r="BT59" s="1185">
        <v>0</v>
      </c>
      <c r="BU59" s="587">
        <v>0</v>
      </c>
      <c r="BV59" s="1185">
        <v>0</v>
      </c>
      <c r="BW59" s="587">
        <v>0</v>
      </c>
      <c r="BX59" s="1185">
        <v>0</v>
      </c>
      <c r="BY59" s="587">
        <v>0</v>
      </c>
      <c r="BZ59" s="1185">
        <v>18.600000000000001</v>
      </c>
      <c r="CA59" s="587">
        <v>1116</v>
      </c>
      <c r="CB59" s="1185">
        <v>19.399999999999999</v>
      </c>
      <c r="CC59" s="587">
        <v>1164</v>
      </c>
      <c r="CD59" s="1185">
        <v>20.3</v>
      </c>
      <c r="CE59" s="587">
        <v>1218</v>
      </c>
      <c r="CF59" s="1185">
        <v>21</v>
      </c>
      <c r="CG59" s="587">
        <v>1260</v>
      </c>
      <c r="CH59" s="1185">
        <v>21.4</v>
      </c>
      <c r="CI59" s="587">
        <v>1284</v>
      </c>
      <c r="CJ59" s="1185">
        <v>20.7</v>
      </c>
      <c r="CK59" s="587">
        <v>1242</v>
      </c>
      <c r="CL59" s="1185">
        <v>20.5</v>
      </c>
      <c r="CM59" s="587">
        <v>1230</v>
      </c>
      <c r="CN59" s="1185">
        <v>20.3</v>
      </c>
      <c r="CO59" s="587">
        <v>1218</v>
      </c>
      <c r="CP59" s="1185">
        <v>20.3</v>
      </c>
      <c r="CQ59" s="587">
        <v>1218</v>
      </c>
      <c r="CR59" s="1185">
        <v>19.600000000000001</v>
      </c>
      <c r="CS59" s="587">
        <v>1176</v>
      </c>
      <c r="CT59" s="1185">
        <v>0</v>
      </c>
      <c r="CU59" s="587">
        <v>0</v>
      </c>
      <c r="CV59" s="1185">
        <v>0</v>
      </c>
      <c r="CW59" s="587">
        <v>0</v>
      </c>
      <c r="CX59" s="1185">
        <v>0</v>
      </c>
      <c r="CY59" s="587">
        <v>0</v>
      </c>
      <c r="CZ59" s="1185">
        <v>0</v>
      </c>
      <c r="DA59" s="587">
        <v>0</v>
      </c>
      <c r="DB59" s="1185">
        <v>0</v>
      </c>
      <c r="DC59" s="587">
        <v>0</v>
      </c>
      <c r="DD59" s="1185">
        <v>0</v>
      </c>
      <c r="DE59" s="589">
        <v>0</v>
      </c>
      <c r="DF59" s="562"/>
      <c r="DG59" s="1180" t="s">
        <v>738</v>
      </c>
      <c r="DH59" s="1181"/>
      <c r="DI59" s="1181"/>
      <c r="DJ59" s="1182" t="s">
        <v>615</v>
      </c>
      <c r="DK59" s="1183"/>
      <c r="DL59" s="1021"/>
      <c r="DM59" s="1184">
        <v>0</v>
      </c>
      <c r="DN59" s="585">
        <v>0</v>
      </c>
      <c r="DO59" s="1185">
        <v>0</v>
      </c>
      <c r="DP59" s="587">
        <v>0</v>
      </c>
      <c r="DQ59" s="1185">
        <v>0</v>
      </c>
      <c r="DR59" s="587">
        <v>0</v>
      </c>
      <c r="DS59" s="1185">
        <v>0</v>
      </c>
      <c r="DT59" s="587">
        <v>0</v>
      </c>
      <c r="DU59" s="1185">
        <v>0</v>
      </c>
      <c r="DV59" s="587">
        <v>0</v>
      </c>
      <c r="DW59" s="1185">
        <v>0</v>
      </c>
      <c r="DX59" s="587">
        <v>0</v>
      </c>
      <c r="DY59" s="1185">
        <v>0</v>
      </c>
      <c r="DZ59" s="587">
        <v>0</v>
      </c>
      <c r="EA59" s="1185">
        <v>0</v>
      </c>
      <c r="EB59" s="587">
        <v>0</v>
      </c>
      <c r="EC59" s="1185">
        <v>9.8000000000000007</v>
      </c>
      <c r="ED59" s="587">
        <v>588</v>
      </c>
      <c r="EE59" s="1185">
        <v>10.9</v>
      </c>
      <c r="EF59" s="587">
        <v>654</v>
      </c>
      <c r="EG59" s="1185">
        <v>11</v>
      </c>
      <c r="EH59" s="587">
        <v>660</v>
      </c>
      <c r="EI59" s="1185">
        <v>11.4</v>
      </c>
      <c r="EJ59" s="587">
        <v>684</v>
      </c>
      <c r="EK59" s="1185">
        <v>11.1</v>
      </c>
      <c r="EL59" s="587">
        <v>666</v>
      </c>
      <c r="EM59" s="1185">
        <v>10.6</v>
      </c>
      <c r="EN59" s="587">
        <v>636</v>
      </c>
      <c r="EO59" s="1185">
        <v>10.4</v>
      </c>
      <c r="EP59" s="587">
        <v>624</v>
      </c>
      <c r="EQ59" s="1185">
        <v>10.5</v>
      </c>
      <c r="ER59" s="587">
        <v>630</v>
      </c>
      <c r="ES59" s="1185">
        <v>10</v>
      </c>
      <c r="ET59" s="587">
        <v>600</v>
      </c>
      <c r="EU59" s="1185">
        <v>10.5</v>
      </c>
      <c r="EV59" s="587">
        <v>630</v>
      </c>
      <c r="EW59" s="1185">
        <v>0</v>
      </c>
      <c r="EX59" s="587">
        <v>0</v>
      </c>
      <c r="EY59" s="1185">
        <v>0</v>
      </c>
      <c r="EZ59" s="587">
        <v>0</v>
      </c>
      <c r="FA59" s="1185">
        <v>0</v>
      </c>
      <c r="FB59" s="587">
        <v>0</v>
      </c>
      <c r="FC59" s="1185">
        <v>0</v>
      </c>
      <c r="FD59" s="587">
        <v>0</v>
      </c>
      <c r="FE59" s="1185">
        <v>0</v>
      </c>
      <c r="FF59" s="587">
        <v>0</v>
      </c>
      <c r="FG59" s="1185">
        <v>0</v>
      </c>
      <c r="FH59" s="589">
        <v>0</v>
      </c>
      <c r="FI59" s="563"/>
      <c r="FJ59" s="1180" t="s">
        <v>616</v>
      </c>
      <c r="FK59" s="1181"/>
      <c r="FL59" s="1181"/>
      <c r="FM59" s="1182" t="s">
        <v>615</v>
      </c>
      <c r="FN59" s="1183"/>
      <c r="FO59" s="1021"/>
      <c r="FP59" s="625">
        <v>9</v>
      </c>
      <c r="FQ59" s="1186">
        <v>5.7</v>
      </c>
      <c r="FR59" s="1187">
        <v>342</v>
      </c>
      <c r="FS59" s="1188">
        <v>9</v>
      </c>
      <c r="FT59" s="1186">
        <v>5.9</v>
      </c>
      <c r="FU59" s="1189">
        <v>354</v>
      </c>
      <c r="FV59" s="1190">
        <v>13</v>
      </c>
      <c r="FW59" s="1191">
        <v>1548</v>
      </c>
      <c r="FX59" s="1192">
        <v>14</v>
      </c>
      <c r="FY59" s="1191">
        <v>1242</v>
      </c>
      <c r="FZ59" s="1192">
        <v>13</v>
      </c>
      <c r="GA59" s="1191">
        <v>666</v>
      </c>
      <c r="GB59" s="1192" t="s">
        <v>622</v>
      </c>
      <c r="GC59" s="1191">
        <v>1548</v>
      </c>
      <c r="GD59" s="1192" t="s">
        <v>853</v>
      </c>
      <c r="GE59" s="1193">
        <v>354</v>
      </c>
      <c r="GF59" s="688"/>
      <c r="GG59" s="1194"/>
      <c r="GH59" s="1194"/>
      <c r="GI59" s="1194"/>
      <c r="GJ59" s="893"/>
      <c r="GK59" s="409"/>
      <c r="GL59" s="1124">
        <v>16</v>
      </c>
      <c r="GM59" s="1125">
        <v>7</v>
      </c>
      <c r="GN59" s="1102">
        <v>0.56000000000000005</v>
      </c>
      <c r="GO59" s="1103">
        <v>3.1</v>
      </c>
      <c r="GP59" s="1103">
        <v>11</v>
      </c>
      <c r="GQ59" s="1104">
        <v>14.1</v>
      </c>
      <c r="GR59" s="893"/>
      <c r="GS59" s="391"/>
      <c r="GT59" s="1305"/>
      <c r="GU59" s="579"/>
      <c r="GV59" s="500"/>
      <c r="GW59" s="500"/>
      <c r="GX59" s="1306"/>
      <c r="GY59" s="1304"/>
      <c r="GZ59" s="579"/>
      <c r="HA59" s="578"/>
      <c r="HB59" s="500"/>
      <c r="HC59" s="1179"/>
      <c r="HD59" s="1195"/>
    </row>
    <row r="60" spans="1:212" ht="20.100000000000001" customHeight="1">
      <c r="A60" s="1180"/>
      <c r="B60" s="1181"/>
      <c r="C60" s="1181"/>
      <c r="D60" s="1196"/>
      <c r="E60" s="1196"/>
      <c r="F60" s="1197">
        <v>0</v>
      </c>
      <c r="G60" s="584"/>
      <c r="H60" s="585"/>
      <c r="I60" s="588"/>
      <c r="J60" s="587"/>
      <c r="K60" s="588"/>
      <c r="L60" s="587"/>
      <c r="M60" s="588"/>
      <c r="N60" s="587"/>
      <c r="O60" s="588"/>
      <c r="P60" s="587"/>
      <c r="Q60" s="588"/>
      <c r="R60" s="587"/>
      <c r="S60" s="588"/>
      <c r="T60" s="587"/>
      <c r="U60" s="588"/>
      <c r="V60" s="587"/>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c r="AS60" s="588"/>
      <c r="AT60" s="587"/>
      <c r="AU60" s="588"/>
      <c r="AV60" s="587"/>
      <c r="AW60" s="588"/>
      <c r="AX60" s="587"/>
      <c r="AY60" s="588"/>
      <c r="AZ60" s="587"/>
      <c r="BA60" s="588"/>
      <c r="BB60" s="589"/>
      <c r="BC60" s="563"/>
      <c r="BD60" s="1180"/>
      <c r="BE60" s="1181"/>
      <c r="BF60" s="1181"/>
      <c r="BG60" s="1196"/>
      <c r="BH60" s="1196"/>
      <c r="BI60" s="1197"/>
      <c r="BJ60" s="584"/>
      <c r="BK60" s="585"/>
      <c r="BL60" s="588"/>
      <c r="BM60" s="587"/>
      <c r="BN60" s="588"/>
      <c r="BO60" s="587"/>
      <c r="BP60" s="588"/>
      <c r="BQ60" s="587"/>
      <c r="BR60" s="588"/>
      <c r="BS60" s="587"/>
      <c r="BT60" s="588"/>
      <c r="BU60" s="587"/>
      <c r="BV60" s="588"/>
      <c r="BW60" s="587"/>
      <c r="BX60" s="588"/>
      <c r="BY60" s="587"/>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c r="CV60" s="588"/>
      <c r="CW60" s="587"/>
      <c r="CX60" s="588"/>
      <c r="CY60" s="587"/>
      <c r="CZ60" s="588"/>
      <c r="DA60" s="587"/>
      <c r="DB60" s="588"/>
      <c r="DC60" s="587"/>
      <c r="DD60" s="588"/>
      <c r="DE60" s="589"/>
      <c r="DF60" s="562"/>
      <c r="DG60" s="1180"/>
      <c r="DH60" s="1181"/>
      <c r="DI60" s="1181"/>
      <c r="DJ60" s="1196"/>
      <c r="DK60" s="1196"/>
      <c r="DL60" s="1197"/>
      <c r="DM60" s="584"/>
      <c r="DN60" s="585"/>
      <c r="DO60" s="588"/>
      <c r="DP60" s="587"/>
      <c r="DQ60" s="588"/>
      <c r="DR60" s="587"/>
      <c r="DS60" s="588"/>
      <c r="DT60" s="587"/>
      <c r="DU60" s="588"/>
      <c r="DV60" s="587"/>
      <c r="DW60" s="588"/>
      <c r="DX60" s="587"/>
      <c r="DY60" s="588"/>
      <c r="DZ60" s="587"/>
      <c r="EA60" s="588"/>
      <c r="EB60" s="587"/>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c r="EY60" s="588"/>
      <c r="EZ60" s="587"/>
      <c r="FA60" s="588"/>
      <c r="FB60" s="587"/>
      <c r="FC60" s="588"/>
      <c r="FD60" s="587"/>
      <c r="FE60" s="588"/>
      <c r="FF60" s="587"/>
      <c r="FG60" s="588"/>
      <c r="FH60" s="589"/>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2.8</v>
      </c>
      <c r="GP60" s="1103">
        <v>11</v>
      </c>
      <c r="GQ60" s="1104">
        <v>13.8</v>
      </c>
      <c r="GR60" s="391"/>
      <c r="GS60" s="483"/>
      <c r="GT60" s="1305"/>
      <c r="GU60" s="500"/>
      <c r="GV60" s="579"/>
      <c r="GW60" s="500"/>
      <c r="GX60" s="579"/>
      <c r="GY60" s="500"/>
      <c r="GZ60" s="500"/>
      <c r="HA60" s="578"/>
      <c r="HB60" s="500"/>
      <c r="HC60" s="1201"/>
      <c r="HD60" s="1038"/>
    </row>
    <row r="61" spans="1:212" ht="20.100000000000001" customHeight="1">
      <c r="A61" s="1202" t="s">
        <v>621</v>
      </c>
      <c r="B61" s="1203"/>
      <c r="C61" s="1203"/>
      <c r="D61" s="1203"/>
      <c r="E61" s="1203"/>
      <c r="F61" s="1204"/>
      <c r="G61" s="1205"/>
      <c r="H61" s="1206">
        <v>0</v>
      </c>
      <c r="I61" s="1207"/>
      <c r="J61" s="1208">
        <v>0</v>
      </c>
      <c r="K61" s="1207"/>
      <c r="L61" s="1208">
        <v>0</v>
      </c>
      <c r="M61" s="1207"/>
      <c r="N61" s="1208">
        <v>0</v>
      </c>
      <c r="O61" s="1207"/>
      <c r="P61" s="1208">
        <v>0</v>
      </c>
      <c r="Q61" s="1207"/>
      <c r="R61" s="1208">
        <v>0</v>
      </c>
      <c r="S61" s="1207"/>
      <c r="T61" s="1208">
        <v>0</v>
      </c>
      <c r="U61" s="1207"/>
      <c r="V61" s="1208">
        <v>0</v>
      </c>
      <c r="W61" s="1207"/>
      <c r="X61" s="1208">
        <v>6148</v>
      </c>
      <c r="Y61" s="1207"/>
      <c r="Z61" s="1208">
        <v>5913</v>
      </c>
      <c r="AA61" s="1207"/>
      <c r="AB61" s="1208">
        <v>6216</v>
      </c>
      <c r="AC61" s="1207"/>
      <c r="AD61" s="1208">
        <v>5906</v>
      </c>
      <c r="AE61" s="1207"/>
      <c r="AF61" s="1208">
        <v>6919</v>
      </c>
      <c r="AG61" s="1207"/>
      <c r="AH61" s="1208">
        <v>6892</v>
      </c>
      <c r="AI61" s="1207"/>
      <c r="AJ61" s="1208">
        <v>6634</v>
      </c>
      <c r="AK61" s="1207"/>
      <c r="AL61" s="1208">
        <v>6234</v>
      </c>
      <c r="AM61" s="1207"/>
      <c r="AN61" s="1208">
        <v>5703</v>
      </c>
      <c r="AO61" s="1207"/>
      <c r="AP61" s="1208">
        <v>4849</v>
      </c>
      <c r="AQ61" s="1207"/>
      <c r="AR61" s="1208">
        <v>0</v>
      </c>
      <c r="AS61" s="1207"/>
      <c r="AT61" s="1208">
        <v>0</v>
      </c>
      <c r="AU61" s="1207"/>
      <c r="AV61" s="1208">
        <v>0</v>
      </c>
      <c r="AW61" s="1207"/>
      <c r="AX61" s="1208">
        <v>0</v>
      </c>
      <c r="AY61" s="1207"/>
      <c r="AZ61" s="1208">
        <v>0</v>
      </c>
      <c r="BA61" s="1207"/>
      <c r="BB61" s="1209">
        <v>0</v>
      </c>
      <c r="BC61" s="563"/>
      <c r="BD61" s="1202" t="s">
        <v>740</v>
      </c>
      <c r="BE61" s="1203"/>
      <c r="BF61" s="1203"/>
      <c r="BG61" s="1203"/>
      <c r="BH61" s="1203"/>
      <c r="BI61" s="1204"/>
      <c r="BJ61" s="1205"/>
      <c r="BK61" s="1206">
        <v>0</v>
      </c>
      <c r="BL61" s="1207"/>
      <c r="BM61" s="1208">
        <v>0</v>
      </c>
      <c r="BN61" s="1207"/>
      <c r="BO61" s="1208">
        <v>0</v>
      </c>
      <c r="BP61" s="1207"/>
      <c r="BQ61" s="1208">
        <v>0</v>
      </c>
      <c r="BR61" s="1207"/>
      <c r="BS61" s="1208">
        <v>0</v>
      </c>
      <c r="BT61" s="1207"/>
      <c r="BU61" s="1208">
        <v>0</v>
      </c>
      <c r="BV61" s="1207"/>
      <c r="BW61" s="1208">
        <v>0</v>
      </c>
      <c r="BX61" s="1207"/>
      <c r="BY61" s="1208">
        <v>0</v>
      </c>
      <c r="BZ61" s="1207"/>
      <c r="CA61" s="1208">
        <v>5732</v>
      </c>
      <c r="CB61" s="1207"/>
      <c r="CC61" s="1208">
        <v>5440</v>
      </c>
      <c r="CD61" s="1207"/>
      <c r="CE61" s="1208">
        <v>5854</v>
      </c>
      <c r="CF61" s="1207"/>
      <c r="CG61" s="1208">
        <v>5667</v>
      </c>
      <c r="CH61" s="1207"/>
      <c r="CI61" s="1208">
        <v>6848</v>
      </c>
      <c r="CJ61" s="1207"/>
      <c r="CK61" s="1208">
        <v>6876</v>
      </c>
      <c r="CL61" s="1207"/>
      <c r="CM61" s="1208">
        <v>6681</v>
      </c>
      <c r="CN61" s="1207"/>
      <c r="CO61" s="1208">
        <v>6234</v>
      </c>
      <c r="CP61" s="1207"/>
      <c r="CQ61" s="1208">
        <v>5729</v>
      </c>
      <c r="CR61" s="1207"/>
      <c r="CS61" s="1208">
        <v>4695</v>
      </c>
      <c r="CT61" s="1207"/>
      <c r="CU61" s="1208">
        <v>0</v>
      </c>
      <c r="CV61" s="1207"/>
      <c r="CW61" s="1208">
        <v>0</v>
      </c>
      <c r="CX61" s="1207"/>
      <c r="CY61" s="1208">
        <v>0</v>
      </c>
      <c r="CZ61" s="1207"/>
      <c r="DA61" s="1208">
        <v>0</v>
      </c>
      <c r="DB61" s="1207"/>
      <c r="DC61" s="1208">
        <v>0</v>
      </c>
      <c r="DD61" s="1207"/>
      <c r="DE61" s="1209">
        <v>0</v>
      </c>
      <c r="DF61" s="562"/>
      <c r="DG61" s="1202" t="s">
        <v>740</v>
      </c>
      <c r="DH61" s="1203"/>
      <c r="DI61" s="1203"/>
      <c r="DJ61" s="1203"/>
      <c r="DK61" s="1203"/>
      <c r="DL61" s="1204"/>
      <c r="DM61" s="1205"/>
      <c r="DN61" s="1206">
        <v>0</v>
      </c>
      <c r="DO61" s="1207"/>
      <c r="DP61" s="1208">
        <v>0</v>
      </c>
      <c r="DQ61" s="1207"/>
      <c r="DR61" s="1208">
        <v>0</v>
      </c>
      <c r="DS61" s="1207"/>
      <c r="DT61" s="1208">
        <v>0</v>
      </c>
      <c r="DU61" s="1207"/>
      <c r="DV61" s="1208">
        <v>0</v>
      </c>
      <c r="DW61" s="1207"/>
      <c r="DX61" s="1208">
        <v>0</v>
      </c>
      <c r="DY61" s="1207"/>
      <c r="DZ61" s="1208">
        <v>0</v>
      </c>
      <c r="EA61" s="1207"/>
      <c r="EB61" s="1208">
        <v>0</v>
      </c>
      <c r="EC61" s="1207"/>
      <c r="ED61" s="1208">
        <v>4740</v>
      </c>
      <c r="EE61" s="1207"/>
      <c r="EF61" s="1208">
        <v>4877</v>
      </c>
      <c r="EG61" s="1207"/>
      <c r="EH61" s="1208">
        <v>5794</v>
      </c>
      <c r="EI61" s="1207"/>
      <c r="EJ61" s="1208">
        <v>5688</v>
      </c>
      <c r="EK61" s="1207"/>
      <c r="EL61" s="1208">
        <v>6733</v>
      </c>
      <c r="EM61" s="1207"/>
      <c r="EN61" s="1208">
        <v>6672</v>
      </c>
      <c r="EO61" s="1207"/>
      <c r="EP61" s="1208">
        <v>6316</v>
      </c>
      <c r="EQ61" s="1207"/>
      <c r="ER61" s="1208">
        <v>5688</v>
      </c>
      <c r="ES61" s="1207"/>
      <c r="ET61" s="1208">
        <v>4816</v>
      </c>
      <c r="EU61" s="1207"/>
      <c r="EV61" s="1208">
        <v>3675</v>
      </c>
      <c r="EW61" s="1207"/>
      <c r="EX61" s="1208">
        <v>0</v>
      </c>
      <c r="EY61" s="1207"/>
      <c r="EZ61" s="1208">
        <v>0</v>
      </c>
      <c r="FA61" s="1207"/>
      <c r="FB61" s="1208">
        <v>0</v>
      </c>
      <c r="FC61" s="1207"/>
      <c r="FD61" s="1208">
        <v>0</v>
      </c>
      <c r="FE61" s="1207"/>
      <c r="FF61" s="1208">
        <v>0</v>
      </c>
      <c r="FG61" s="1207"/>
      <c r="FH61" s="1209">
        <v>0</v>
      </c>
      <c r="FI61" s="563"/>
      <c r="FJ61" s="1202" t="s">
        <v>740</v>
      </c>
      <c r="FK61" s="1203"/>
      <c r="FL61" s="1203"/>
      <c r="FM61" s="1203"/>
      <c r="FN61" s="1203"/>
      <c r="FO61" s="1203"/>
      <c r="FP61" s="1210"/>
      <c r="FQ61" s="1211"/>
      <c r="FR61" s="1212">
        <v>4937</v>
      </c>
      <c r="FS61" s="1213"/>
      <c r="FT61" s="1211"/>
      <c r="FU61" s="1214">
        <v>5026</v>
      </c>
      <c r="FV61" s="1215">
        <v>13</v>
      </c>
      <c r="FW61" s="1216">
        <v>6919</v>
      </c>
      <c r="FX61" s="1217">
        <v>14</v>
      </c>
      <c r="FY61" s="1216">
        <v>6876</v>
      </c>
      <c r="FZ61" s="1217">
        <v>13</v>
      </c>
      <c r="GA61" s="1216">
        <v>6733</v>
      </c>
      <c r="GB61" s="1218" t="s">
        <v>622</v>
      </c>
      <c r="GC61" s="1216">
        <v>6919</v>
      </c>
      <c r="GD61" s="1218" t="s">
        <v>853</v>
      </c>
      <c r="GE61" s="1219">
        <v>5026</v>
      </c>
      <c r="GF61" s="688"/>
      <c r="GG61" s="483"/>
      <c r="GH61" s="483"/>
      <c r="GI61" s="483"/>
      <c r="GJ61" s="483"/>
      <c r="GK61" s="486"/>
      <c r="GL61" s="1124">
        <v>18</v>
      </c>
      <c r="GM61" s="1220">
        <v>9</v>
      </c>
      <c r="GN61" s="1102">
        <v>0.47</v>
      </c>
      <c r="GO61" s="1103">
        <v>2.6</v>
      </c>
      <c r="GP61" s="1103">
        <v>11</v>
      </c>
      <c r="GQ61" s="1104">
        <v>13.6</v>
      </c>
      <c r="GR61" s="483"/>
      <c r="GS61" s="580"/>
      <c r="GT61" s="1305"/>
      <c r="GU61" s="689"/>
      <c r="GV61" s="689"/>
      <c r="GW61" s="689"/>
      <c r="GX61" s="689"/>
      <c r="GY61" s="579"/>
      <c r="GZ61" s="500"/>
      <c r="HA61" s="579"/>
      <c r="HB61" s="500"/>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579"/>
      <c r="GU62" s="689"/>
      <c r="GV62" s="689"/>
      <c r="GW62" s="689"/>
      <c r="GX62" s="689"/>
      <c r="GY62" s="579"/>
      <c r="GZ62" s="500"/>
      <c r="HA62" s="579"/>
      <c r="HB62" s="500"/>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759</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303"/>
      <c r="GK63" s="1303"/>
      <c r="GL63" s="578"/>
      <c r="GM63" s="500"/>
      <c r="GN63" s="578"/>
      <c r="GO63" s="500"/>
      <c r="GP63" s="500"/>
      <c r="GQ63" s="500"/>
      <c r="GR63" s="578"/>
      <c r="GS63" s="530"/>
      <c r="GT63" s="579"/>
      <c r="GU63" s="578"/>
      <c r="GV63" s="500"/>
      <c r="GW63" s="578"/>
      <c r="GX63" s="500"/>
      <c r="GY63" s="500"/>
      <c r="GZ63" s="500"/>
      <c r="HA63" s="579"/>
      <c r="HB63" s="500"/>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00"/>
      <c r="GK64" s="500"/>
      <c r="GL64" s="578"/>
      <c r="GM64" s="500"/>
      <c r="GN64" s="578"/>
      <c r="GO64" s="500"/>
      <c r="GP64" s="500"/>
      <c r="GQ64" s="500"/>
      <c r="GR64" s="578"/>
      <c r="GS64" s="409"/>
      <c r="GT64" s="1305"/>
      <c r="GU64" s="578"/>
      <c r="GV64" s="500"/>
      <c r="GW64" s="578"/>
      <c r="GX64" s="500"/>
      <c r="GY64" s="500"/>
      <c r="GZ64" s="579"/>
      <c r="HA64" s="579"/>
      <c r="HB64" s="579"/>
      <c r="HC64" s="562"/>
    </row>
    <row r="65" spans="1:211" ht="20.100000000000001" customHeight="1">
      <c r="A65" s="1163"/>
      <c r="B65" s="1164"/>
      <c r="C65" s="1164"/>
      <c r="D65" s="1232"/>
      <c r="E65" s="1233"/>
      <c r="F65" s="1234"/>
      <c r="G65" s="1235"/>
      <c r="H65" s="1168"/>
      <c r="I65" s="1236"/>
      <c r="J65" s="1237"/>
      <c r="K65" s="1238"/>
      <c r="L65" s="1237"/>
      <c r="M65" s="1238"/>
      <c r="N65" s="1237"/>
      <c r="O65" s="1238"/>
      <c r="P65" s="1237"/>
      <c r="Q65" s="1238"/>
      <c r="R65" s="1237"/>
      <c r="S65" s="1238"/>
      <c r="T65" s="1237"/>
      <c r="U65" s="1238"/>
      <c r="V65" s="1237"/>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c r="AS65" s="1238"/>
      <c r="AT65" s="1237"/>
      <c r="AU65" s="1238"/>
      <c r="AV65" s="1237"/>
      <c r="AW65" s="1238"/>
      <c r="AX65" s="1237"/>
      <c r="AY65" s="1238"/>
      <c r="AZ65" s="1237"/>
      <c r="BA65" s="1238"/>
      <c r="BB65" s="561"/>
      <c r="BC65" s="563"/>
      <c r="BD65" s="1163"/>
      <c r="BE65" s="1164"/>
      <c r="BF65" s="1164"/>
      <c r="BG65" s="1232"/>
      <c r="BH65" s="1233"/>
      <c r="BI65" s="1234"/>
      <c r="BJ65" s="1235"/>
      <c r="BK65" s="1168"/>
      <c r="BL65" s="1236"/>
      <c r="BM65" s="1237"/>
      <c r="BN65" s="1238"/>
      <c r="BO65" s="1237"/>
      <c r="BP65" s="1238"/>
      <c r="BQ65" s="1237"/>
      <c r="BR65" s="1238"/>
      <c r="BS65" s="1237"/>
      <c r="BT65" s="1238"/>
      <c r="BU65" s="1237"/>
      <c r="BV65" s="1238"/>
      <c r="BW65" s="1237"/>
      <c r="BX65" s="1238"/>
      <c r="BY65" s="1237"/>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c r="CV65" s="1238"/>
      <c r="CW65" s="1237"/>
      <c r="CX65" s="1238"/>
      <c r="CY65" s="1237"/>
      <c r="CZ65" s="1238"/>
      <c r="DA65" s="1237"/>
      <c r="DB65" s="1238"/>
      <c r="DC65" s="1237"/>
      <c r="DD65" s="1238"/>
      <c r="DE65" s="561"/>
      <c r="DF65" s="562"/>
      <c r="DG65" s="1163"/>
      <c r="DH65" s="1164"/>
      <c r="DI65" s="1164"/>
      <c r="DJ65" s="1232"/>
      <c r="DK65" s="1233"/>
      <c r="DL65" s="1234"/>
      <c r="DM65" s="1235"/>
      <c r="DN65" s="1168"/>
      <c r="DO65" s="1236"/>
      <c r="DP65" s="1237"/>
      <c r="DQ65" s="1238"/>
      <c r="DR65" s="1237"/>
      <c r="DS65" s="1238"/>
      <c r="DT65" s="1237"/>
      <c r="DU65" s="1238"/>
      <c r="DV65" s="1237"/>
      <c r="DW65" s="1238"/>
      <c r="DX65" s="1237"/>
      <c r="DY65" s="1238"/>
      <c r="DZ65" s="1237"/>
      <c r="EA65" s="1238"/>
      <c r="EB65" s="1237"/>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c r="EY65" s="1238"/>
      <c r="EZ65" s="1237"/>
      <c r="FA65" s="1238"/>
      <c r="FB65" s="1237"/>
      <c r="FC65" s="1238"/>
      <c r="FD65" s="1237"/>
      <c r="FE65" s="1238"/>
      <c r="FF65" s="1237"/>
      <c r="FG65" s="1238"/>
      <c r="FH65" s="561"/>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391"/>
      <c r="GK65" s="529"/>
      <c r="GL65" s="529"/>
      <c r="GM65" s="529"/>
      <c r="GN65" s="529"/>
      <c r="GO65" s="529"/>
      <c r="GP65" s="529"/>
      <c r="GQ65" s="529"/>
      <c r="GR65" s="529"/>
      <c r="GS65" s="409"/>
      <c r="GT65" s="1305"/>
      <c r="GU65" s="500"/>
      <c r="GV65" s="500"/>
      <c r="GW65" s="500"/>
      <c r="GX65" s="500"/>
      <c r="GY65" s="500"/>
      <c r="GZ65" s="579"/>
      <c r="HA65" s="579"/>
      <c r="HB65" s="579"/>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741</v>
      </c>
      <c r="FK66" s="1203"/>
      <c r="FL66" s="1249"/>
      <c r="FM66" s="1250" t="s">
        <v>624</v>
      </c>
      <c r="FN66" s="1251"/>
      <c r="FO66" s="1204"/>
      <c r="FP66" s="1210">
        <v>9</v>
      </c>
      <c r="FQ66" s="1252">
        <v>0</v>
      </c>
      <c r="FR66" s="1253">
        <v>0</v>
      </c>
      <c r="FS66" s="1213">
        <v>9</v>
      </c>
      <c r="FT66" s="1252">
        <v>0</v>
      </c>
      <c r="FU66" s="1254">
        <v>0</v>
      </c>
      <c r="FV66" s="1255"/>
      <c r="FW66" s="1256"/>
      <c r="FX66" s="1256"/>
      <c r="FY66" s="1256"/>
      <c r="FZ66" s="1256"/>
      <c r="GA66" s="1256"/>
      <c r="GB66" s="1256"/>
      <c r="GC66" s="1257"/>
      <c r="GD66" s="1213"/>
      <c r="GE66" s="1258">
        <v>0</v>
      </c>
      <c r="GF66" s="688"/>
      <c r="GG66" s="391"/>
      <c r="GH66" s="391"/>
      <c r="GI66" s="391"/>
      <c r="GJ66" s="483"/>
      <c r="GK66" s="529"/>
      <c r="GL66" s="530"/>
      <c r="GM66" s="529"/>
      <c r="GN66" s="530"/>
      <c r="GO66" s="529"/>
      <c r="GP66" s="529"/>
      <c r="GQ66" s="529"/>
      <c r="GR66" s="530"/>
      <c r="GT66" s="1305"/>
      <c r="GU66" s="579"/>
      <c r="GV66" s="579"/>
      <c r="GW66" s="579"/>
      <c r="GX66" s="579"/>
      <c r="GY66" s="579"/>
      <c r="GZ66" s="500"/>
      <c r="HA66" s="500"/>
      <c r="HB66" s="500"/>
      <c r="HC66" s="406"/>
    </row>
    <row r="67" spans="1:211" ht="20.100000000000001" customHeight="1" thickBot="1">
      <c r="BC67" s="389"/>
      <c r="DF67" s="389"/>
      <c r="FI67" s="389"/>
      <c r="GD67" s="688"/>
      <c r="GE67" s="799"/>
      <c r="GF67" s="688"/>
      <c r="GG67" s="483"/>
      <c r="GH67" s="483"/>
      <c r="GI67" s="483"/>
      <c r="GJ67" s="391"/>
      <c r="GT67" s="689"/>
      <c r="GU67" s="500"/>
      <c r="GV67" s="500"/>
      <c r="GW67" s="500"/>
      <c r="GX67" s="500"/>
      <c r="GY67" s="500"/>
      <c r="GZ67" s="579"/>
      <c r="HA67" s="578"/>
      <c r="HB67" s="579"/>
      <c r="HC67" s="406"/>
    </row>
    <row r="68" spans="1:211" ht="20.100000000000001" customHeight="1">
      <c r="A68" s="1260" t="s">
        <v>360</v>
      </c>
      <c r="B68" s="1261"/>
      <c r="C68" s="1261"/>
      <c r="D68" s="1261"/>
      <c r="E68" s="825"/>
      <c r="F68" s="825"/>
      <c r="G68" s="1262"/>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f>$G68</f>
        <v>0</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f>$G68</f>
        <v>0</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579"/>
      <c r="GU68" s="1303"/>
      <c r="GV68" s="1303"/>
      <c r="GW68" s="1303"/>
      <c r="GX68" s="1303"/>
      <c r="GY68" s="1121"/>
      <c r="GZ68" s="1304"/>
      <c r="HA68" s="1304"/>
      <c r="HB68" s="1304"/>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19">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3"/>
  <sheetViews>
    <sheetView showGridLines="0" zoomScale="90" zoomScaleNormal="90" workbookViewId="0"/>
  </sheetViews>
  <sheetFormatPr defaultColWidth="9.140625" defaultRowHeight="30" customHeight="1"/>
  <cols>
    <col min="1" max="1" width="69.28515625" style="9" customWidth="1"/>
    <col min="2" max="5" width="8" style="5" customWidth="1"/>
    <col min="6" max="16384" width="9.140625" style="5"/>
  </cols>
  <sheetData>
    <row r="1" spans="1:5" ht="30" customHeight="1">
      <c r="A1" s="1"/>
      <c r="B1" s="2"/>
      <c r="C1" s="3"/>
      <c r="D1" s="4" t="s">
        <v>0</v>
      </c>
      <c r="E1" s="2"/>
    </row>
    <row r="2" spans="1:5" ht="30" customHeight="1">
      <c r="A2" s="6"/>
    </row>
    <row r="3" spans="1:5" ht="30" customHeight="1">
      <c r="A3" s="6"/>
      <c r="D3" s="7"/>
    </row>
    <row r="4" spans="1:5" ht="30" customHeight="1">
      <c r="A4" s="6"/>
    </row>
    <row r="5" spans="1:5" ht="30" customHeight="1">
      <c r="A5" s="8" t="s">
        <v>1</v>
      </c>
    </row>
    <row r="6" spans="1:5" ht="30" customHeight="1">
      <c r="A6" s="6"/>
    </row>
    <row r="7" spans="1:5" ht="30" customHeight="1">
      <c r="A7" s="6" t="s">
        <v>2</v>
      </c>
    </row>
    <row r="8" spans="1:5" ht="30" customHeight="1">
      <c r="A8" s="6" t="s">
        <v>25</v>
      </c>
    </row>
    <row r="9" spans="1:5" ht="30" customHeight="1">
      <c r="A9" s="6" t="s">
        <v>107</v>
      </c>
    </row>
    <row r="10" spans="1:5" ht="30" customHeight="1">
      <c r="A10" s="6" t="s">
        <v>108</v>
      </c>
    </row>
    <row r="11" spans="1:5" ht="30" customHeight="1">
      <c r="A11" s="6" t="s">
        <v>189</v>
      </c>
    </row>
    <row r="12" spans="1:5" ht="30" customHeight="1">
      <c r="A12" s="6"/>
    </row>
    <row r="13" spans="1:5" ht="30" customHeight="1">
      <c r="A13" s="6"/>
    </row>
  </sheetData>
  <sheetProtection insertRows="0" deleteRows="0" sort="0" autoFilter="0"/>
  <phoneticPr fontId="4"/>
  <printOptions horizontalCentered="1"/>
  <pageMargins left="0.70866141732283472" right="0.70866141732283472" top="0.98425196850393704" bottom="0.51181102362204722" header="0.78740157480314965" footer="0.35433070866141736"/>
  <pageSetup paperSize="9" orientation="landscape" horizontalDpi="300" verticalDpi="300" r:id="rId1"/>
  <headerFooter scaleWithDoc="0" alignWithMargins="0">
    <oddFooter>&amp;C&amp;"ＭＳ Ｐゴシック,標準"&amp;9( &amp;P / &amp;N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898</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9時-18時</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9時-18時</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513</v>
      </c>
      <c r="GZ1" s="376" t="s">
        <v>812</v>
      </c>
      <c r="HA1" s="376"/>
      <c r="HB1" s="379"/>
      <c r="HC1" s="1276" t="s">
        <v>769</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380</v>
      </c>
      <c r="B3" s="394">
        <v>204</v>
      </c>
      <c r="C3" s="395" t="s">
        <v>650</v>
      </c>
      <c r="D3" s="396" t="s">
        <v>900</v>
      </c>
      <c r="E3" s="396"/>
      <c r="F3" s="396"/>
      <c r="G3" s="396"/>
      <c r="H3" s="396"/>
      <c r="I3" s="396"/>
      <c r="J3" s="397"/>
      <c r="K3" s="398" t="s">
        <v>901</v>
      </c>
      <c r="L3" s="399"/>
      <c r="M3" s="398" t="s">
        <v>902</v>
      </c>
      <c r="N3" s="399"/>
      <c r="O3" s="400" t="s">
        <v>382</v>
      </c>
      <c r="P3" s="401"/>
      <c r="Q3" s="401"/>
      <c r="R3" s="401"/>
      <c r="S3" s="401"/>
      <c r="T3" s="401"/>
      <c r="U3" s="401"/>
      <c r="V3" s="402"/>
      <c r="W3" s="403" t="s">
        <v>383</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384</v>
      </c>
      <c r="BE3" s="394">
        <v>204</v>
      </c>
      <c r="BF3" s="395" t="s">
        <v>373</v>
      </c>
      <c r="BG3" s="407" t="s">
        <v>897</v>
      </c>
      <c r="BH3" s="407"/>
      <c r="BI3" s="407"/>
      <c r="BJ3" s="407"/>
      <c r="BK3" s="407"/>
      <c r="BL3" s="407"/>
      <c r="BM3" s="408"/>
      <c r="BN3" s="398" t="s">
        <v>381</v>
      </c>
      <c r="BO3" s="399"/>
      <c r="BP3" s="398" t="s">
        <v>377</v>
      </c>
      <c r="BQ3" s="399"/>
      <c r="BR3" s="400" t="s">
        <v>378</v>
      </c>
      <c r="BS3" s="401"/>
      <c r="BT3" s="401"/>
      <c r="BU3" s="401"/>
      <c r="BV3" s="401"/>
      <c r="BW3" s="401"/>
      <c r="BX3" s="401"/>
      <c r="BY3" s="402"/>
      <c r="BZ3" s="403" t="s">
        <v>379</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380</v>
      </c>
      <c r="DH3" s="394">
        <v>204</v>
      </c>
      <c r="DI3" s="395" t="s">
        <v>373</v>
      </c>
      <c r="DJ3" s="407" t="s">
        <v>897</v>
      </c>
      <c r="DK3" s="407"/>
      <c r="DL3" s="407"/>
      <c r="DM3" s="407"/>
      <c r="DN3" s="407"/>
      <c r="DO3" s="407"/>
      <c r="DP3" s="408"/>
      <c r="DQ3" s="398" t="s">
        <v>376</v>
      </c>
      <c r="DR3" s="399"/>
      <c r="DS3" s="398" t="s">
        <v>377</v>
      </c>
      <c r="DT3" s="399"/>
      <c r="DU3" s="400" t="s">
        <v>378</v>
      </c>
      <c r="DV3" s="401"/>
      <c r="DW3" s="401"/>
      <c r="DX3" s="401"/>
      <c r="DY3" s="401"/>
      <c r="DZ3" s="401"/>
      <c r="EA3" s="401"/>
      <c r="EB3" s="402"/>
      <c r="EC3" s="403" t="s">
        <v>383</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384</v>
      </c>
      <c r="FK3" s="394">
        <v>204</v>
      </c>
      <c r="FL3" s="395" t="s">
        <v>373</v>
      </c>
      <c r="FM3" s="407" t="s">
        <v>897</v>
      </c>
      <c r="FN3" s="407"/>
      <c r="FO3" s="407"/>
      <c r="FP3" s="407"/>
      <c r="FQ3" s="407"/>
      <c r="FR3" s="407"/>
      <c r="FS3" s="408"/>
      <c r="FT3" s="398" t="s">
        <v>376</v>
      </c>
      <c r="FU3" s="399"/>
      <c r="FV3" s="398" t="s">
        <v>385</v>
      </c>
      <c r="FW3" s="399"/>
      <c r="FX3" s="400" t="s">
        <v>1109</v>
      </c>
      <c r="FY3" s="401"/>
      <c r="FZ3" s="401"/>
      <c r="GA3" s="401"/>
      <c r="GB3" s="401"/>
      <c r="GC3" s="401"/>
      <c r="GD3" s="401"/>
      <c r="GE3" s="402"/>
      <c r="GF3" s="403" t="s">
        <v>383</v>
      </c>
      <c r="GG3" s="404"/>
      <c r="GH3" s="405"/>
      <c r="GI3" s="409"/>
      <c r="GJ3" s="410" t="s">
        <v>683</v>
      </c>
      <c r="GK3" s="411"/>
      <c r="GL3" s="411"/>
      <c r="GM3" s="411"/>
      <c r="GN3" s="411"/>
      <c r="GO3" s="411"/>
      <c r="GP3" s="411"/>
      <c r="GQ3" s="411"/>
      <c r="GR3" s="412"/>
      <c r="GS3" s="413"/>
      <c r="GT3" s="410" t="s">
        <v>771</v>
      </c>
      <c r="GU3" s="411"/>
      <c r="GV3" s="411"/>
      <c r="GW3" s="411"/>
      <c r="GX3" s="411"/>
      <c r="GY3" s="411"/>
      <c r="GZ3" s="411"/>
      <c r="HA3" s="411"/>
      <c r="HB3" s="412"/>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653</v>
      </c>
      <c r="P4" s="425"/>
      <c r="Q4" s="426" t="s">
        <v>391</v>
      </c>
      <c r="R4" s="425"/>
      <c r="S4" s="427" t="s">
        <v>389</v>
      </c>
      <c r="T4" s="428"/>
      <c r="U4" s="429" t="s">
        <v>393</v>
      </c>
      <c r="V4" s="430"/>
      <c r="W4" s="431" t="s">
        <v>821</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387</v>
      </c>
      <c r="BS4" s="425"/>
      <c r="BT4" s="426" t="s">
        <v>388</v>
      </c>
      <c r="BU4" s="425"/>
      <c r="BV4" s="427" t="s">
        <v>389</v>
      </c>
      <c r="BW4" s="428"/>
      <c r="BX4" s="429" t="s">
        <v>390</v>
      </c>
      <c r="BY4" s="430"/>
      <c r="BZ4" s="431" t="s">
        <v>822</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387</v>
      </c>
      <c r="DV4" s="425"/>
      <c r="DW4" s="426" t="s">
        <v>388</v>
      </c>
      <c r="DX4" s="425"/>
      <c r="DY4" s="427" t="s">
        <v>389</v>
      </c>
      <c r="DZ4" s="428"/>
      <c r="EA4" s="429" t="s">
        <v>390</v>
      </c>
      <c r="EB4" s="430"/>
      <c r="EC4" s="431" t="s">
        <v>821</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653</v>
      </c>
      <c r="FY4" s="425"/>
      <c r="FZ4" s="426" t="s">
        <v>391</v>
      </c>
      <c r="GA4" s="425"/>
      <c r="GB4" s="427" t="s">
        <v>389</v>
      </c>
      <c r="GC4" s="428"/>
      <c r="GD4" s="429" t="s">
        <v>390</v>
      </c>
      <c r="GE4" s="430"/>
      <c r="GF4" s="431" t="s">
        <v>811</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c r="MO4" s="392" t="s">
        <v>811</v>
      </c>
    </row>
    <row r="5" spans="1:353" ht="24.95" customHeight="1" thickBot="1">
      <c r="A5" s="438" t="s">
        <v>395</v>
      </c>
      <c r="B5" s="439">
        <v>2</v>
      </c>
      <c r="C5" s="440" t="s">
        <v>656</v>
      </c>
      <c r="D5" s="441">
        <v>13.23</v>
      </c>
      <c r="E5" s="442" t="s">
        <v>398</v>
      </c>
      <c r="F5" s="443">
        <v>2.8</v>
      </c>
      <c r="G5" s="444" t="s">
        <v>399</v>
      </c>
      <c r="H5" s="445"/>
      <c r="I5" s="446">
        <v>37.1</v>
      </c>
      <c r="J5" s="447"/>
      <c r="K5" s="448">
        <v>120</v>
      </c>
      <c r="L5" s="449"/>
      <c r="M5" s="448">
        <v>20</v>
      </c>
      <c r="N5" s="449"/>
      <c r="O5" s="450" t="s">
        <v>400</v>
      </c>
      <c r="P5" s="451"/>
      <c r="Q5" s="452" t="s">
        <v>409</v>
      </c>
      <c r="R5" s="453"/>
      <c r="S5" s="454" t="s">
        <v>402</v>
      </c>
      <c r="T5" s="455"/>
      <c r="U5" s="456" t="s">
        <v>823</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395</v>
      </c>
      <c r="BE5" s="439">
        <v>2</v>
      </c>
      <c r="BF5" s="440" t="s">
        <v>278</v>
      </c>
      <c r="BG5" s="441">
        <v>13.23</v>
      </c>
      <c r="BH5" s="442" t="s">
        <v>410</v>
      </c>
      <c r="BI5" s="443">
        <v>2.8</v>
      </c>
      <c r="BJ5" s="444" t="s">
        <v>399</v>
      </c>
      <c r="BK5" s="445"/>
      <c r="BL5" s="446">
        <v>37.1</v>
      </c>
      <c r="BM5" s="447"/>
      <c r="BN5" s="448">
        <v>120</v>
      </c>
      <c r="BO5" s="449"/>
      <c r="BP5" s="448">
        <v>20</v>
      </c>
      <c r="BQ5" s="449"/>
      <c r="BR5" s="450" t="s">
        <v>400</v>
      </c>
      <c r="BS5" s="451"/>
      <c r="BT5" s="452" t="s">
        <v>409</v>
      </c>
      <c r="BU5" s="453"/>
      <c r="BV5" s="454" t="s">
        <v>406</v>
      </c>
      <c r="BW5" s="455"/>
      <c r="BX5" s="456" t="s">
        <v>403</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395</v>
      </c>
      <c r="DH5" s="439">
        <v>2</v>
      </c>
      <c r="DI5" s="440" t="s">
        <v>278</v>
      </c>
      <c r="DJ5" s="441">
        <v>13.23</v>
      </c>
      <c r="DK5" s="442" t="s">
        <v>398</v>
      </c>
      <c r="DL5" s="443">
        <v>2.8</v>
      </c>
      <c r="DM5" s="444" t="s">
        <v>399</v>
      </c>
      <c r="DN5" s="445"/>
      <c r="DO5" s="446">
        <v>37.1</v>
      </c>
      <c r="DP5" s="447"/>
      <c r="DQ5" s="448">
        <v>120</v>
      </c>
      <c r="DR5" s="449"/>
      <c r="DS5" s="448">
        <v>20</v>
      </c>
      <c r="DT5" s="449"/>
      <c r="DU5" s="450" t="s">
        <v>405</v>
      </c>
      <c r="DV5" s="451"/>
      <c r="DW5" s="452" t="s">
        <v>409</v>
      </c>
      <c r="DX5" s="453"/>
      <c r="DY5" s="454" t="s">
        <v>402</v>
      </c>
      <c r="DZ5" s="455"/>
      <c r="EA5" s="456" t="s">
        <v>823</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408</v>
      </c>
      <c r="FK5" s="439">
        <v>2</v>
      </c>
      <c r="FL5" s="440" t="s">
        <v>278</v>
      </c>
      <c r="FM5" s="441">
        <v>13.23</v>
      </c>
      <c r="FN5" s="442" t="s">
        <v>410</v>
      </c>
      <c r="FO5" s="443">
        <v>2.8</v>
      </c>
      <c r="FP5" s="444" t="s">
        <v>399</v>
      </c>
      <c r="FQ5" s="445"/>
      <c r="FR5" s="446">
        <v>37.1</v>
      </c>
      <c r="FS5" s="447"/>
      <c r="FT5" s="448">
        <v>120</v>
      </c>
      <c r="FU5" s="449"/>
      <c r="FV5" s="448">
        <v>20</v>
      </c>
      <c r="FW5" s="449"/>
      <c r="FX5" s="1430" t="s">
        <v>1099</v>
      </c>
      <c r="FY5" s="451"/>
      <c r="FZ5" s="1431" t="s">
        <v>1107</v>
      </c>
      <c r="GA5" s="453"/>
      <c r="GB5" s="1432" t="s">
        <v>1108</v>
      </c>
      <c r="GC5" s="455"/>
      <c r="GD5" s="1433" t="s">
        <v>1102</v>
      </c>
      <c r="GE5" s="457"/>
      <c r="GF5" s="458"/>
      <c r="GG5" s="459"/>
      <c r="GH5" s="460"/>
      <c r="GI5" s="462"/>
      <c r="GJ5" s="409"/>
      <c r="GK5" s="463" t="s">
        <v>772</v>
      </c>
      <c r="GL5" s="463"/>
      <c r="GM5" s="463"/>
      <c r="GN5" s="409" t="s">
        <v>826</v>
      </c>
      <c r="GO5" s="464"/>
      <c r="GP5" s="464"/>
      <c r="GQ5" s="464"/>
      <c r="GR5" s="409"/>
      <c r="GS5" s="409"/>
      <c r="GT5" s="413"/>
      <c r="GU5" s="463" t="s">
        <v>519</v>
      </c>
      <c r="GV5" s="463"/>
      <c r="GW5" s="463"/>
      <c r="GX5" s="409" t="s">
        <v>826</v>
      </c>
      <c r="GY5" s="464"/>
      <c r="GZ5" s="464"/>
      <c r="HA5" s="464"/>
      <c r="HB5" s="409"/>
      <c r="HC5" s="465"/>
      <c r="HD5" s="437"/>
      <c r="HE5" s="437"/>
      <c r="HF5" s="504"/>
      <c r="HG5" s="386"/>
    </row>
    <row r="6" spans="1:353" ht="20.100000000000001" customHeight="1" thickBot="1">
      <c r="A6" s="466" t="s">
        <v>415</v>
      </c>
      <c r="B6" s="467"/>
      <c r="C6" s="468" t="s">
        <v>416</v>
      </c>
      <c r="D6" s="468"/>
      <c r="E6" s="468"/>
      <c r="F6" s="469">
        <v>0</v>
      </c>
      <c r="G6" s="469"/>
      <c r="H6" s="468" t="s">
        <v>417</v>
      </c>
      <c r="I6" s="468"/>
      <c r="J6" s="468"/>
      <c r="K6" s="468"/>
      <c r="L6" s="468"/>
      <c r="M6" s="470">
        <v>0</v>
      </c>
      <c r="N6" s="470"/>
      <c r="O6" s="471"/>
      <c r="P6" s="472"/>
      <c r="Q6" s="472" t="s">
        <v>665</v>
      </c>
      <c r="R6" s="473">
        <v>0</v>
      </c>
      <c r="S6" s="473"/>
      <c r="T6" s="474"/>
      <c r="U6" s="475" t="s">
        <v>419</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29</v>
      </c>
      <c r="BC6" s="479"/>
      <c r="BD6" s="466" t="s">
        <v>664</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875</v>
      </c>
      <c r="DF6" s="481"/>
      <c r="DG6" s="466" t="s">
        <v>664</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423</v>
      </c>
      <c r="FI6" s="481"/>
      <c r="FJ6" s="466" t="s">
        <v>903</v>
      </c>
      <c r="FK6" s="467"/>
      <c r="FL6" s="468" t="s">
        <v>416</v>
      </c>
      <c r="FM6" s="468"/>
      <c r="FN6" s="468"/>
      <c r="FO6" s="469">
        <v>0</v>
      </c>
      <c r="FP6" s="469"/>
      <c r="FQ6" s="468" t="s">
        <v>417</v>
      </c>
      <c r="FR6" s="468"/>
      <c r="FS6" s="468"/>
      <c r="FT6" s="468"/>
      <c r="FU6" s="468"/>
      <c r="FV6" s="470">
        <v>0</v>
      </c>
      <c r="FW6" s="470"/>
      <c r="FX6" s="471"/>
      <c r="FY6" s="472"/>
      <c r="FZ6" s="472" t="s">
        <v>667</v>
      </c>
      <c r="GA6" s="473">
        <v>0</v>
      </c>
      <c r="GB6" s="473"/>
      <c r="GC6" s="474"/>
      <c r="GD6" s="475" t="s">
        <v>668</v>
      </c>
      <c r="GE6" s="476">
        <v>0</v>
      </c>
      <c r="GF6" s="476"/>
      <c r="GG6" s="477"/>
      <c r="GH6" s="472"/>
      <c r="GI6" s="472"/>
      <c r="GJ6" s="483"/>
      <c r="GK6" s="484" t="s">
        <v>828</v>
      </c>
      <c r="GL6" s="484"/>
      <c r="GM6" s="484"/>
      <c r="GN6" s="485">
        <v>2</v>
      </c>
      <c r="GO6" s="486"/>
      <c r="GP6" s="486"/>
      <c r="GQ6" s="486"/>
      <c r="GR6" s="483"/>
      <c r="GS6" s="483"/>
      <c r="GT6" s="413"/>
      <c r="GU6" s="484" t="s">
        <v>522</v>
      </c>
      <c r="GV6" s="484"/>
      <c r="GW6" s="484"/>
      <c r="GX6" s="485">
        <v>2</v>
      </c>
      <c r="GY6" s="413"/>
      <c r="GZ6" s="413"/>
      <c r="HA6" s="486"/>
      <c r="HB6" s="486"/>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470</v>
      </c>
      <c r="GK8" s="528"/>
      <c r="GL8" s="529"/>
      <c r="GM8" s="530"/>
      <c r="GN8" s="529"/>
      <c r="GO8" s="530"/>
      <c r="GP8" s="529"/>
      <c r="GQ8" s="529"/>
      <c r="GR8" s="529"/>
      <c r="GS8" s="529"/>
      <c r="GT8" s="528" t="s">
        <v>470</v>
      </c>
      <c r="GU8" s="528"/>
      <c r="GV8" s="413"/>
      <c r="GW8" s="483"/>
      <c r="GX8" s="486"/>
      <c r="GY8" s="483"/>
      <c r="GZ8" s="486"/>
      <c r="HA8" s="530"/>
      <c r="HB8" s="530"/>
      <c r="HC8" s="530"/>
      <c r="HD8" s="437"/>
      <c r="HE8" s="437"/>
      <c r="HF8" s="1275"/>
      <c r="HG8" s="1275"/>
    </row>
    <row r="9" spans="1:353" ht="22.5" customHeight="1">
      <c r="A9" s="532" t="s">
        <v>289</v>
      </c>
      <c r="B9" s="533" t="s">
        <v>290</v>
      </c>
      <c r="C9" s="534" t="s">
        <v>291</v>
      </c>
      <c r="D9" s="534" t="s">
        <v>885</v>
      </c>
      <c r="E9" s="535" t="s">
        <v>886</v>
      </c>
      <c r="F9" s="536" t="s">
        <v>294</v>
      </c>
      <c r="G9" s="537" t="s">
        <v>887</v>
      </c>
      <c r="H9" s="538" t="s">
        <v>888</v>
      </c>
      <c r="I9" s="539" t="s">
        <v>297</v>
      </c>
      <c r="J9" s="538" t="s">
        <v>888</v>
      </c>
      <c r="K9" s="539" t="s">
        <v>297</v>
      </c>
      <c r="L9" s="538" t="s">
        <v>888</v>
      </c>
      <c r="M9" s="539" t="s">
        <v>297</v>
      </c>
      <c r="N9" s="538" t="s">
        <v>888</v>
      </c>
      <c r="O9" s="539" t="s">
        <v>297</v>
      </c>
      <c r="P9" s="538" t="s">
        <v>888</v>
      </c>
      <c r="Q9" s="539" t="s">
        <v>297</v>
      </c>
      <c r="R9" s="538" t="s">
        <v>888</v>
      </c>
      <c r="S9" s="539" t="s">
        <v>297</v>
      </c>
      <c r="T9" s="538" t="s">
        <v>888</v>
      </c>
      <c r="U9" s="539" t="s">
        <v>297</v>
      </c>
      <c r="V9" s="538" t="s">
        <v>888</v>
      </c>
      <c r="W9" s="539" t="s">
        <v>297</v>
      </c>
      <c r="X9" s="538" t="s">
        <v>888</v>
      </c>
      <c r="Y9" s="539" t="s">
        <v>297</v>
      </c>
      <c r="Z9" s="538" t="s">
        <v>888</v>
      </c>
      <c r="AA9" s="539" t="s">
        <v>297</v>
      </c>
      <c r="AB9" s="538" t="s">
        <v>888</v>
      </c>
      <c r="AC9" s="539" t="s">
        <v>297</v>
      </c>
      <c r="AD9" s="538" t="s">
        <v>888</v>
      </c>
      <c r="AE9" s="539" t="s">
        <v>297</v>
      </c>
      <c r="AF9" s="538" t="s">
        <v>888</v>
      </c>
      <c r="AG9" s="539" t="s">
        <v>297</v>
      </c>
      <c r="AH9" s="538" t="s">
        <v>888</v>
      </c>
      <c r="AI9" s="539" t="s">
        <v>297</v>
      </c>
      <c r="AJ9" s="538" t="s">
        <v>888</v>
      </c>
      <c r="AK9" s="539" t="s">
        <v>297</v>
      </c>
      <c r="AL9" s="538" t="s">
        <v>888</v>
      </c>
      <c r="AM9" s="539" t="s">
        <v>297</v>
      </c>
      <c r="AN9" s="538" t="s">
        <v>888</v>
      </c>
      <c r="AO9" s="539" t="s">
        <v>297</v>
      </c>
      <c r="AP9" s="538" t="s">
        <v>888</v>
      </c>
      <c r="AQ9" s="539" t="s">
        <v>297</v>
      </c>
      <c r="AR9" s="538" t="s">
        <v>888</v>
      </c>
      <c r="AS9" s="539" t="s">
        <v>297</v>
      </c>
      <c r="AT9" s="538" t="s">
        <v>888</v>
      </c>
      <c r="AU9" s="539" t="s">
        <v>297</v>
      </c>
      <c r="AV9" s="538" t="s">
        <v>888</v>
      </c>
      <c r="AW9" s="539" t="s">
        <v>297</v>
      </c>
      <c r="AX9" s="538" t="s">
        <v>888</v>
      </c>
      <c r="AY9" s="539" t="s">
        <v>297</v>
      </c>
      <c r="AZ9" s="538" t="s">
        <v>888</v>
      </c>
      <c r="BA9" s="539" t="s">
        <v>297</v>
      </c>
      <c r="BB9" s="540" t="s">
        <v>298</v>
      </c>
      <c r="BC9" s="503"/>
      <c r="BD9" s="532" t="s">
        <v>289</v>
      </c>
      <c r="BE9" s="533" t="s">
        <v>290</v>
      </c>
      <c r="BF9" s="534" t="s">
        <v>291</v>
      </c>
      <c r="BG9" s="534" t="s">
        <v>885</v>
      </c>
      <c r="BH9" s="535" t="s">
        <v>886</v>
      </c>
      <c r="BI9" s="536" t="s">
        <v>294</v>
      </c>
      <c r="BJ9" s="537" t="s">
        <v>887</v>
      </c>
      <c r="BK9" s="538" t="s">
        <v>888</v>
      </c>
      <c r="BL9" s="539" t="s">
        <v>297</v>
      </c>
      <c r="BM9" s="538" t="s">
        <v>888</v>
      </c>
      <c r="BN9" s="539" t="s">
        <v>297</v>
      </c>
      <c r="BO9" s="538" t="s">
        <v>888</v>
      </c>
      <c r="BP9" s="539" t="s">
        <v>297</v>
      </c>
      <c r="BQ9" s="538" t="s">
        <v>888</v>
      </c>
      <c r="BR9" s="539" t="s">
        <v>297</v>
      </c>
      <c r="BS9" s="538" t="s">
        <v>888</v>
      </c>
      <c r="BT9" s="539" t="s">
        <v>297</v>
      </c>
      <c r="BU9" s="538" t="s">
        <v>888</v>
      </c>
      <c r="BV9" s="539" t="s">
        <v>297</v>
      </c>
      <c r="BW9" s="538" t="s">
        <v>888</v>
      </c>
      <c r="BX9" s="539" t="s">
        <v>297</v>
      </c>
      <c r="BY9" s="538" t="s">
        <v>888</v>
      </c>
      <c r="BZ9" s="539" t="s">
        <v>297</v>
      </c>
      <c r="CA9" s="538" t="s">
        <v>888</v>
      </c>
      <c r="CB9" s="539" t="s">
        <v>297</v>
      </c>
      <c r="CC9" s="538" t="s">
        <v>888</v>
      </c>
      <c r="CD9" s="539" t="s">
        <v>297</v>
      </c>
      <c r="CE9" s="538" t="s">
        <v>888</v>
      </c>
      <c r="CF9" s="539" t="s">
        <v>297</v>
      </c>
      <c r="CG9" s="538" t="s">
        <v>888</v>
      </c>
      <c r="CH9" s="539" t="s">
        <v>297</v>
      </c>
      <c r="CI9" s="538" t="s">
        <v>888</v>
      </c>
      <c r="CJ9" s="539" t="s">
        <v>297</v>
      </c>
      <c r="CK9" s="538" t="s">
        <v>888</v>
      </c>
      <c r="CL9" s="539" t="s">
        <v>297</v>
      </c>
      <c r="CM9" s="538" t="s">
        <v>888</v>
      </c>
      <c r="CN9" s="539" t="s">
        <v>297</v>
      </c>
      <c r="CO9" s="538" t="s">
        <v>888</v>
      </c>
      <c r="CP9" s="539" t="s">
        <v>297</v>
      </c>
      <c r="CQ9" s="538" t="s">
        <v>888</v>
      </c>
      <c r="CR9" s="539" t="s">
        <v>297</v>
      </c>
      <c r="CS9" s="538" t="s">
        <v>888</v>
      </c>
      <c r="CT9" s="539" t="s">
        <v>297</v>
      </c>
      <c r="CU9" s="538" t="s">
        <v>888</v>
      </c>
      <c r="CV9" s="539" t="s">
        <v>297</v>
      </c>
      <c r="CW9" s="538" t="s">
        <v>888</v>
      </c>
      <c r="CX9" s="539" t="s">
        <v>297</v>
      </c>
      <c r="CY9" s="538" t="s">
        <v>888</v>
      </c>
      <c r="CZ9" s="539" t="s">
        <v>297</v>
      </c>
      <c r="DA9" s="538" t="s">
        <v>888</v>
      </c>
      <c r="DB9" s="539" t="s">
        <v>297</v>
      </c>
      <c r="DC9" s="538" t="s">
        <v>888</v>
      </c>
      <c r="DD9" s="539" t="s">
        <v>297</v>
      </c>
      <c r="DE9" s="540" t="s">
        <v>298</v>
      </c>
      <c r="DF9" s="503"/>
      <c r="DG9" s="532" t="s">
        <v>289</v>
      </c>
      <c r="DH9" s="533" t="s">
        <v>290</v>
      </c>
      <c r="DI9" s="534" t="s">
        <v>291</v>
      </c>
      <c r="DJ9" s="534" t="s">
        <v>885</v>
      </c>
      <c r="DK9" s="535" t="s">
        <v>886</v>
      </c>
      <c r="DL9" s="536" t="s">
        <v>294</v>
      </c>
      <c r="DM9" s="537" t="s">
        <v>887</v>
      </c>
      <c r="DN9" s="538" t="s">
        <v>888</v>
      </c>
      <c r="DO9" s="539" t="s">
        <v>297</v>
      </c>
      <c r="DP9" s="538" t="s">
        <v>888</v>
      </c>
      <c r="DQ9" s="539" t="s">
        <v>297</v>
      </c>
      <c r="DR9" s="538" t="s">
        <v>888</v>
      </c>
      <c r="DS9" s="539" t="s">
        <v>297</v>
      </c>
      <c r="DT9" s="538" t="s">
        <v>888</v>
      </c>
      <c r="DU9" s="539" t="s">
        <v>297</v>
      </c>
      <c r="DV9" s="538" t="s">
        <v>888</v>
      </c>
      <c r="DW9" s="539" t="s">
        <v>297</v>
      </c>
      <c r="DX9" s="538" t="s">
        <v>888</v>
      </c>
      <c r="DY9" s="539" t="s">
        <v>297</v>
      </c>
      <c r="DZ9" s="538" t="s">
        <v>888</v>
      </c>
      <c r="EA9" s="539" t="s">
        <v>297</v>
      </c>
      <c r="EB9" s="538" t="s">
        <v>888</v>
      </c>
      <c r="EC9" s="539" t="s">
        <v>297</v>
      </c>
      <c r="ED9" s="538" t="s">
        <v>888</v>
      </c>
      <c r="EE9" s="539" t="s">
        <v>297</v>
      </c>
      <c r="EF9" s="538" t="s">
        <v>888</v>
      </c>
      <c r="EG9" s="539" t="s">
        <v>297</v>
      </c>
      <c r="EH9" s="538" t="s">
        <v>888</v>
      </c>
      <c r="EI9" s="539" t="s">
        <v>297</v>
      </c>
      <c r="EJ9" s="538" t="s">
        <v>888</v>
      </c>
      <c r="EK9" s="539" t="s">
        <v>297</v>
      </c>
      <c r="EL9" s="538" t="s">
        <v>888</v>
      </c>
      <c r="EM9" s="539" t="s">
        <v>297</v>
      </c>
      <c r="EN9" s="538" t="s">
        <v>888</v>
      </c>
      <c r="EO9" s="539" t="s">
        <v>297</v>
      </c>
      <c r="EP9" s="538" t="s">
        <v>888</v>
      </c>
      <c r="EQ9" s="539" t="s">
        <v>297</v>
      </c>
      <c r="ER9" s="538" t="s">
        <v>888</v>
      </c>
      <c r="ES9" s="539" t="s">
        <v>297</v>
      </c>
      <c r="ET9" s="538" t="s">
        <v>888</v>
      </c>
      <c r="EU9" s="539" t="s">
        <v>297</v>
      </c>
      <c r="EV9" s="538" t="s">
        <v>888</v>
      </c>
      <c r="EW9" s="539" t="s">
        <v>297</v>
      </c>
      <c r="EX9" s="538" t="s">
        <v>888</v>
      </c>
      <c r="EY9" s="539" t="s">
        <v>297</v>
      </c>
      <c r="EZ9" s="538" t="s">
        <v>888</v>
      </c>
      <c r="FA9" s="539" t="s">
        <v>297</v>
      </c>
      <c r="FB9" s="538" t="s">
        <v>888</v>
      </c>
      <c r="FC9" s="539" t="s">
        <v>297</v>
      </c>
      <c r="FD9" s="538" t="s">
        <v>888</v>
      </c>
      <c r="FE9" s="539" t="s">
        <v>297</v>
      </c>
      <c r="FF9" s="538" t="s">
        <v>888</v>
      </c>
      <c r="FG9" s="539" t="s">
        <v>297</v>
      </c>
      <c r="FH9" s="540" t="s">
        <v>298</v>
      </c>
      <c r="FI9" s="541"/>
      <c r="FJ9" s="542" t="s">
        <v>289</v>
      </c>
      <c r="FK9" s="533" t="s">
        <v>290</v>
      </c>
      <c r="FL9" s="534" t="s">
        <v>291</v>
      </c>
      <c r="FM9" s="534" t="s">
        <v>885</v>
      </c>
      <c r="FN9" s="535" t="s">
        <v>886</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689</v>
      </c>
      <c r="GL9" s="529"/>
      <c r="GM9" s="530"/>
      <c r="GN9" s="529"/>
      <c r="GO9" s="549">
        <v>0.92</v>
      </c>
      <c r="GP9" s="529"/>
      <c r="GQ9" s="529"/>
      <c r="GR9" s="529"/>
      <c r="GS9" s="529"/>
      <c r="GT9" s="550"/>
      <c r="GU9" s="483" t="s">
        <v>524</v>
      </c>
      <c r="GV9" s="413"/>
      <c r="GW9" s="483"/>
      <c r="GX9" s="551">
        <v>1</v>
      </c>
      <c r="GY9" s="483"/>
      <c r="GZ9" s="486"/>
      <c r="HA9" s="530"/>
      <c r="HB9" s="530"/>
      <c r="HC9" s="530"/>
      <c r="HD9" s="437"/>
      <c r="HE9" s="437"/>
      <c r="HF9" s="1279"/>
      <c r="HG9" s="1279"/>
    </row>
    <row r="10" spans="1:353" ht="20.100000000000001" customHeight="1">
      <c r="A10" s="552"/>
      <c r="B10" s="553"/>
      <c r="C10" s="554"/>
      <c r="D10" s="555"/>
      <c r="E10" s="553"/>
      <c r="F10" s="554"/>
      <c r="G10" s="556"/>
      <c r="H10" s="557"/>
      <c r="I10" s="558"/>
      <c r="J10" s="559"/>
      <c r="K10" s="560"/>
      <c r="L10" s="559"/>
      <c r="M10" s="560"/>
      <c r="N10" s="559"/>
      <c r="O10" s="560"/>
      <c r="P10" s="559"/>
      <c r="Q10" s="560"/>
      <c r="R10" s="559"/>
      <c r="S10" s="560"/>
      <c r="T10" s="559"/>
      <c r="U10" s="560"/>
      <c r="V10" s="559"/>
      <c r="W10" s="560"/>
      <c r="X10" s="559"/>
      <c r="Y10" s="560"/>
      <c r="Z10" s="559"/>
      <c r="AA10" s="560"/>
      <c r="AB10" s="559"/>
      <c r="AC10" s="560"/>
      <c r="AD10" s="559"/>
      <c r="AE10" s="560"/>
      <c r="AF10" s="559"/>
      <c r="AG10" s="560"/>
      <c r="AH10" s="559"/>
      <c r="AI10" s="560"/>
      <c r="AJ10" s="559"/>
      <c r="AK10" s="560"/>
      <c r="AL10" s="559"/>
      <c r="AM10" s="560"/>
      <c r="AN10" s="559"/>
      <c r="AO10" s="560"/>
      <c r="AP10" s="559"/>
      <c r="AQ10" s="560"/>
      <c r="AR10" s="559"/>
      <c r="AS10" s="560"/>
      <c r="AT10" s="559"/>
      <c r="AU10" s="560"/>
      <c r="AV10" s="559"/>
      <c r="AW10" s="560"/>
      <c r="AX10" s="559"/>
      <c r="AY10" s="560"/>
      <c r="AZ10" s="559"/>
      <c r="BA10" s="560"/>
      <c r="BB10" s="561"/>
      <c r="BC10" s="562"/>
      <c r="BD10" s="552"/>
      <c r="BE10" s="553"/>
      <c r="BF10" s="554"/>
      <c r="BG10" s="555"/>
      <c r="BH10" s="553"/>
      <c r="BI10" s="554"/>
      <c r="BJ10" s="556"/>
      <c r="BK10" s="557"/>
      <c r="BL10" s="558"/>
      <c r="BM10" s="559"/>
      <c r="BN10" s="560"/>
      <c r="BO10" s="559"/>
      <c r="BP10" s="560"/>
      <c r="BQ10" s="559"/>
      <c r="BR10" s="560"/>
      <c r="BS10" s="559"/>
      <c r="BT10" s="560"/>
      <c r="BU10" s="559"/>
      <c r="BV10" s="560"/>
      <c r="BW10" s="559"/>
      <c r="BX10" s="560"/>
      <c r="BY10" s="559"/>
      <c r="BZ10" s="560"/>
      <c r="CA10" s="559"/>
      <c r="CB10" s="560"/>
      <c r="CC10" s="559"/>
      <c r="CD10" s="560"/>
      <c r="CE10" s="559"/>
      <c r="CF10" s="560"/>
      <c r="CG10" s="559"/>
      <c r="CH10" s="560"/>
      <c r="CI10" s="559"/>
      <c r="CJ10" s="560"/>
      <c r="CK10" s="559"/>
      <c r="CL10" s="560"/>
      <c r="CM10" s="559"/>
      <c r="CN10" s="560"/>
      <c r="CO10" s="559"/>
      <c r="CP10" s="560"/>
      <c r="CQ10" s="559"/>
      <c r="CR10" s="560"/>
      <c r="CS10" s="559"/>
      <c r="CT10" s="560"/>
      <c r="CU10" s="559"/>
      <c r="CV10" s="560"/>
      <c r="CW10" s="559"/>
      <c r="CX10" s="560"/>
      <c r="CY10" s="559"/>
      <c r="CZ10" s="560"/>
      <c r="DA10" s="559"/>
      <c r="DB10" s="560"/>
      <c r="DC10" s="559"/>
      <c r="DD10" s="560"/>
      <c r="DE10" s="561"/>
      <c r="DF10" s="562"/>
      <c r="DG10" s="552"/>
      <c r="DH10" s="553"/>
      <c r="DI10" s="554"/>
      <c r="DJ10" s="555"/>
      <c r="DK10" s="553"/>
      <c r="DL10" s="554"/>
      <c r="DM10" s="556"/>
      <c r="DN10" s="557"/>
      <c r="DO10" s="558"/>
      <c r="DP10" s="559"/>
      <c r="DQ10" s="560"/>
      <c r="DR10" s="559"/>
      <c r="DS10" s="560"/>
      <c r="DT10" s="559"/>
      <c r="DU10" s="560"/>
      <c r="DV10" s="559"/>
      <c r="DW10" s="560"/>
      <c r="DX10" s="559"/>
      <c r="DY10" s="560"/>
      <c r="DZ10" s="559"/>
      <c r="EA10" s="560"/>
      <c r="EB10" s="559"/>
      <c r="EC10" s="560"/>
      <c r="ED10" s="559"/>
      <c r="EE10" s="560"/>
      <c r="EF10" s="559"/>
      <c r="EG10" s="560"/>
      <c r="EH10" s="559"/>
      <c r="EI10" s="560"/>
      <c r="EJ10" s="559"/>
      <c r="EK10" s="560"/>
      <c r="EL10" s="559"/>
      <c r="EM10" s="560"/>
      <c r="EN10" s="559"/>
      <c r="EO10" s="560"/>
      <c r="EP10" s="559"/>
      <c r="EQ10" s="560"/>
      <c r="ER10" s="559"/>
      <c r="ES10" s="560"/>
      <c r="ET10" s="559"/>
      <c r="EU10" s="560"/>
      <c r="EV10" s="559"/>
      <c r="EW10" s="560"/>
      <c r="EX10" s="559"/>
      <c r="EY10" s="560"/>
      <c r="EZ10" s="559"/>
      <c r="FA10" s="560"/>
      <c r="FB10" s="559"/>
      <c r="FC10" s="560"/>
      <c r="FD10" s="559"/>
      <c r="FE10" s="560"/>
      <c r="FF10" s="559"/>
      <c r="FG10" s="560"/>
      <c r="FH10" s="561"/>
      <c r="FI10" s="563"/>
      <c r="FJ10" s="564"/>
      <c r="FK10" s="553"/>
      <c r="FL10" s="554"/>
      <c r="FM10" s="555"/>
      <c r="FN10" s="553"/>
      <c r="FO10" s="554"/>
      <c r="FP10" s="565"/>
      <c r="FQ10" s="558"/>
      <c r="FR10" s="557" t="s">
        <v>629</v>
      </c>
      <c r="FS10" s="566"/>
      <c r="FT10" s="558"/>
      <c r="FU10" s="567" t="s">
        <v>889</v>
      </c>
      <c r="FV10" s="568" t="s">
        <v>301</v>
      </c>
      <c r="FW10" s="1299"/>
      <c r="FX10" s="1281" t="s">
        <v>302</v>
      </c>
      <c r="FY10" s="1300"/>
      <c r="FZ10" s="1283" t="s">
        <v>303</v>
      </c>
      <c r="GA10" s="1301"/>
      <c r="GB10" s="1285" t="s">
        <v>367</v>
      </c>
      <c r="GC10" s="1302"/>
      <c r="GD10" s="576" t="s">
        <v>899</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889</v>
      </c>
      <c r="FS11" s="591"/>
      <c r="FT11" s="586"/>
      <c r="FU11" s="592" t="s">
        <v>889</v>
      </c>
      <c r="FV11" s="593"/>
      <c r="FW11" s="594"/>
      <c r="FX11" s="595"/>
      <c r="FY11" s="596"/>
      <c r="FZ11" s="597"/>
      <c r="GA11" s="598"/>
      <c r="GB11" s="599"/>
      <c r="GC11" s="600"/>
      <c r="GD11" s="599"/>
      <c r="GE11" s="601"/>
      <c r="GF11" s="499"/>
      <c r="GG11" s="602"/>
      <c r="GH11" s="602"/>
      <c r="GI11" s="602"/>
      <c r="GJ11" s="529"/>
      <c r="GK11" s="580" t="s">
        <v>525</v>
      </c>
      <c r="GL11" s="413"/>
      <c r="GM11" s="483"/>
      <c r="GN11" s="486"/>
      <c r="GO11" s="483"/>
      <c r="GP11" s="413"/>
      <c r="GQ11" s="529"/>
      <c r="GR11" s="529"/>
      <c r="GS11" s="529"/>
      <c r="GT11" s="548"/>
      <c r="GU11" s="580" t="s">
        <v>691</v>
      </c>
      <c r="GV11" s="413"/>
      <c r="GW11" s="483"/>
      <c r="GX11" s="486"/>
      <c r="GY11" s="483"/>
      <c r="GZ11" s="413"/>
      <c r="HA11" s="530"/>
      <c r="HB11" s="530"/>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889</v>
      </c>
      <c r="FS12" s="591"/>
      <c r="FT12" s="586"/>
      <c r="FU12" s="592" t="s">
        <v>629</v>
      </c>
      <c r="FV12" s="593"/>
      <c r="FW12" s="594"/>
      <c r="FX12" s="595"/>
      <c r="FY12" s="596"/>
      <c r="FZ12" s="597"/>
      <c r="GA12" s="598"/>
      <c r="GB12" s="599"/>
      <c r="GC12" s="600"/>
      <c r="GD12" s="599"/>
      <c r="GE12" s="601"/>
      <c r="GF12" s="499"/>
      <c r="GG12" s="602"/>
      <c r="GH12" s="602"/>
      <c r="GI12" s="602"/>
      <c r="GJ12" s="413"/>
      <c r="GK12" s="603" t="s">
        <v>380</v>
      </c>
      <c r="GL12" s="604"/>
      <c r="GM12" s="605" t="s">
        <v>774</v>
      </c>
      <c r="GN12" s="606" t="s">
        <v>831</v>
      </c>
      <c r="GO12" s="607" t="s">
        <v>529</v>
      </c>
      <c r="GP12" s="608" t="s">
        <v>692</v>
      </c>
      <c r="GQ12" s="607" t="s">
        <v>531</v>
      </c>
      <c r="GR12" s="607" t="s">
        <v>532</v>
      </c>
      <c r="GS12" s="609"/>
      <c r="GT12" s="548"/>
      <c r="GU12" s="603" t="s">
        <v>384</v>
      </c>
      <c r="GV12" s="604"/>
      <c r="GW12" s="605" t="s">
        <v>774</v>
      </c>
      <c r="GX12" s="610" t="s">
        <v>534</v>
      </c>
      <c r="GY12" s="611"/>
      <c r="GZ12" s="612" t="s">
        <v>832</v>
      </c>
      <c r="HA12" s="613" t="s">
        <v>535</v>
      </c>
      <c r="HB12" s="614"/>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889</v>
      </c>
      <c r="FS13" s="626"/>
      <c r="FT13" s="621"/>
      <c r="FU13" s="627" t="s">
        <v>629</v>
      </c>
      <c r="FV13" s="593"/>
      <c r="FW13" s="594"/>
      <c r="FX13" s="595"/>
      <c r="FY13" s="596"/>
      <c r="FZ13" s="597"/>
      <c r="GA13" s="598"/>
      <c r="GB13" s="599"/>
      <c r="GC13" s="600"/>
      <c r="GD13" s="599"/>
      <c r="GE13" s="601"/>
      <c r="GF13" s="499"/>
      <c r="GG13" s="602"/>
      <c r="GH13" s="602"/>
      <c r="GI13" s="602"/>
      <c r="GJ13" s="413"/>
      <c r="GK13" s="628"/>
      <c r="GL13" s="629"/>
      <c r="GM13" s="630"/>
      <c r="GN13" s="631"/>
      <c r="GO13" s="632"/>
      <c r="GP13" s="632"/>
      <c r="GQ13" s="633">
        <v>0</v>
      </c>
      <c r="GR13" s="634">
        <v>0</v>
      </c>
      <c r="GS13" s="578"/>
      <c r="GT13" s="413"/>
      <c r="GU13" s="628"/>
      <c r="GV13" s="629"/>
      <c r="GW13" s="635"/>
      <c r="GX13" s="636"/>
      <c r="GY13" s="637"/>
      <c r="GZ13" s="638"/>
      <c r="HA13" s="639">
        <v>0</v>
      </c>
      <c r="HB13" s="640"/>
      <c r="HC13" s="530"/>
      <c r="HD13" s="799"/>
      <c r="HE13" s="437"/>
      <c r="HF13" s="386"/>
      <c r="HG13" s="386"/>
    </row>
    <row r="14" spans="1:353" ht="20.100000000000001" customHeight="1">
      <c r="A14" s="641"/>
      <c r="B14" s="642"/>
      <c r="C14" s="642"/>
      <c r="D14" s="643" t="s">
        <v>890</v>
      </c>
      <c r="E14" s="642"/>
      <c r="F14" s="642"/>
      <c r="G14" s="644"/>
      <c r="H14" s="645">
        <f>SUM(H10:H13)</f>
        <v>0</v>
      </c>
      <c r="I14" s="735"/>
      <c r="J14" s="645">
        <f>SUM(J10:J13)</f>
        <v>0</v>
      </c>
      <c r="K14" s="735"/>
      <c r="L14" s="645">
        <f>SUM(L10:L13)</f>
        <v>0</v>
      </c>
      <c r="M14" s="735"/>
      <c r="N14" s="645">
        <f>SUM(N10:N13)</f>
        <v>0</v>
      </c>
      <c r="O14" s="735"/>
      <c r="P14" s="645">
        <f>SUM(P10:P13)</f>
        <v>0</v>
      </c>
      <c r="Q14" s="735"/>
      <c r="R14" s="645">
        <f>SUM(R10:R13)</f>
        <v>0</v>
      </c>
      <c r="S14" s="735"/>
      <c r="T14" s="645">
        <f>SUM(T10:T13)</f>
        <v>0</v>
      </c>
      <c r="U14" s="735"/>
      <c r="V14" s="645">
        <f>SUM(V10:V13)</f>
        <v>0</v>
      </c>
      <c r="W14" s="735"/>
      <c r="X14" s="645">
        <f>SUM(X10:X13)</f>
        <v>0</v>
      </c>
      <c r="Y14" s="735"/>
      <c r="Z14" s="645">
        <f>SUM(Z10:Z13)</f>
        <v>0</v>
      </c>
      <c r="AA14" s="735"/>
      <c r="AB14" s="645">
        <f>SUM(AB10:AB13)</f>
        <v>0</v>
      </c>
      <c r="AC14" s="735"/>
      <c r="AD14" s="645">
        <f>SUM(AD10:AD13)</f>
        <v>0</v>
      </c>
      <c r="AE14" s="735"/>
      <c r="AF14" s="645">
        <f>SUM(AF10:AF13)</f>
        <v>0</v>
      </c>
      <c r="AG14" s="735"/>
      <c r="AH14" s="645">
        <f>SUM(AH10:AH13)</f>
        <v>0</v>
      </c>
      <c r="AI14" s="735"/>
      <c r="AJ14" s="645">
        <f>SUM(AJ10:AJ13)</f>
        <v>0</v>
      </c>
      <c r="AK14" s="735"/>
      <c r="AL14" s="645">
        <f>SUM(AL10:AL13)</f>
        <v>0</v>
      </c>
      <c r="AM14" s="735"/>
      <c r="AN14" s="645">
        <f>SUM(AN10:AN13)</f>
        <v>0</v>
      </c>
      <c r="AO14" s="735"/>
      <c r="AP14" s="645">
        <f>SUM(AP10:AP13)</f>
        <v>0</v>
      </c>
      <c r="AQ14" s="735"/>
      <c r="AR14" s="645">
        <f>SUM(AR10:AR13)</f>
        <v>0</v>
      </c>
      <c r="AS14" s="735"/>
      <c r="AT14" s="645">
        <f>SUM(AT10:AT13)</f>
        <v>0</v>
      </c>
      <c r="AU14" s="735"/>
      <c r="AV14" s="645">
        <f>SUM(AV10:AV13)</f>
        <v>0</v>
      </c>
      <c r="AW14" s="735"/>
      <c r="AX14" s="645">
        <f>SUM(AX10:AX13)</f>
        <v>0</v>
      </c>
      <c r="AY14" s="735"/>
      <c r="AZ14" s="645">
        <f>SUM(AZ10:AZ13)</f>
        <v>0</v>
      </c>
      <c r="BA14" s="735"/>
      <c r="BB14" s="647">
        <f>SUM(BB10:BB13)</f>
        <v>0</v>
      </c>
      <c r="BC14" s="648"/>
      <c r="BD14" s="641"/>
      <c r="BE14" s="642"/>
      <c r="BF14" s="642"/>
      <c r="BG14" s="643" t="s">
        <v>891</v>
      </c>
      <c r="BH14" s="642"/>
      <c r="BI14" s="642"/>
      <c r="BJ14" s="644"/>
      <c r="BK14" s="645">
        <f>SUM(BK10:BK13)</f>
        <v>0</v>
      </c>
      <c r="BL14" s="735"/>
      <c r="BM14" s="645">
        <f>SUM(BM10:BM13)</f>
        <v>0</v>
      </c>
      <c r="BN14" s="735"/>
      <c r="BO14" s="645">
        <f>SUM(BO10:BO13)</f>
        <v>0</v>
      </c>
      <c r="BP14" s="735"/>
      <c r="BQ14" s="645">
        <f>SUM(BQ10:BQ13)</f>
        <v>0</v>
      </c>
      <c r="BR14" s="735"/>
      <c r="BS14" s="645">
        <f>SUM(BS10:BS13)</f>
        <v>0</v>
      </c>
      <c r="BT14" s="735"/>
      <c r="BU14" s="645">
        <f>SUM(BU10:BU13)</f>
        <v>0</v>
      </c>
      <c r="BV14" s="735"/>
      <c r="BW14" s="645">
        <f>SUM(BW10:BW13)</f>
        <v>0</v>
      </c>
      <c r="BX14" s="735"/>
      <c r="BY14" s="645">
        <f>SUM(BY10:BY13)</f>
        <v>0</v>
      </c>
      <c r="BZ14" s="735"/>
      <c r="CA14" s="645">
        <f>SUM(CA10:CA13)</f>
        <v>0</v>
      </c>
      <c r="CB14" s="735"/>
      <c r="CC14" s="645">
        <f>SUM(CC10:CC13)</f>
        <v>0</v>
      </c>
      <c r="CD14" s="735"/>
      <c r="CE14" s="645">
        <f>SUM(CE10:CE13)</f>
        <v>0</v>
      </c>
      <c r="CF14" s="735"/>
      <c r="CG14" s="645">
        <f>SUM(CG10:CG13)</f>
        <v>0</v>
      </c>
      <c r="CH14" s="735"/>
      <c r="CI14" s="645">
        <f>SUM(CI10:CI13)</f>
        <v>0</v>
      </c>
      <c r="CJ14" s="735"/>
      <c r="CK14" s="645">
        <f>SUM(CK10:CK13)</f>
        <v>0</v>
      </c>
      <c r="CL14" s="735"/>
      <c r="CM14" s="645">
        <f>SUM(CM10:CM13)</f>
        <v>0</v>
      </c>
      <c r="CN14" s="735"/>
      <c r="CO14" s="645">
        <f>SUM(CO10:CO13)</f>
        <v>0</v>
      </c>
      <c r="CP14" s="735"/>
      <c r="CQ14" s="645">
        <f>SUM(CQ10:CQ13)</f>
        <v>0</v>
      </c>
      <c r="CR14" s="735"/>
      <c r="CS14" s="645">
        <f>SUM(CS10:CS13)</f>
        <v>0</v>
      </c>
      <c r="CT14" s="735"/>
      <c r="CU14" s="645">
        <f>SUM(CU10:CU13)</f>
        <v>0</v>
      </c>
      <c r="CV14" s="735"/>
      <c r="CW14" s="645">
        <f>SUM(CW10:CW13)</f>
        <v>0</v>
      </c>
      <c r="CX14" s="735"/>
      <c r="CY14" s="645">
        <f>SUM(CY10:CY13)</f>
        <v>0</v>
      </c>
      <c r="CZ14" s="735"/>
      <c r="DA14" s="645">
        <f>SUM(DA10:DA13)</f>
        <v>0</v>
      </c>
      <c r="DB14" s="735"/>
      <c r="DC14" s="645">
        <f>SUM(DC10:DC13)</f>
        <v>0</v>
      </c>
      <c r="DD14" s="735"/>
      <c r="DE14" s="647">
        <f>SUM(DE10:DE13)</f>
        <v>0</v>
      </c>
      <c r="DF14" s="648"/>
      <c r="DG14" s="641"/>
      <c r="DH14" s="642"/>
      <c r="DI14" s="642"/>
      <c r="DJ14" s="643" t="s">
        <v>891</v>
      </c>
      <c r="DK14" s="642"/>
      <c r="DL14" s="642"/>
      <c r="DM14" s="644"/>
      <c r="DN14" s="645">
        <f>SUM(DN10:DN13)</f>
        <v>0</v>
      </c>
      <c r="DO14" s="735"/>
      <c r="DP14" s="645">
        <f>SUM(DP10:DP13)</f>
        <v>0</v>
      </c>
      <c r="DQ14" s="735"/>
      <c r="DR14" s="645">
        <f>SUM(DR10:DR13)</f>
        <v>0</v>
      </c>
      <c r="DS14" s="735"/>
      <c r="DT14" s="645">
        <f>SUM(DT10:DT13)</f>
        <v>0</v>
      </c>
      <c r="DU14" s="735"/>
      <c r="DV14" s="645">
        <f>SUM(DV10:DV13)</f>
        <v>0</v>
      </c>
      <c r="DW14" s="735"/>
      <c r="DX14" s="645">
        <f>SUM(DX10:DX13)</f>
        <v>0</v>
      </c>
      <c r="DY14" s="735"/>
      <c r="DZ14" s="645">
        <f>SUM(DZ10:DZ13)</f>
        <v>0</v>
      </c>
      <c r="EA14" s="735"/>
      <c r="EB14" s="645">
        <f>SUM(EB10:EB13)</f>
        <v>0</v>
      </c>
      <c r="EC14" s="735"/>
      <c r="ED14" s="645">
        <f>SUM(ED10:ED13)</f>
        <v>0</v>
      </c>
      <c r="EE14" s="735"/>
      <c r="EF14" s="645">
        <f>SUM(EF10:EF13)</f>
        <v>0</v>
      </c>
      <c r="EG14" s="735"/>
      <c r="EH14" s="645">
        <f>SUM(EH10:EH13)</f>
        <v>0</v>
      </c>
      <c r="EI14" s="735"/>
      <c r="EJ14" s="645">
        <f>SUM(EJ10:EJ13)</f>
        <v>0</v>
      </c>
      <c r="EK14" s="735"/>
      <c r="EL14" s="645">
        <f>SUM(EL10:EL13)</f>
        <v>0</v>
      </c>
      <c r="EM14" s="735"/>
      <c r="EN14" s="645">
        <f>SUM(EN10:EN13)</f>
        <v>0</v>
      </c>
      <c r="EO14" s="735"/>
      <c r="EP14" s="645">
        <f>SUM(EP10:EP13)</f>
        <v>0</v>
      </c>
      <c r="EQ14" s="735"/>
      <c r="ER14" s="645">
        <f>SUM(ER10:ER13)</f>
        <v>0</v>
      </c>
      <c r="ES14" s="735"/>
      <c r="ET14" s="645">
        <f>SUM(ET10:ET13)</f>
        <v>0</v>
      </c>
      <c r="EU14" s="735"/>
      <c r="EV14" s="645">
        <f>SUM(EV10:EV13)</f>
        <v>0</v>
      </c>
      <c r="EW14" s="735"/>
      <c r="EX14" s="645">
        <f>SUM(EX10:EX13)</f>
        <v>0</v>
      </c>
      <c r="EY14" s="735"/>
      <c r="EZ14" s="645">
        <f>SUM(EZ10:EZ13)</f>
        <v>0</v>
      </c>
      <c r="FA14" s="735"/>
      <c r="FB14" s="645">
        <f>SUM(FB10:FB13)</f>
        <v>0</v>
      </c>
      <c r="FC14" s="735"/>
      <c r="FD14" s="645">
        <f>SUM(FD10:FD13)</f>
        <v>0</v>
      </c>
      <c r="FE14" s="735"/>
      <c r="FF14" s="645">
        <f>SUM(FF10:FF13)</f>
        <v>0</v>
      </c>
      <c r="FG14" s="735"/>
      <c r="FH14" s="647">
        <f>SUM(FH10:FH13)</f>
        <v>0</v>
      </c>
      <c r="FI14" s="649"/>
      <c r="FJ14" s="564"/>
      <c r="FK14" s="642"/>
      <c r="FL14" s="642"/>
      <c r="FM14" s="643" t="s">
        <v>750</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c r="GV14" s="629"/>
      <c r="GW14" s="635"/>
      <c r="GX14" s="636"/>
      <c r="GY14" s="637"/>
      <c r="GZ14" s="638"/>
      <c r="HA14" s="639">
        <v>0</v>
      </c>
      <c r="HB14" s="640"/>
      <c r="HC14" s="530"/>
      <c r="HD14" s="1278"/>
      <c r="HE14" s="415"/>
      <c r="HF14" s="415"/>
      <c r="HG14" s="415"/>
    </row>
    <row r="15" spans="1:353" ht="24" customHeight="1">
      <c r="A15" s="532" t="s">
        <v>307</v>
      </c>
      <c r="B15" s="658" t="s">
        <v>290</v>
      </c>
      <c r="C15" s="659" t="s">
        <v>291</v>
      </c>
      <c r="D15" s="660" t="s">
        <v>639</v>
      </c>
      <c r="E15" s="660" t="s">
        <v>309</v>
      </c>
      <c r="F15" s="661" t="s">
        <v>310</v>
      </c>
      <c r="G15" s="662" t="s">
        <v>892</v>
      </c>
      <c r="H15" s="663" t="s">
        <v>635</v>
      </c>
      <c r="I15" s="664" t="s">
        <v>313</v>
      </c>
      <c r="J15" s="663" t="s">
        <v>637</v>
      </c>
      <c r="K15" s="664" t="s">
        <v>313</v>
      </c>
      <c r="L15" s="663" t="s">
        <v>893</v>
      </c>
      <c r="M15" s="664" t="s">
        <v>313</v>
      </c>
      <c r="N15" s="663" t="s">
        <v>635</v>
      </c>
      <c r="O15" s="664" t="s">
        <v>313</v>
      </c>
      <c r="P15" s="663" t="s">
        <v>637</v>
      </c>
      <c r="Q15" s="664" t="s">
        <v>313</v>
      </c>
      <c r="R15" s="663" t="s">
        <v>893</v>
      </c>
      <c r="S15" s="664" t="s">
        <v>313</v>
      </c>
      <c r="T15" s="663" t="s">
        <v>893</v>
      </c>
      <c r="U15" s="664" t="s">
        <v>313</v>
      </c>
      <c r="V15" s="663" t="s">
        <v>893</v>
      </c>
      <c r="W15" s="664" t="s">
        <v>313</v>
      </c>
      <c r="X15" s="663" t="s">
        <v>893</v>
      </c>
      <c r="Y15" s="664" t="s">
        <v>313</v>
      </c>
      <c r="Z15" s="663" t="s">
        <v>637</v>
      </c>
      <c r="AA15" s="664" t="s">
        <v>313</v>
      </c>
      <c r="AB15" s="663" t="s">
        <v>637</v>
      </c>
      <c r="AC15" s="664" t="s">
        <v>313</v>
      </c>
      <c r="AD15" s="663" t="s">
        <v>893</v>
      </c>
      <c r="AE15" s="664" t="s">
        <v>313</v>
      </c>
      <c r="AF15" s="663" t="s">
        <v>893</v>
      </c>
      <c r="AG15" s="664" t="s">
        <v>313</v>
      </c>
      <c r="AH15" s="663" t="s">
        <v>637</v>
      </c>
      <c r="AI15" s="664" t="s">
        <v>313</v>
      </c>
      <c r="AJ15" s="663" t="s">
        <v>635</v>
      </c>
      <c r="AK15" s="664" t="s">
        <v>313</v>
      </c>
      <c r="AL15" s="663" t="s">
        <v>637</v>
      </c>
      <c r="AM15" s="664" t="s">
        <v>313</v>
      </c>
      <c r="AN15" s="663" t="s">
        <v>637</v>
      </c>
      <c r="AO15" s="664" t="s">
        <v>313</v>
      </c>
      <c r="AP15" s="663" t="s">
        <v>637</v>
      </c>
      <c r="AQ15" s="664" t="s">
        <v>313</v>
      </c>
      <c r="AR15" s="663" t="s">
        <v>637</v>
      </c>
      <c r="AS15" s="664" t="s">
        <v>313</v>
      </c>
      <c r="AT15" s="663" t="s">
        <v>635</v>
      </c>
      <c r="AU15" s="664" t="s">
        <v>313</v>
      </c>
      <c r="AV15" s="663" t="s">
        <v>635</v>
      </c>
      <c r="AW15" s="664" t="s">
        <v>313</v>
      </c>
      <c r="AX15" s="663" t="s">
        <v>893</v>
      </c>
      <c r="AY15" s="664" t="s">
        <v>313</v>
      </c>
      <c r="AZ15" s="663" t="s">
        <v>635</v>
      </c>
      <c r="BA15" s="664" t="s">
        <v>313</v>
      </c>
      <c r="BB15" s="665" t="s">
        <v>316</v>
      </c>
      <c r="BC15" s="666"/>
      <c r="BD15" s="532" t="s">
        <v>307</v>
      </c>
      <c r="BE15" s="658" t="s">
        <v>290</v>
      </c>
      <c r="BF15" s="659" t="s">
        <v>291</v>
      </c>
      <c r="BG15" s="660" t="s">
        <v>885</v>
      </c>
      <c r="BH15" s="660" t="s">
        <v>309</v>
      </c>
      <c r="BI15" s="661" t="s">
        <v>310</v>
      </c>
      <c r="BJ15" s="662" t="s">
        <v>894</v>
      </c>
      <c r="BK15" s="663" t="s">
        <v>637</v>
      </c>
      <c r="BL15" s="664" t="s">
        <v>313</v>
      </c>
      <c r="BM15" s="663" t="s">
        <v>637</v>
      </c>
      <c r="BN15" s="664" t="s">
        <v>313</v>
      </c>
      <c r="BO15" s="663" t="s">
        <v>637</v>
      </c>
      <c r="BP15" s="664" t="s">
        <v>313</v>
      </c>
      <c r="BQ15" s="663" t="s">
        <v>895</v>
      </c>
      <c r="BR15" s="664" t="s">
        <v>313</v>
      </c>
      <c r="BS15" s="663" t="s">
        <v>637</v>
      </c>
      <c r="BT15" s="664" t="s">
        <v>313</v>
      </c>
      <c r="BU15" s="663" t="s">
        <v>895</v>
      </c>
      <c r="BV15" s="664" t="s">
        <v>313</v>
      </c>
      <c r="BW15" s="663" t="s">
        <v>893</v>
      </c>
      <c r="BX15" s="664" t="s">
        <v>313</v>
      </c>
      <c r="BY15" s="663" t="s">
        <v>635</v>
      </c>
      <c r="BZ15" s="664" t="s">
        <v>313</v>
      </c>
      <c r="CA15" s="663" t="s">
        <v>637</v>
      </c>
      <c r="CB15" s="664" t="s">
        <v>313</v>
      </c>
      <c r="CC15" s="663" t="s">
        <v>893</v>
      </c>
      <c r="CD15" s="664" t="s">
        <v>313</v>
      </c>
      <c r="CE15" s="663" t="s">
        <v>637</v>
      </c>
      <c r="CF15" s="664" t="s">
        <v>313</v>
      </c>
      <c r="CG15" s="663" t="s">
        <v>893</v>
      </c>
      <c r="CH15" s="664" t="s">
        <v>313</v>
      </c>
      <c r="CI15" s="663" t="s">
        <v>635</v>
      </c>
      <c r="CJ15" s="664" t="s">
        <v>313</v>
      </c>
      <c r="CK15" s="663" t="s">
        <v>893</v>
      </c>
      <c r="CL15" s="664" t="s">
        <v>313</v>
      </c>
      <c r="CM15" s="663" t="s">
        <v>635</v>
      </c>
      <c r="CN15" s="664" t="s">
        <v>313</v>
      </c>
      <c r="CO15" s="663" t="s">
        <v>637</v>
      </c>
      <c r="CP15" s="664" t="s">
        <v>313</v>
      </c>
      <c r="CQ15" s="663" t="s">
        <v>637</v>
      </c>
      <c r="CR15" s="664" t="s">
        <v>313</v>
      </c>
      <c r="CS15" s="663" t="s">
        <v>637</v>
      </c>
      <c r="CT15" s="664" t="s">
        <v>313</v>
      </c>
      <c r="CU15" s="663" t="s">
        <v>635</v>
      </c>
      <c r="CV15" s="664" t="s">
        <v>313</v>
      </c>
      <c r="CW15" s="663" t="s">
        <v>637</v>
      </c>
      <c r="CX15" s="664" t="s">
        <v>313</v>
      </c>
      <c r="CY15" s="663" t="s">
        <v>893</v>
      </c>
      <c r="CZ15" s="664" t="s">
        <v>313</v>
      </c>
      <c r="DA15" s="663" t="s">
        <v>637</v>
      </c>
      <c r="DB15" s="664" t="s">
        <v>313</v>
      </c>
      <c r="DC15" s="663" t="s">
        <v>637</v>
      </c>
      <c r="DD15" s="664" t="s">
        <v>313</v>
      </c>
      <c r="DE15" s="665" t="s">
        <v>316</v>
      </c>
      <c r="DF15" s="666"/>
      <c r="DG15" s="532" t="s">
        <v>307</v>
      </c>
      <c r="DH15" s="667" t="s">
        <v>290</v>
      </c>
      <c r="DI15" s="668" t="s">
        <v>291</v>
      </c>
      <c r="DJ15" s="669" t="s">
        <v>885</v>
      </c>
      <c r="DK15" s="669" t="s">
        <v>309</v>
      </c>
      <c r="DL15" s="670" t="s">
        <v>310</v>
      </c>
      <c r="DM15" s="662" t="s">
        <v>634</v>
      </c>
      <c r="DN15" s="663" t="s">
        <v>893</v>
      </c>
      <c r="DO15" s="664" t="s">
        <v>313</v>
      </c>
      <c r="DP15" s="663" t="s">
        <v>635</v>
      </c>
      <c r="DQ15" s="664" t="s">
        <v>313</v>
      </c>
      <c r="DR15" s="663" t="s">
        <v>637</v>
      </c>
      <c r="DS15" s="664" t="s">
        <v>313</v>
      </c>
      <c r="DT15" s="663" t="s">
        <v>893</v>
      </c>
      <c r="DU15" s="664" t="s">
        <v>313</v>
      </c>
      <c r="DV15" s="663" t="s">
        <v>635</v>
      </c>
      <c r="DW15" s="664" t="s">
        <v>313</v>
      </c>
      <c r="DX15" s="663" t="s">
        <v>637</v>
      </c>
      <c r="DY15" s="664" t="s">
        <v>313</v>
      </c>
      <c r="DZ15" s="663" t="s">
        <v>893</v>
      </c>
      <c r="EA15" s="664" t="s">
        <v>313</v>
      </c>
      <c r="EB15" s="663" t="s">
        <v>893</v>
      </c>
      <c r="EC15" s="664" t="s">
        <v>313</v>
      </c>
      <c r="ED15" s="663" t="s">
        <v>893</v>
      </c>
      <c r="EE15" s="664" t="s">
        <v>313</v>
      </c>
      <c r="EF15" s="663" t="s">
        <v>893</v>
      </c>
      <c r="EG15" s="664" t="s">
        <v>313</v>
      </c>
      <c r="EH15" s="663" t="s">
        <v>637</v>
      </c>
      <c r="EI15" s="664" t="s">
        <v>313</v>
      </c>
      <c r="EJ15" s="663" t="s">
        <v>637</v>
      </c>
      <c r="EK15" s="664" t="s">
        <v>313</v>
      </c>
      <c r="EL15" s="663" t="s">
        <v>893</v>
      </c>
      <c r="EM15" s="664" t="s">
        <v>313</v>
      </c>
      <c r="EN15" s="663" t="s">
        <v>893</v>
      </c>
      <c r="EO15" s="664" t="s">
        <v>313</v>
      </c>
      <c r="EP15" s="663" t="s">
        <v>637</v>
      </c>
      <c r="EQ15" s="664" t="s">
        <v>313</v>
      </c>
      <c r="ER15" s="663" t="s">
        <v>635</v>
      </c>
      <c r="ES15" s="664" t="s">
        <v>313</v>
      </c>
      <c r="ET15" s="663" t="s">
        <v>637</v>
      </c>
      <c r="EU15" s="664" t="s">
        <v>313</v>
      </c>
      <c r="EV15" s="663" t="s">
        <v>637</v>
      </c>
      <c r="EW15" s="664" t="s">
        <v>313</v>
      </c>
      <c r="EX15" s="663" t="s">
        <v>637</v>
      </c>
      <c r="EY15" s="664" t="s">
        <v>313</v>
      </c>
      <c r="EZ15" s="663" t="s">
        <v>637</v>
      </c>
      <c r="FA15" s="664" t="s">
        <v>313</v>
      </c>
      <c r="FB15" s="663" t="s">
        <v>635</v>
      </c>
      <c r="FC15" s="664" t="s">
        <v>313</v>
      </c>
      <c r="FD15" s="663" t="s">
        <v>635</v>
      </c>
      <c r="FE15" s="664" t="s">
        <v>313</v>
      </c>
      <c r="FF15" s="663" t="s">
        <v>893</v>
      </c>
      <c r="FG15" s="664" t="s">
        <v>313</v>
      </c>
      <c r="FH15" s="665" t="s">
        <v>316</v>
      </c>
      <c r="FI15" s="671"/>
      <c r="FJ15" s="542" t="s">
        <v>307</v>
      </c>
      <c r="FK15" s="658" t="s">
        <v>290</v>
      </c>
      <c r="FL15" s="659" t="s">
        <v>291</v>
      </c>
      <c r="FM15" s="660" t="s">
        <v>633</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353" ht="20.100000000000001" customHeight="1">
      <c r="A16" s="552"/>
      <c r="B16" s="554" t="s">
        <v>250</v>
      </c>
      <c r="C16" s="679"/>
      <c r="D16" s="555">
        <v>20.72</v>
      </c>
      <c r="E16" s="680">
        <v>2.35</v>
      </c>
      <c r="F16" s="681"/>
      <c r="G16" s="682">
        <v>0</v>
      </c>
      <c r="H16" s="559">
        <f>ROUND(20.72*2.35*0,0)</f>
        <v>0</v>
      </c>
      <c r="I16" s="683">
        <v>0</v>
      </c>
      <c r="J16" s="559">
        <f>ROUND(20.72*2.35*0,0)</f>
        <v>0</v>
      </c>
      <c r="K16" s="683">
        <v>0</v>
      </c>
      <c r="L16" s="559">
        <f>ROUND(20.72*2.35*0,0)</f>
        <v>0</v>
      </c>
      <c r="M16" s="683">
        <v>0</v>
      </c>
      <c r="N16" s="559">
        <f>ROUND(20.72*2.35*0,0)</f>
        <v>0</v>
      </c>
      <c r="O16" s="683">
        <v>0</v>
      </c>
      <c r="P16" s="559">
        <f>ROUND(20.72*2.35*0,0)</f>
        <v>0</v>
      </c>
      <c r="Q16" s="683">
        <v>0</v>
      </c>
      <c r="R16" s="559">
        <f>ROUND(20.72*2.35*0,0)</f>
        <v>0</v>
      </c>
      <c r="S16" s="683">
        <v>0</v>
      </c>
      <c r="T16" s="559">
        <f>ROUND(20.72*2.35*0,0)</f>
        <v>0</v>
      </c>
      <c r="U16" s="683">
        <v>0</v>
      </c>
      <c r="V16" s="559">
        <f>ROUND(20.72*2.35*0,0)</f>
        <v>0</v>
      </c>
      <c r="W16" s="683">
        <v>1</v>
      </c>
      <c r="X16" s="559">
        <f>ROUND(20.72*2.35*1,0)</f>
        <v>49</v>
      </c>
      <c r="Y16" s="683">
        <v>1.3</v>
      </c>
      <c r="Z16" s="559">
        <f>ROUND(20.72*2.35*1.3,0)</f>
        <v>63</v>
      </c>
      <c r="AA16" s="683">
        <v>1.6</v>
      </c>
      <c r="AB16" s="559">
        <f>ROUND(20.72*2.35*1.6,0)</f>
        <v>78</v>
      </c>
      <c r="AC16" s="683">
        <v>1.7</v>
      </c>
      <c r="AD16" s="559">
        <f>ROUND(20.72*2.35*1.7,0)</f>
        <v>83</v>
      </c>
      <c r="AE16" s="683">
        <v>1.8</v>
      </c>
      <c r="AF16" s="559">
        <f>ROUND(20.72*2.35*1.8,0)</f>
        <v>88</v>
      </c>
      <c r="AG16" s="683">
        <v>1.8</v>
      </c>
      <c r="AH16" s="559">
        <f>ROUND(20.72*2.35*1.8,0)</f>
        <v>88</v>
      </c>
      <c r="AI16" s="683">
        <v>1.6</v>
      </c>
      <c r="AJ16" s="559">
        <f>ROUND(20.72*2.35*1.6,0)</f>
        <v>78</v>
      </c>
      <c r="AK16" s="683">
        <v>1.5</v>
      </c>
      <c r="AL16" s="559">
        <f>ROUND(20.72*2.35*1.5,0)</f>
        <v>73</v>
      </c>
      <c r="AM16" s="683">
        <v>1.2</v>
      </c>
      <c r="AN16" s="559">
        <f>ROUND(20.72*2.35*1.2,0)</f>
        <v>58</v>
      </c>
      <c r="AO16" s="683">
        <v>1</v>
      </c>
      <c r="AP16" s="559">
        <f>ROUND(20.72*2.35*1,0)</f>
        <v>49</v>
      </c>
      <c r="AQ16" s="683">
        <v>0</v>
      </c>
      <c r="AR16" s="559">
        <f>ROUND(20.72*2.35*0,0)</f>
        <v>0</v>
      </c>
      <c r="AS16" s="683">
        <v>0</v>
      </c>
      <c r="AT16" s="559">
        <f>ROUND(20.72*2.35*0,0)</f>
        <v>0</v>
      </c>
      <c r="AU16" s="683">
        <v>0</v>
      </c>
      <c r="AV16" s="559">
        <f>ROUND(20.72*2.35*0,0)</f>
        <v>0</v>
      </c>
      <c r="AW16" s="683">
        <v>0</v>
      </c>
      <c r="AX16" s="559">
        <f>ROUND(20.72*2.35*0,0)</f>
        <v>0</v>
      </c>
      <c r="AY16" s="683">
        <v>0</v>
      </c>
      <c r="AZ16" s="559">
        <f>ROUND(20.72*2.35*0,0)</f>
        <v>0</v>
      </c>
      <c r="BA16" s="683">
        <v>0</v>
      </c>
      <c r="BB16" s="684">
        <f>ROUND(20.72*2.35*0,0)</f>
        <v>0</v>
      </c>
      <c r="BC16" s="562"/>
      <c r="BD16" s="552"/>
      <c r="BE16" s="554" t="s">
        <v>250</v>
      </c>
      <c r="BF16" s="679"/>
      <c r="BG16" s="555">
        <v>20.72</v>
      </c>
      <c r="BH16" s="680">
        <v>2.35</v>
      </c>
      <c r="BI16" s="681"/>
      <c r="BJ16" s="682">
        <v>0</v>
      </c>
      <c r="BK16" s="559">
        <f>ROUND(20.72*2.35*0,0)</f>
        <v>0</v>
      </c>
      <c r="BL16" s="683">
        <v>0</v>
      </c>
      <c r="BM16" s="559">
        <f>ROUND(20.72*2.35*0,0)</f>
        <v>0</v>
      </c>
      <c r="BN16" s="683">
        <v>0</v>
      </c>
      <c r="BO16" s="559">
        <f>ROUND(20.72*2.35*0,0)</f>
        <v>0</v>
      </c>
      <c r="BP16" s="683">
        <v>0</v>
      </c>
      <c r="BQ16" s="559">
        <f>ROUND(20.72*2.35*0,0)</f>
        <v>0</v>
      </c>
      <c r="BR16" s="683">
        <v>0</v>
      </c>
      <c r="BS16" s="559">
        <f>ROUND(20.72*2.35*0,0)</f>
        <v>0</v>
      </c>
      <c r="BT16" s="683">
        <v>0</v>
      </c>
      <c r="BU16" s="559">
        <f>ROUND(20.72*2.35*0,0)</f>
        <v>0</v>
      </c>
      <c r="BV16" s="683">
        <v>0</v>
      </c>
      <c r="BW16" s="559">
        <f>ROUND(20.72*2.35*0,0)</f>
        <v>0</v>
      </c>
      <c r="BX16" s="683">
        <v>0</v>
      </c>
      <c r="BY16" s="559">
        <f>ROUND(20.72*2.35*0,0)</f>
        <v>0</v>
      </c>
      <c r="BZ16" s="683">
        <v>0.9</v>
      </c>
      <c r="CA16" s="559">
        <f>ROUND(20.72*2.35*0.9,0)</f>
        <v>44</v>
      </c>
      <c r="CB16" s="683">
        <v>1.2</v>
      </c>
      <c r="CC16" s="559">
        <f>ROUND(20.72*2.35*1.2,0)</f>
        <v>58</v>
      </c>
      <c r="CD16" s="683">
        <v>1.5</v>
      </c>
      <c r="CE16" s="559">
        <f>ROUND(20.72*2.35*1.5,0)</f>
        <v>73</v>
      </c>
      <c r="CF16" s="683">
        <v>1.6</v>
      </c>
      <c r="CG16" s="559">
        <f>ROUND(20.72*2.35*1.6,0)</f>
        <v>78</v>
      </c>
      <c r="CH16" s="683">
        <v>1.7</v>
      </c>
      <c r="CI16" s="559">
        <f>ROUND(20.72*2.35*1.7,0)</f>
        <v>83</v>
      </c>
      <c r="CJ16" s="683">
        <v>1.6</v>
      </c>
      <c r="CK16" s="559">
        <f>ROUND(20.72*2.35*1.6,0)</f>
        <v>78</v>
      </c>
      <c r="CL16" s="683">
        <v>1.5</v>
      </c>
      <c r="CM16" s="559">
        <f>ROUND(20.72*2.35*1.5,0)</f>
        <v>73</v>
      </c>
      <c r="CN16" s="683">
        <v>1.3</v>
      </c>
      <c r="CO16" s="559">
        <f>ROUND(20.72*2.35*1.3,0)</f>
        <v>63</v>
      </c>
      <c r="CP16" s="683">
        <v>1.2</v>
      </c>
      <c r="CQ16" s="559">
        <f>ROUND(20.72*2.35*1.2,0)</f>
        <v>58</v>
      </c>
      <c r="CR16" s="683">
        <v>0.9</v>
      </c>
      <c r="CS16" s="559">
        <f>ROUND(20.72*2.35*0.9,0)</f>
        <v>44</v>
      </c>
      <c r="CT16" s="683">
        <v>0</v>
      </c>
      <c r="CU16" s="559">
        <f>ROUND(20.72*2.35*0,0)</f>
        <v>0</v>
      </c>
      <c r="CV16" s="683">
        <v>0</v>
      </c>
      <c r="CW16" s="559">
        <f>ROUND(20.72*2.35*0,0)</f>
        <v>0</v>
      </c>
      <c r="CX16" s="683">
        <v>0</v>
      </c>
      <c r="CY16" s="559">
        <f>ROUND(20.72*2.35*0,0)</f>
        <v>0</v>
      </c>
      <c r="CZ16" s="683">
        <v>0</v>
      </c>
      <c r="DA16" s="559">
        <f>ROUND(20.72*2.35*0,0)</f>
        <v>0</v>
      </c>
      <c r="DB16" s="683">
        <v>0</v>
      </c>
      <c r="DC16" s="559">
        <f>ROUND(20.72*2.35*0,0)</f>
        <v>0</v>
      </c>
      <c r="DD16" s="683">
        <v>0</v>
      </c>
      <c r="DE16" s="684">
        <f>ROUND(20.72*2.35*0,0)</f>
        <v>0</v>
      </c>
      <c r="DF16" s="562"/>
      <c r="DG16" s="552"/>
      <c r="DH16" s="554" t="s">
        <v>250</v>
      </c>
      <c r="DI16" s="679"/>
      <c r="DJ16" s="555">
        <v>20.72</v>
      </c>
      <c r="DK16" s="680">
        <v>2.35</v>
      </c>
      <c r="DL16" s="681"/>
      <c r="DM16" s="682">
        <v>0</v>
      </c>
      <c r="DN16" s="559">
        <f>ROUND(20.72*2.35*0,0)</f>
        <v>0</v>
      </c>
      <c r="DO16" s="683">
        <v>0</v>
      </c>
      <c r="DP16" s="559">
        <f>ROUND(20.72*2.35*0,0)</f>
        <v>0</v>
      </c>
      <c r="DQ16" s="683">
        <v>0</v>
      </c>
      <c r="DR16" s="559">
        <f>ROUND(20.72*2.35*0,0)</f>
        <v>0</v>
      </c>
      <c r="DS16" s="683">
        <v>0</v>
      </c>
      <c r="DT16" s="559">
        <f>ROUND(20.72*2.35*0,0)</f>
        <v>0</v>
      </c>
      <c r="DU16" s="683">
        <v>0</v>
      </c>
      <c r="DV16" s="559">
        <f>ROUND(20.72*2.35*0,0)</f>
        <v>0</v>
      </c>
      <c r="DW16" s="683">
        <v>0</v>
      </c>
      <c r="DX16" s="559">
        <f>ROUND(20.72*2.35*0,0)</f>
        <v>0</v>
      </c>
      <c r="DY16" s="683">
        <v>0</v>
      </c>
      <c r="DZ16" s="559">
        <f>ROUND(20.72*2.35*0,0)</f>
        <v>0</v>
      </c>
      <c r="EA16" s="683">
        <v>0</v>
      </c>
      <c r="EB16" s="559">
        <f>ROUND(20.72*2.35*0,0)</f>
        <v>0</v>
      </c>
      <c r="EC16" s="683">
        <v>0.2</v>
      </c>
      <c r="ED16" s="559">
        <f>ROUND(20.72*2.35*0.2,0)</f>
        <v>10</v>
      </c>
      <c r="EE16" s="683">
        <v>0.6</v>
      </c>
      <c r="EF16" s="559">
        <f>ROUND(20.72*2.35*0.6,0)</f>
        <v>29</v>
      </c>
      <c r="EG16" s="683">
        <v>0.9</v>
      </c>
      <c r="EH16" s="559">
        <f>ROUND(20.72*2.35*0.9,0)</f>
        <v>44</v>
      </c>
      <c r="EI16" s="683">
        <v>1.1000000000000001</v>
      </c>
      <c r="EJ16" s="559">
        <f>ROUND(20.72*2.35*1.1,0)</f>
        <v>54</v>
      </c>
      <c r="EK16" s="683">
        <v>1.1000000000000001</v>
      </c>
      <c r="EL16" s="559">
        <f>ROUND(20.72*2.35*1.1,0)</f>
        <v>54</v>
      </c>
      <c r="EM16" s="683">
        <v>1</v>
      </c>
      <c r="EN16" s="559">
        <f>ROUND(20.72*2.35*1,0)</f>
        <v>49</v>
      </c>
      <c r="EO16" s="683">
        <v>0.9</v>
      </c>
      <c r="EP16" s="559">
        <f>ROUND(20.72*2.35*0.9,0)</f>
        <v>44</v>
      </c>
      <c r="EQ16" s="683">
        <v>0.8</v>
      </c>
      <c r="ER16" s="559">
        <f>ROUND(20.72*2.35*0.8,0)</f>
        <v>39</v>
      </c>
      <c r="ES16" s="683">
        <v>0.5</v>
      </c>
      <c r="ET16" s="559">
        <f>ROUND(20.72*2.35*0.5,0)</f>
        <v>24</v>
      </c>
      <c r="EU16" s="683">
        <v>0.2</v>
      </c>
      <c r="EV16" s="559">
        <f>ROUND(20.72*2.35*0.2,0)</f>
        <v>10</v>
      </c>
      <c r="EW16" s="683">
        <v>0</v>
      </c>
      <c r="EX16" s="559">
        <f>ROUND(20.72*2.35*0,0)</f>
        <v>0</v>
      </c>
      <c r="EY16" s="683">
        <v>0</v>
      </c>
      <c r="EZ16" s="559">
        <f>ROUND(20.72*2.35*0,0)</f>
        <v>0</v>
      </c>
      <c r="FA16" s="683">
        <v>0</v>
      </c>
      <c r="FB16" s="559">
        <f>ROUND(20.72*2.35*0,0)</f>
        <v>0</v>
      </c>
      <c r="FC16" s="683">
        <v>0</v>
      </c>
      <c r="FD16" s="559">
        <f>ROUND(20.72*2.35*0,0)</f>
        <v>0</v>
      </c>
      <c r="FE16" s="683">
        <v>0</v>
      </c>
      <c r="FF16" s="559">
        <f>ROUND(20.72*2.35*0,0)</f>
        <v>0</v>
      </c>
      <c r="FG16" s="683">
        <v>0</v>
      </c>
      <c r="FH16" s="684">
        <f>ROUND(20.72*2.35*0,0)</f>
        <v>0</v>
      </c>
      <c r="FI16" s="563"/>
      <c r="FJ16" s="564"/>
      <c r="FK16" s="554" t="s">
        <v>250</v>
      </c>
      <c r="FL16" s="679"/>
      <c r="FM16" s="555">
        <v>20.72</v>
      </c>
      <c r="FN16" s="680">
        <v>2.35</v>
      </c>
      <c r="FO16" s="681"/>
      <c r="FP16" s="685">
        <v>9</v>
      </c>
      <c r="FQ16" s="686">
        <v>5.0999999999999996</v>
      </c>
      <c r="FR16" s="559">
        <f>ROUND(20.72*2.35*5.1,0)</f>
        <v>248</v>
      </c>
      <c r="FS16" s="687">
        <v>9</v>
      </c>
      <c r="FT16" s="686">
        <v>5.2</v>
      </c>
      <c r="FU16" s="567">
        <f>ROUND(20.72*2.35*5.2,0)</f>
        <v>253</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250</v>
      </c>
      <c r="C17" s="691"/>
      <c r="D17" s="583">
        <v>8.9600000000000009</v>
      </c>
      <c r="E17" s="692">
        <v>2.35</v>
      </c>
      <c r="F17" s="693"/>
      <c r="G17" s="694">
        <v>0</v>
      </c>
      <c r="H17" s="587">
        <f>ROUND(8.96*2.35*0,0)</f>
        <v>0</v>
      </c>
      <c r="I17" s="695">
        <v>0</v>
      </c>
      <c r="J17" s="587">
        <f>ROUND(8.96*2.35*0,0)</f>
        <v>0</v>
      </c>
      <c r="K17" s="695">
        <v>0</v>
      </c>
      <c r="L17" s="587">
        <f>ROUND(8.96*2.35*0,0)</f>
        <v>0</v>
      </c>
      <c r="M17" s="695">
        <v>0</v>
      </c>
      <c r="N17" s="587">
        <f>ROUND(8.96*2.35*0,0)</f>
        <v>0</v>
      </c>
      <c r="O17" s="695">
        <v>0</v>
      </c>
      <c r="P17" s="587">
        <f>ROUND(8.96*2.35*0,0)</f>
        <v>0</v>
      </c>
      <c r="Q17" s="695">
        <v>0</v>
      </c>
      <c r="R17" s="587">
        <f>ROUND(8.96*2.35*0,0)</f>
        <v>0</v>
      </c>
      <c r="S17" s="695">
        <v>0</v>
      </c>
      <c r="T17" s="587">
        <f>ROUND(8.96*2.35*0,0)</f>
        <v>0</v>
      </c>
      <c r="U17" s="695">
        <v>0</v>
      </c>
      <c r="V17" s="587">
        <f>ROUND(8.96*2.35*0,0)</f>
        <v>0</v>
      </c>
      <c r="W17" s="695">
        <v>1.3</v>
      </c>
      <c r="X17" s="587">
        <f>ROUND(8.96*2.35*1.3,0)</f>
        <v>27</v>
      </c>
      <c r="Y17" s="695">
        <v>1.8</v>
      </c>
      <c r="Z17" s="587">
        <f>ROUND(8.96*2.35*1.8,0)</f>
        <v>38</v>
      </c>
      <c r="AA17" s="695">
        <v>2.1</v>
      </c>
      <c r="AB17" s="587">
        <f>ROUND(8.96*2.35*2.1,0)</f>
        <v>44</v>
      </c>
      <c r="AC17" s="695">
        <v>2.2999999999999998</v>
      </c>
      <c r="AD17" s="587">
        <f>ROUND(8.96*2.35*2.3,0)</f>
        <v>48</v>
      </c>
      <c r="AE17" s="695">
        <v>2.4</v>
      </c>
      <c r="AF17" s="587">
        <f>ROUND(8.96*2.35*2.4,0)</f>
        <v>51</v>
      </c>
      <c r="AG17" s="695">
        <v>2.4</v>
      </c>
      <c r="AH17" s="587">
        <f>ROUND(8.96*2.35*2.4,0)</f>
        <v>51</v>
      </c>
      <c r="AI17" s="695">
        <v>2.2000000000000002</v>
      </c>
      <c r="AJ17" s="587">
        <f>ROUND(8.96*2.35*2.2,0)</f>
        <v>46</v>
      </c>
      <c r="AK17" s="695">
        <v>2</v>
      </c>
      <c r="AL17" s="587">
        <f>ROUND(8.96*2.35*2,0)</f>
        <v>42</v>
      </c>
      <c r="AM17" s="695">
        <v>1.6</v>
      </c>
      <c r="AN17" s="587">
        <f>ROUND(8.96*2.35*1.6,0)</f>
        <v>34</v>
      </c>
      <c r="AO17" s="695">
        <v>1.3</v>
      </c>
      <c r="AP17" s="587">
        <f>ROUND(8.96*2.35*1.3,0)</f>
        <v>27</v>
      </c>
      <c r="AQ17" s="695">
        <v>0</v>
      </c>
      <c r="AR17" s="587">
        <f>ROUND(8.96*2.35*0,0)</f>
        <v>0</v>
      </c>
      <c r="AS17" s="695">
        <v>0</v>
      </c>
      <c r="AT17" s="587">
        <f>ROUND(8.96*2.35*0,0)</f>
        <v>0</v>
      </c>
      <c r="AU17" s="695">
        <v>0</v>
      </c>
      <c r="AV17" s="587">
        <f>ROUND(8.96*2.35*0,0)</f>
        <v>0</v>
      </c>
      <c r="AW17" s="695">
        <v>0</v>
      </c>
      <c r="AX17" s="587">
        <f>ROUND(8.96*2.35*0,0)</f>
        <v>0</v>
      </c>
      <c r="AY17" s="695">
        <v>0</v>
      </c>
      <c r="AZ17" s="587">
        <f>ROUND(8.96*2.35*0,0)</f>
        <v>0</v>
      </c>
      <c r="BA17" s="695">
        <v>0</v>
      </c>
      <c r="BB17" s="589">
        <f>ROUND(8.96*2.35*0,0)</f>
        <v>0</v>
      </c>
      <c r="BC17" s="562"/>
      <c r="BD17" s="552"/>
      <c r="BE17" s="582" t="s">
        <v>250</v>
      </c>
      <c r="BF17" s="691"/>
      <c r="BG17" s="583">
        <v>8.9600000000000009</v>
      </c>
      <c r="BH17" s="692">
        <v>2.35</v>
      </c>
      <c r="BI17" s="693"/>
      <c r="BJ17" s="694">
        <v>0</v>
      </c>
      <c r="BK17" s="587">
        <f>ROUND(8.96*2.35*0,0)</f>
        <v>0</v>
      </c>
      <c r="BL17" s="695">
        <v>0</v>
      </c>
      <c r="BM17" s="587">
        <f>ROUND(8.96*2.35*0,0)</f>
        <v>0</v>
      </c>
      <c r="BN17" s="695">
        <v>0</v>
      </c>
      <c r="BO17" s="587">
        <f>ROUND(8.96*2.35*0,0)</f>
        <v>0</v>
      </c>
      <c r="BP17" s="695">
        <v>0</v>
      </c>
      <c r="BQ17" s="587">
        <f>ROUND(8.96*2.35*0,0)</f>
        <v>0</v>
      </c>
      <c r="BR17" s="695">
        <v>0</v>
      </c>
      <c r="BS17" s="587">
        <f>ROUND(8.96*2.35*0,0)</f>
        <v>0</v>
      </c>
      <c r="BT17" s="695">
        <v>0</v>
      </c>
      <c r="BU17" s="587">
        <f>ROUND(8.96*2.35*0,0)</f>
        <v>0</v>
      </c>
      <c r="BV17" s="695">
        <v>0</v>
      </c>
      <c r="BW17" s="587">
        <f>ROUND(8.96*2.35*0,0)</f>
        <v>0</v>
      </c>
      <c r="BX17" s="695">
        <v>0</v>
      </c>
      <c r="BY17" s="587">
        <f>ROUND(8.96*2.35*0,0)</f>
        <v>0</v>
      </c>
      <c r="BZ17" s="695">
        <v>1.2</v>
      </c>
      <c r="CA17" s="587">
        <f>ROUND(8.96*2.35*1.2,0)</f>
        <v>25</v>
      </c>
      <c r="CB17" s="695">
        <v>1.6</v>
      </c>
      <c r="CC17" s="587">
        <f>ROUND(8.96*2.35*1.6,0)</f>
        <v>34</v>
      </c>
      <c r="CD17" s="695">
        <v>2</v>
      </c>
      <c r="CE17" s="587">
        <f>ROUND(8.96*2.35*2,0)</f>
        <v>42</v>
      </c>
      <c r="CF17" s="695">
        <v>2.2000000000000002</v>
      </c>
      <c r="CG17" s="587">
        <f>ROUND(8.96*2.35*2.2,0)</f>
        <v>46</v>
      </c>
      <c r="CH17" s="695">
        <v>2.2000000000000002</v>
      </c>
      <c r="CI17" s="587">
        <f>ROUND(8.96*2.35*2.2,0)</f>
        <v>46</v>
      </c>
      <c r="CJ17" s="695">
        <v>2.2000000000000002</v>
      </c>
      <c r="CK17" s="587">
        <f>ROUND(8.96*2.35*2.2,0)</f>
        <v>46</v>
      </c>
      <c r="CL17" s="695">
        <v>2</v>
      </c>
      <c r="CM17" s="587">
        <f>ROUND(8.96*2.35*2,0)</f>
        <v>42</v>
      </c>
      <c r="CN17" s="695">
        <v>1.8</v>
      </c>
      <c r="CO17" s="587">
        <f>ROUND(8.96*2.35*1.8,0)</f>
        <v>38</v>
      </c>
      <c r="CP17" s="695">
        <v>1.6</v>
      </c>
      <c r="CQ17" s="587">
        <f>ROUND(8.96*2.35*1.6,0)</f>
        <v>34</v>
      </c>
      <c r="CR17" s="695">
        <v>1.2</v>
      </c>
      <c r="CS17" s="587">
        <f>ROUND(8.96*2.35*1.2,0)</f>
        <v>25</v>
      </c>
      <c r="CT17" s="695">
        <v>0</v>
      </c>
      <c r="CU17" s="587">
        <f>ROUND(8.96*2.35*0,0)</f>
        <v>0</v>
      </c>
      <c r="CV17" s="695">
        <v>0</v>
      </c>
      <c r="CW17" s="587">
        <f>ROUND(8.96*2.35*0,0)</f>
        <v>0</v>
      </c>
      <c r="CX17" s="695">
        <v>0</v>
      </c>
      <c r="CY17" s="587">
        <f>ROUND(8.96*2.35*0,0)</f>
        <v>0</v>
      </c>
      <c r="CZ17" s="695">
        <v>0</v>
      </c>
      <c r="DA17" s="587">
        <f>ROUND(8.96*2.35*0,0)</f>
        <v>0</v>
      </c>
      <c r="DB17" s="695">
        <v>0</v>
      </c>
      <c r="DC17" s="587">
        <f>ROUND(8.96*2.35*0,0)</f>
        <v>0</v>
      </c>
      <c r="DD17" s="695">
        <v>0</v>
      </c>
      <c r="DE17" s="589">
        <f>ROUND(8.96*2.35*0,0)</f>
        <v>0</v>
      </c>
      <c r="DF17" s="562"/>
      <c r="DG17" s="552"/>
      <c r="DH17" s="582" t="s">
        <v>250</v>
      </c>
      <c r="DI17" s="691"/>
      <c r="DJ17" s="583">
        <v>8.9600000000000009</v>
      </c>
      <c r="DK17" s="692">
        <v>2.35</v>
      </c>
      <c r="DL17" s="693"/>
      <c r="DM17" s="694">
        <v>0</v>
      </c>
      <c r="DN17" s="587">
        <f>ROUND(8.96*2.35*0,0)</f>
        <v>0</v>
      </c>
      <c r="DO17" s="695">
        <v>0</v>
      </c>
      <c r="DP17" s="587">
        <f>ROUND(8.96*2.35*0,0)</f>
        <v>0</v>
      </c>
      <c r="DQ17" s="695">
        <v>0</v>
      </c>
      <c r="DR17" s="587">
        <f>ROUND(8.96*2.35*0,0)</f>
        <v>0</v>
      </c>
      <c r="DS17" s="695">
        <v>0</v>
      </c>
      <c r="DT17" s="587">
        <f>ROUND(8.96*2.35*0,0)</f>
        <v>0</v>
      </c>
      <c r="DU17" s="695">
        <v>0</v>
      </c>
      <c r="DV17" s="587">
        <f>ROUND(8.96*2.35*0,0)</f>
        <v>0</v>
      </c>
      <c r="DW17" s="695">
        <v>0</v>
      </c>
      <c r="DX17" s="587">
        <f>ROUND(8.96*2.35*0,0)</f>
        <v>0</v>
      </c>
      <c r="DY17" s="695">
        <v>0</v>
      </c>
      <c r="DZ17" s="587">
        <f>ROUND(8.96*2.35*0,0)</f>
        <v>0</v>
      </c>
      <c r="EA17" s="695">
        <v>0</v>
      </c>
      <c r="EB17" s="587">
        <f>ROUND(8.96*2.35*0,0)</f>
        <v>0</v>
      </c>
      <c r="EC17" s="695">
        <v>0.3</v>
      </c>
      <c r="ED17" s="587">
        <f>ROUND(8.96*2.35*0.3,0)</f>
        <v>6</v>
      </c>
      <c r="EE17" s="695">
        <v>0.8</v>
      </c>
      <c r="EF17" s="587">
        <f>ROUND(8.96*2.35*0.8,0)</f>
        <v>17</v>
      </c>
      <c r="EG17" s="695">
        <v>1.2</v>
      </c>
      <c r="EH17" s="587">
        <f>ROUND(8.96*2.35*1.2,0)</f>
        <v>25</v>
      </c>
      <c r="EI17" s="695">
        <v>1.4</v>
      </c>
      <c r="EJ17" s="587">
        <f>ROUND(8.96*2.35*1.4,0)</f>
        <v>29</v>
      </c>
      <c r="EK17" s="695">
        <v>1.5</v>
      </c>
      <c r="EL17" s="587">
        <f>ROUND(8.96*2.35*1.5,0)</f>
        <v>32</v>
      </c>
      <c r="EM17" s="695">
        <v>1.4</v>
      </c>
      <c r="EN17" s="587">
        <f>ROUND(8.96*2.35*1.4,0)</f>
        <v>29</v>
      </c>
      <c r="EO17" s="695">
        <v>1.2</v>
      </c>
      <c r="EP17" s="587">
        <f>ROUND(8.96*2.35*1.2,0)</f>
        <v>25</v>
      </c>
      <c r="EQ17" s="695">
        <v>1.1000000000000001</v>
      </c>
      <c r="ER17" s="587">
        <f>ROUND(8.96*2.35*1.1,0)</f>
        <v>23</v>
      </c>
      <c r="ES17" s="695">
        <v>0.7</v>
      </c>
      <c r="ET17" s="587">
        <f>ROUND(8.96*2.35*0.7,0)</f>
        <v>15</v>
      </c>
      <c r="EU17" s="695">
        <v>0.3</v>
      </c>
      <c r="EV17" s="587">
        <f>ROUND(8.96*2.35*0.3,0)</f>
        <v>6</v>
      </c>
      <c r="EW17" s="695">
        <v>0</v>
      </c>
      <c r="EX17" s="587">
        <f>ROUND(8.96*2.35*0,0)</f>
        <v>0</v>
      </c>
      <c r="EY17" s="695">
        <v>0</v>
      </c>
      <c r="EZ17" s="587">
        <f>ROUND(8.96*2.35*0,0)</f>
        <v>0</v>
      </c>
      <c r="FA17" s="695">
        <v>0</v>
      </c>
      <c r="FB17" s="587">
        <f>ROUND(8.96*2.35*0,0)</f>
        <v>0</v>
      </c>
      <c r="FC17" s="695">
        <v>0</v>
      </c>
      <c r="FD17" s="587">
        <f>ROUND(8.96*2.35*0,0)</f>
        <v>0</v>
      </c>
      <c r="FE17" s="695">
        <v>0</v>
      </c>
      <c r="FF17" s="587">
        <f>ROUND(8.96*2.35*0,0)</f>
        <v>0</v>
      </c>
      <c r="FG17" s="695">
        <v>0</v>
      </c>
      <c r="FH17" s="589">
        <f>ROUND(8.96*2.35*0,0)</f>
        <v>0</v>
      </c>
      <c r="FI17" s="563"/>
      <c r="FJ17" s="564"/>
      <c r="FK17" s="582" t="s">
        <v>250</v>
      </c>
      <c r="FL17" s="691"/>
      <c r="FM17" s="583">
        <v>8.9600000000000009</v>
      </c>
      <c r="FN17" s="692">
        <v>2.35</v>
      </c>
      <c r="FO17" s="693"/>
      <c r="FP17" s="696">
        <v>9</v>
      </c>
      <c r="FQ17" s="697">
        <v>6.8</v>
      </c>
      <c r="FR17" s="587">
        <f>ROUND(8.96*2.35*6.8,0)</f>
        <v>143</v>
      </c>
      <c r="FS17" s="698">
        <v>9</v>
      </c>
      <c r="FT17" s="697">
        <v>7</v>
      </c>
      <c r="FU17" s="592">
        <f>ROUND(8.96*2.35*7,0)</f>
        <v>147</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238</v>
      </c>
      <c r="C18" s="691"/>
      <c r="D18" s="583">
        <v>13.2</v>
      </c>
      <c r="E18" s="692">
        <v>0.47</v>
      </c>
      <c r="F18" s="693"/>
      <c r="G18" s="694">
        <v>0</v>
      </c>
      <c r="H18" s="587">
        <f>ROUND(13.2*0.47*0,0)</f>
        <v>0</v>
      </c>
      <c r="I18" s="695">
        <v>0</v>
      </c>
      <c r="J18" s="587">
        <f>ROUND(13.2*0.47*0,0)</f>
        <v>0</v>
      </c>
      <c r="K18" s="695">
        <v>0</v>
      </c>
      <c r="L18" s="587">
        <f>ROUND(13.2*0.47*0,0)</f>
        <v>0</v>
      </c>
      <c r="M18" s="695">
        <v>0</v>
      </c>
      <c r="N18" s="587">
        <f>ROUND(13.2*0.47*0,0)</f>
        <v>0</v>
      </c>
      <c r="O18" s="695">
        <v>0</v>
      </c>
      <c r="P18" s="587">
        <f>ROUND(13.2*0.47*0,0)</f>
        <v>0</v>
      </c>
      <c r="Q18" s="695">
        <v>0</v>
      </c>
      <c r="R18" s="587">
        <f>ROUND(13.2*0.47*0,0)</f>
        <v>0</v>
      </c>
      <c r="S18" s="695">
        <v>0</v>
      </c>
      <c r="T18" s="587">
        <f>ROUND(13.2*0.47*0,0)</f>
        <v>0</v>
      </c>
      <c r="U18" s="695">
        <v>0</v>
      </c>
      <c r="V18" s="587">
        <f>ROUND(13.2*0.47*0,0)</f>
        <v>0</v>
      </c>
      <c r="W18" s="695">
        <v>3.3</v>
      </c>
      <c r="X18" s="587">
        <f>ROUND(13.2*0.47*3.3,0)</f>
        <v>20</v>
      </c>
      <c r="Y18" s="695">
        <v>3.2</v>
      </c>
      <c r="Z18" s="587">
        <f>ROUND(13.2*0.47*3.2,0)</f>
        <v>20</v>
      </c>
      <c r="AA18" s="695">
        <v>3.2</v>
      </c>
      <c r="AB18" s="587">
        <f>ROUND(13.2*0.47*3.2,0)</f>
        <v>20</v>
      </c>
      <c r="AC18" s="695">
        <v>3.3</v>
      </c>
      <c r="AD18" s="587">
        <f>ROUND(13.2*0.47*3.3,0)</f>
        <v>20</v>
      </c>
      <c r="AE18" s="695">
        <v>3.7</v>
      </c>
      <c r="AF18" s="587">
        <f>ROUND(13.2*0.47*3.7,0)</f>
        <v>23</v>
      </c>
      <c r="AG18" s="695">
        <v>4.3</v>
      </c>
      <c r="AH18" s="587">
        <f>ROUND(13.2*0.47*4.3,0)</f>
        <v>27</v>
      </c>
      <c r="AI18" s="695">
        <v>5</v>
      </c>
      <c r="AJ18" s="587">
        <f>ROUND(13.2*0.47*5,0)</f>
        <v>31</v>
      </c>
      <c r="AK18" s="695">
        <v>5.8</v>
      </c>
      <c r="AL18" s="587">
        <f>ROUND(13.2*0.47*5.8,0)</f>
        <v>36</v>
      </c>
      <c r="AM18" s="695">
        <v>6.6</v>
      </c>
      <c r="AN18" s="587">
        <f>ROUND(13.2*0.47*6.6,0)</f>
        <v>41</v>
      </c>
      <c r="AO18" s="695">
        <v>7.4</v>
      </c>
      <c r="AP18" s="587">
        <f>ROUND(13.2*0.47*7.4,0)</f>
        <v>46</v>
      </c>
      <c r="AQ18" s="695">
        <v>0</v>
      </c>
      <c r="AR18" s="587">
        <f>ROUND(13.2*0.47*0,0)</f>
        <v>0</v>
      </c>
      <c r="AS18" s="695">
        <v>0</v>
      </c>
      <c r="AT18" s="587">
        <f>ROUND(13.2*0.47*0,0)</f>
        <v>0</v>
      </c>
      <c r="AU18" s="695">
        <v>0</v>
      </c>
      <c r="AV18" s="587">
        <f>ROUND(13.2*0.47*0,0)</f>
        <v>0</v>
      </c>
      <c r="AW18" s="695">
        <v>0</v>
      </c>
      <c r="AX18" s="587">
        <f>ROUND(13.2*0.47*0,0)</f>
        <v>0</v>
      </c>
      <c r="AY18" s="695">
        <v>0</v>
      </c>
      <c r="AZ18" s="587">
        <f>ROUND(13.2*0.47*0,0)</f>
        <v>0</v>
      </c>
      <c r="BA18" s="695">
        <v>0</v>
      </c>
      <c r="BB18" s="589">
        <f>ROUND(13.2*0.47*0,0)</f>
        <v>0</v>
      </c>
      <c r="BC18" s="562"/>
      <c r="BD18" s="552"/>
      <c r="BE18" s="700" t="s">
        <v>238</v>
      </c>
      <c r="BF18" s="691"/>
      <c r="BG18" s="583">
        <v>13.2</v>
      </c>
      <c r="BH18" s="692">
        <v>0.47</v>
      </c>
      <c r="BI18" s="693"/>
      <c r="BJ18" s="694">
        <v>0</v>
      </c>
      <c r="BK18" s="587">
        <f>ROUND(13.2*0.47*0,0)</f>
        <v>0</v>
      </c>
      <c r="BL18" s="695">
        <v>0</v>
      </c>
      <c r="BM18" s="587">
        <f>ROUND(13.2*0.47*0,0)</f>
        <v>0</v>
      </c>
      <c r="BN18" s="695">
        <v>0</v>
      </c>
      <c r="BO18" s="587">
        <f>ROUND(13.2*0.47*0,0)</f>
        <v>0</v>
      </c>
      <c r="BP18" s="695">
        <v>0</v>
      </c>
      <c r="BQ18" s="587">
        <f>ROUND(13.2*0.47*0,0)</f>
        <v>0</v>
      </c>
      <c r="BR18" s="695">
        <v>0</v>
      </c>
      <c r="BS18" s="587">
        <f>ROUND(13.2*0.47*0,0)</f>
        <v>0</v>
      </c>
      <c r="BT18" s="695">
        <v>0</v>
      </c>
      <c r="BU18" s="587">
        <f>ROUND(13.2*0.47*0,0)</f>
        <v>0</v>
      </c>
      <c r="BV18" s="695">
        <v>0</v>
      </c>
      <c r="BW18" s="587">
        <f>ROUND(13.2*0.47*0,0)</f>
        <v>0</v>
      </c>
      <c r="BX18" s="695">
        <v>0</v>
      </c>
      <c r="BY18" s="587">
        <f>ROUND(13.2*0.47*0,0)</f>
        <v>0</v>
      </c>
      <c r="BZ18" s="695">
        <v>3.2</v>
      </c>
      <c r="CA18" s="587">
        <f>ROUND(13.2*0.47*3.2,0)</f>
        <v>20</v>
      </c>
      <c r="CB18" s="695">
        <v>3</v>
      </c>
      <c r="CC18" s="587">
        <f>ROUND(13.2*0.47*3,0)</f>
        <v>19</v>
      </c>
      <c r="CD18" s="695">
        <v>3</v>
      </c>
      <c r="CE18" s="587">
        <f>ROUND(13.2*0.47*3,0)</f>
        <v>19</v>
      </c>
      <c r="CF18" s="695">
        <v>3.1</v>
      </c>
      <c r="CG18" s="587">
        <f>ROUND(13.2*0.47*3.1,0)</f>
        <v>19</v>
      </c>
      <c r="CH18" s="695">
        <v>3.4</v>
      </c>
      <c r="CI18" s="587">
        <f>ROUND(13.2*0.47*3.4,0)</f>
        <v>21</v>
      </c>
      <c r="CJ18" s="695">
        <v>4</v>
      </c>
      <c r="CK18" s="587">
        <f>ROUND(13.2*0.47*4,0)</f>
        <v>25</v>
      </c>
      <c r="CL18" s="695">
        <v>4.8</v>
      </c>
      <c r="CM18" s="587">
        <f>ROUND(13.2*0.47*4.8,0)</f>
        <v>30</v>
      </c>
      <c r="CN18" s="695">
        <v>5.8</v>
      </c>
      <c r="CO18" s="587">
        <f>ROUND(13.2*0.47*5.8,0)</f>
        <v>36</v>
      </c>
      <c r="CP18" s="695">
        <v>6.7</v>
      </c>
      <c r="CQ18" s="587">
        <f>ROUND(13.2*0.47*6.7,0)</f>
        <v>42</v>
      </c>
      <c r="CR18" s="695">
        <v>7.6</v>
      </c>
      <c r="CS18" s="587">
        <f>ROUND(13.2*0.47*7.6,0)</f>
        <v>47</v>
      </c>
      <c r="CT18" s="695">
        <v>0</v>
      </c>
      <c r="CU18" s="587">
        <f>ROUND(13.2*0.47*0,0)</f>
        <v>0</v>
      </c>
      <c r="CV18" s="695">
        <v>0</v>
      </c>
      <c r="CW18" s="587">
        <f>ROUND(13.2*0.47*0,0)</f>
        <v>0</v>
      </c>
      <c r="CX18" s="695">
        <v>0</v>
      </c>
      <c r="CY18" s="587">
        <f>ROUND(13.2*0.47*0,0)</f>
        <v>0</v>
      </c>
      <c r="CZ18" s="695">
        <v>0</v>
      </c>
      <c r="DA18" s="587">
        <f>ROUND(13.2*0.47*0,0)</f>
        <v>0</v>
      </c>
      <c r="DB18" s="695">
        <v>0</v>
      </c>
      <c r="DC18" s="587">
        <f>ROUND(13.2*0.47*0,0)</f>
        <v>0</v>
      </c>
      <c r="DD18" s="695">
        <v>0</v>
      </c>
      <c r="DE18" s="589">
        <f>ROUND(13.2*0.47*0,0)</f>
        <v>0</v>
      </c>
      <c r="DF18" s="562"/>
      <c r="DG18" s="552"/>
      <c r="DH18" s="700" t="s">
        <v>238</v>
      </c>
      <c r="DI18" s="691"/>
      <c r="DJ18" s="583">
        <v>13.2</v>
      </c>
      <c r="DK18" s="692">
        <v>0.47</v>
      </c>
      <c r="DL18" s="693"/>
      <c r="DM18" s="694">
        <v>0</v>
      </c>
      <c r="DN18" s="587">
        <f>ROUND(13.2*0.47*0,0)</f>
        <v>0</v>
      </c>
      <c r="DO18" s="695">
        <v>0</v>
      </c>
      <c r="DP18" s="587">
        <f>ROUND(13.2*0.47*0,0)</f>
        <v>0</v>
      </c>
      <c r="DQ18" s="695">
        <v>0</v>
      </c>
      <c r="DR18" s="587">
        <f>ROUND(13.2*0.47*0,0)</f>
        <v>0</v>
      </c>
      <c r="DS18" s="695">
        <v>0</v>
      </c>
      <c r="DT18" s="587">
        <f>ROUND(13.2*0.47*0,0)</f>
        <v>0</v>
      </c>
      <c r="DU18" s="695">
        <v>0</v>
      </c>
      <c r="DV18" s="587">
        <f>ROUND(13.2*0.47*0,0)</f>
        <v>0</v>
      </c>
      <c r="DW18" s="695">
        <v>0</v>
      </c>
      <c r="DX18" s="587">
        <f>ROUND(13.2*0.47*0,0)</f>
        <v>0</v>
      </c>
      <c r="DY18" s="695">
        <v>0</v>
      </c>
      <c r="DZ18" s="587">
        <f>ROUND(13.2*0.47*0,0)</f>
        <v>0</v>
      </c>
      <c r="EA18" s="695">
        <v>0</v>
      </c>
      <c r="EB18" s="587">
        <f>ROUND(13.2*0.47*0,0)</f>
        <v>0</v>
      </c>
      <c r="EC18" s="695">
        <v>1.8</v>
      </c>
      <c r="ED18" s="587">
        <f>ROUND(13.2*0.47*1.8,0)</f>
        <v>11</v>
      </c>
      <c r="EE18" s="695">
        <v>1.5</v>
      </c>
      <c r="EF18" s="587">
        <f>ROUND(13.2*0.47*1.5,0)</f>
        <v>9</v>
      </c>
      <c r="EG18" s="695">
        <v>1.4</v>
      </c>
      <c r="EH18" s="587">
        <f>ROUND(13.2*0.47*1.4,0)</f>
        <v>9</v>
      </c>
      <c r="EI18" s="695">
        <v>1.6</v>
      </c>
      <c r="EJ18" s="587">
        <f>ROUND(13.2*0.47*1.6,0)</f>
        <v>10</v>
      </c>
      <c r="EK18" s="695">
        <v>2.1</v>
      </c>
      <c r="EL18" s="587">
        <f>ROUND(13.2*0.47*2.1,0)</f>
        <v>13</v>
      </c>
      <c r="EM18" s="695">
        <v>2.9</v>
      </c>
      <c r="EN18" s="587">
        <f>ROUND(13.2*0.47*2.9,0)</f>
        <v>18</v>
      </c>
      <c r="EO18" s="695">
        <v>4</v>
      </c>
      <c r="EP18" s="587">
        <f>ROUND(13.2*0.47*4,0)</f>
        <v>25</v>
      </c>
      <c r="EQ18" s="695">
        <v>5.3</v>
      </c>
      <c r="ER18" s="587">
        <f>ROUND(13.2*0.47*5.3,0)</f>
        <v>33</v>
      </c>
      <c r="ES18" s="695">
        <v>6.5</v>
      </c>
      <c r="ET18" s="587">
        <f>ROUND(13.2*0.47*6.5,0)</f>
        <v>40</v>
      </c>
      <c r="EU18" s="695">
        <v>7.6</v>
      </c>
      <c r="EV18" s="587">
        <f>ROUND(13.2*0.47*7.6,0)</f>
        <v>47</v>
      </c>
      <c r="EW18" s="695">
        <v>0</v>
      </c>
      <c r="EX18" s="587">
        <f>ROUND(13.2*0.47*0,0)</f>
        <v>0</v>
      </c>
      <c r="EY18" s="695">
        <v>0</v>
      </c>
      <c r="EZ18" s="587">
        <f>ROUND(13.2*0.47*0,0)</f>
        <v>0</v>
      </c>
      <c r="FA18" s="695">
        <v>0</v>
      </c>
      <c r="FB18" s="587">
        <f>ROUND(13.2*0.47*0,0)</f>
        <v>0</v>
      </c>
      <c r="FC18" s="695">
        <v>0</v>
      </c>
      <c r="FD18" s="587">
        <f>ROUND(13.2*0.47*0,0)</f>
        <v>0</v>
      </c>
      <c r="FE18" s="695">
        <v>0</v>
      </c>
      <c r="FF18" s="587">
        <f>ROUND(13.2*0.47*0,0)</f>
        <v>0</v>
      </c>
      <c r="FG18" s="695">
        <v>0</v>
      </c>
      <c r="FH18" s="589">
        <f>ROUND(13.2*0.47*0,0)</f>
        <v>0</v>
      </c>
      <c r="FI18" s="563"/>
      <c r="FJ18" s="564"/>
      <c r="FK18" s="700" t="s">
        <v>238</v>
      </c>
      <c r="FL18" s="691"/>
      <c r="FM18" s="583">
        <v>13.2</v>
      </c>
      <c r="FN18" s="692">
        <v>0.47</v>
      </c>
      <c r="FO18" s="693"/>
      <c r="FP18" s="696">
        <v>9</v>
      </c>
      <c r="FQ18" s="697">
        <v>17</v>
      </c>
      <c r="FR18" s="587">
        <f>ROUND(13.2*0.47*17,0)</f>
        <v>105</v>
      </c>
      <c r="FS18" s="698">
        <v>9</v>
      </c>
      <c r="FT18" s="697">
        <v>17.5</v>
      </c>
      <c r="FU18" s="592">
        <f>ROUND(13.2*0.47*17.5,0)</f>
        <v>109</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t="s">
        <v>261</v>
      </c>
      <c r="C19" s="691"/>
      <c r="D19" s="583">
        <v>13.2</v>
      </c>
      <c r="E19" s="692">
        <v>2.84</v>
      </c>
      <c r="F19" s="693"/>
      <c r="G19" s="694">
        <v>0</v>
      </c>
      <c r="H19" s="587">
        <f>ROUND(13.2*2.84*0,0)</f>
        <v>0</v>
      </c>
      <c r="I19" s="695">
        <v>0</v>
      </c>
      <c r="J19" s="587">
        <f>ROUND(13.2*2.84*0,0)</f>
        <v>0</v>
      </c>
      <c r="K19" s="695">
        <v>0</v>
      </c>
      <c r="L19" s="587">
        <f>ROUND(13.2*2.84*0,0)</f>
        <v>0</v>
      </c>
      <c r="M19" s="695">
        <v>0</v>
      </c>
      <c r="N19" s="587">
        <f>ROUND(13.2*2.84*0,0)</f>
        <v>0</v>
      </c>
      <c r="O19" s="695">
        <v>0</v>
      </c>
      <c r="P19" s="587">
        <f>ROUND(13.2*2.84*0,0)</f>
        <v>0</v>
      </c>
      <c r="Q19" s="695">
        <v>0</v>
      </c>
      <c r="R19" s="587">
        <f>ROUND(13.2*2.84*0,0)</f>
        <v>0</v>
      </c>
      <c r="S19" s="695">
        <v>0</v>
      </c>
      <c r="T19" s="587">
        <f>ROUND(13.2*2.84*0,0)</f>
        <v>0</v>
      </c>
      <c r="U19" s="695">
        <v>0</v>
      </c>
      <c r="V19" s="587">
        <f>ROUND(13.2*2.84*0,0)</f>
        <v>0</v>
      </c>
      <c r="W19" s="695">
        <v>1</v>
      </c>
      <c r="X19" s="587">
        <f>ROUND(13.2*2.84*1,0)</f>
        <v>37</v>
      </c>
      <c r="Y19" s="695">
        <v>1.3</v>
      </c>
      <c r="Z19" s="587">
        <f>ROUND(13.2*2.84*1.3,0)</f>
        <v>49</v>
      </c>
      <c r="AA19" s="695">
        <v>1.6</v>
      </c>
      <c r="AB19" s="587">
        <f>ROUND(13.2*2.84*1.6,0)</f>
        <v>60</v>
      </c>
      <c r="AC19" s="695">
        <v>1.7</v>
      </c>
      <c r="AD19" s="587">
        <f>ROUND(13.2*2.84*1.7,0)</f>
        <v>64</v>
      </c>
      <c r="AE19" s="695">
        <v>1.8</v>
      </c>
      <c r="AF19" s="587">
        <f>ROUND(13.2*2.84*1.8,0)</f>
        <v>67</v>
      </c>
      <c r="AG19" s="695">
        <v>1.8</v>
      </c>
      <c r="AH19" s="587">
        <f>ROUND(13.2*2.84*1.8,0)</f>
        <v>67</v>
      </c>
      <c r="AI19" s="695">
        <v>1.6</v>
      </c>
      <c r="AJ19" s="587">
        <f>ROUND(13.2*2.84*1.6,0)</f>
        <v>60</v>
      </c>
      <c r="AK19" s="695">
        <v>1.5</v>
      </c>
      <c r="AL19" s="587">
        <f>ROUND(13.2*2.84*1.5,0)</f>
        <v>56</v>
      </c>
      <c r="AM19" s="695">
        <v>1.2</v>
      </c>
      <c r="AN19" s="587">
        <f>ROUND(13.2*2.84*1.2,0)</f>
        <v>45</v>
      </c>
      <c r="AO19" s="695">
        <v>1</v>
      </c>
      <c r="AP19" s="587">
        <f>ROUND(13.2*2.84*1,0)</f>
        <v>37</v>
      </c>
      <c r="AQ19" s="695">
        <v>0</v>
      </c>
      <c r="AR19" s="587">
        <f>ROUND(13.2*2.84*0,0)</f>
        <v>0</v>
      </c>
      <c r="AS19" s="695">
        <v>0</v>
      </c>
      <c r="AT19" s="587">
        <f>ROUND(13.2*2.84*0,0)</f>
        <v>0</v>
      </c>
      <c r="AU19" s="695">
        <v>0</v>
      </c>
      <c r="AV19" s="587">
        <f>ROUND(13.2*2.84*0,0)</f>
        <v>0</v>
      </c>
      <c r="AW19" s="695">
        <v>0</v>
      </c>
      <c r="AX19" s="587">
        <f>ROUND(13.2*2.84*0,0)</f>
        <v>0</v>
      </c>
      <c r="AY19" s="695">
        <v>0</v>
      </c>
      <c r="AZ19" s="587">
        <f>ROUND(13.2*2.84*0,0)</f>
        <v>0</v>
      </c>
      <c r="BA19" s="695">
        <v>0</v>
      </c>
      <c r="BB19" s="589">
        <f>ROUND(13.2*2.84*0,0)</f>
        <v>0</v>
      </c>
      <c r="BC19" s="562"/>
      <c r="BD19" s="552"/>
      <c r="BE19" s="700" t="s">
        <v>261</v>
      </c>
      <c r="BF19" s="691"/>
      <c r="BG19" s="583">
        <v>13.2</v>
      </c>
      <c r="BH19" s="692">
        <v>2.84</v>
      </c>
      <c r="BI19" s="693"/>
      <c r="BJ19" s="694">
        <v>0</v>
      </c>
      <c r="BK19" s="587">
        <f>ROUND(13.2*2.84*0,0)</f>
        <v>0</v>
      </c>
      <c r="BL19" s="695">
        <v>0</v>
      </c>
      <c r="BM19" s="587">
        <f>ROUND(13.2*2.84*0,0)</f>
        <v>0</v>
      </c>
      <c r="BN19" s="695">
        <v>0</v>
      </c>
      <c r="BO19" s="587">
        <f>ROUND(13.2*2.84*0,0)</f>
        <v>0</v>
      </c>
      <c r="BP19" s="695">
        <v>0</v>
      </c>
      <c r="BQ19" s="587">
        <f>ROUND(13.2*2.84*0,0)</f>
        <v>0</v>
      </c>
      <c r="BR19" s="695">
        <v>0</v>
      </c>
      <c r="BS19" s="587">
        <f>ROUND(13.2*2.84*0,0)</f>
        <v>0</v>
      </c>
      <c r="BT19" s="695">
        <v>0</v>
      </c>
      <c r="BU19" s="587">
        <f>ROUND(13.2*2.84*0,0)</f>
        <v>0</v>
      </c>
      <c r="BV19" s="695">
        <v>0</v>
      </c>
      <c r="BW19" s="587">
        <f>ROUND(13.2*2.84*0,0)</f>
        <v>0</v>
      </c>
      <c r="BX19" s="695">
        <v>0</v>
      </c>
      <c r="BY19" s="587">
        <f>ROUND(13.2*2.84*0,0)</f>
        <v>0</v>
      </c>
      <c r="BZ19" s="695">
        <v>0.9</v>
      </c>
      <c r="CA19" s="587">
        <f>ROUND(13.2*2.84*0.9,0)</f>
        <v>34</v>
      </c>
      <c r="CB19" s="695">
        <v>1.2</v>
      </c>
      <c r="CC19" s="587">
        <f>ROUND(13.2*2.84*1.2,0)</f>
        <v>45</v>
      </c>
      <c r="CD19" s="695">
        <v>1.5</v>
      </c>
      <c r="CE19" s="587">
        <f>ROUND(13.2*2.84*1.5,0)</f>
        <v>56</v>
      </c>
      <c r="CF19" s="695">
        <v>1.6</v>
      </c>
      <c r="CG19" s="587">
        <f>ROUND(13.2*2.84*1.6,0)</f>
        <v>60</v>
      </c>
      <c r="CH19" s="695">
        <v>1.7</v>
      </c>
      <c r="CI19" s="587">
        <f>ROUND(13.2*2.84*1.7,0)</f>
        <v>64</v>
      </c>
      <c r="CJ19" s="695">
        <v>1.6</v>
      </c>
      <c r="CK19" s="587">
        <f>ROUND(13.2*2.84*1.6,0)</f>
        <v>60</v>
      </c>
      <c r="CL19" s="695">
        <v>1.5</v>
      </c>
      <c r="CM19" s="587">
        <f>ROUND(13.2*2.84*1.5,0)</f>
        <v>56</v>
      </c>
      <c r="CN19" s="695">
        <v>1.3</v>
      </c>
      <c r="CO19" s="587">
        <f>ROUND(13.2*2.84*1.3,0)</f>
        <v>49</v>
      </c>
      <c r="CP19" s="695">
        <v>1.2</v>
      </c>
      <c r="CQ19" s="587">
        <f>ROUND(13.2*2.84*1.2,0)</f>
        <v>45</v>
      </c>
      <c r="CR19" s="695">
        <v>0.9</v>
      </c>
      <c r="CS19" s="587">
        <f>ROUND(13.2*2.84*0.9,0)</f>
        <v>34</v>
      </c>
      <c r="CT19" s="695">
        <v>0</v>
      </c>
      <c r="CU19" s="587">
        <f>ROUND(13.2*2.84*0,0)</f>
        <v>0</v>
      </c>
      <c r="CV19" s="695">
        <v>0</v>
      </c>
      <c r="CW19" s="587">
        <f>ROUND(13.2*2.84*0,0)</f>
        <v>0</v>
      </c>
      <c r="CX19" s="695">
        <v>0</v>
      </c>
      <c r="CY19" s="587">
        <f>ROUND(13.2*2.84*0,0)</f>
        <v>0</v>
      </c>
      <c r="CZ19" s="695">
        <v>0</v>
      </c>
      <c r="DA19" s="587">
        <f>ROUND(13.2*2.84*0,0)</f>
        <v>0</v>
      </c>
      <c r="DB19" s="695">
        <v>0</v>
      </c>
      <c r="DC19" s="587">
        <f>ROUND(13.2*2.84*0,0)</f>
        <v>0</v>
      </c>
      <c r="DD19" s="695">
        <v>0</v>
      </c>
      <c r="DE19" s="589">
        <f>ROUND(13.2*2.84*0,0)</f>
        <v>0</v>
      </c>
      <c r="DF19" s="562"/>
      <c r="DG19" s="552"/>
      <c r="DH19" s="700" t="s">
        <v>261</v>
      </c>
      <c r="DI19" s="691"/>
      <c r="DJ19" s="583">
        <v>13.2</v>
      </c>
      <c r="DK19" s="692">
        <v>2.84</v>
      </c>
      <c r="DL19" s="693"/>
      <c r="DM19" s="694">
        <v>0</v>
      </c>
      <c r="DN19" s="587">
        <f>ROUND(13.2*2.84*0,0)</f>
        <v>0</v>
      </c>
      <c r="DO19" s="695">
        <v>0</v>
      </c>
      <c r="DP19" s="587">
        <f>ROUND(13.2*2.84*0,0)</f>
        <v>0</v>
      </c>
      <c r="DQ19" s="695">
        <v>0</v>
      </c>
      <c r="DR19" s="587">
        <f>ROUND(13.2*2.84*0,0)</f>
        <v>0</v>
      </c>
      <c r="DS19" s="695">
        <v>0</v>
      </c>
      <c r="DT19" s="587">
        <f>ROUND(13.2*2.84*0,0)</f>
        <v>0</v>
      </c>
      <c r="DU19" s="695">
        <v>0</v>
      </c>
      <c r="DV19" s="587">
        <f>ROUND(13.2*2.84*0,0)</f>
        <v>0</v>
      </c>
      <c r="DW19" s="695">
        <v>0</v>
      </c>
      <c r="DX19" s="587">
        <f>ROUND(13.2*2.84*0,0)</f>
        <v>0</v>
      </c>
      <c r="DY19" s="695">
        <v>0</v>
      </c>
      <c r="DZ19" s="587">
        <f>ROUND(13.2*2.84*0,0)</f>
        <v>0</v>
      </c>
      <c r="EA19" s="695">
        <v>0</v>
      </c>
      <c r="EB19" s="587">
        <f>ROUND(13.2*2.84*0,0)</f>
        <v>0</v>
      </c>
      <c r="EC19" s="695">
        <v>0.2</v>
      </c>
      <c r="ED19" s="587">
        <f>ROUND(13.2*2.84*0.2,0)</f>
        <v>7</v>
      </c>
      <c r="EE19" s="695">
        <v>0.6</v>
      </c>
      <c r="EF19" s="587">
        <f>ROUND(13.2*2.84*0.6,0)</f>
        <v>22</v>
      </c>
      <c r="EG19" s="695">
        <v>0.9</v>
      </c>
      <c r="EH19" s="587">
        <f>ROUND(13.2*2.84*0.9,0)</f>
        <v>34</v>
      </c>
      <c r="EI19" s="695">
        <v>1.1000000000000001</v>
      </c>
      <c r="EJ19" s="587">
        <f>ROUND(13.2*2.84*1.1,0)</f>
        <v>41</v>
      </c>
      <c r="EK19" s="695">
        <v>1.1000000000000001</v>
      </c>
      <c r="EL19" s="587">
        <f>ROUND(13.2*2.84*1.1,0)</f>
        <v>41</v>
      </c>
      <c r="EM19" s="695">
        <v>1</v>
      </c>
      <c r="EN19" s="587">
        <f>ROUND(13.2*2.84*1,0)</f>
        <v>37</v>
      </c>
      <c r="EO19" s="695">
        <v>0.9</v>
      </c>
      <c r="EP19" s="587">
        <f>ROUND(13.2*2.84*0.9,0)</f>
        <v>34</v>
      </c>
      <c r="EQ19" s="695">
        <v>0.8</v>
      </c>
      <c r="ER19" s="587">
        <f>ROUND(13.2*2.84*0.8,0)</f>
        <v>30</v>
      </c>
      <c r="ES19" s="695">
        <v>0.5</v>
      </c>
      <c r="ET19" s="587">
        <f>ROUND(13.2*2.84*0.5,0)</f>
        <v>19</v>
      </c>
      <c r="EU19" s="695">
        <v>0.2</v>
      </c>
      <c r="EV19" s="587">
        <f>ROUND(13.2*2.84*0.2,0)</f>
        <v>7</v>
      </c>
      <c r="EW19" s="695">
        <v>0</v>
      </c>
      <c r="EX19" s="587">
        <f>ROUND(13.2*2.84*0,0)</f>
        <v>0</v>
      </c>
      <c r="EY19" s="695">
        <v>0</v>
      </c>
      <c r="EZ19" s="587">
        <f>ROUND(13.2*2.84*0,0)</f>
        <v>0</v>
      </c>
      <c r="FA19" s="695">
        <v>0</v>
      </c>
      <c r="FB19" s="587">
        <f>ROUND(13.2*2.84*0,0)</f>
        <v>0</v>
      </c>
      <c r="FC19" s="695">
        <v>0</v>
      </c>
      <c r="FD19" s="587">
        <f>ROUND(13.2*2.84*0,0)</f>
        <v>0</v>
      </c>
      <c r="FE19" s="695">
        <v>0</v>
      </c>
      <c r="FF19" s="587">
        <f>ROUND(13.2*2.84*0,0)</f>
        <v>0</v>
      </c>
      <c r="FG19" s="695">
        <v>0</v>
      </c>
      <c r="FH19" s="589">
        <f>ROUND(13.2*2.84*0,0)</f>
        <v>0</v>
      </c>
      <c r="FI19" s="563"/>
      <c r="FJ19" s="564"/>
      <c r="FK19" s="700" t="s">
        <v>261</v>
      </c>
      <c r="FL19" s="691"/>
      <c r="FM19" s="583">
        <v>13.2</v>
      </c>
      <c r="FN19" s="692">
        <v>2.84</v>
      </c>
      <c r="FO19" s="693"/>
      <c r="FP19" s="696">
        <v>9</v>
      </c>
      <c r="FQ19" s="697">
        <v>5.0999999999999996</v>
      </c>
      <c r="FR19" s="587">
        <f>ROUND(13.2*2.84*5.1,0)</f>
        <v>191</v>
      </c>
      <c r="FS19" s="698">
        <v>9</v>
      </c>
      <c r="FT19" s="697">
        <v>5.2</v>
      </c>
      <c r="FU19" s="592">
        <f>ROUND(13.2*2.84*5.2,0)</f>
        <v>195</v>
      </c>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c r="C20" s="691"/>
      <c r="D20" s="583"/>
      <c r="E20" s="692"/>
      <c r="F20" s="693"/>
      <c r="G20" s="694"/>
      <c r="H20" s="587"/>
      <c r="I20" s="695"/>
      <c r="J20" s="587"/>
      <c r="K20" s="695"/>
      <c r="L20" s="587"/>
      <c r="M20" s="695"/>
      <c r="N20" s="587"/>
      <c r="O20" s="695"/>
      <c r="P20" s="587"/>
      <c r="Q20" s="695"/>
      <c r="R20" s="587"/>
      <c r="S20" s="695"/>
      <c r="T20" s="587"/>
      <c r="U20" s="695"/>
      <c r="V20" s="587"/>
      <c r="W20" s="695"/>
      <c r="X20" s="587"/>
      <c r="Y20" s="695"/>
      <c r="Z20" s="587"/>
      <c r="AA20" s="695"/>
      <c r="AB20" s="587"/>
      <c r="AC20" s="695"/>
      <c r="AD20" s="587"/>
      <c r="AE20" s="695"/>
      <c r="AF20" s="587"/>
      <c r="AG20" s="695"/>
      <c r="AH20" s="587"/>
      <c r="AI20" s="695"/>
      <c r="AJ20" s="587"/>
      <c r="AK20" s="695"/>
      <c r="AL20" s="587"/>
      <c r="AM20" s="695"/>
      <c r="AN20" s="587"/>
      <c r="AO20" s="695"/>
      <c r="AP20" s="587"/>
      <c r="AQ20" s="695"/>
      <c r="AR20" s="587"/>
      <c r="AS20" s="695"/>
      <c r="AT20" s="587"/>
      <c r="AU20" s="695"/>
      <c r="AV20" s="587"/>
      <c r="AW20" s="695"/>
      <c r="AX20" s="587"/>
      <c r="AY20" s="695"/>
      <c r="AZ20" s="587"/>
      <c r="BA20" s="695"/>
      <c r="BB20" s="589"/>
      <c r="BC20" s="562"/>
      <c r="BD20" s="552"/>
      <c r="BE20" s="700"/>
      <c r="BF20" s="691"/>
      <c r="BG20" s="583"/>
      <c r="BH20" s="692"/>
      <c r="BI20" s="693"/>
      <c r="BJ20" s="694"/>
      <c r="BK20" s="587"/>
      <c r="BL20" s="695"/>
      <c r="BM20" s="587"/>
      <c r="BN20" s="695"/>
      <c r="BO20" s="587"/>
      <c r="BP20" s="695"/>
      <c r="BQ20" s="587"/>
      <c r="BR20" s="695"/>
      <c r="BS20" s="587"/>
      <c r="BT20" s="695"/>
      <c r="BU20" s="587"/>
      <c r="BV20" s="695"/>
      <c r="BW20" s="587"/>
      <c r="BX20" s="695"/>
      <c r="BY20" s="587"/>
      <c r="BZ20" s="695"/>
      <c r="CA20" s="587"/>
      <c r="CB20" s="695"/>
      <c r="CC20" s="587"/>
      <c r="CD20" s="695"/>
      <c r="CE20" s="587"/>
      <c r="CF20" s="695"/>
      <c r="CG20" s="587"/>
      <c r="CH20" s="695"/>
      <c r="CI20" s="587"/>
      <c r="CJ20" s="695"/>
      <c r="CK20" s="587"/>
      <c r="CL20" s="695"/>
      <c r="CM20" s="587"/>
      <c r="CN20" s="695"/>
      <c r="CO20" s="587"/>
      <c r="CP20" s="695"/>
      <c r="CQ20" s="587"/>
      <c r="CR20" s="695"/>
      <c r="CS20" s="587"/>
      <c r="CT20" s="695"/>
      <c r="CU20" s="587"/>
      <c r="CV20" s="695"/>
      <c r="CW20" s="587"/>
      <c r="CX20" s="695"/>
      <c r="CY20" s="587"/>
      <c r="CZ20" s="695"/>
      <c r="DA20" s="587"/>
      <c r="DB20" s="695"/>
      <c r="DC20" s="587"/>
      <c r="DD20" s="695"/>
      <c r="DE20" s="589"/>
      <c r="DF20" s="562"/>
      <c r="DG20" s="552"/>
      <c r="DH20" s="700"/>
      <c r="DI20" s="691"/>
      <c r="DJ20" s="583"/>
      <c r="DK20" s="692"/>
      <c r="DL20" s="693"/>
      <c r="DM20" s="694"/>
      <c r="DN20" s="587"/>
      <c r="DO20" s="695"/>
      <c r="DP20" s="587"/>
      <c r="DQ20" s="695"/>
      <c r="DR20" s="587"/>
      <c r="DS20" s="695"/>
      <c r="DT20" s="587"/>
      <c r="DU20" s="695"/>
      <c r="DV20" s="587"/>
      <c r="DW20" s="695"/>
      <c r="DX20" s="587"/>
      <c r="DY20" s="695"/>
      <c r="DZ20" s="587"/>
      <c r="EA20" s="695"/>
      <c r="EB20" s="587"/>
      <c r="EC20" s="695"/>
      <c r="ED20" s="587"/>
      <c r="EE20" s="695"/>
      <c r="EF20" s="587"/>
      <c r="EG20" s="695"/>
      <c r="EH20" s="587"/>
      <c r="EI20" s="695"/>
      <c r="EJ20" s="587"/>
      <c r="EK20" s="695"/>
      <c r="EL20" s="587"/>
      <c r="EM20" s="695"/>
      <c r="EN20" s="587"/>
      <c r="EO20" s="695"/>
      <c r="EP20" s="587"/>
      <c r="EQ20" s="695"/>
      <c r="ER20" s="587"/>
      <c r="ES20" s="695"/>
      <c r="ET20" s="587"/>
      <c r="EU20" s="695"/>
      <c r="EV20" s="587"/>
      <c r="EW20" s="695"/>
      <c r="EX20" s="587"/>
      <c r="EY20" s="695"/>
      <c r="EZ20" s="587"/>
      <c r="FA20" s="695"/>
      <c r="FB20" s="587"/>
      <c r="FC20" s="695"/>
      <c r="FD20" s="587"/>
      <c r="FE20" s="695"/>
      <c r="FF20" s="587"/>
      <c r="FG20" s="695"/>
      <c r="FH20" s="589"/>
      <c r="FI20" s="563"/>
      <c r="FJ20" s="564"/>
      <c r="FK20" s="700"/>
      <c r="FL20" s="691"/>
      <c r="FM20" s="583"/>
      <c r="FN20" s="692"/>
      <c r="FO20" s="693"/>
      <c r="FP20" s="696"/>
      <c r="FQ20" s="697"/>
      <c r="FR20" s="587"/>
      <c r="FS20" s="698"/>
      <c r="FT20" s="697"/>
      <c r="FU20" s="592"/>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c r="C21" s="691"/>
      <c r="D21" s="583"/>
      <c r="E21" s="692"/>
      <c r="F21" s="693"/>
      <c r="G21" s="694"/>
      <c r="H21" s="587"/>
      <c r="I21" s="695"/>
      <c r="J21" s="587"/>
      <c r="K21" s="695"/>
      <c r="L21" s="587"/>
      <c r="M21" s="695"/>
      <c r="N21" s="587"/>
      <c r="O21" s="695"/>
      <c r="P21" s="587"/>
      <c r="Q21" s="695"/>
      <c r="R21" s="587"/>
      <c r="S21" s="695"/>
      <c r="T21" s="587"/>
      <c r="U21" s="695"/>
      <c r="V21" s="587"/>
      <c r="W21" s="695"/>
      <c r="X21" s="587"/>
      <c r="Y21" s="695"/>
      <c r="Z21" s="587"/>
      <c r="AA21" s="695"/>
      <c r="AB21" s="587"/>
      <c r="AC21" s="695"/>
      <c r="AD21" s="587"/>
      <c r="AE21" s="695"/>
      <c r="AF21" s="587"/>
      <c r="AG21" s="695"/>
      <c r="AH21" s="587"/>
      <c r="AI21" s="695"/>
      <c r="AJ21" s="587"/>
      <c r="AK21" s="695"/>
      <c r="AL21" s="587"/>
      <c r="AM21" s="695"/>
      <c r="AN21" s="587"/>
      <c r="AO21" s="695"/>
      <c r="AP21" s="587"/>
      <c r="AQ21" s="695"/>
      <c r="AR21" s="587"/>
      <c r="AS21" s="695"/>
      <c r="AT21" s="587"/>
      <c r="AU21" s="695"/>
      <c r="AV21" s="587"/>
      <c r="AW21" s="695"/>
      <c r="AX21" s="587"/>
      <c r="AY21" s="695"/>
      <c r="AZ21" s="587"/>
      <c r="BA21" s="695"/>
      <c r="BB21" s="589"/>
      <c r="BC21" s="562"/>
      <c r="BD21" s="552"/>
      <c r="BE21" s="700"/>
      <c r="BF21" s="691"/>
      <c r="BG21" s="583"/>
      <c r="BH21" s="692"/>
      <c r="BI21" s="693"/>
      <c r="BJ21" s="694"/>
      <c r="BK21" s="587"/>
      <c r="BL21" s="695"/>
      <c r="BM21" s="587"/>
      <c r="BN21" s="695"/>
      <c r="BO21" s="587"/>
      <c r="BP21" s="695"/>
      <c r="BQ21" s="587"/>
      <c r="BR21" s="695"/>
      <c r="BS21" s="587"/>
      <c r="BT21" s="695"/>
      <c r="BU21" s="587"/>
      <c r="BV21" s="695"/>
      <c r="BW21" s="587"/>
      <c r="BX21" s="695"/>
      <c r="BY21" s="587"/>
      <c r="BZ21" s="695"/>
      <c r="CA21" s="587"/>
      <c r="CB21" s="695"/>
      <c r="CC21" s="587"/>
      <c r="CD21" s="695"/>
      <c r="CE21" s="587"/>
      <c r="CF21" s="695"/>
      <c r="CG21" s="587"/>
      <c r="CH21" s="695"/>
      <c r="CI21" s="587"/>
      <c r="CJ21" s="695"/>
      <c r="CK21" s="587"/>
      <c r="CL21" s="695"/>
      <c r="CM21" s="587"/>
      <c r="CN21" s="695"/>
      <c r="CO21" s="587"/>
      <c r="CP21" s="695"/>
      <c r="CQ21" s="587"/>
      <c r="CR21" s="695"/>
      <c r="CS21" s="587"/>
      <c r="CT21" s="695"/>
      <c r="CU21" s="587"/>
      <c r="CV21" s="695"/>
      <c r="CW21" s="587"/>
      <c r="CX21" s="695"/>
      <c r="CY21" s="587"/>
      <c r="CZ21" s="695"/>
      <c r="DA21" s="587"/>
      <c r="DB21" s="695"/>
      <c r="DC21" s="587"/>
      <c r="DD21" s="695"/>
      <c r="DE21" s="589"/>
      <c r="DF21" s="562"/>
      <c r="DG21" s="552"/>
      <c r="DH21" s="700"/>
      <c r="DI21" s="691"/>
      <c r="DJ21" s="583"/>
      <c r="DK21" s="692"/>
      <c r="DL21" s="693"/>
      <c r="DM21" s="694"/>
      <c r="DN21" s="587"/>
      <c r="DO21" s="695"/>
      <c r="DP21" s="587"/>
      <c r="DQ21" s="695"/>
      <c r="DR21" s="587"/>
      <c r="DS21" s="695"/>
      <c r="DT21" s="587"/>
      <c r="DU21" s="695"/>
      <c r="DV21" s="587"/>
      <c r="DW21" s="695"/>
      <c r="DX21" s="587"/>
      <c r="DY21" s="695"/>
      <c r="DZ21" s="587"/>
      <c r="EA21" s="695"/>
      <c r="EB21" s="587"/>
      <c r="EC21" s="695"/>
      <c r="ED21" s="587"/>
      <c r="EE21" s="695"/>
      <c r="EF21" s="587"/>
      <c r="EG21" s="695"/>
      <c r="EH21" s="587"/>
      <c r="EI21" s="695"/>
      <c r="EJ21" s="587"/>
      <c r="EK21" s="695"/>
      <c r="EL21" s="587"/>
      <c r="EM21" s="695"/>
      <c r="EN21" s="587"/>
      <c r="EO21" s="695"/>
      <c r="EP21" s="587"/>
      <c r="EQ21" s="695"/>
      <c r="ER21" s="587"/>
      <c r="ES21" s="695"/>
      <c r="ET21" s="587"/>
      <c r="EU21" s="695"/>
      <c r="EV21" s="587"/>
      <c r="EW21" s="695"/>
      <c r="EX21" s="587"/>
      <c r="EY21" s="695"/>
      <c r="EZ21" s="587"/>
      <c r="FA21" s="695"/>
      <c r="FB21" s="587"/>
      <c r="FC21" s="695"/>
      <c r="FD21" s="587"/>
      <c r="FE21" s="695"/>
      <c r="FF21" s="587"/>
      <c r="FG21" s="695"/>
      <c r="FH21" s="589"/>
      <c r="FI21" s="563"/>
      <c r="FJ21" s="564"/>
      <c r="FK21" s="700"/>
      <c r="FL21" s="691"/>
      <c r="FM21" s="583"/>
      <c r="FN21" s="692"/>
      <c r="FO21" s="693"/>
      <c r="FP21" s="696"/>
      <c r="FQ21" s="697"/>
      <c r="FR21" s="587"/>
      <c r="FS21" s="698"/>
      <c r="FT21" s="697"/>
      <c r="FU21" s="592"/>
      <c r="FV21" s="593"/>
      <c r="FW21" s="594"/>
      <c r="FX21" s="595"/>
      <c r="FY21" s="596"/>
      <c r="FZ21" s="597"/>
      <c r="GA21" s="598"/>
      <c r="GB21" s="599"/>
      <c r="GC21" s="600"/>
      <c r="GD21" s="599"/>
      <c r="GE21" s="601"/>
      <c r="GF21" s="688"/>
      <c r="GG21" s="602"/>
      <c r="GH21" s="602"/>
      <c r="GI21" s="602"/>
      <c r="GJ21" s="409"/>
      <c r="GK21" s="701" t="s">
        <v>699</v>
      </c>
      <c r="GL21" s="702"/>
      <c r="GM21" s="703"/>
      <c r="GN21" s="638">
        <v>0</v>
      </c>
      <c r="GO21" s="704"/>
      <c r="GP21" s="705"/>
      <c r="GQ21" s="633">
        <v>0</v>
      </c>
      <c r="GR21" s="634">
        <v>0</v>
      </c>
      <c r="GS21" s="578"/>
      <c r="GT21" s="677"/>
      <c r="GU21" s="701" t="s">
        <v>699</v>
      </c>
      <c r="GV21" s="702"/>
      <c r="GW21" s="703"/>
      <c r="GX21" s="706">
        <v>0</v>
      </c>
      <c r="GY21" s="707"/>
      <c r="GZ21" s="704"/>
      <c r="HA21" s="708">
        <v>0</v>
      </c>
      <c r="HB21" s="709"/>
      <c r="HC21" s="710"/>
      <c r="HD21" s="562"/>
      <c r="HE21" s="615"/>
      <c r="HF21" s="615"/>
      <c r="HG21" s="415"/>
    </row>
    <row r="22" spans="1:218" ht="20.100000000000001" customHeight="1">
      <c r="A22" s="552"/>
      <c r="B22" s="700"/>
      <c r="C22" s="691"/>
      <c r="D22" s="583"/>
      <c r="E22" s="692"/>
      <c r="F22" s="693"/>
      <c r="G22" s="694"/>
      <c r="H22" s="587"/>
      <c r="I22" s="695"/>
      <c r="J22" s="587"/>
      <c r="K22" s="695"/>
      <c r="L22" s="587"/>
      <c r="M22" s="695"/>
      <c r="N22" s="587"/>
      <c r="O22" s="695"/>
      <c r="P22" s="587"/>
      <c r="Q22" s="695"/>
      <c r="R22" s="587"/>
      <c r="S22" s="695"/>
      <c r="T22" s="587"/>
      <c r="U22" s="695"/>
      <c r="V22" s="587"/>
      <c r="W22" s="695"/>
      <c r="X22" s="587"/>
      <c r="Y22" s="695"/>
      <c r="Z22" s="587"/>
      <c r="AA22" s="695"/>
      <c r="AB22" s="587"/>
      <c r="AC22" s="695"/>
      <c r="AD22" s="587"/>
      <c r="AE22" s="695"/>
      <c r="AF22" s="587"/>
      <c r="AG22" s="695"/>
      <c r="AH22" s="587"/>
      <c r="AI22" s="695"/>
      <c r="AJ22" s="587"/>
      <c r="AK22" s="695"/>
      <c r="AL22" s="587"/>
      <c r="AM22" s="695"/>
      <c r="AN22" s="587"/>
      <c r="AO22" s="695"/>
      <c r="AP22" s="587"/>
      <c r="AQ22" s="695"/>
      <c r="AR22" s="587"/>
      <c r="AS22" s="695"/>
      <c r="AT22" s="587"/>
      <c r="AU22" s="695"/>
      <c r="AV22" s="587"/>
      <c r="AW22" s="695"/>
      <c r="AX22" s="587"/>
      <c r="AY22" s="695"/>
      <c r="AZ22" s="587"/>
      <c r="BA22" s="695"/>
      <c r="BB22" s="589"/>
      <c r="BC22" s="562"/>
      <c r="BD22" s="552"/>
      <c r="BE22" s="700"/>
      <c r="BF22" s="691"/>
      <c r="BG22" s="583"/>
      <c r="BH22" s="692"/>
      <c r="BI22" s="693"/>
      <c r="BJ22" s="694"/>
      <c r="BK22" s="587"/>
      <c r="BL22" s="695"/>
      <c r="BM22" s="587"/>
      <c r="BN22" s="695"/>
      <c r="BO22" s="587"/>
      <c r="BP22" s="695"/>
      <c r="BQ22" s="587"/>
      <c r="BR22" s="695"/>
      <c r="BS22" s="587"/>
      <c r="BT22" s="695"/>
      <c r="BU22" s="587"/>
      <c r="BV22" s="695"/>
      <c r="BW22" s="587"/>
      <c r="BX22" s="695"/>
      <c r="BY22" s="587"/>
      <c r="BZ22" s="695"/>
      <c r="CA22" s="587"/>
      <c r="CB22" s="695"/>
      <c r="CC22" s="587"/>
      <c r="CD22" s="695"/>
      <c r="CE22" s="587"/>
      <c r="CF22" s="695"/>
      <c r="CG22" s="587"/>
      <c r="CH22" s="695"/>
      <c r="CI22" s="587"/>
      <c r="CJ22" s="695"/>
      <c r="CK22" s="587"/>
      <c r="CL22" s="695"/>
      <c r="CM22" s="587"/>
      <c r="CN22" s="695"/>
      <c r="CO22" s="587"/>
      <c r="CP22" s="695"/>
      <c r="CQ22" s="587"/>
      <c r="CR22" s="695"/>
      <c r="CS22" s="587"/>
      <c r="CT22" s="695"/>
      <c r="CU22" s="587"/>
      <c r="CV22" s="695"/>
      <c r="CW22" s="587"/>
      <c r="CX22" s="695"/>
      <c r="CY22" s="587"/>
      <c r="CZ22" s="695"/>
      <c r="DA22" s="587"/>
      <c r="DB22" s="695"/>
      <c r="DC22" s="587"/>
      <c r="DD22" s="695"/>
      <c r="DE22" s="589"/>
      <c r="DF22" s="562"/>
      <c r="DG22" s="552"/>
      <c r="DH22" s="700"/>
      <c r="DI22" s="691"/>
      <c r="DJ22" s="583"/>
      <c r="DK22" s="692"/>
      <c r="DL22" s="693"/>
      <c r="DM22" s="694"/>
      <c r="DN22" s="587"/>
      <c r="DO22" s="695"/>
      <c r="DP22" s="587"/>
      <c r="DQ22" s="695"/>
      <c r="DR22" s="587"/>
      <c r="DS22" s="695"/>
      <c r="DT22" s="587"/>
      <c r="DU22" s="695"/>
      <c r="DV22" s="587"/>
      <c r="DW22" s="695"/>
      <c r="DX22" s="587"/>
      <c r="DY22" s="695"/>
      <c r="DZ22" s="587"/>
      <c r="EA22" s="695"/>
      <c r="EB22" s="587"/>
      <c r="EC22" s="695"/>
      <c r="ED22" s="587"/>
      <c r="EE22" s="695"/>
      <c r="EF22" s="587"/>
      <c r="EG22" s="695"/>
      <c r="EH22" s="587"/>
      <c r="EI22" s="695"/>
      <c r="EJ22" s="587"/>
      <c r="EK22" s="695"/>
      <c r="EL22" s="587"/>
      <c r="EM22" s="695"/>
      <c r="EN22" s="587"/>
      <c r="EO22" s="695"/>
      <c r="EP22" s="587"/>
      <c r="EQ22" s="695"/>
      <c r="ER22" s="587"/>
      <c r="ES22" s="695"/>
      <c r="ET22" s="587"/>
      <c r="EU22" s="695"/>
      <c r="EV22" s="587"/>
      <c r="EW22" s="695"/>
      <c r="EX22" s="587"/>
      <c r="EY22" s="695"/>
      <c r="EZ22" s="587"/>
      <c r="FA22" s="695"/>
      <c r="FB22" s="587"/>
      <c r="FC22" s="695"/>
      <c r="FD22" s="587"/>
      <c r="FE22" s="695"/>
      <c r="FF22" s="587"/>
      <c r="FG22" s="695"/>
      <c r="FH22" s="589"/>
      <c r="FI22" s="563"/>
      <c r="FJ22" s="564"/>
      <c r="FK22" s="700"/>
      <c r="FL22" s="691"/>
      <c r="FM22" s="583"/>
      <c r="FN22" s="692"/>
      <c r="FO22" s="693"/>
      <c r="FP22" s="696"/>
      <c r="FQ22" s="697"/>
      <c r="FR22" s="587"/>
      <c r="FS22" s="698"/>
      <c r="FT22" s="697"/>
      <c r="FU22" s="592"/>
      <c r="FV22" s="593"/>
      <c r="FW22" s="594"/>
      <c r="FX22" s="595"/>
      <c r="FY22" s="596"/>
      <c r="FZ22" s="597"/>
      <c r="GA22" s="598"/>
      <c r="GB22" s="599"/>
      <c r="GC22" s="600"/>
      <c r="GD22" s="599"/>
      <c r="GE22" s="601"/>
      <c r="GF22" s="688"/>
      <c r="GG22" s="602"/>
      <c r="GH22" s="602"/>
      <c r="GI22" s="602"/>
      <c r="GJ22" s="530"/>
      <c r="GK22" s="711" t="s">
        <v>539</v>
      </c>
      <c r="GL22" s="712"/>
      <c r="GM22" s="712"/>
      <c r="GN22" s="713"/>
      <c r="GO22" s="633">
        <v>0</v>
      </c>
      <c r="GP22" s="633">
        <v>1</v>
      </c>
      <c r="GQ22" s="714"/>
      <c r="GR22" s="715"/>
      <c r="GS22" s="578"/>
      <c r="GT22" s="677"/>
      <c r="GU22" s="711" t="s">
        <v>700</v>
      </c>
      <c r="GV22" s="712"/>
      <c r="GW22" s="712"/>
      <c r="GX22" s="712"/>
      <c r="GY22" s="713"/>
      <c r="GZ22" s="633">
        <v>0</v>
      </c>
      <c r="HA22" s="716"/>
      <c r="HB22" s="717"/>
      <c r="HC22" s="413"/>
      <c r="HD22" s="562"/>
      <c r="HE22" s="415"/>
      <c r="HF22" s="415"/>
      <c r="HG22" s="415"/>
    </row>
    <row r="23" spans="1:218" ht="20.100000000000001" customHeight="1">
      <c r="A23" s="552"/>
      <c r="B23" s="700"/>
      <c r="C23" s="691"/>
      <c r="D23" s="583"/>
      <c r="E23" s="692"/>
      <c r="F23" s="693"/>
      <c r="G23" s="694"/>
      <c r="H23" s="587"/>
      <c r="I23" s="695"/>
      <c r="J23" s="587"/>
      <c r="K23" s="695"/>
      <c r="L23" s="587"/>
      <c r="M23" s="695"/>
      <c r="N23" s="587"/>
      <c r="O23" s="695"/>
      <c r="P23" s="587"/>
      <c r="Q23" s="695"/>
      <c r="R23" s="587"/>
      <c r="S23" s="695"/>
      <c r="T23" s="587"/>
      <c r="U23" s="695"/>
      <c r="V23" s="587"/>
      <c r="W23" s="695"/>
      <c r="X23" s="587"/>
      <c r="Y23" s="695"/>
      <c r="Z23" s="587"/>
      <c r="AA23" s="695"/>
      <c r="AB23" s="587"/>
      <c r="AC23" s="695"/>
      <c r="AD23" s="587"/>
      <c r="AE23" s="695"/>
      <c r="AF23" s="587"/>
      <c r="AG23" s="695"/>
      <c r="AH23" s="587"/>
      <c r="AI23" s="695"/>
      <c r="AJ23" s="587"/>
      <c r="AK23" s="695"/>
      <c r="AL23" s="587"/>
      <c r="AM23" s="695"/>
      <c r="AN23" s="587"/>
      <c r="AO23" s="695"/>
      <c r="AP23" s="587"/>
      <c r="AQ23" s="695"/>
      <c r="AR23" s="587"/>
      <c r="AS23" s="695"/>
      <c r="AT23" s="587"/>
      <c r="AU23" s="695"/>
      <c r="AV23" s="587"/>
      <c r="AW23" s="695"/>
      <c r="AX23" s="587"/>
      <c r="AY23" s="695"/>
      <c r="AZ23" s="587"/>
      <c r="BA23" s="695"/>
      <c r="BB23" s="589"/>
      <c r="BC23" s="562"/>
      <c r="BD23" s="552"/>
      <c r="BE23" s="700"/>
      <c r="BF23" s="691"/>
      <c r="BG23" s="583"/>
      <c r="BH23" s="692"/>
      <c r="BI23" s="693"/>
      <c r="BJ23" s="694"/>
      <c r="BK23" s="587"/>
      <c r="BL23" s="695"/>
      <c r="BM23" s="587"/>
      <c r="BN23" s="695"/>
      <c r="BO23" s="587"/>
      <c r="BP23" s="695"/>
      <c r="BQ23" s="587"/>
      <c r="BR23" s="695"/>
      <c r="BS23" s="587"/>
      <c r="BT23" s="695"/>
      <c r="BU23" s="587"/>
      <c r="BV23" s="695"/>
      <c r="BW23" s="587"/>
      <c r="BX23" s="695"/>
      <c r="BY23" s="587"/>
      <c r="BZ23" s="695"/>
      <c r="CA23" s="587"/>
      <c r="CB23" s="695"/>
      <c r="CC23" s="587"/>
      <c r="CD23" s="695"/>
      <c r="CE23" s="587"/>
      <c r="CF23" s="695"/>
      <c r="CG23" s="587"/>
      <c r="CH23" s="695"/>
      <c r="CI23" s="587"/>
      <c r="CJ23" s="695"/>
      <c r="CK23" s="587"/>
      <c r="CL23" s="695"/>
      <c r="CM23" s="587"/>
      <c r="CN23" s="695"/>
      <c r="CO23" s="587"/>
      <c r="CP23" s="695"/>
      <c r="CQ23" s="587"/>
      <c r="CR23" s="695"/>
      <c r="CS23" s="587"/>
      <c r="CT23" s="695"/>
      <c r="CU23" s="587"/>
      <c r="CV23" s="695"/>
      <c r="CW23" s="587"/>
      <c r="CX23" s="695"/>
      <c r="CY23" s="587"/>
      <c r="CZ23" s="695"/>
      <c r="DA23" s="587"/>
      <c r="DB23" s="695"/>
      <c r="DC23" s="587"/>
      <c r="DD23" s="695"/>
      <c r="DE23" s="589"/>
      <c r="DF23" s="562"/>
      <c r="DG23" s="552"/>
      <c r="DH23" s="700"/>
      <c r="DI23" s="691"/>
      <c r="DJ23" s="583"/>
      <c r="DK23" s="692"/>
      <c r="DL23" s="693"/>
      <c r="DM23" s="694"/>
      <c r="DN23" s="587"/>
      <c r="DO23" s="695"/>
      <c r="DP23" s="587"/>
      <c r="DQ23" s="695"/>
      <c r="DR23" s="587"/>
      <c r="DS23" s="695"/>
      <c r="DT23" s="587"/>
      <c r="DU23" s="695"/>
      <c r="DV23" s="587"/>
      <c r="DW23" s="695"/>
      <c r="DX23" s="587"/>
      <c r="DY23" s="695"/>
      <c r="DZ23" s="587"/>
      <c r="EA23" s="695"/>
      <c r="EB23" s="587"/>
      <c r="EC23" s="695"/>
      <c r="ED23" s="587"/>
      <c r="EE23" s="695"/>
      <c r="EF23" s="587"/>
      <c r="EG23" s="695"/>
      <c r="EH23" s="587"/>
      <c r="EI23" s="695"/>
      <c r="EJ23" s="587"/>
      <c r="EK23" s="695"/>
      <c r="EL23" s="587"/>
      <c r="EM23" s="695"/>
      <c r="EN23" s="587"/>
      <c r="EO23" s="695"/>
      <c r="EP23" s="587"/>
      <c r="EQ23" s="695"/>
      <c r="ER23" s="587"/>
      <c r="ES23" s="695"/>
      <c r="ET23" s="587"/>
      <c r="EU23" s="695"/>
      <c r="EV23" s="587"/>
      <c r="EW23" s="695"/>
      <c r="EX23" s="587"/>
      <c r="EY23" s="695"/>
      <c r="EZ23" s="587"/>
      <c r="FA23" s="695"/>
      <c r="FB23" s="587"/>
      <c r="FC23" s="695"/>
      <c r="FD23" s="587"/>
      <c r="FE23" s="695"/>
      <c r="FF23" s="587"/>
      <c r="FG23" s="695"/>
      <c r="FH23" s="589"/>
      <c r="FI23" s="563"/>
      <c r="FJ23" s="564"/>
      <c r="FK23" s="700"/>
      <c r="FL23" s="691"/>
      <c r="FM23" s="583"/>
      <c r="FN23" s="692"/>
      <c r="FO23" s="693"/>
      <c r="FP23" s="696"/>
      <c r="FQ23" s="697"/>
      <c r="FR23" s="587"/>
      <c r="FS23" s="698"/>
      <c r="FT23" s="697"/>
      <c r="FU23" s="592"/>
      <c r="FV23" s="593"/>
      <c r="FW23" s="594"/>
      <c r="FX23" s="595"/>
      <c r="FY23" s="596"/>
      <c r="FZ23" s="597"/>
      <c r="GA23" s="598"/>
      <c r="GB23" s="599"/>
      <c r="GC23" s="600"/>
      <c r="GD23" s="599"/>
      <c r="GE23" s="601"/>
      <c r="GF23" s="688"/>
      <c r="GG23" s="602"/>
      <c r="GH23" s="602"/>
      <c r="GI23" s="602"/>
      <c r="GJ23" s="615"/>
      <c r="GK23" s="580" t="s">
        <v>701</v>
      </c>
      <c r="GL23" s="609"/>
      <c r="GM23" s="718"/>
      <c r="GN23" s="719">
        <v>13.23</v>
      </c>
      <c r="GO23" s="500" t="s">
        <v>904</v>
      </c>
      <c r="GP23" s="719"/>
      <c r="GQ23" s="609"/>
      <c r="GR23" s="615"/>
      <c r="GS23" s="578"/>
      <c r="GT23" s="677"/>
      <c r="GU23" s="609"/>
      <c r="GV23" s="530"/>
      <c r="GW23" s="609"/>
      <c r="GX23" s="609"/>
      <c r="GY23" s="720"/>
      <c r="GZ23" s="721"/>
      <c r="HA23" s="413"/>
      <c r="HB23" s="721" t="s">
        <v>702</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542</v>
      </c>
      <c r="GL24" s="609"/>
      <c r="GM24" s="718"/>
      <c r="GN24" s="719">
        <v>0</v>
      </c>
      <c r="GO24" s="719"/>
      <c r="GP24" s="719"/>
      <c r="GQ24" s="609"/>
      <c r="GR24" s="615"/>
      <c r="GS24" s="609"/>
      <c r="GT24" s="677"/>
      <c r="GU24" s="580" t="s">
        <v>704</v>
      </c>
      <c r="GV24" s="609"/>
      <c r="GW24" s="609"/>
      <c r="GX24" s="413"/>
      <c r="GY24" s="722">
        <v>614</v>
      </c>
      <c r="GZ24" s="580" t="s">
        <v>705</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833</v>
      </c>
      <c r="GV25" s="609"/>
      <c r="GW25" s="609"/>
      <c r="GX25" s="413"/>
      <c r="GY25" s="733">
        <v>1</v>
      </c>
      <c r="GZ25" s="580"/>
      <c r="HA25" s="530"/>
      <c r="HB25" s="530"/>
      <c r="HC25" s="530"/>
      <c r="HD25" s="562"/>
      <c r="HE25" s="562"/>
      <c r="HF25" s="415"/>
      <c r="HG25" s="415"/>
    </row>
    <row r="26" spans="1:218" ht="20.100000000000001" customHeight="1">
      <c r="A26" s="641"/>
      <c r="B26" s="642"/>
      <c r="C26" s="642"/>
      <c r="D26" s="642" t="s">
        <v>896</v>
      </c>
      <c r="E26" s="642"/>
      <c r="F26" s="642"/>
      <c r="G26" s="644"/>
      <c r="H26" s="645">
        <f>SUM(H16:H25)</f>
        <v>0</v>
      </c>
      <c r="I26" s="734"/>
      <c r="J26" s="645">
        <f>SUM(J16:J25)</f>
        <v>0</v>
      </c>
      <c r="K26" s="735"/>
      <c r="L26" s="645">
        <f>SUM(L16:L25)</f>
        <v>0</v>
      </c>
      <c r="M26" s="735"/>
      <c r="N26" s="645">
        <f>SUM(N16:N25)</f>
        <v>0</v>
      </c>
      <c r="O26" s="735"/>
      <c r="P26" s="645">
        <f>SUM(P16:P25)</f>
        <v>0</v>
      </c>
      <c r="Q26" s="735"/>
      <c r="R26" s="645">
        <f>SUM(R16:R25)</f>
        <v>0</v>
      </c>
      <c r="S26" s="735"/>
      <c r="T26" s="645">
        <f>SUM(T16:T25)</f>
        <v>0</v>
      </c>
      <c r="U26" s="735"/>
      <c r="V26" s="645">
        <f>SUM(V16:V25)</f>
        <v>0</v>
      </c>
      <c r="W26" s="735"/>
      <c r="X26" s="645">
        <f>SUM(X16:X25)</f>
        <v>133</v>
      </c>
      <c r="Y26" s="735"/>
      <c r="Z26" s="645">
        <f>SUM(Z16:Z25)</f>
        <v>170</v>
      </c>
      <c r="AA26" s="735"/>
      <c r="AB26" s="645">
        <f>SUM(AB16:AB25)</f>
        <v>202</v>
      </c>
      <c r="AC26" s="735"/>
      <c r="AD26" s="645">
        <f>SUM(AD16:AD25)</f>
        <v>215</v>
      </c>
      <c r="AE26" s="735"/>
      <c r="AF26" s="645">
        <f>SUM(AF16:AF25)</f>
        <v>229</v>
      </c>
      <c r="AG26" s="735"/>
      <c r="AH26" s="645">
        <f>SUM(AH16:AH25)</f>
        <v>233</v>
      </c>
      <c r="AI26" s="735"/>
      <c r="AJ26" s="645">
        <f>SUM(AJ16:AJ25)</f>
        <v>215</v>
      </c>
      <c r="AK26" s="735"/>
      <c r="AL26" s="645">
        <f>SUM(AL16:AL25)</f>
        <v>207</v>
      </c>
      <c r="AM26" s="735"/>
      <c r="AN26" s="645">
        <f>SUM(AN16:AN25)</f>
        <v>178</v>
      </c>
      <c r="AO26" s="735"/>
      <c r="AP26" s="645">
        <f>SUM(AP16:AP25)</f>
        <v>159</v>
      </c>
      <c r="AQ26" s="735"/>
      <c r="AR26" s="645">
        <f>SUM(AR16:AR25)</f>
        <v>0</v>
      </c>
      <c r="AS26" s="735"/>
      <c r="AT26" s="645">
        <f>SUM(AT16:AT25)</f>
        <v>0</v>
      </c>
      <c r="AU26" s="735"/>
      <c r="AV26" s="645">
        <f>SUM(AV16:AV25)</f>
        <v>0</v>
      </c>
      <c r="AW26" s="735"/>
      <c r="AX26" s="645">
        <f>SUM(AX16:AX25)</f>
        <v>0</v>
      </c>
      <c r="AY26" s="735"/>
      <c r="AZ26" s="645">
        <f>SUM(AZ16:AZ25)</f>
        <v>0</v>
      </c>
      <c r="BA26" s="735"/>
      <c r="BB26" s="647">
        <f>SUM(BB16:BB25)</f>
        <v>0</v>
      </c>
      <c r="BC26" s="648"/>
      <c r="BD26" s="641"/>
      <c r="BE26" s="642"/>
      <c r="BF26" s="642"/>
      <c r="BG26" s="642" t="s">
        <v>641</v>
      </c>
      <c r="BH26" s="642"/>
      <c r="BI26" s="642"/>
      <c r="BJ26" s="644"/>
      <c r="BK26" s="645">
        <f>SUM(BK16:BK25)</f>
        <v>0</v>
      </c>
      <c r="BL26" s="734"/>
      <c r="BM26" s="645">
        <f>SUM(BM16:BM25)</f>
        <v>0</v>
      </c>
      <c r="BN26" s="735"/>
      <c r="BO26" s="645">
        <f>SUM(BO16:BO25)</f>
        <v>0</v>
      </c>
      <c r="BP26" s="735"/>
      <c r="BQ26" s="645">
        <f>SUM(BQ16:BQ25)</f>
        <v>0</v>
      </c>
      <c r="BR26" s="735"/>
      <c r="BS26" s="645">
        <f>SUM(BS16:BS25)</f>
        <v>0</v>
      </c>
      <c r="BT26" s="735"/>
      <c r="BU26" s="645">
        <f>SUM(BU16:BU25)</f>
        <v>0</v>
      </c>
      <c r="BV26" s="735"/>
      <c r="BW26" s="645">
        <f>SUM(BW16:BW25)</f>
        <v>0</v>
      </c>
      <c r="BX26" s="735"/>
      <c r="BY26" s="645">
        <f>SUM(BY16:BY25)</f>
        <v>0</v>
      </c>
      <c r="BZ26" s="735"/>
      <c r="CA26" s="645">
        <f>SUM(CA16:CA25)</f>
        <v>123</v>
      </c>
      <c r="CB26" s="735"/>
      <c r="CC26" s="645">
        <f>SUM(CC16:CC25)</f>
        <v>156</v>
      </c>
      <c r="CD26" s="735"/>
      <c r="CE26" s="645">
        <f>SUM(CE16:CE25)</f>
        <v>190</v>
      </c>
      <c r="CF26" s="735"/>
      <c r="CG26" s="645">
        <f>SUM(CG16:CG25)</f>
        <v>203</v>
      </c>
      <c r="CH26" s="735"/>
      <c r="CI26" s="645">
        <f>SUM(CI16:CI25)</f>
        <v>214</v>
      </c>
      <c r="CJ26" s="735"/>
      <c r="CK26" s="645">
        <f>SUM(CK16:CK25)</f>
        <v>209</v>
      </c>
      <c r="CL26" s="735"/>
      <c r="CM26" s="645">
        <f>SUM(CM16:CM25)</f>
        <v>201</v>
      </c>
      <c r="CN26" s="735"/>
      <c r="CO26" s="645">
        <f>SUM(CO16:CO25)</f>
        <v>186</v>
      </c>
      <c r="CP26" s="735"/>
      <c r="CQ26" s="645">
        <f>SUM(CQ16:CQ25)</f>
        <v>179</v>
      </c>
      <c r="CR26" s="735"/>
      <c r="CS26" s="645">
        <f>SUM(CS16:CS25)</f>
        <v>150</v>
      </c>
      <c r="CT26" s="735"/>
      <c r="CU26" s="645">
        <f>SUM(CU16:CU25)</f>
        <v>0</v>
      </c>
      <c r="CV26" s="735"/>
      <c r="CW26" s="645">
        <f>SUM(CW16:CW25)</f>
        <v>0</v>
      </c>
      <c r="CX26" s="735"/>
      <c r="CY26" s="645">
        <f>SUM(CY16:CY25)</f>
        <v>0</v>
      </c>
      <c r="CZ26" s="735"/>
      <c r="DA26" s="645">
        <f>SUM(DA16:DA25)</f>
        <v>0</v>
      </c>
      <c r="DB26" s="735"/>
      <c r="DC26" s="645">
        <f>SUM(DC16:DC25)</f>
        <v>0</v>
      </c>
      <c r="DD26" s="735"/>
      <c r="DE26" s="647">
        <f>SUM(DE16:DE25)</f>
        <v>0</v>
      </c>
      <c r="DF26" s="648"/>
      <c r="DG26" s="641"/>
      <c r="DH26" s="642"/>
      <c r="DI26" s="642"/>
      <c r="DJ26" s="642" t="s">
        <v>641</v>
      </c>
      <c r="DK26" s="642"/>
      <c r="DL26" s="642"/>
      <c r="DM26" s="644"/>
      <c r="DN26" s="645">
        <f>SUM(DN16:DN25)</f>
        <v>0</v>
      </c>
      <c r="DO26" s="734"/>
      <c r="DP26" s="645">
        <f>SUM(DP16:DP25)</f>
        <v>0</v>
      </c>
      <c r="DQ26" s="735"/>
      <c r="DR26" s="645">
        <f>SUM(DR16:DR25)</f>
        <v>0</v>
      </c>
      <c r="DS26" s="735"/>
      <c r="DT26" s="645">
        <f>SUM(DT16:DT25)</f>
        <v>0</v>
      </c>
      <c r="DU26" s="735"/>
      <c r="DV26" s="645">
        <f>SUM(DV16:DV25)</f>
        <v>0</v>
      </c>
      <c r="DW26" s="735"/>
      <c r="DX26" s="645">
        <f>SUM(DX16:DX25)</f>
        <v>0</v>
      </c>
      <c r="DY26" s="735"/>
      <c r="DZ26" s="645">
        <f>SUM(DZ16:DZ25)</f>
        <v>0</v>
      </c>
      <c r="EA26" s="735"/>
      <c r="EB26" s="645">
        <f>SUM(EB16:EB25)</f>
        <v>0</v>
      </c>
      <c r="EC26" s="735"/>
      <c r="ED26" s="645">
        <f>SUM(ED16:ED25)</f>
        <v>34</v>
      </c>
      <c r="EE26" s="735"/>
      <c r="EF26" s="645">
        <f>SUM(EF16:EF25)</f>
        <v>77</v>
      </c>
      <c r="EG26" s="735"/>
      <c r="EH26" s="645">
        <f>SUM(EH16:EH25)</f>
        <v>112</v>
      </c>
      <c r="EI26" s="735"/>
      <c r="EJ26" s="645">
        <f>SUM(EJ16:EJ25)</f>
        <v>134</v>
      </c>
      <c r="EK26" s="735"/>
      <c r="EL26" s="645">
        <f>SUM(EL16:EL25)</f>
        <v>140</v>
      </c>
      <c r="EM26" s="735"/>
      <c r="EN26" s="645">
        <f>SUM(EN16:EN25)</f>
        <v>133</v>
      </c>
      <c r="EO26" s="735"/>
      <c r="EP26" s="645">
        <f>SUM(EP16:EP25)</f>
        <v>128</v>
      </c>
      <c r="EQ26" s="735"/>
      <c r="ER26" s="645">
        <f>SUM(ER16:ER25)</f>
        <v>125</v>
      </c>
      <c r="ES26" s="735"/>
      <c r="ET26" s="645">
        <f>SUM(ET16:ET25)</f>
        <v>98</v>
      </c>
      <c r="EU26" s="735"/>
      <c r="EV26" s="645">
        <f>SUM(EV16:EV25)</f>
        <v>70</v>
      </c>
      <c r="EW26" s="735"/>
      <c r="EX26" s="645">
        <f>SUM(EX16:EX25)</f>
        <v>0</v>
      </c>
      <c r="EY26" s="735"/>
      <c r="EZ26" s="645">
        <f>SUM(EZ16:EZ25)</f>
        <v>0</v>
      </c>
      <c r="FA26" s="735"/>
      <c r="FB26" s="645">
        <f>SUM(FB16:FB25)</f>
        <v>0</v>
      </c>
      <c r="FC26" s="735"/>
      <c r="FD26" s="645">
        <f>SUM(FD16:FD25)</f>
        <v>0</v>
      </c>
      <c r="FE26" s="735"/>
      <c r="FF26" s="645">
        <f>SUM(FF16:FF25)</f>
        <v>0</v>
      </c>
      <c r="FG26" s="735"/>
      <c r="FH26" s="647">
        <f>SUM(FH16:FH25)</f>
        <v>0</v>
      </c>
      <c r="FI26" s="649"/>
      <c r="FJ26" s="564"/>
      <c r="FK26" s="642"/>
      <c r="FL26" s="642"/>
      <c r="FM26" s="642" t="s">
        <v>641</v>
      </c>
      <c r="FN26" s="642"/>
      <c r="FO26" s="642"/>
      <c r="FP26" s="650"/>
      <c r="FQ26" s="651"/>
      <c r="FR26" s="645">
        <f>SUM(FR16:FR25)</f>
        <v>687</v>
      </c>
      <c r="FS26" s="736"/>
      <c r="FT26" s="651"/>
      <c r="FU26" s="653">
        <f>SUM(FU16:FU25)</f>
        <v>704</v>
      </c>
      <c r="FV26" s="593"/>
      <c r="FW26" s="594"/>
      <c r="FX26" s="595"/>
      <c r="FY26" s="596"/>
      <c r="FZ26" s="597"/>
      <c r="GA26" s="598"/>
      <c r="GB26" s="599"/>
      <c r="GC26" s="600"/>
      <c r="GD26" s="599"/>
      <c r="GE26" s="601"/>
      <c r="GF26" s="654"/>
      <c r="GG26" s="655"/>
      <c r="GH26" s="655"/>
      <c r="GI26" s="655"/>
      <c r="GJ26" s="615"/>
      <c r="GK26" s="530" t="s">
        <v>545</v>
      </c>
      <c r="GL26" s="615"/>
      <c r="GM26" s="530"/>
      <c r="GN26" s="615"/>
      <c r="GO26" s="530"/>
      <c r="GP26" s="615"/>
      <c r="GQ26" s="615"/>
      <c r="GR26" s="615"/>
      <c r="GS26" s="579"/>
      <c r="GT26" s="677"/>
      <c r="GU26" s="580" t="s">
        <v>706</v>
      </c>
      <c r="GV26" s="609"/>
      <c r="GW26" s="609"/>
      <c r="GX26" s="413"/>
      <c r="GY26" s="733">
        <v>0</v>
      </c>
      <c r="GZ26" s="580"/>
      <c r="HA26" s="530"/>
      <c r="HB26" s="530"/>
      <c r="HC26" s="530"/>
      <c r="HD26" s="648"/>
      <c r="HE26" s="415"/>
      <c r="HF26" s="415"/>
      <c r="HG26" s="580"/>
      <c r="HH26" s="648"/>
      <c r="HI26" s="415"/>
      <c r="HJ26" s="415"/>
    </row>
    <row r="27" spans="1:218" ht="20.100000000000001" customHeight="1">
      <c r="A27" s="1292" t="s">
        <v>431</v>
      </c>
      <c r="B27" s="738"/>
      <c r="C27" s="739"/>
      <c r="D27" s="663"/>
      <c r="E27" s="739"/>
      <c r="F27" s="739"/>
      <c r="G27" s="740" t="s">
        <v>322</v>
      </c>
      <c r="H27" s="663" t="s">
        <v>428</v>
      </c>
      <c r="I27" s="741" t="s">
        <v>322</v>
      </c>
      <c r="J27" s="663" t="s">
        <v>430</v>
      </c>
      <c r="K27" s="742" t="s">
        <v>322</v>
      </c>
      <c r="L27" s="663" t="s">
        <v>430</v>
      </c>
      <c r="M27" s="742" t="s">
        <v>322</v>
      </c>
      <c r="N27" s="663" t="s">
        <v>428</v>
      </c>
      <c r="O27" s="742" t="s">
        <v>322</v>
      </c>
      <c r="P27" s="663" t="s">
        <v>428</v>
      </c>
      <c r="Q27" s="742" t="s">
        <v>429</v>
      </c>
      <c r="R27" s="663" t="s">
        <v>430</v>
      </c>
      <c r="S27" s="742" t="s">
        <v>322</v>
      </c>
      <c r="T27" s="663" t="s">
        <v>428</v>
      </c>
      <c r="U27" s="742" t="s">
        <v>322</v>
      </c>
      <c r="V27" s="663" t="s">
        <v>428</v>
      </c>
      <c r="W27" s="742" t="s">
        <v>322</v>
      </c>
      <c r="X27" s="663" t="s">
        <v>430</v>
      </c>
      <c r="Y27" s="742" t="s">
        <v>322</v>
      </c>
      <c r="Z27" s="663" t="s">
        <v>428</v>
      </c>
      <c r="AA27" s="742" t="s">
        <v>322</v>
      </c>
      <c r="AB27" s="663" t="s">
        <v>430</v>
      </c>
      <c r="AC27" s="742" t="s">
        <v>322</v>
      </c>
      <c r="AD27" s="663" t="s">
        <v>428</v>
      </c>
      <c r="AE27" s="742" t="s">
        <v>322</v>
      </c>
      <c r="AF27" s="663" t="s">
        <v>428</v>
      </c>
      <c r="AG27" s="742" t="s">
        <v>322</v>
      </c>
      <c r="AH27" s="663" t="s">
        <v>428</v>
      </c>
      <c r="AI27" s="742" t="s">
        <v>429</v>
      </c>
      <c r="AJ27" s="663" t="s">
        <v>428</v>
      </c>
      <c r="AK27" s="742" t="s">
        <v>322</v>
      </c>
      <c r="AL27" s="663" t="s">
        <v>430</v>
      </c>
      <c r="AM27" s="742" t="s">
        <v>322</v>
      </c>
      <c r="AN27" s="663" t="s">
        <v>428</v>
      </c>
      <c r="AO27" s="742" t="s">
        <v>322</v>
      </c>
      <c r="AP27" s="663" t="s">
        <v>428</v>
      </c>
      <c r="AQ27" s="742" t="s">
        <v>429</v>
      </c>
      <c r="AR27" s="663" t="s">
        <v>428</v>
      </c>
      <c r="AS27" s="742" t="s">
        <v>429</v>
      </c>
      <c r="AT27" s="663" t="s">
        <v>430</v>
      </c>
      <c r="AU27" s="742" t="s">
        <v>429</v>
      </c>
      <c r="AV27" s="663" t="s">
        <v>428</v>
      </c>
      <c r="AW27" s="742" t="s">
        <v>429</v>
      </c>
      <c r="AX27" s="663" t="s">
        <v>428</v>
      </c>
      <c r="AY27" s="742" t="s">
        <v>322</v>
      </c>
      <c r="AZ27" s="663" t="s">
        <v>428</v>
      </c>
      <c r="BA27" s="742" t="s">
        <v>429</v>
      </c>
      <c r="BB27" s="665" t="s">
        <v>428</v>
      </c>
      <c r="BC27" s="723"/>
      <c r="BD27" s="1292" t="s">
        <v>431</v>
      </c>
      <c r="BE27" s="738"/>
      <c r="BF27" s="739"/>
      <c r="BG27" s="663"/>
      <c r="BH27" s="739"/>
      <c r="BI27" s="739"/>
      <c r="BJ27" s="740" t="s">
        <v>429</v>
      </c>
      <c r="BK27" s="663" t="s">
        <v>428</v>
      </c>
      <c r="BL27" s="741" t="s">
        <v>429</v>
      </c>
      <c r="BM27" s="663" t="s">
        <v>430</v>
      </c>
      <c r="BN27" s="742" t="s">
        <v>429</v>
      </c>
      <c r="BO27" s="663" t="s">
        <v>428</v>
      </c>
      <c r="BP27" s="742" t="s">
        <v>429</v>
      </c>
      <c r="BQ27" s="663" t="s">
        <v>428</v>
      </c>
      <c r="BR27" s="742" t="s">
        <v>429</v>
      </c>
      <c r="BS27" s="663" t="s">
        <v>430</v>
      </c>
      <c r="BT27" s="742" t="s">
        <v>429</v>
      </c>
      <c r="BU27" s="663" t="s">
        <v>428</v>
      </c>
      <c r="BV27" s="742" t="s">
        <v>322</v>
      </c>
      <c r="BW27" s="663" t="s">
        <v>428</v>
      </c>
      <c r="BX27" s="742" t="s">
        <v>322</v>
      </c>
      <c r="BY27" s="663" t="s">
        <v>428</v>
      </c>
      <c r="BZ27" s="742" t="s">
        <v>429</v>
      </c>
      <c r="CA27" s="663" t="s">
        <v>430</v>
      </c>
      <c r="CB27" s="742" t="s">
        <v>322</v>
      </c>
      <c r="CC27" s="663" t="s">
        <v>430</v>
      </c>
      <c r="CD27" s="742" t="s">
        <v>429</v>
      </c>
      <c r="CE27" s="663" t="s">
        <v>428</v>
      </c>
      <c r="CF27" s="742" t="s">
        <v>322</v>
      </c>
      <c r="CG27" s="663" t="s">
        <v>428</v>
      </c>
      <c r="CH27" s="742" t="s">
        <v>322</v>
      </c>
      <c r="CI27" s="663" t="s">
        <v>430</v>
      </c>
      <c r="CJ27" s="742" t="s">
        <v>322</v>
      </c>
      <c r="CK27" s="663" t="s">
        <v>430</v>
      </c>
      <c r="CL27" s="742" t="s">
        <v>322</v>
      </c>
      <c r="CM27" s="663" t="s">
        <v>430</v>
      </c>
      <c r="CN27" s="742" t="s">
        <v>429</v>
      </c>
      <c r="CO27" s="663" t="s">
        <v>428</v>
      </c>
      <c r="CP27" s="742" t="s">
        <v>322</v>
      </c>
      <c r="CQ27" s="663" t="s">
        <v>428</v>
      </c>
      <c r="CR27" s="742" t="s">
        <v>322</v>
      </c>
      <c r="CS27" s="663" t="s">
        <v>430</v>
      </c>
      <c r="CT27" s="742" t="s">
        <v>429</v>
      </c>
      <c r="CU27" s="663" t="s">
        <v>430</v>
      </c>
      <c r="CV27" s="742" t="s">
        <v>429</v>
      </c>
      <c r="CW27" s="663" t="s">
        <v>430</v>
      </c>
      <c r="CX27" s="742" t="s">
        <v>322</v>
      </c>
      <c r="CY27" s="663" t="s">
        <v>430</v>
      </c>
      <c r="CZ27" s="742" t="s">
        <v>429</v>
      </c>
      <c r="DA27" s="663" t="s">
        <v>430</v>
      </c>
      <c r="DB27" s="742" t="s">
        <v>322</v>
      </c>
      <c r="DC27" s="663" t="s">
        <v>430</v>
      </c>
      <c r="DD27" s="742" t="s">
        <v>429</v>
      </c>
      <c r="DE27" s="665" t="s">
        <v>430</v>
      </c>
      <c r="DF27" s="723"/>
      <c r="DG27" s="1292" t="s">
        <v>432</v>
      </c>
      <c r="DH27" s="743"/>
      <c r="DI27" s="744"/>
      <c r="DJ27" s="745"/>
      <c r="DK27" s="744"/>
      <c r="DL27" s="744"/>
      <c r="DM27" s="740" t="s">
        <v>322</v>
      </c>
      <c r="DN27" s="663" t="s">
        <v>430</v>
      </c>
      <c r="DO27" s="741" t="s">
        <v>322</v>
      </c>
      <c r="DP27" s="663" t="s">
        <v>428</v>
      </c>
      <c r="DQ27" s="742" t="s">
        <v>322</v>
      </c>
      <c r="DR27" s="663" t="s">
        <v>428</v>
      </c>
      <c r="DS27" s="742" t="s">
        <v>429</v>
      </c>
      <c r="DT27" s="663" t="s">
        <v>428</v>
      </c>
      <c r="DU27" s="742" t="s">
        <v>322</v>
      </c>
      <c r="DV27" s="663" t="s">
        <v>428</v>
      </c>
      <c r="DW27" s="742" t="s">
        <v>429</v>
      </c>
      <c r="DX27" s="663" t="s">
        <v>428</v>
      </c>
      <c r="DY27" s="742" t="s">
        <v>322</v>
      </c>
      <c r="DZ27" s="663" t="s">
        <v>430</v>
      </c>
      <c r="EA27" s="742" t="s">
        <v>322</v>
      </c>
      <c r="EB27" s="663" t="s">
        <v>428</v>
      </c>
      <c r="EC27" s="742" t="s">
        <v>322</v>
      </c>
      <c r="ED27" s="663" t="s">
        <v>428</v>
      </c>
      <c r="EE27" s="742" t="s">
        <v>429</v>
      </c>
      <c r="EF27" s="663" t="s">
        <v>428</v>
      </c>
      <c r="EG27" s="742" t="s">
        <v>429</v>
      </c>
      <c r="EH27" s="663" t="s">
        <v>430</v>
      </c>
      <c r="EI27" s="742" t="s">
        <v>429</v>
      </c>
      <c r="EJ27" s="663" t="s">
        <v>428</v>
      </c>
      <c r="EK27" s="742" t="s">
        <v>429</v>
      </c>
      <c r="EL27" s="663" t="s">
        <v>428</v>
      </c>
      <c r="EM27" s="742" t="s">
        <v>322</v>
      </c>
      <c r="EN27" s="663" t="s">
        <v>428</v>
      </c>
      <c r="EO27" s="742" t="s">
        <v>429</v>
      </c>
      <c r="EP27" s="663" t="s">
        <v>428</v>
      </c>
      <c r="EQ27" s="742" t="s">
        <v>429</v>
      </c>
      <c r="ER27" s="663" t="s">
        <v>428</v>
      </c>
      <c r="ES27" s="742" t="s">
        <v>322</v>
      </c>
      <c r="ET27" s="663" t="s">
        <v>428</v>
      </c>
      <c r="EU27" s="742" t="s">
        <v>429</v>
      </c>
      <c r="EV27" s="663" t="s">
        <v>430</v>
      </c>
      <c r="EW27" s="742" t="s">
        <v>429</v>
      </c>
      <c r="EX27" s="663" t="s">
        <v>430</v>
      </c>
      <c r="EY27" s="742" t="s">
        <v>429</v>
      </c>
      <c r="EZ27" s="663" t="s">
        <v>428</v>
      </c>
      <c r="FA27" s="742" t="s">
        <v>322</v>
      </c>
      <c r="FB27" s="663" t="s">
        <v>430</v>
      </c>
      <c r="FC27" s="742" t="s">
        <v>322</v>
      </c>
      <c r="FD27" s="663" t="s">
        <v>428</v>
      </c>
      <c r="FE27" s="742" t="s">
        <v>429</v>
      </c>
      <c r="FF27" s="663" t="s">
        <v>430</v>
      </c>
      <c r="FG27" s="742" t="s">
        <v>429</v>
      </c>
      <c r="FH27" s="665" t="s">
        <v>430</v>
      </c>
      <c r="FI27" s="746"/>
      <c r="FJ27" s="542" t="s">
        <v>431</v>
      </c>
      <c r="FK27" s="743"/>
      <c r="FL27" s="744"/>
      <c r="FM27" s="745"/>
      <c r="FN27" s="744"/>
      <c r="FO27" s="744"/>
      <c r="FP27" s="747" t="s">
        <v>433</v>
      </c>
      <c r="FQ27" s="673" t="s">
        <v>322</v>
      </c>
      <c r="FR27" s="663" t="s">
        <v>434</v>
      </c>
      <c r="FS27" s="748" t="s">
        <v>450</v>
      </c>
      <c r="FT27" s="673" t="s">
        <v>429</v>
      </c>
      <c r="FU27" s="675" t="s">
        <v>434</v>
      </c>
      <c r="FV27" s="593"/>
      <c r="FW27" s="594"/>
      <c r="FX27" s="595"/>
      <c r="FY27" s="596"/>
      <c r="FZ27" s="597"/>
      <c r="GA27" s="598"/>
      <c r="GB27" s="599"/>
      <c r="GC27" s="600"/>
      <c r="GD27" s="599"/>
      <c r="GE27" s="601"/>
      <c r="GF27" s="749"/>
      <c r="GG27" s="750"/>
      <c r="GH27" s="750"/>
      <c r="GI27" s="750"/>
      <c r="GJ27" s="615"/>
      <c r="GK27" s="530" t="s">
        <v>547</v>
      </c>
      <c r="GL27" s="615"/>
      <c r="GM27" s="615"/>
      <c r="GN27" s="615"/>
      <c r="GO27" s="413"/>
      <c r="GP27" s="751">
        <v>27.3</v>
      </c>
      <c r="GQ27" s="413" t="s">
        <v>707</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437</v>
      </c>
      <c r="C28" s="753"/>
      <c r="D28" s="754">
        <v>55</v>
      </c>
      <c r="E28" s="755">
        <v>4</v>
      </c>
      <c r="F28" s="756" t="s">
        <v>436</v>
      </c>
      <c r="G28" s="757"/>
      <c r="H28" s="559"/>
      <c r="I28" s="758"/>
      <c r="J28" s="559"/>
      <c r="K28" s="758"/>
      <c r="L28" s="559"/>
      <c r="M28" s="758"/>
      <c r="N28" s="559"/>
      <c r="O28" s="758"/>
      <c r="P28" s="559"/>
      <c r="Q28" s="758"/>
      <c r="R28" s="559"/>
      <c r="S28" s="758"/>
      <c r="T28" s="559"/>
      <c r="U28" s="758"/>
      <c r="V28" s="559"/>
      <c r="W28" s="758">
        <v>0.4</v>
      </c>
      <c r="X28" s="559">
        <v>88</v>
      </c>
      <c r="Y28" s="758">
        <v>0.4</v>
      </c>
      <c r="Z28" s="559">
        <v>88</v>
      </c>
      <c r="AA28" s="758">
        <v>0.4</v>
      </c>
      <c r="AB28" s="559">
        <v>88</v>
      </c>
      <c r="AC28" s="758">
        <v>0.4</v>
      </c>
      <c r="AD28" s="559">
        <v>88</v>
      </c>
      <c r="AE28" s="758">
        <v>0.4</v>
      </c>
      <c r="AF28" s="559">
        <v>88</v>
      </c>
      <c r="AG28" s="758">
        <v>0.4</v>
      </c>
      <c r="AH28" s="559">
        <v>88</v>
      </c>
      <c r="AI28" s="758">
        <v>0.4</v>
      </c>
      <c r="AJ28" s="559">
        <v>88</v>
      </c>
      <c r="AK28" s="758">
        <v>0.4</v>
      </c>
      <c r="AL28" s="559">
        <v>88</v>
      </c>
      <c r="AM28" s="758">
        <v>0.7</v>
      </c>
      <c r="AN28" s="559">
        <v>154</v>
      </c>
      <c r="AO28" s="758">
        <v>0.7</v>
      </c>
      <c r="AP28" s="559">
        <v>154</v>
      </c>
      <c r="AQ28" s="758"/>
      <c r="AR28" s="559"/>
      <c r="AS28" s="758"/>
      <c r="AT28" s="559"/>
      <c r="AU28" s="758"/>
      <c r="AV28" s="559"/>
      <c r="AW28" s="758"/>
      <c r="AX28" s="559"/>
      <c r="AY28" s="758"/>
      <c r="AZ28" s="559"/>
      <c r="BA28" s="758"/>
      <c r="BB28" s="684"/>
      <c r="BC28" s="562"/>
      <c r="BD28" s="552"/>
      <c r="BE28" s="752" t="s">
        <v>437</v>
      </c>
      <c r="BF28" s="753"/>
      <c r="BG28" s="754">
        <v>55</v>
      </c>
      <c r="BH28" s="755">
        <v>4</v>
      </c>
      <c r="BI28" s="756" t="s">
        <v>436</v>
      </c>
      <c r="BJ28" s="757"/>
      <c r="BK28" s="559"/>
      <c r="BL28" s="758"/>
      <c r="BM28" s="559"/>
      <c r="BN28" s="758"/>
      <c r="BO28" s="559"/>
      <c r="BP28" s="758"/>
      <c r="BQ28" s="559"/>
      <c r="BR28" s="758"/>
      <c r="BS28" s="559"/>
      <c r="BT28" s="758"/>
      <c r="BU28" s="559"/>
      <c r="BV28" s="758"/>
      <c r="BW28" s="559"/>
      <c r="BX28" s="758"/>
      <c r="BY28" s="559"/>
      <c r="BZ28" s="758">
        <v>0.4</v>
      </c>
      <c r="CA28" s="559">
        <v>88</v>
      </c>
      <c r="CB28" s="758">
        <v>0.4</v>
      </c>
      <c r="CC28" s="559">
        <v>88</v>
      </c>
      <c r="CD28" s="758">
        <v>0.4</v>
      </c>
      <c r="CE28" s="559">
        <v>88</v>
      </c>
      <c r="CF28" s="758">
        <v>0.4</v>
      </c>
      <c r="CG28" s="559">
        <v>88</v>
      </c>
      <c r="CH28" s="758">
        <v>0.4</v>
      </c>
      <c r="CI28" s="559">
        <v>88</v>
      </c>
      <c r="CJ28" s="758">
        <v>0.4</v>
      </c>
      <c r="CK28" s="559">
        <v>88</v>
      </c>
      <c r="CL28" s="758">
        <v>0.4</v>
      </c>
      <c r="CM28" s="559">
        <v>88</v>
      </c>
      <c r="CN28" s="758">
        <v>0.4</v>
      </c>
      <c r="CO28" s="559">
        <v>88</v>
      </c>
      <c r="CP28" s="758">
        <v>0.7</v>
      </c>
      <c r="CQ28" s="559">
        <v>154</v>
      </c>
      <c r="CR28" s="758">
        <v>0.7</v>
      </c>
      <c r="CS28" s="559">
        <v>154</v>
      </c>
      <c r="CT28" s="758"/>
      <c r="CU28" s="559"/>
      <c r="CV28" s="758"/>
      <c r="CW28" s="559"/>
      <c r="CX28" s="758"/>
      <c r="CY28" s="559"/>
      <c r="CZ28" s="758"/>
      <c r="DA28" s="559"/>
      <c r="DB28" s="758"/>
      <c r="DC28" s="559"/>
      <c r="DD28" s="758"/>
      <c r="DE28" s="684"/>
      <c r="DF28" s="562"/>
      <c r="DG28" s="552"/>
      <c r="DH28" s="752" t="s">
        <v>437</v>
      </c>
      <c r="DI28" s="753"/>
      <c r="DJ28" s="754">
        <v>55</v>
      </c>
      <c r="DK28" s="755">
        <v>4</v>
      </c>
      <c r="DL28" s="756" t="s">
        <v>436</v>
      </c>
      <c r="DM28" s="757"/>
      <c r="DN28" s="559"/>
      <c r="DO28" s="758"/>
      <c r="DP28" s="559"/>
      <c r="DQ28" s="758"/>
      <c r="DR28" s="559"/>
      <c r="DS28" s="758"/>
      <c r="DT28" s="559"/>
      <c r="DU28" s="758"/>
      <c r="DV28" s="559"/>
      <c r="DW28" s="758"/>
      <c r="DX28" s="559"/>
      <c r="DY28" s="758"/>
      <c r="DZ28" s="559"/>
      <c r="EA28" s="758"/>
      <c r="EB28" s="559"/>
      <c r="EC28" s="758">
        <v>0.4</v>
      </c>
      <c r="ED28" s="559">
        <v>88</v>
      </c>
      <c r="EE28" s="758">
        <v>0.4</v>
      </c>
      <c r="EF28" s="559">
        <v>88</v>
      </c>
      <c r="EG28" s="758">
        <v>0.4</v>
      </c>
      <c r="EH28" s="559">
        <v>88</v>
      </c>
      <c r="EI28" s="758">
        <v>0.4</v>
      </c>
      <c r="EJ28" s="559">
        <v>88</v>
      </c>
      <c r="EK28" s="758">
        <v>0.4</v>
      </c>
      <c r="EL28" s="559">
        <v>88</v>
      </c>
      <c r="EM28" s="758">
        <v>0.4</v>
      </c>
      <c r="EN28" s="559">
        <v>88</v>
      </c>
      <c r="EO28" s="758">
        <v>0.4</v>
      </c>
      <c r="EP28" s="559">
        <v>88</v>
      </c>
      <c r="EQ28" s="758">
        <v>0.4</v>
      </c>
      <c r="ER28" s="559">
        <v>88</v>
      </c>
      <c r="ES28" s="758">
        <v>0.7</v>
      </c>
      <c r="ET28" s="559">
        <v>154</v>
      </c>
      <c r="EU28" s="758">
        <v>0.7</v>
      </c>
      <c r="EV28" s="559">
        <v>154</v>
      </c>
      <c r="EW28" s="758"/>
      <c r="EX28" s="559"/>
      <c r="EY28" s="758"/>
      <c r="EZ28" s="559"/>
      <c r="FA28" s="758"/>
      <c r="FB28" s="559"/>
      <c r="FC28" s="758"/>
      <c r="FD28" s="559"/>
      <c r="FE28" s="758"/>
      <c r="FF28" s="559"/>
      <c r="FG28" s="758"/>
      <c r="FH28" s="684"/>
      <c r="FI28" s="563"/>
      <c r="FJ28" s="564"/>
      <c r="FK28" s="752" t="s">
        <v>437</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549</v>
      </c>
      <c r="GL28" s="413"/>
      <c r="GM28" s="413"/>
      <c r="GN28" s="413"/>
      <c r="GO28" s="530"/>
      <c r="GP28" s="751">
        <v>28</v>
      </c>
      <c r="GQ28" s="413" t="s">
        <v>550</v>
      </c>
      <c r="GR28" s="733"/>
      <c r="GS28" s="530"/>
      <c r="GT28" s="763"/>
      <c r="GU28" s="580" t="s">
        <v>780</v>
      </c>
      <c r="GV28" s="609"/>
      <c r="GW28" s="530"/>
      <c r="GX28" s="529"/>
      <c r="GY28" s="409"/>
      <c r="GZ28" s="615"/>
      <c r="HA28" s="530"/>
      <c r="HB28" s="530"/>
      <c r="HC28" s="530"/>
      <c r="HD28" s="530"/>
      <c r="HE28" s="415"/>
      <c r="HF28" s="415"/>
      <c r="HG28" s="415"/>
      <c r="HH28" s="415"/>
    </row>
    <row r="29" spans="1:218" ht="20.100000000000001" customHeight="1" thickBot="1">
      <c r="A29" s="552"/>
      <c r="B29" s="764" t="s">
        <v>439</v>
      </c>
      <c r="C29" s="765"/>
      <c r="D29" s="766">
        <v>15</v>
      </c>
      <c r="E29" s="767">
        <v>13.23</v>
      </c>
      <c r="F29" s="768" t="s">
        <v>436</v>
      </c>
      <c r="G29" s="769"/>
      <c r="H29" s="587"/>
      <c r="I29" s="770"/>
      <c r="J29" s="587"/>
      <c r="K29" s="770"/>
      <c r="L29" s="587"/>
      <c r="M29" s="770"/>
      <c r="N29" s="587"/>
      <c r="O29" s="770"/>
      <c r="P29" s="587"/>
      <c r="Q29" s="770"/>
      <c r="R29" s="587"/>
      <c r="S29" s="770"/>
      <c r="T29" s="587"/>
      <c r="U29" s="770"/>
      <c r="V29" s="587"/>
      <c r="W29" s="770">
        <v>1</v>
      </c>
      <c r="X29" s="587">
        <v>198</v>
      </c>
      <c r="Y29" s="770">
        <v>1</v>
      </c>
      <c r="Z29" s="587">
        <v>198</v>
      </c>
      <c r="AA29" s="770">
        <v>1</v>
      </c>
      <c r="AB29" s="587">
        <v>198</v>
      </c>
      <c r="AC29" s="770">
        <v>1</v>
      </c>
      <c r="AD29" s="587">
        <v>198</v>
      </c>
      <c r="AE29" s="770">
        <v>1</v>
      </c>
      <c r="AF29" s="587">
        <v>198</v>
      </c>
      <c r="AG29" s="770">
        <v>1</v>
      </c>
      <c r="AH29" s="587">
        <v>198</v>
      </c>
      <c r="AI29" s="770">
        <v>1</v>
      </c>
      <c r="AJ29" s="587">
        <v>198</v>
      </c>
      <c r="AK29" s="770">
        <v>1</v>
      </c>
      <c r="AL29" s="587">
        <v>198</v>
      </c>
      <c r="AM29" s="770">
        <v>1</v>
      </c>
      <c r="AN29" s="587">
        <v>198</v>
      </c>
      <c r="AO29" s="770">
        <v>1</v>
      </c>
      <c r="AP29" s="587">
        <v>198</v>
      </c>
      <c r="AQ29" s="770"/>
      <c r="AR29" s="587"/>
      <c r="AS29" s="770"/>
      <c r="AT29" s="587"/>
      <c r="AU29" s="770"/>
      <c r="AV29" s="587"/>
      <c r="AW29" s="770"/>
      <c r="AX29" s="587"/>
      <c r="AY29" s="770"/>
      <c r="AZ29" s="587"/>
      <c r="BA29" s="770"/>
      <c r="BB29" s="589"/>
      <c r="BC29" s="562"/>
      <c r="BD29" s="552"/>
      <c r="BE29" s="764" t="s">
        <v>439</v>
      </c>
      <c r="BF29" s="765"/>
      <c r="BG29" s="766">
        <v>15</v>
      </c>
      <c r="BH29" s="767">
        <v>13.23</v>
      </c>
      <c r="BI29" s="768" t="s">
        <v>436</v>
      </c>
      <c r="BJ29" s="769"/>
      <c r="BK29" s="587"/>
      <c r="BL29" s="770"/>
      <c r="BM29" s="587"/>
      <c r="BN29" s="770"/>
      <c r="BO29" s="587"/>
      <c r="BP29" s="770"/>
      <c r="BQ29" s="587"/>
      <c r="BR29" s="770"/>
      <c r="BS29" s="587"/>
      <c r="BT29" s="770"/>
      <c r="BU29" s="587"/>
      <c r="BV29" s="770"/>
      <c r="BW29" s="587"/>
      <c r="BX29" s="770"/>
      <c r="BY29" s="587"/>
      <c r="BZ29" s="770">
        <v>1</v>
      </c>
      <c r="CA29" s="587">
        <v>198</v>
      </c>
      <c r="CB29" s="770">
        <v>1</v>
      </c>
      <c r="CC29" s="587">
        <v>198</v>
      </c>
      <c r="CD29" s="770">
        <v>1</v>
      </c>
      <c r="CE29" s="587">
        <v>198</v>
      </c>
      <c r="CF29" s="770">
        <v>1</v>
      </c>
      <c r="CG29" s="587">
        <v>198</v>
      </c>
      <c r="CH29" s="770">
        <v>1</v>
      </c>
      <c r="CI29" s="587">
        <v>198</v>
      </c>
      <c r="CJ29" s="770">
        <v>1</v>
      </c>
      <c r="CK29" s="587">
        <v>198</v>
      </c>
      <c r="CL29" s="770">
        <v>1</v>
      </c>
      <c r="CM29" s="587">
        <v>198</v>
      </c>
      <c r="CN29" s="770">
        <v>1</v>
      </c>
      <c r="CO29" s="587">
        <v>198</v>
      </c>
      <c r="CP29" s="770">
        <v>1</v>
      </c>
      <c r="CQ29" s="587">
        <v>198</v>
      </c>
      <c r="CR29" s="770">
        <v>1</v>
      </c>
      <c r="CS29" s="587">
        <v>198</v>
      </c>
      <c r="CT29" s="770"/>
      <c r="CU29" s="587"/>
      <c r="CV29" s="770"/>
      <c r="CW29" s="587"/>
      <c r="CX29" s="770"/>
      <c r="CY29" s="587"/>
      <c r="CZ29" s="770"/>
      <c r="DA29" s="587"/>
      <c r="DB29" s="770"/>
      <c r="DC29" s="587"/>
      <c r="DD29" s="770"/>
      <c r="DE29" s="589"/>
      <c r="DF29" s="562"/>
      <c r="DG29" s="552"/>
      <c r="DH29" s="764" t="s">
        <v>439</v>
      </c>
      <c r="DI29" s="765"/>
      <c r="DJ29" s="766">
        <v>15</v>
      </c>
      <c r="DK29" s="767">
        <v>13.23</v>
      </c>
      <c r="DL29" s="768" t="s">
        <v>436</v>
      </c>
      <c r="DM29" s="769"/>
      <c r="DN29" s="587"/>
      <c r="DO29" s="770"/>
      <c r="DP29" s="587"/>
      <c r="DQ29" s="770"/>
      <c r="DR29" s="587"/>
      <c r="DS29" s="770"/>
      <c r="DT29" s="587"/>
      <c r="DU29" s="770"/>
      <c r="DV29" s="587"/>
      <c r="DW29" s="770"/>
      <c r="DX29" s="587"/>
      <c r="DY29" s="770"/>
      <c r="DZ29" s="587"/>
      <c r="EA29" s="770"/>
      <c r="EB29" s="587"/>
      <c r="EC29" s="770">
        <v>1</v>
      </c>
      <c r="ED29" s="587">
        <v>198</v>
      </c>
      <c r="EE29" s="770">
        <v>1</v>
      </c>
      <c r="EF29" s="587">
        <v>198</v>
      </c>
      <c r="EG29" s="770">
        <v>1</v>
      </c>
      <c r="EH29" s="587">
        <v>198</v>
      </c>
      <c r="EI29" s="770">
        <v>1</v>
      </c>
      <c r="EJ29" s="587">
        <v>198</v>
      </c>
      <c r="EK29" s="770">
        <v>1</v>
      </c>
      <c r="EL29" s="587">
        <v>198</v>
      </c>
      <c r="EM29" s="770">
        <v>1</v>
      </c>
      <c r="EN29" s="587">
        <v>198</v>
      </c>
      <c r="EO29" s="770">
        <v>1</v>
      </c>
      <c r="EP29" s="587">
        <v>198</v>
      </c>
      <c r="EQ29" s="770">
        <v>1</v>
      </c>
      <c r="ER29" s="587">
        <v>198</v>
      </c>
      <c r="ES29" s="770">
        <v>1</v>
      </c>
      <c r="ET29" s="587">
        <v>198</v>
      </c>
      <c r="EU29" s="770">
        <v>1</v>
      </c>
      <c r="EV29" s="587">
        <v>198</v>
      </c>
      <c r="EW29" s="770"/>
      <c r="EX29" s="587"/>
      <c r="EY29" s="770"/>
      <c r="EZ29" s="587"/>
      <c r="FA29" s="770"/>
      <c r="FB29" s="587"/>
      <c r="FC29" s="770"/>
      <c r="FD29" s="587"/>
      <c r="FE29" s="770"/>
      <c r="FF29" s="587"/>
      <c r="FG29" s="770"/>
      <c r="FH29" s="589"/>
      <c r="FI29" s="563"/>
      <c r="FJ29" s="564"/>
      <c r="FK29" s="764" t="s">
        <v>438</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552</v>
      </c>
      <c r="GL29" s="774"/>
      <c r="GM29" s="774"/>
      <c r="GN29" s="774"/>
      <c r="GO29" s="615"/>
      <c r="GP29" s="751">
        <v>-0.69999999999999929</v>
      </c>
      <c r="GQ29" s="413" t="s">
        <v>550</v>
      </c>
      <c r="GR29" s="775"/>
      <c r="GS29" s="530"/>
      <c r="GT29" s="763"/>
      <c r="GU29" s="580" t="s">
        <v>553</v>
      </c>
      <c r="GV29" s="609"/>
      <c r="GW29" s="530"/>
      <c r="GX29" s="529"/>
      <c r="GY29" s="409"/>
      <c r="GZ29" s="530"/>
      <c r="HA29" s="580"/>
      <c r="HB29" s="580"/>
      <c r="HC29" s="579"/>
      <c r="HD29" s="530"/>
      <c r="HE29" s="415"/>
      <c r="HF29" s="415"/>
    </row>
    <row r="30" spans="1:218" ht="20.100000000000001" customHeight="1">
      <c r="A30" s="552"/>
      <c r="B30" s="764" t="s">
        <v>441</v>
      </c>
      <c r="C30" s="766"/>
      <c r="D30" s="767">
        <v>0</v>
      </c>
      <c r="E30" s="776"/>
      <c r="F30" s="777"/>
      <c r="G30" s="769"/>
      <c r="H30" s="587"/>
      <c r="I30" s="770"/>
      <c r="J30" s="587"/>
      <c r="K30" s="770"/>
      <c r="L30" s="587"/>
      <c r="M30" s="770"/>
      <c r="N30" s="587"/>
      <c r="O30" s="770"/>
      <c r="P30" s="587"/>
      <c r="Q30" s="770"/>
      <c r="R30" s="587"/>
      <c r="S30" s="770"/>
      <c r="T30" s="587"/>
      <c r="U30" s="770"/>
      <c r="V30" s="587"/>
      <c r="W30" s="770"/>
      <c r="X30" s="587">
        <v>0</v>
      </c>
      <c r="Y30" s="770"/>
      <c r="Z30" s="587">
        <v>0</v>
      </c>
      <c r="AA30" s="770"/>
      <c r="AB30" s="587">
        <v>0</v>
      </c>
      <c r="AC30" s="770"/>
      <c r="AD30" s="587">
        <v>0</v>
      </c>
      <c r="AE30" s="770"/>
      <c r="AF30" s="587">
        <v>0</v>
      </c>
      <c r="AG30" s="770"/>
      <c r="AH30" s="587">
        <v>0</v>
      </c>
      <c r="AI30" s="770"/>
      <c r="AJ30" s="587">
        <v>0</v>
      </c>
      <c r="AK30" s="770"/>
      <c r="AL30" s="587">
        <v>0</v>
      </c>
      <c r="AM30" s="770"/>
      <c r="AN30" s="587">
        <v>0</v>
      </c>
      <c r="AO30" s="770"/>
      <c r="AP30" s="587">
        <v>0</v>
      </c>
      <c r="AQ30" s="770"/>
      <c r="AR30" s="587"/>
      <c r="AS30" s="770"/>
      <c r="AT30" s="587"/>
      <c r="AU30" s="770"/>
      <c r="AV30" s="587"/>
      <c r="AW30" s="770"/>
      <c r="AX30" s="587"/>
      <c r="AY30" s="770"/>
      <c r="AZ30" s="587"/>
      <c r="BA30" s="770"/>
      <c r="BB30" s="589"/>
      <c r="BC30" s="562"/>
      <c r="BD30" s="552"/>
      <c r="BE30" s="764" t="s">
        <v>440</v>
      </c>
      <c r="BF30" s="766">
        <v>0</v>
      </c>
      <c r="BG30" s="767">
        <v>0</v>
      </c>
      <c r="BH30" s="776">
        <v>0</v>
      </c>
      <c r="BI30" s="777"/>
      <c r="BJ30" s="769"/>
      <c r="BK30" s="587"/>
      <c r="BL30" s="770"/>
      <c r="BM30" s="587"/>
      <c r="BN30" s="770"/>
      <c r="BO30" s="587"/>
      <c r="BP30" s="770"/>
      <c r="BQ30" s="587"/>
      <c r="BR30" s="770"/>
      <c r="BS30" s="587"/>
      <c r="BT30" s="770"/>
      <c r="BU30" s="587"/>
      <c r="BV30" s="770"/>
      <c r="BW30" s="587"/>
      <c r="BX30" s="770"/>
      <c r="BY30" s="587"/>
      <c r="BZ30" s="770"/>
      <c r="CA30" s="587">
        <v>0</v>
      </c>
      <c r="CB30" s="770"/>
      <c r="CC30" s="587">
        <v>0</v>
      </c>
      <c r="CD30" s="770"/>
      <c r="CE30" s="587">
        <v>0</v>
      </c>
      <c r="CF30" s="770"/>
      <c r="CG30" s="587">
        <v>0</v>
      </c>
      <c r="CH30" s="770"/>
      <c r="CI30" s="587">
        <v>0</v>
      </c>
      <c r="CJ30" s="770"/>
      <c r="CK30" s="587">
        <v>0</v>
      </c>
      <c r="CL30" s="770"/>
      <c r="CM30" s="587">
        <v>0</v>
      </c>
      <c r="CN30" s="770"/>
      <c r="CO30" s="587">
        <v>0</v>
      </c>
      <c r="CP30" s="770"/>
      <c r="CQ30" s="587">
        <v>0</v>
      </c>
      <c r="CR30" s="770"/>
      <c r="CS30" s="587">
        <v>0</v>
      </c>
      <c r="CT30" s="770"/>
      <c r="CU30" s="587"/>
      <c r="CV30" s="770"/>
      <c r="CW30" s="587"/>
      <c r="CX30" s="770"/>
      <c r="CY30" s="587"/>
      <c r="CZ30" s="770"/>
      <c r="DA30" s="587"/>
      <c r="DB30" s="770"/>
      <c r="DC30" s="587"/>
      <c r="DD30" s="770"/>
      <c r="DE30" s="589"/>
      <c r="DF30" s="562"/>
      <c r="DG30" s="552"/>
      <c r="DH30" s="764" t="s">
        <v>440</v>
      </c>
      <c r="DI30" s="766">
        <v>0</v>
      </c>
      <c r="DJ30" s="767">
        <v>0</v>
      </c>
      <c r="DK30" s="776">
        <v>0</v>
      </c>
      <c r="DL30" s="777"/>
      <c r="DM30" s="769"/>
      <c r="DN30" s="587"/>
      <c r="DO30" s="770"/>
      <c r="DP30" s="587"/>
      <c r="DQ30" s="770"/>
      <c r="DR30" s="587"/>
      <c r="DS30" s="770"/>
      <c r="DT30" s="587"/>
      <c r="DU30" s="770"/>
      <c r="DV30" s="587"/>
      <c r="DW30" s="770"/>
      <c r="DX30" s="587"/>
      <c r="DY30" s="770"/>
      <c r="DZ30" s="587"/>
      <c r="EA30" s="770"/>
      <c r="EB30" s="587"/>
      <c r="EC30" s="770"/>
      <c r="ED30" s="587">
        <v>0</v>
      </c>
      <c r="EE30" s="770"/>
      <c r="EF30" s="587">
        <v>0</v>
      </c>
      <c r="EG30" s="770"/>
      <c r="EH30" s="587">
        <v>0</v>
      </c>
      <c r="EI30" s="770"/>
      <c r="EJ30" s="587">
        <v>0</v>
      </c>
      <c r="EK30" s="770"/>
      <c r="EL30" s="587">
        <v>0</v>
      </c>
      <c r="EM30" s="770"/>
      <c r="EN30" s="587">
        <v>0</v>
      </c>
      <c r="EO30" s="770"/>
      <c r="EP30" s="587">
        <v>0</v>
      </c>
      <c r="EQ30" s="770"/>
      <c r="ER30" s="587">
        <v>0</v>
      </c>
      <c r="ES30" s="770"/>
      <c r="ET30" s="587">
        <v>0</v>
      </c>
      <c r="EU30" s="770"/>
      <c r="EV30" s="587">
        <v>0</v>
      </c>
      <c r="EW30" s="770"/>
      <c r="EX30" s="587"/>
      <c r="EY30" s="770"/>
      <c r="EZ30" s="587"/>
      <c r="FA30" s="770"/>
      <c r="FB30" s="587"/>
      <c r="FC30" s="770"/>
      <c r="FD30" s="587"/>
      <c r="FE30" s="770"/>
      <c r="FF30" s="587"/>
      <c r="FG30" s="770"/>
      <c r="FH30" s="589"/>
      <c r="FI30" s="563"/>
      <c r="FJ30" s="564"/>
      <c r="FK30" s="764" t="s">
        <v>441</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554</v>
      </c>
      <c r="GL30" s="774"/>
      <c r="GM30" s="774"/>
      <c r="GN30" s="774"/>
      <c r="GO30" s="530"/>
      <c r="GP30" s="778">
        <v>-0.44</v>
      </c>
      <c r="GQ30" s="413"/>
      <c r="GR30" s="413"/>
      <c r="GS30" s="530"/>
      <c r="GT30" s="763"/>
      <c r="GU30" s="779" t="s">
        <v>380</v>
      </c>
      <c r="GV30" s="780"/>
      <c r="GW30" s="781" t="s">
        <v>782</v>
      </c>
      <c r="GX30" s="781"/>
      <c r="GY30" s="781"/>
      <c r="GZ30" s="781"/>
      <c r="HA30" s="782"/>
      <c r="HB30" s="783" t="s">
        <v>713</v>
      </c>
      <c r="HC30" s="579"/>
      <c r="HD30" s="562"/>
      <c r="HE30" s="415"/>
      <c r="HF30" s="415"/>
    </row>
    <row r="31" spans="1:218" ht="20.100000000000001" customHeight="1">
      <c r="A31" s="552"/>
      <c r="B31" s="784" t="s">
        <v>442</v>
      </c>
      <c r="C31" s="784"/>
      <c r="D31" s="785"/>
      <c r="E31" s="786"/>
      <c r="F31" s="787"/>
      <c r="G31" s="769"/>
      <c r="H31" s="587"/>
      <c r="I31" s="770"/>
      <c r="J31" s="587"/>
      <c r="K31" s="770"/>
      <c r="L31" s="587"/>
      <c r="M31" s="770"/>
      <c r="N31" s="587"/>
      <c r="O31" s="770"/>
      <c r="P31" s="587"/>
      <c r="Q31" s="770"/>
      <c r="R31" s="587"/>
      <c r="S31" s="770"/>
      <c r="T31" s="587"/>
      <c r="U31" s="770"/>
      <c r="V31" s="587"/>
      <c r="W31" s="770"/>
      <c r="X31" s="587">
        <v>0</v>
      </c>
      <c r="Y31" s="770"/>
      <c r="Z31" s="587">
        <v>0</v>
      </c>
      <c r="AA31" s="770"/>
      <c r="AB31" s="587">
        <v>0</v>
      </c>
      <c r="AC31" s="770"/>
      <c r="AD31" s="587">
        <v>0</v>
      </c>
      <c r="AE31" s="770"/>
      <c r="AF31" s="587">
        <v>0</v>
      </c>
      <c r="AG31" s="770"/>
      <c r="AH31" s="587">
        <v>0</v>
      </c>
      <c r="AI31" s="770"/>
      <c r="AJ31" s="587">
        <v>0</v>
      </c>
      <c r="AK31" s="770"/>
      <c r="AL31" s="587">
        <v>0</v>
      </c>
      <c r="AM31" s="770"/>
      <c r="AN31" s="587">
        <v>0</v>
      </c>
      <c r="AO31" s="770"/>
      <c r="AP31" s="587">
        <v>0</v>
      </c>
      <c r="AQ31" s="770"/>
      <c r="AR31" s="587"/>
      <c r="AS31" s="770"/>
      <c r="AT31" s="587"/>
      <c r="AU31" s="770"/>
      <c r="AV31" s="587"/>
      <c r="AW31" s="770"/>
      <c r="AX31" s="587"/>
      <c r="AY31" s="770"/>
      <c r="AZ31" s="587"/>
      <c r="BA31" s="770"/>
      <c r="BB31" s="589"/>
      <c r="BC31" s="562"/>
      <c r="BD31" s="552"/>
      <c r="BE31" s="784" t="s">
        <v>443</v>
      </c>
      <c r="BF31" s="784"/>
      <c r="BG31" s="785">
        <v>0</v>
      </c>
      <c r="BH31" s="786">
        <v>0</v>
      </c>
      <c r="BI31" s="787"/>
      <c r="BJ31" s="769"/>
      <c r="BK31" s="587"/>
      <c r="BL31" s="770"/>
      <c r="BM31" s="587"/>
      <c r="BN31" s="770"/>
      <c r="BO31" s="587"/>
      <c r="BP31" s="770"/>
      <c r="BQ31" s="587"/>
      <c r="BR31" s="770"/>
      <c r="BS31" s="587"/>
      <c r="BT31" s="770"/>
      <c r="BU31" s="587"/>
      <c r="BV31" s="770"/>
      <c r="BW31" s="587"/>
      <c r="BX31" s="770"/>
      <c r="BY31" s="587"/>
      <c r="BZ31" s="770"/>
      <c r="CA31" s="587">
        <v>0</v>
      </c>
      <c r="CB31" s="770"/>
      <c r="CC31" s="587">
        <v>0</v>
      </c>
      <c r="CD31" s="770"/>
      <c r="CE31" s="587">
        <v>0</v>
      </c>
      <c r="CF31" s="770"/>
      <c r="CG31" s="587">
        <v>0</v>
      </c>
      <c r="CH31" s="770"/>
      <c r="CI31" s="587">
        <v>0</v>
      </c>
      <c r="CJ31" s="770"/>
      <c r="CK31" s="587">
        <v>0</v>
      </c>
      <c r="CL31" s="770"/>
      <c r="CM31" s="587">
        <v>0</v>
      </c>
      <c r="CN31" s="770"/>
      <c r="CO31" s="587">
        <v>0</v>
      </c>
      <c r="CP31" s="770"/>
      <c r="CQ31" s="587">
        <v>0</v>
      </c>
      <c r="CR31" s="770"/>
      <c r="CS31" s="587">
        <v>0</v>
      </c>
      <c r="CT31" s="770"/>
      <c r="CU31" s="587"/>
      <c r="CV31" s="770"/>
      <c r="CW31" s="587"/>
      <c r="CX31" s="770"/>
      <c r="CY31" s="587"/>
      <c r="CZ31" s="770"/>
      <c r="DA31" s="587"/>
      <c r="DB31" s="770"/>
      <c r="DC31" s="587"/>
      <c r="DD31" s="770"/>
      <c r="DE31" s="589"/>
      <c r="DF31" s="562"/>
      <c r="DG31" s="552"/>
      <c r="DH31" s="784" t="s">
        <v>443</v>
      </c>
      <c r="DI31" s="784"/>
      <c r="DJ31" s="785">
        <v>0</v>
      </c>
      <c r="DK31" s="786">
        <v>0</v>
      </c>
      <c r="DL31" s="787"/>
      <c r="DM31" s="769"/>
      <c r="DN31" s="587"/>
      <c r="DO31" s="770"/>
      <c r="DP31" s="587"/>
      <c r="DQ31" s="770"/>
      <c r="DR31" s="587"/>
      <c r="DS31" s="770"/>
      <c r="DT31" s="587"/>
      <c r="DU31" s="770"/>
      <c r="DV31" s="587"/>
      <c r="DW31" s="770"/>
      <c r="DX31" s="587"/>
      <c r="DY31" s="770"/>
      <c r="DZ31" s="587"/>
      <c r="EA31" s="770"/>
      <c r="EB31" s="587"/>
      <c r="EC31" s="770"/>
      <c r="ED31" s="587">
        <v>0</v>
      </c>
      <c r="EE31" s="770"/>
      <c r="EF31" s="587">
        <v>0</v>
      </c>
      <c r="EG31" s="770"/>
      <c r="EH31" s="587">
        <v>0</v>
      </c>
      <c r="EI31" s="770"/>
      <c r="EJ31" s="587">
        <v>0</v>
      </c>
      <c r="EK31" s="770"/>
      <c r="EL31" s="587">
        <v>0</v>
      </c>
      <c r="EM31" s="770"/>
      <c r="EN31" s="587">
        <v>0</v>
      </c>
      <c r="EO31" s="770"/>
      <c r="EP31" s="587">
        <v>0</v>
      </c>
      <c r="EQ31" s="770"/>
      <c r="ER31" s="587">
        <v>0</v>
      </c>
      <c r="ES31" s="770"/>
      <c r="ET31" s="587">
        <v>0</v>
      </c>
      <c r="EU31" s="770"/>
      <c r="EV31" s="587">
        <v>0</v>
      </c>
      <c r="EW31" s="770"/>
      <c r="EX31" s="587"/>
      <c r="EY31" s="770"/>
      <c r="EZ31" s="587"/>
      <c r="FA31" s="770"/>
      <c r="FB31" s="587"/>
      <c r="FC31" s="770"/>
      <c r="FD31" s="587"/>
      <c r="FE31" s="770"/>
      <c r="FF31" s="587"/>
      <c r="FG31" s="770"/>
      <c r="FH31" s="589"/>
      <c r="FI31" s="563"/>
      <c r="FJ31" s="564"/>
      <c r="FK31" s="784" t="s">
        <v>443</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-0.44</v>
      </c>
      <c r="GQ31" s="413"/>
      <c r="GR31" s="413"/>
      <c r="GS31" s="580"/>
      <c r="GT31" s="763"/>
      <c r="GU31" s="779"/>
      <c r="GV31" s="780"/>
      <c r="GW31" s="789" t="s">
        <v>714</v>
      </c>
      <c r="GX31" s="790" t="s">
        <v>559</v>
      </c>
      <c r="GY31" s="791" t="s">
        <v>560</v>
      </c>
      <c r="GZ31" s="792" t="s">
        <v>783</v>
      </c>
      <c r="HA31" s="792" t="s">
        <v>699</v>
      </c>
      <c r="HB31" s="793"/>
      <c r="HC31" s="579"/>
      <c r="HD31" s="562"/>
      <c r="HE31" s="415"/>
      <c r="HF31" s="415"/>
    </row>
    <row r="32" spans="1:218" ht="20.100000000000001" customHeight="1">
      <c r="A32" s="552"/>
      <c r="B32" s="794" t="s">
        <v>444</v>
      </c>
      <c r="C32" s="795"/>
      <c r="D32" s="785"/>
      <c r="E32" s="796"/>
      <c r="F32" s="797"/>
      <c r="G32" s="798"/>
      <c r="H32" s="799"/>
      <c r="I32" s="800"/>
      <c r="J32" s="799"/>
      <c r="K32" s="800"/>
      <c r="L32" s="799"/>
      <c r="M32" s="800"/>
      <c r="N32" s="799"/>
      <c r="O32" s="800"/>
      <c r="P32" s="799"/>
      <c r="Q32" s="800"/>
      <c r="R32" s="799"/>
      <c r="S32" s="800"/>
      <c r="T32" s="799"/>
      <c r="U32" s="800"/>
      <c r="V32" s="799"/>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c r="AS32" s="800"/>
      <c r="AT32" s="799"/>
      <c r="AU32" s="800"/>
      <c r="AV32" s="799"/>
      <c r="AW32" s="800"/>
      <c r="AX32" s="799"/>
      <c r="AY32" s="800"/>
      <c r="AZ32" s="799"/>
      <c r="BA32" s="800"/>
      <c r="BB32" s="801"/>
      <c r="BC32" s="562"/>
      <c r="BD32" s="552"/>
      <c r="BE32" s="794" t="s">
        <v>444</v>
      </c>
      <c r="BF32" s="795"/>
      <c r="BG32" s="785">
        <v>0</v>
      </c>
      <c r="BH32" s="796">
        <v>0</v>
      </c>
      <c r="BI32" s="797"/>
      <c r="BJ32" s="798"/>
      <c r="BK32" s="799"/>
      <c r="BL32" s="800"/>
      <c r="BM32" s="799"/>
      <c r="BN32" s="800"/>
      <c r="BO32" s="799"/>
      <c r="BP32" s="800"/>
      <c r="BQ32" s="799"/>
      <c r="BR32" s="800"/>
      <c r="BS32" s="799"/>
      <c r="BT32" s="800"/>
      <c r="BU32" s="799"/>
      <c r="BV32" s="800"/>
      <c r="BW32" s="799"/>
      <c r="BX32" s="800"/>
      <c r="BY32" s="799"/>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c r="CV32" s="800"/>
      <c r="CW32" s="799"/>
      <c r="CX32" s="800"/>
      <c r="CY32" s="799"/>
      <c r="CZ32" s="800"/>
      <c r="DA32" s="799"/>
      <c r="DB32" s="800"/>
      <c r="DC32" s="799"/>
      <c r="DD32" s="800"/>
      <c r="DE32" s="801"/>
      <c r="DF32" s="562"/>
      <c r="DG32" s="552"/>
      <c r="DH32" s="794" t="s">
        <v>444</v>
      </c>
      <c r="DI32" s="795"/>
      <c r="DJ32" s="785">
        <v>0</v>
      </c>
      <c r="DK32" s="796">
        <v>0</v>
      </c>
      <c r="DL32" s="797"/>
      <c r="DM32" s="798"/>
      <c r="DN32" s="799"/>
      <c r="DO32" s="800"/>
      <c r="DP32" s="799"/>
      <c r="DQ32" s="800"/>
      <c r="DR32" s="799"/>
      <c r="DS32" s="800"/>
      <c r="DT32" s="799"/>
      <c r="DU32" s="800"/>
      <c r="DV32" s="799"/>
      <c r="DW32" s="800"/>
      <c r="DX32" s="799"/>
      <c r="DY32" s="800"/>
      <c r="DZ32" s="799"/>
      <c r="EA32" s="800"/>
      <c r="EB32" s="799"/>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c r="EY32" s="800"/>
      <c r="EZ32" s="799"/>
      <c r="FA32" s="800"/>
      <c r="FB32" s="799"/>
      <c r="FC32" s="800"/>
      <c r="FD32" s="799"/>
      <c r="FE32" s="800"/>
      <c r="FF32" s="799"/>
      <c r="FG32" s="800"/>
      <c r="FH32" s="801"/>
      <c r="FI32" s="563"/>
      <c r="FJ32" s="564"/>
      <c r="FK32" s="794" t="s">
        <v>669</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325</v>
      </c>
      <c r="E33" s="642"/>
      <c r="F33" s="642"/>
      <c r="G33" s="644"/>
      <c r="H33" s="645">
        <v>0</v>
      </c>
      <c r="I33" s="1291"/>
      <c r="J33" s="645">
        <v>0</v>
      </c>
      <c r="K33" s="1291"/>
      <c r="L33" s="645">
        <v>0</v>
      </c>
      <c r="M33" s="1291"/>
      <c r="N33" s="645">
        <v>0</v>
      </c>
      <c r="O33" s="1291"/>
      <c r="P33" s="645">
        <v>0</v>
      </c>
      <c r="Q33" s="1291"/>
      <c r="R33" s="645">
        <v>0</v>
      </c>
      <c r="S33" s="1291"/>
      <c r="T33" s="645">
        <v>0</v>
      </c>
      <c r="U33" s="1291"/>
      <c r="V33" s="645">
        <v>0</v>
      </c>
      <c r="W33" s="1291"/>
      <c r="X33" s="645">
        <v>286</v>
      </c>
      <c r="Y33" s="1291"/>
      <c r="Z33" s="645">
        <v>286</v>
      </c>
      <c r="AA33" s="1291"/>
      <c r="AB33" s="645">
        <v>286</v>
      </c>
      <c r="AC33" s="1291"/>
      <c r="AD33" s="645">
        <v>286</v>
      </c>
      <c r="AE33" s="1291"/>
      <c r="AF33" s="645">
        <v>286</v>
      </c>
      <c r="AG33" s="1291"/>
      <c r="AH33" s="645">
        <v>286</v>
      </c>
      <c r="AI33" s="1291"/>
      <c r="AJ33" s="645">
        <v>286</v>
      </c>
      <c r="AK33" s="1291"/>
      <c r="AL33" s="645">
        <v>286</v>
      </c>
      <c r="AM33" s="1291"/>
      <c r="AN33" s="645">
        <v>352</v>
      </c>
      <c r="AO33" s="1291"/>
      <c r="AP33" s="645">
        <v>352</v>
      </c>
      <c r="AQ33" s="1291"/>
      <c r="AR33" s="645">
        <v>0</v>
      </c>
      <c r="AS33" s="1291"/>
      <c r="AT33" s="645">
        <v>0</v>
      </c>
      <c r="AU33" s="1291"/>
      <c r="AV33" s="645">
        <v>0</v>
      </c>
      <c r="AW33" s="1291"/>
      <c r="AX33" s="645">
        <v>0</v>
      </c>
      <c r="AY33" s="1291"/>
      <c r="AZ33" s="645">
        <v>0</v>
      </c>
      <c r="BA33" s="1291"/>
      <c r="BB33" s="647">
        <v>0</v>
      </c>
      <c r="BC33" s="648"/>
      <c r="BD33" s="641"/>
      <c r="BE33" s="642"/>
      <c r="BF33" s="642"/>
      <c r="BG33" s="643" t="s">
        <v>325</v>
      </c>
      <c r="BH33" s="642"/>
      <c r="BI33" s="642"/>
      <c r="BJ33" s="644"/>
      <c r="BK33" s="645">
        <v>0</v>
      </c>
      <c r="BL33" s="1291"/>
      <c r="BM33" s="645">
        <v>0</v>
      </c>
      <c r="BN33" s="1291"/>
      <c r="BO33" s="645">
        <v>0</v>
      </c>
      <c r="BP33" s="1291"/>
      <c r="BQ33" s="645">
        <v>0</v>
      </c>
      <c r="BR33" s="1291"/>
      <c r="BS33" s="645">
        <v>0</v>
      </c>
      <c r="BT33" s="1291"/>
      <c r="BU33" s="645">
        <v>0</v>
      </c>
      <c r="BV33" s="1291"/>
      <c r="BW33" s="645">
        <v>0</v>
      </c>
      <c r="BX33" s="1291"/>
      <c r="BY33" s="645">
        <v>0</v>
      </c>
      <c r="BZ33" s="1291"/>
      <c r="CA33" s="645">
        <v>286</v>
      </c>
      <c r="CB33" s="1291"/>
      <c r="CC33" s="645">
        <v>286</v>
      </c>
      <c r="CD33" s="1291"/>
      <c r="CE33" s="645">
        <v>286</v>
      </c>
      <c r="CF33" s="1291"/>
      <c r="CG33" s="645">
        <v>286</v>
      </c>
      <c r="CH33" s="1291"/>
      <c r="CI33" s="645">
        <v>286</v>
      </c>
      <c r="CJ33" s="1291"/>
      <c r="CK33" s="645">
        <v>286</v>
      </c>
      <c r="CL33" s="1291"/>
      <c r="CM33" s="645">
        <v>286</v>
      </c>
      <c r="CN33" s="1291"/>
      <c r="CO33" s="645">
        <v>286</v>
      </c>
      <c r="CP33" s="1291"/>
      <c r="CQ33" s="645">
        <v>352</v>
      </c>
      <c r="CR33" s="1291"/>
      <c r="CS33" s="645">
        <v>352</v>
      </c>
      <c r="CT33" s="1291"/>
      <c r="CU33" s="645">
        <v>0</v>
      </c>
      <c r="CV33" s="1291"/>
      <c r="CW33" s="645">
        <v>0</v>
      </c>
      <c r="CX33" s="1291"/>
      <c r="CY33" s="645">
        <v>0</v>
      </c>
      <c r="CZ33" s="1291"/>
      <c r="DA33" s="645">
        <v>0</v>
      </c>
      <c r="DB33" s="1291"/>
      <c r="DC33" s="645">
        <v>0</v>
      </c>
      <c r="DD33" s="1291"/>
      <c r="DE33" s="647">
        <v>0</v>
      </c>
      <c r="DF33" s="648"/>
      <c r="DG33" s="641"/>
      <c r="DH33" s="642"/>
      <c r="DI33" s="642"/>
      <c r="DJ33" s="643" t="s">
        <v>445</v>
      </c>
      <c r="DK33" s="642"/>
      <c r="DL33" s="642"/>
      <c r="DM33" s="644"/>
      <c r="DN33" s="645">
        <v>0</v>
      </c>
      <c r="DO33" s="1291"/>
      <c r="DP33" s="645">
        <v>0</v>
      </c>
      <c r="DQ33" s="1291"/>
      <c r="DR33" s="645">
        <v>0</v>
      </c>
      <c r="DS33" s="1291"/>
      <c r="DT33" s="645">
        <v>0</v>
      </c>
      <c r="DU33" s="1291"/>
      <c r="DV33" s="645">
        <v>0</v>
      </c>
      <c r="DW33" s="1291"/>
      <c r="DX33" s="645">
        <v>0</v>
      </c>
      <c r="DY33" s="1291"/>
      <c r="DZ33" s="645">
        <v>0</v>
      </c>
      <c r="EA33" s="1291"/>
      <c r="EB33" s="645">
        <v>0</v>
      </c>
      <c r="EC33" s="1291"/>
      <c r="ED33" s="645">
        <v>286</v>
      </c>
      <c r="EE33" s="1291"/>
      <c r="EF33" s="645">
        <v>286</v>
      </c>
      <c r="EG33" s="1291"/>
      <c r="EH33" s="645">
        <v>286</v>
      </c>
      <c r="EI33" s="1291"/>
      <c r="EJ33" s="645">
        <v>286</v>
      </c>
      <c r="EK33" s="1291"/>
      <c r="EL33" s="645">
        <v>286</v>
      </c>
      <c r="EM33" s="1291"/>
      <c r="EN33" s="645">
        <v>286</v>
      </c>
      <c r="EO33" s="1291"/>
      <c r="EP33" s="645">
        <v>286</v>
      </c>
      <c r="EQ33" s="1291"/>
      <c r="ER33" s="645">
        <v>286</v>
      </c>
      <c r="ES33" s="1291"/>
      <c r="ET33" s="645">
        <v>352</v>
      </c>
      <c r="EU33" s="1291"/>
      <c r="EV33" s="645">
        <v>352</v>
      </c>
      <c r="EW33" s="1291"/>
      <c r="EX33" s="645">
        <v>0</v>
      </c>
      <c r="EY33" s="1291"/>
      <c r="EZ33" s="645">
        <v>0</v>
      </c>
      <c r="FA33" s="1291"/>
      <c r="FB33" s="645">
        <v>0</v>
      </c>
      <c r="FC33" s="1291"/>
      <c r="FD33" s="645">
        <v>0</v>
      </c>
      <c r="FE33" s="1291"/>
      <c r="FF33" s="645">
        <v>0</v>
      </c>
      <c r="FG33" s="1291"/>
      <c r="FH33" s="647">
        <v>0</v>
      </c>
      <c r="FI33" s="649"/>
      <c r="FJ33" s="564"/>
      <c r="FK33" s="642"/>
      <c r="FL33" s="642"/>
      <c r="FM33" s="643" t="s">
        <v>445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784</v>
      </c>
      <c r="GL33" s="579"/>
      <c r="GM33" s="530"/>
      <c r="GN33" s="579"/>
      <c r="GO33" s="530"/>
      <c r="GP33" s="530"/>
      <c r="GQ33" s="530"/>
      <c r="GR33" s="579"/>
      <c r="GS33" s="530"/>
      <c r="GT33" s="763"/>
      <c r="GU33" s="811">
        <v>204</v>
      </c>
      <c r="GV33" s="812"/>
      <c r="GW33" s="813">
        <v>0</v>
      </c>
      <c r="GX33" s="814">
        <v>6.2</v>
      </c>
      <c r="GY33" s="814">
        <v>34.28</v>
      </c>
      <c r="GZ33" s="814">
        <v>0</v>
      </c>
      <c r="HA33" s="814">
        <v>40.480000000000004</v>
      </c>
      <c r="HB33" s="815">
        <v>13.23</v>
      </c>
      <c r="HC33" s="413"/>
      <c r="HD33" s="648"/>
      <c r="HE33" s="415"/>
      <c r="HF33" s="415"/>
    </row>
    <row r="34" spans="1:219" ht="20.100000000000001" customHeight="1">
      <c r="A34" s="1293" t="s">
        <v>449</v>
      </c>
      <c r="B34" s="743"/>
      <c r="C34" s="817"/>
      <c r="D34" s="818"/>
      <c r="E34" s="817"/>
      <c r="F34" s="819"/>
      <c r="G34" s="740" t="s">
        <v>448</v>
      </c>
      <c r="H34" s="663" t="s">
        <v>430</v>
      </c>
      <c r="I34" s="741" t="s">
        <v>447</v>
      </c>
      <c r="J34" s="663" t="s">
        <v>428</v>
      </c>
      <c r="K34" s="742" t="s">
        <v>447</v>
      </c>
      <c r="L34" s="663" t="s">
        <v>428</v>
      </c>
      <c r="M34" s="742" t="s">
        <v>448</v>
      </c>
      <c r="N34" s="663" t="s">
        <v>428</v>
      </c>
      <c r="O34" s="742" t="s">
        <v>448</v>
      </c>
      <c r="P34" s="663" t="s">
        <v>428</v>
      </c>
      <c r="Q34" s="742" t="s">
        <v>448</v>
      </c>
      <c r="R34" s="663" t="s">
        <v>430</v>
      </c>
      <c r="S34" s="742" t="s">
        <v>447</v>
      </c>
      <c r="T34" s="663" t="s">
        <v>430</v>
      </c>
      <c r="U34" s="742" t="s">
        <v>447</v>
      </c>
      <c r="V34" s="663" t="s">
        <v>430</v>
      </c>
      <c r="W34" s="742" t="s">
        <v>447</v>
      </c>
      <c r="X34" s="663" t="s">
        <v>428</v>
      </c>
      <c r="Y34" s="742" t="s">
        <v>448</v>
      </c>
      <c r="Z34" s="663" t="s">
        <v>430</v>
      </c>
      <c r="AA34" s="742" t="s">
        <v>448</v>
      </c>
      <c r="AB34" s="663" t="s">
        <v>430</v>
      </c>
      <c r="AC34" s="742" t="s">
        <v>447</v>
      </c>
      <c r="AD34" s="663" t="s">
        <v>428</v>
      </c>
      <c r="AE34" s="742" t="s">
        <v>447</v>
      </c>
      <c r="AF34" s="663" t="s">
        <v>428</v>
      </c>
      <c r="AG34" s="742" t="s">
        <v>447</v>
      </c>
      <c r="AH34" s="663" t="s">
        <v>430</v>
      </c>
      <c r="AI34" s="742" t="s">
        <v>447</v>
      </c>
      <c r="AJ34" s="663" t="s">
        <v>428</v>
      </c>
      <c r="AK34" s="742" t="s">
        <v>447</v>
      </c>
      <c r="AL34" s="663" t="s">
        <v>430</v>
      </c>
      <c r="AM34" s="742" t="s">
        <v>447</v>
      </c>
      <c r="AN34" s="663" t="s">
        <v>428</v>
      </c>
      <c r="AO34" s="742" t="s">
        <v>447</v>
      </c>
      <c r="AP34" s="663" t="s">
        <v>428</v>
      </c>
      <c r="AQ34" s="742" t="s">
        <v>447</v>
      </c>
      <c r="AR34" s="663" t="s">
        <v>428</v>
      </c>
      <c r="AS34" s="742" t="s">
        <v>448</v>
      </c>
      <c r="AT34" s="663" t="s">
        <v>428</v>
      </c>
      <c r="AU34" s="742" t="s">
        <v>447</v>
      </c>
      <c r="AV34" s="663" t="s">
        <v>430</v>
      </c>
      <c r="AW34" s="742" t="s">
        <v>447</v>
      </c>
      <c r="AX34" s="663" t="s">
        <v>428</v>
      </c>
      <c r="AY34" s="742" t="s">
        <v>447</v>
      </c>
      <c r="AZ34" s="663" t="s">
        <v>428</v>
      </c>
      <c r="BA34" s="742" t="s">
        <v>448</v>
      </c>
      <c r="BB34" s="665" t="s">
        <v>428</v>
      </c>
      <c r="BC34" s="723"/>
      <c r="BD34" s="1293" t="s">
        <v>446</v>
      </c>
      <c r="BE34" s="820"/>
      <c r="BF34" s="821"/>
      <c r="BG34" s="822"/>
      <c r="BH34" s="821"/>
      <c r="BI34" s="823"/>
      <c r="BJ34" s="740" t="s">
        <v>448</v>
      </c>
      <c r="BK34" s="663" t="s">
        <v>430</v>
      </c>
      <c r="BL34" s="741" t="s">
        <v>448</v>
      </c>
      <c r="BM34" s="663" t="s">
        <v>428</v>
      </c>
      <c r="BN34" s="742" t="s">
        <v>447</v>
      </c>
      <c r="BO34" s="663" t="s">
        <v>428</v>
      </c>
      <c r="BP34" s="742" t="s">
        <v>448</v>
      </c>
      <c r="BQ34" s="663" t="s">
        <v>430</v>
      </c>
      <c r="BR34" s="742" t="s">
        <v>447</v>
      </c>
      <c r="BS34" s="663" t="s">
        <v>428</v>
      </c>
      <c r="BT34" s="742" t="s">
        <v>448</v>
      </c>
      <c r="BU34" s="663" t="s">
        <v>428</v>
      </c>
      <c r="BV34" s="742" t="s">
        <v>448</v>
      </c>
      <c r="BW34" s="663" t="s">
        <v>430</v>
      </c>
      <c r="BX34" s="742" t="s">
        <v>448</v>
      </c>
      <c r="BY34" s="663" t="s">
        <v>428</v>
      </c>
      <c r="BZ34" s="742" t="s">
        <v>448</v>
      </c>
      <c r="CA34" s="663" t="s">
        <v>430</v>
      </c>
      <c r="CB34" s="742" t="s">
        <v>447</v>
      </c>
      <c r="CC34" s="663" t="s">
        <v>430</v>
      </c>
      <c r="CD34" s="742" t="s">
        <v>448</v>
      </c>
      <c r="CE34" s="663" t="s">
        <v>428</v>
      </c>
      <c r="CF34" s="742" t="s">
        <v>447</v>
      </c>
      <c r="CG34" s="663" t="s">
        <v>428</v>
      </c>
      <c r="CH34" s="742" t="s">
        <v>447</v>
      </c>
      <c r="CI34" s="663" t="s">
        <v>428</v>
      </c>
      <c r="CJ34" s="742" t="s">
        <v>448</v>
      </c>
      <c r="CK34" s="663" t="s">
        <v>430</v>
      </c>
      <c r="CL34" s="742" t="s">
        <v>447</v>
      </c>
      <c r="CM34" s="663" t="s">
        <v>430</v>
      </c>
      <c r="CN34" s="742" t="s">
        <v>448</v>
      </c>
      <c r="CO34" s="663" t="s">
        <v>428</v>
      </c>
      <c r="CP34" s="742" t="s">
        <v>447</v>
      </c>
      <c r="CQ34" s="663" t="s">
        <v>428</v>
      </c>
      <c r="CR34" s="742" t="s">
        <v>447</v>
      </c>
      <c r="CS34" s="663" t="s">
        <v>430</v>
      </c>
      <c r="CT34" s="742" t="s">
        <v>447</v>
      </c>
      <c r="CU34" s="663" t="s">
        <v>430</v>
      </c>
      <c r="CV34" s="742" t="s">
        <v>447</v>
      </c>
      <c r="CW34" s="663" t="s">
        <v>430</v>
      </c>
      <c r="CX34" s="742" t="s">
        <v>448</v>
      </c>
      <c r="CY34" s="663" t="s">
        <v>428</v>
      </c>
      <c r="CZ34" s="742" t="s">
        <v>447</v>
      </c>
      <c r="DA34" s="663" t="s">
        <v>428</v>
      </c>
      <c r="DB34" s="742" t="s">
        <v>447</v>
      </c>
      <c r="DC34" s="663" t="s">
        <v>430</v>
      </c>
      <c r="DD34" s="742" t="s">
        <v>448</v>
      </c>
      <c r="DE34" s="665" t="s">
        <v>430</v>
      </c>
      <c r="DF34" s="723"/>
      <c r="DG34" s="1293" t="s">
        <v>449</v>
      </c>
      <c r="DH34" s="738"/>
      <c r="DI34" s="824"/>
      <c r="DJ34" s="825"/>
      <c r="DK34" s="824"/>
      <c r="DL34" s="826"/>
      <c r="DM34" s="740" t="s">
        <v>448</v>
      </c>
      <c r="DN34" s="663" t="s">
        <v>430</v>
      </c>
      <c r="DO34" s="741" t="s">
        <v>447</v>
      </c>
      <c r="DP34" s="663" t="s">
        <v>430</v>
      </c>
      <c r="DQ34" s="742" t="s">
        <v>447</v>
      </c>
      <c r="DR34" s="663" t="s">
        <v>430</v>
      </c>
      <c r="DS34" s="742" t="s">
        <v>447</v>
      </c>
      <c r="DT34" s="663" t="s">
        <v>428</v>
      </c>
      <c r="DU34" s="742" t="s">
        <v>447</v>
      </c>
      <c r="DV34" s="663" t="s">
        <v>430</v>
      </c>
      <c r="DW34" s="742" t="s">
        <v>447</v>
      </c>
      <c r="DX34" s="663" t="s">
        <v>428</v>
      </c>
      <c r="DY34" s="742" t="s">
        <v>447</v>
      </c>
      <c r="DZ34" s="663" t="s">
        <v>430</v>
      </c>
      <c r="EA34" s="742" t="s">
        <v>447</v>
      </c>
      <c r="EB34" s="663" t="s">
        <v>428</v>
      </c>
      <c r="EC34" s="742" t="s">
        <v>447</v>
      </c>
      <c r="ED34" s="663" t="s">
        <v>428</v>
      </c>
      <c r="EE34" s="742" t="s">
        <v>447</v>
      </c>
      <c r="EF34" s="663" t="s">
        <v>428</v>
      </c>
      <c r="EG34" s="742" t="s">
        <v>448</v>
      </c>
      <c r="EH34" s="663" t="s">
        <v>428</v>
      </c>
      <c r="EI34" s="742" t="s">
        <v>447</v>
      </c>
      <c r="EJ34" s="663" t="s">
        <v>430</v>
      </c>
      <c r="EK34" s="742" t="s">
        <v>447</v>
      </c>
      <c r="EL34" s="663" t="s">
        <v>428</v>
      </c>
      <c r="EM34" s="742" t="s">
        <v>447</v>
      </c>
      <c r="EN34" s="663" t="s">
        <v>428</v>
      </c>
      <c r="EO34" s="742" t="s">
        <v>448</v>
      </c>
      <c r="EP34" s="663" t="s">
        <v>428</v>
      </c>
      <c r="EQ34" s="742" t="s">
        <v>448</v>
      </c>
      <c r="ER34" s="663" t="s">
        <v>430</v>
      </c>
      <c r="ES34" s="742" t="s">
        <v>448</v>
      </c>
      <c r="ET34" s="663" t="s">
        <v>428</v>
      </c>
      <c r="EU34" s="742" t="s">
        <v>448</v>
      </c>
      <c r="EV34" s="663" t="s">
        <v>428</v>
      </c>
      <c r="EW34" s="742" t="s">
        <v>447</v>
      </c>
      <c r="EX34" s="663" t="s">
        <v>428</v>
      </c>
      <c r="EY34" s="742" t="s">
        <v>448</v>
      </c>
      <c r="EZ34" s="663" t="s">
        <v>428</v>
      </c>
      <c r="FA34" s="742" t="s">
        <v>448</v>
      </c>
      <c r="FB34" s="663" t="s">
        <v>428</v>
      </c>
      <c r="FC34" s="742" t="s">
        <v>447</v>
      </c>
      <c r="FD34" s="663" t="s">
        <v>428</v>
      </c>
      <c r="FE34" s="742" t="s">
        <v>448</v>
      </c>
      <c r="FF34" s="663" t="s">
        <v>430</v>
      </c>
      <c r="FG34" s="742" t="s">
        <v>448</v>
      </c>
      <c r="FH34" s="665" t="s">
        <v>430</v>
      </c>
      <c r="FI34" s="746"/>
      <c r="FJ34" s="827" t="s">
        <v>449</v>
      </c>
      <c r="FK34" s="738"/>
      <c r="FL34" s="824"/>
      <c r="FM34" s="825"/>
      <c r="FN34" s="824"/>
      <c r="FO34" s="826"/>
      <c r="FP34" s="747" t="s">
        <v>433</v>
      </c>
      <c r="FQ34" s="673" t="s">
        <v>448</v>
      </c>
      <c r="FR34" s="663" t="s">
        <v>434</v>
      </c>
      <c r="FS34" s="748" t="s">
        <v>433</v>
      </c>
      <c r="FT34" s="673" t="s">
        <v>447</v>
      </c>
      <c r="FU34" s="675" t="s">
        <v>434</v>
      </c>
      <c r="FV34" s="593"/>
      <c r="FW34" s="594"/>
      <c r="FX34" s="806"/>
      <c r="FY34" s="596"/>
      <c r="FZ34" s="807"/>
      <c r="GA34" s="598"/>
      <c r="GB34" s="808"/>
      <c r="GC34" s="600"/>
      <c r="GD34" s="808"/>
      <c r="GE34" s="601"/>
      <c r="GF34" s="749"/>
      <c r="GG34" s="750"/>
      <c r="GH34" s="750"/>
      <c r="GI34" s="750"/>
      <c r="GJ34" s="579"/>
      <c r="GK34" s="828" t="s">
        <v>836</v>
      </c>
      <c r="GL34" s="828"/>
      <c r="GM34" s="828"/>
      <c r="GN34" s="828"/>
      <c r="GO34" s="828"/>
      <c r="GP34" s="828"/>
      <c r="GQ34" s="615">
        <v>7</v>
      </c>
      <c r="GR34" s="579" t="s">
        <v>319</v>
      </c>
      <c r="GS34" s="580"/>
      <c r="GT34" s="763"/>
      <c r="GU34" s="829"/>
      <c r="GV34" s="830"/>
      <c r="GW34" s="831"/>
      <c r="GX34" s="633"/>
      <c r="GY34" s="633"/>
      <c r="GZ34" s="633"/>
      <c r="HA34" s="633"/>
      <c r="HB34" s="634"/>
      <c r="HC34" s="530"/>
      <c r="HD34" s="723"/>
      <c r="HE34" s="415"/>
      <c r="HF34" s="415"/>
    </row>
    <row r="35" spans="1:219" ht="20.100000000000001" customHeight="1">
      <c r="A35" s="832"/>
      <c r="B35" s="466" t="s">
        <v>452</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566</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453</v>
      </c>
      <c r="E36" s="642"/>
      <c r="F36" s="642"/>
      <c r="G36" s="845"/>
      <c r="H36" s="1294">
        <v>0</v>
      </c>
      <c r="I36" s="1295"/>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1296">
        <v>0</v>
      </c>
      <c r="BC36" s="648"/>
      <c r="BD36" s="832"/>
      <c r="BE36" s="642"/>
      <c r="BF36" s="642"/>
      <c r="BG36" s="643" t="s">
        <v>327</v>
      </c>
      <c r="BH36" s="642"/>
      <c r="BI36" s="642"/>
      <c r="BJ36" s="845"/>
      <c r="BK36" s="1294">
        <v>0</v>
      </c>
      <c r="BL36" s="1295"/>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1296">
        <v>0</v>
      </c>
      <c r="DF36" s="648"/>
      <c r="DG36" s="832"/>
      <c r="DH36" s="642"/>
      <c r="DI36" s="642"/>
      <c r="DJ36" s="643" t="s">
        <v>453</v>
      </c>
      <c r="DK36" s="642"/>
      <c r="DL36" s="642"/>
      <c r="DM36" s="845"/>
      <c r="DN36" s="1294">
        <v>0</v>
      </c>
      <c r="DO36" s="1295"/>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1296">
        <v>0</v>
      </c>
      <c r="FI36" s="649"/>
      <c r="FJ36" s="841"/>
      <c r="FK36" s="642"/>
      <c r="FL36" s="642"/>
      <c r="FM36" s="643" t="s">
        <v>453</v>
      </c>
      <c r="FN36" s="642"/>
      <c r="FO36" s="642"/>
      <c r="FP36" s="650"/>
      <c r="FQ36" s="1295"/>
      <c r="FR36" s="1294">
        <v>0</v>
      </c>
      <c r="FS36" s="1297"/>
      <c r="FT36" s="1295"/>
      <c r="FU36" s="1298">
        <v>0</v>
      </c>
      <c r="FV36" s="593"/>
      <c r="FW36" s="594"/>
      <c r="FX36" s="806"/>
      <c r="FY36" s="596"/>
      <c r="FZ36" s="807"/>
      <c r="GA36" s="598"/>
      <c r="GB36" s="808"/>
      <c r="GC36" s="600"/>
      <c r="GD36" s="808"/>
      <c r="GE36" s="601"/>
      <c r="GF36" s="654"/>
      <c r="GG36" s="655"/>
      <c r="GH36" s="655"/>
      <c r="GI36" s="655"/>
      <c r="GJ36" s="530"/>
      <c r="GK36" s="828" t="s">
        <v>567</v>
      </c>
      <c r="GL36" s="828"/>
      <c r="GM36" s="828"/>
      <c r="GN36" s="828"/>
      <c r="GO36" s="828"/>
      <c r="GP36" s="828"/>
      <c r="GQ36" s="615">
        <v>10</v>
      </c>
      <c r="GR36" s="579" t="s">
        <v>319</v>
      </c>
      <c r="GS36" s="530"/>
      <c r="GT36" s="763"/>
      <c r="GU36" s="829"/>
      <c r="GV36" s="830"/>
      <c r="GW36" s="831"/>
      <c r="GX36" s="633"/>
      <c r="GY36" s="633"/>
      <c r="GZ36" s="633"/>
      <c r="HA36" s="633"/>
      <c r="HB36" s="634"/>
      <c r="HC36" s="530"/>
      <c r="HD36" s="648"/>
      <c r="HE36" s="415"/>
      <c r="HF36" s="415"/>
    </row>
    <row r="37" spans="1:219" ht="24" customHeight="1">
      <c r="A37" s="853" t="s">
        <v>454</v>
      </c>
      <c r="B37" s="854"/>
      <c r="C37" s="855" t="s">
        <v>460</v>
      </c>
      <c r="D37" s="856"/>
      <c r="E37" s="857" t="s">
        <v>456</v>
      </c>
      <c r="F37" s="858"/>
      <c r="G37" s="662" t="s">
        <v>448</v>
      </c>
      <c r="H37" s="663" t="s">
        <v>328</v>
      </c>
      <c r="I37" s="664" t="s">
        <v>448</v>
      </c>
      <c r="J37" s="663" t="s">
        <v>459</v>
      </c>
      <c r="K37" s="664" t="s">
        <v>448</v>
      </c>
      <c r="L37" s="663" t="s">
        <v>459</v>
      </c>
      <c r="M37" s="664" t="s">
        <v>448</v>
      </c>
      <c r="N37" s="663" t="s">
        <v>459</v>
      </c>
      <c r="O37" s="664" t="s">
        <v>448</v>
      </c>
      <c r="P37" s="663" t="s">
        <v>458</v>
      </c>
      <c r="Q37" s="664" t="s">
        <v>448</v>
      </c>
      <c r="R37" s="663" t="s">
        <v>458</v>
      </c>
      <c r="S37" s="664" t="s">
        <v>448</v>
      </c>
      <c r="T37" s="663" t="s">
        <v>458</v>
      </c>
      <c r="U37" s="664" t="s">
        <v>447</v>
      </c>
      <c r="V37" s="663" t="s">
        <v>458</v>
      </c>
      <c r="W37" s="664" t="s">
        <v>447</v>
      </c>
      <c r="X37" s="663" t="s">
        <v>458</v>
      </c>
      <c r="Y37" s="664" t="s">
        <v>447</v>
      </c>
      <c r="Z37" s="663" t="s">
        <v>458</v>
      </c>
      <c r="AA37" s="664" t="s">
        <v>447</v>
      </c>
      <c r="AB37" s="663" t="s">
        <v>458</v>
      </c>
      <c r="AC37" s="664" t="s">
        <v>448</v>
      </c>
      <c r="AD37" s="663" t="s">
        <v>459</v>
      </c>
      <c r="AE37" s="664" t="s">
        <v>447</v>
      </c>
      <c r="AF37" s="663" t="s">
        <v>459</v>
      </c>
      <c r="AG37" s="664" t="s">
        <v>447</v>
      </c>
      <c r="AH37" s="663" t="s">
        <v>459</v>
      </c>
      <c r="AI37" s="664" t="s">
        <v>447</v>
      </c>
      <c r="AJ37" s="663" t="s">
        <v>458</v>
      </c>
      <c r="AK37" s="664" t="s">
        <v>448</v>
      </c>
      <c r="AL37" s="663" t="s">
        <v>459</v>
      </c>
      <c r="AM37" s="664" t="s">
        <v>447</v>
      </c>
      <c r="AN37" s="663" t="s">
        <v>458</v>
      </c>
      <c r="AO37" s="664" t="s">
        <v>448</v>
      </c>
      <c r="AP37" s="663" t="s">
        <v>459</v>
      </c>
      <c r="AQ37" s="664" t="s">
        <v>447</v>
      </c>
      <c r="AR37" s="663" t="s">
        <v>459</v>
      </c>
      <c r="AS37" s="664" t="s">
        <v>447</v>
      </c>
      <c r="AT37" s="663" t="s">
        <v>458</v>
      </c>
      <c r="AU37" s="664" t="s">
        <v>448</v>
      </c>
      <c r="AV37" s="663" t="s">
        <v>459</v>
      </c>
      <c r="AW37" s="664" t="s">
        <v>448</v>
      </c>
      <c r="AX37" s="663" t="s">
        <v>459</v>
      </c>
      <c r="AY37" s="664" t="s">
        <v>447</v>
      </c>
      <c r="AZ37" s="663" t="s">
        <v>459</v>
      </c>
      <c r="BA37" s="664" t="s">
        <v>448</v>
      </c>
      <c r="BB37" s="665" t="s">
        <v>458</v>
      </c>
      <c r="BC37" s="723"/>
      <c r="BD37" s="853" t="s">
        <v>462</v>
      </c>
      <c r="BE37" s="854"/>
      <c r="BF37" s="855" t="s">
        <v>455</v>
      </c>
      <c r="BG37" s="856"/>
      <c r="BH37" s="857" t="s">
        <v>456</v>
      </c>
      <c r="BI37" s="858"/>
      <c r="BJ37" s="662" t="s">
        <v>448</v>
      </c>
      <c r="BK37" s="663" t="s">
        <v>457</v>
      </c>
      <c r="BL37" s="664" t="s">
        <v>448</v>
      </c>
      <c r="BM37" s="663" t="s">
        <v>459</v>
      </c>
      <c r="BN37" s="664" t="s">
        <v>447</v>
      </c>
      <c r="BO37" s="663" t="s">
        <v>458</v>
      </c>
      <c r="BP37" s="664" t="s">
        <v>448</v>
      </c>
      <c r="BQ37" s="663" t="s">
        <v>459</v>
      </c>
      <c r="BR37" s="664" t="s">
        <v>448</v>
      </c>
      <c r="BS37" s="663" t="s">
        <v>458</v>
      </c>
      <c r="BT37" s="664" t="s">
        <v>448</v>
      </c>
      <c r="BU37" s="663" t="s">
        <v>459</v>
      </c>
      <c r="BV37" s="664" t="s">
        <v>448</v>
      </c>
      <c r="BW37" s="663" t="s">
        <v>459</v>
      </c>
      <c r="BX37" s="664" t="s">
        <v>448</v>
      </c>
      <c r="BY37" s="663" t="s">
        <v>459</v>
      </c>
      <c r="BZ37" s="664" t="s">
        <v>448</v>
      </c>
      <c r="CA37" s="663" t="s">
        <v>459</v>
      </c>
      <c r="CB37" s="664" t="s">
        <v>448</v>
      </c>
      <c r="CC37" s="663" t="s">
        <v>458</v>
      </c>
      <c r="CD37" s="664" t="s">
        <v>447</v>
      </c>
      <c r="CE37" s="663" t="s">
        <v>459</v>
      </c>
      <c r="CF37" s="664" t="s">
        <v>447</v>
      </c>
      <c r="CG37" s="663" t="s">
        <v>459</v>
      </c>
      <c r="CH37" s="664" t="s">
        <v>447</v>
      </c>
      <c r="CI37" s="663" t="s">
        <v>459</v>
      </c>
      <c r="CJ37" s="664" t="s">
        <v>448</v>
      </c>
      <c r="CK37" s="663" t="s">
        <v>458</v>
      </c>
      <c r="CL37" s="664" t="s">
        <v>447</v>
      </c>
      <c r="CM37" s="663" t="s">
        <v>459</v>
      </c>
      <c r="CN37" s="664" t="s">
        <v>448</v>
      </c>
      <c r="CO37" s="663" t="s">
        <v>458</v>
      </c>
      <c r="CP37" s="664" t="s">
        <v>447</v>
      </c>
      <c r="CQ37" s="663" t="s">
        <v>459</v>
      </c>
      <c r="CR37" s="664" t="s">
        <v>447</v>
      </c>
      <c r="CS37" s="663" t="s">
        <v>459</v>
      </c>
      <c r="CT37" s="664" t="s">
        <v>448</v>
      </c>
      <c r="CU37" s="663" t="s">
        <v>458</v>
      </c>
      <c r="CV37" s="664" t="s">
        <v>447</v>
      </c>
      <c r="CW37" s="663" t="s">
        <v>458</v>
      </c>
      <c r="CX37" s="664" t="s">
        <v>447</v>
      </c>
      <c r="CY37" s="663" t="s">
        <v>459</v>
      </c>
      <c r="CZ37" s="664" t="s">
        <v>447</v>
      </c>
      <c r="DA37" s="663" t="s">
        <v>458</v>
      </c>
      <c r="DB37" s="664" t="s">
        <v>448</v>
      </c>
      <c r="DC37" s="663" t="s">
        <v>459</v>
      </c>
      <c r="DD37" s="664" t="s">
        <v>448</v>
      </c>
      <c r="DE37" s="665" t="s">
        <v>458</v>
      </c>
      <c r="DF37" s="723"/>
      <c r="DG37" s="853" t="s">
        <v>454</v>
      </c>
      <c r="DH37" s="854"/>
      <c r="DI37" s="855" t="s">
        <v>455</v>
      </c>
      <c r="DJ37" s="856"/>
      <c r="DK37" s="857" t="s">
        <v>456</v>
      </c>
      <c r="DL37" s="858"/>
      <c r="DM37" s="662" t="s">
        <v>447</v>
      </c>
      <c r="DN37" s="663" t="s">
        <v>457</v>
      </c>
      <c r="DO37" s="664" t="s">
        <v>447</v>
      </c>
      <c r="DP37" s="663" t="s">
        <v>458</v>
      </c>
      <c r="DQ37" s="664" t="s">
        <v>448</v>
      </c>
      <c r="DR37" s="663" t="s">
        <v>458</v>
      </c>
      <c r="DS37" s="664" t="s">
        <v>448</v>
      </c>
      <c r="DT37" s="663" t="s">
        <v>458</v>
      </c>
      <c r="DU37" s="664" t="s">
        <v>447</v>
      </c>
      <c r="DV37" s="663" t="s">
        <v>458</v>
      </c>
      <c r="DW37" s="664" t="s">
        <v>447</v>
      </c>
      <c r="DX37" s="663" t="s">
        <v>458</v>
      </c>
      <c r="DY37" s="664" t="s">
        <v>447</v>
      </c>
      <c r="DZ37" s="663" t="s">
        <v>458</v>
      </c>
      <c r="EA37" s="664" t="s">
        <v>447</v>
      </c>
      <c r="EB37" s="663" t="s">
        <v>458</v>
      </c>
      <c r="EC37" s="664" t="s">
        <v>448</v>
      </c>
      <c r="ED37" s="663" t="s">
        <v>459</v>
      </c>
      <c r="EE37" s="664" t="s">
        <v>447</v>
      </c>
      <c r="EF37" s="663" t="s">
        <v>459</v>
      </c>
      <c r="EG37" s="664" t="s">
        <v>447</v>
      </c>
      <c r="EH37" s="663" t="s">
        <v>459</v>
      </c>
      <c r="EI37" s="664" t="s">
        <v>447</v>
      </c>
      <c r="EJ37" s="663" t="s">
        <v>458</v>
      </c>
      <c r="EK37" s="664" t="s">
        <v>448</v>
      </c>
      <c r="EL37" s="663" t="s">
        <v>459</v>
      </c>
      <c r="EM37" s="664" t="s">
        <v>447</v>
      </c>
      <c r="EN37" s="663" t="s">
        <v>458</v>
      </c>
      <c r="EO37" s="664" t="s">
        <v>448</v>
      </c>
      <c r="EP37" s="663" t="s">
        <v>459</v>
      </c>
      <c r="EQ37" s="664" t="s">
        <v>447</v>
      </c>
      <c r="ER37" s="663" t="s">
        <v>459</v>
      </c>
      <c r="ES37" s="664" t="s">
        <v>447</v>
      </c>
      <c r="ET37" s="663" t="s">
        <v>458</v>
      </c>
      <c r="EU37" s="664" t="s">
        <v>448</v>
      </c>
      <c r="EV37" s="663" t="s">
        <v>459</v>
      </c>
      <c r="EW37" s="664" t="s">
        <v>448</v>
      </c>
      <c r="EX37" s="663" t="s">
        <v>459</v>
      </c>
      <c r="EY37" s="664" t="s">
        <v>447</v>
      </c>
      <c r="EZ37" s="663" t="s">
        <v>459</v>
      </c>
      <c r="FA37" s="664" t="s">
        <v>448</v>
      </c>
      <c r="FB37" s="663" t="s">
        <v>458</v>
      </c>
      <c r="FC37" s="664" t="s">
        <v>447</v>
      </c>
      <c r="FD37" s="663" t="s">
        <v>458</v>
      </c>
      <c r="FE37" s="664" t="s">
        <v>448</v>
      </c>
      <c r="FF37" s="663" t="s">
        <v>458</v>
      </c>
      <c r="FG37" s="664" t="s">
        <v>447</v>
      </c>
      <c r="FH37" s="665" t="s">
        <v>458</v>
      </c>
      <c r="FI37" s="746"/>
      <c r="FJ37" s="827" t="s">
        <v>454</v>
      </c>
      <c r="FK37" s="854"/>
      <c r="FL37" s="855" t="s">
        <v>455</v>
      </c>
      <c r="FM37" s="856"/>
      <c r="FN37" s="857" t="s">
        <v>461</v>
      </c>
      <c r="FO37" s="858"/>
      <c r="FP37" s="672"/>
      <c r="FQ37" s="859" t="s">
        <v>463</v>
      </c>
      <c r="FR37" s="663" t="s">
        <v>458</v>
      </c>
      <c r="FS37" s="674"/>
      <c r="FT37" s="859" t="s">
        <v>311</v>
      </c>
      <c r="FU37" s="675" t="s">
        <v>459</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464</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c r="FM38" s="865"/>
      <c r="FN38" s="866">
        <v>0</v>
      </c>
      <c r="FO38" s="867"/>
      <c r="FP38" s="685"/>
      <c r="FQ38" s="686"/>
      <c r="FR38" s="559">
        <v>0</v>
      </c>
      <c r="FS38" s="687"/>
      <c r="FT38" s="686"/>
      <c r="FU38" s="567">
        <v>0</v>
      </c>
      <c r="FV38" s="593"/>
      <c r="FW38" s="594"/>
      <c r="FX38" s="806"/>
      <c r="FY38" s="596"/>
      <c r="FZ38" s="807"/>
      <c r="GA38" s="598"/>
      <c r="GB38" s="808"/>
      <c r="GC38" s="600"/>
      <c r="GD38" s="808"/>
      <c r="GE38" s="601"/>
      <c r="GF38" s="688"/>
      <c r="GG38" s="602"/>
      <c r="GH38" s="602"/>
      <c r="GI38" s="602"/>
      <c r="GJ38" s="580"/>
      <c r="GK38" s="413" t="s">
        <v>569</v>
      </c>
      <c r="GL38" s="409"/>
      <c r="GM38" s="413"/>
      <c r="GN38" s="409"/>
      <c r="GO38" s="413"/>
      <c r="GP38" s="413"/>
      <c r="GQ38" s="413"/>
      <c r="GR38" s="413"/>
      <c r="GS38" s="580"/>
      <c r="GT38" s="861"/>
      <c r="GU38" s="872" t="s">
        <v>699</v>
      </c>
      <c r="GV38" s="873"/>
      <c r="GW38" s="873"/>
      <c r="GX38" s="873"/>
      <c r="GY38" s="873"/>
      <c r="GZ38" s="874"/>
      <c r="HA38" s="633">
        <v>40.480000000000004</v>
      </c>
      <c r="HB38" s="875">
        <v>13.23</v>
      </c>
      <c r="HC38" s="530"/>
      <c r="HD38" s="530"/>
      <c r="HE38" s="387"/>
      <c r="HF38" s="387"/>
      <c r="HK38" s="415"/>
    </row>
    <row r="39" spans="1:219" ht="20.100000000000001" customHeight="1">
      <c r="A39" s="832"/>
      <c r="B39" s="876" t="s">
        <v>671</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409"/>
      <c r="GK39" s="885"/>
      <c r="GL39" s="886"/>
      <c r="GM39" s="887" t="s">
        <v>570</v>
      </c>
      <c r="GN39" s="886"/>
      <c r="GO39" s="887" t="s">
        <v>592</v>
      </c>
      <c r="GP39" s="886"/>
      <c r="GQ39" s="887" t="s">
        <v>572</v>
      </c>
      <c r="GR39" s="888"/>
      <c r="GS39" s="413"/>
      <c r="GT39" s="689"/>
      <c r="GU39" s="530" t="s">
        <v>573</v>
      </c>
      <c r="GV39" s="530"/>
      <c r="GW39" s="530"/>
      <c r="GX39" s="530"/>
      <c r="GY39" s="530"/>
      <c r="GZ39" s="530"/>
      <c r="HA39" s="690">
        <v>3.06</v>
      </c>
      <c r="HB39" s="579"/>
      <c r="HC39" s="530"/>
      <c r="HD39" s="562"/>
    </row>
    <row r="40" spans="1:219" ht="20.100000000000001" customHeight="1">
      <c r="A40" s="889"/>
      <c r="B40" s="642"/>
      <c r="C40" s="642"/>
      <c r="D40" s="643" t="s">
        <v>466</v>
      </c>
      <c r="E40" s="642"/>
      <c r="F40" s="642"/>
      <c r="G40" s="845"/>
      <c r="H40" s="1294">
        <v>0</v>
      </c>
      <c r="I40" s="1295"/>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1296">
        <v>0</v>
      </c>
      <c r="BC40" s="648"/>
      <c r="BD40" s="889"/>
      <c r="BE40" s="642"/>
      <c r="BF40" s="642"/>
      <c r="BG40" s="643" t="s">
        <v>466</v>
      </c>
      <c r="BH40" s="642"/>
      <c r="BI40" s="642"/>
      <c r="BJ40" s="845"/>
      <c r="BK40" s="1294">
        <v>0</v>
      </c>
      <c r="BL40" s="1295"/>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1296">
        <v>0</v>
      </c>
      <c r="DF40" s="648"/>
      <c r="DG40" s="889"/>
      <c r="DH40" s="642"/>
      <c r="DI40" s="642"/>
      <c r="DJ40" s="643" t="s">
        <v>466</v>
      </c>
      <c r="DK40" s="642"/>
      <c r="DL40" s="642"/>
      <c r="DM40" s="845"/>
      <c r="DN40" s="1294">
        <v>0</v>
      </c>
      <c r="DO40" s="1295"/>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1296">
        <v>0</v>
      </c>
      <c r="FI40" s="649"/>
      <c r="FJ40" s="841"/>
      <c r="FK40" s="642"/>
      <c r="FL40" s="642"/>
      <c r="FM40" s="643" t="s">
        <v>466</v>
      </c>
      <c r="FN40" s="642"/>
      <c r="FO40" s="642"/>
      <c r="FP40" s="650"/>
      <c r="FQ40" s="1295"/>
      <c r="FR40" s="1294">
        <v>0</v>
      </c>
      <c r="FS40" s="1297"/>
      <c r="FT40" s="1295"/>
      <c r="FU40" s="1298">
        <v>0</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908</v>
      </c>
      <c r="GV40" s="530"/>
      <c r="GW40" s="530"/>
      <c r="GX40" s="530"/>
      <c r="GY40" s="530"/>
      <c r="GZ40" s="530"/>
      <c r="HA40" s="894">
        <v>55.1</v>
      </c>
      <c r="HB40" s="413"/>
      <c r="HC40" s="530"/>
      <c r="HD40" s="580"/>
      <c r="HK40" s="415"/>
    </row>
    <row r="41" spans="1:219" ht="20.100000000000001" customHeight="1">
      <c r="A41" s="862" t="s">
        <v>468</v>
      </c>
      <c r="B41" s="738"/>
      <c r="C41" s="895"/>
      <c r="D41" s="895"/>
      <c r="E41" s="895"/>
      <c r="F41" s="896"/>
      <c r="G41" s="740"/>
      <c r="H41" s="663" t="s">
        <v>430</v>
      </c>
      <c r="I41" s="741"/>
      <c r="J41" s="663" t="s">
        <v>430</v>
      </c>
      <c r="K41" s="742"/>
      <c r="L41" s="663" t="s">
        <v>428</v>
      </c>
      <c r="M41" s="742"/>
      <c r="N41" s="663" t="s">
        <v>428</v>
      </c>
      <c r="O41" s="742"/>
      <c r="P41" s="663" t="s">
        <v>428</v>
      </c>
      <c r="Q41" s="742"/>
      <c r="R41" s="663" t="s">
        <v>428</v>
      </c>
      <c r="S41" s="742"/>
      <c r="T41" s="663" t="s">
        <v>428</v>
      </c>
      <c r="U41" s="742"/>
      <c r="V41" s="663" t="s">
        <v>430</v>
      </c>
      <c r="W41" s="742"/>
      <c r="X41" s="663" t="s">
        <v>428</v>
      </c>
      <c r="Y41" s="742" t="s">
        <v>448</v>
      </c>
      <c r="Z41" s="663" t="s">
        <v>430</v>
      </c>
      <c r="AA41" s="742" t="s">
        <v>448</v>
      </c>
      <c r="AB41" s="663" t="s">
        <v>428</v>
      </c>
      <c r="AC41" s="742"/>
      <c r="AD41" s="663" t="s">
        <v>430</v>
      </c>
      <c r="AE41" s="742"/>
      <c r="AF41" s="663" t="s">
        <v>428</v>
      </c>
      <c r="AG41" s="742"/>
      <c r="AH41" s="663" t="s">
        <v>430</v>
      </c>
      <c r="AI41" s="742"/>
      <c r="AJ41" s="663" t="s">
        <v>428</v>
      </c>
      <c r="AK41" s="742"/>
      <c r="AL41" s="663" t="s">
        <v>428</v>
      </c>
      <c r="AM41" s="742"/>
      <c r="AN41" s="663" t="s">
        <v>428</v>
      </c>
      <c r="AO41" s="742"/>
      <c r="AP41" s="663" t="s">
        <v>428</v>
      </c>
      <c r="AQ41" s="742"/>
      <c r="AR41" s="663" t="s">
        <v>428</v>
      </c>
      <c r="AS41" s="742"/>
      <c r="AT41" s="663" t="s">
        <v>428</v>
      </c>
      <c r="AU41" s="742"/>
      <c r="AV41" s="663" t="s">
        <v>428</v>
      </c>
      <c r="AW41" s="742"/>
      <c r="AX41" s="663" t="s">
        <v>430</v>
      </c>
      <c r="AY41" s="742"/>
      <c r="AZ41" s="663" t="s">
        <v>428</v>
      </c>
      <c r="BA41" s="742"/>
      <c r="BB41" s="665" t="s">
        <v>428</v>
      </c>
      <c r="BC41" s="723"/>
      <c r="BD41" s="862" t="s">
        <v>468</v>
      </c>
      <c r="BE41" s="738"/>
      <c r="BF41" s="895"/>
      <c r="BG41" s="895"/>
      <c r="BH41" s="895"/>
      <c r="BI41" s="896"/>
      <c r="BJ41" s="740"/>
      <c r="BK41" s="663" t="s">
        <v>430</v>
      </c>
      <c r="BL41" s="741"/>
      <c r="BM41" s="663" t="s">
        <v>428</v>
      </c>
      <c r="BN41" s="742"/>
      <c r="BO41" s="663" t="s">
        <v>428</v>
      </c>
      <c r="BP41" s="742"/>
      <c r="BQ41" s="663" t="s">
        <v>430</v>
      </c>
      <c r="BR41" s="742"/>
      <c r="BS41" s="663" t="s">
        <v>428</v>
      </c>
      <c r="BT41" s="742"/>
      <c r="BU41" s="663" t="s">
        <v>428</v>
      </c>
      <c r="BV41" s="742"/>
      <c r="BW41" s="663" t="s">
        <v>428</v>
      </c>
      <c r="BX41" s="742"/>
      <c r="BY41" s="663" t="s">
        <v>428</v>
      </c>
      <c r="BZ41" s="742"/>
      <c r="CA41" s="663" t="s">
        <v>430</v>
      </c>
      <c r="CB41" s="742" t="s">
        <v>447</v>
      </c>
      <c r="CC41" s="663" t="s">
        <v>428</v>
      </c>
      <c r="CD41" s="742" t="s">
        <v>448</v>
      </c>
      <c r="CE41" s="663" t="s">
        <v>428</v>
      </c>
      <c r="CF41" s="742"/>
      <c r="CG41" s="663" t="s">
        <v>428</v>
      </c>
      <c r="CH41" s="742"/>
      <c r="CI41" s="663" t="s">
        <v>430</v>
      </c>
      <c r="CJ41" s="742"/>
      <c r="CK41" s="663" t="s">
        <v>428</v>
      </c>
      <c r="CL41" s="742"/>
      <c r="CM41" s="663" t="s">
        <v>430</v>
      </c>
      <c r="CN41" s="742"/>
      <c r="CO41" s="663" t="s">
        <v>428</v>
      </c>
      <c r="CP41" s="742"/>
      <c r="CQ41" s="663" t="s">
        <v>428</v>
      </c>
      <c r="CR41" s="742"/>
      <c r="CS41" s="663" t="s">
        <v>428</v>
      </c>
      <c r="CT41" s="742"/>
      <c r="CU41" s="663" t="s">
        <v>428</v>
      </c>
      <c r="CV41" s="742"/>
      <c r="CW41" s="663" t="s">
        <v>428</v>
      </c>
      <c r="CX41" s="742"/>
      <c r="CY41" s="663" t="s">
        <v>428</v>
      </c>
      <c r="CZ41" s="742"/>
      <c r="DA41" s="663" t="s">
        <v>428</v>
      </c>
      <c r="DB41" s="742"/>
      <c r="DC41" s="663" t="s">
        <v>430</v>
      </c>
      <c r="DD41" s="742"/>
      <c r="DE41" s="665" t="s">
        <v>428</v>
      </c>
      <c r="DF41" s="723"/>
      <c r="DG41" s="862" t="s">
        <v>467</v>
      </c>
      <c r="DH41" s="738"/>
      <c r="DI41" s="895"/>
      <c r="DJ41" s="895"/>
      <c r="DK41" s="895"/>
      <c r="DL41" s="896"/>
      <c r="DM41" s="740"/>
      <c r="DN41" s="663" t="s">
        <v>430</v>
      </c>
      <c r="DO41" s="741"/>
      <c r="DP41" s="663" t="s">
        <v>430</v>
      </c>
      <c r="DQ41" s="742"/>
      <c r="DR41" s="663" t="s">
        <v>428</v>
      </c>
      <c r="DS41" s="742"/>
      <c r="DT41" s="663" t="s">
        <v>428</v>
      </c>
      <c r="DU41" s="742"/>
      <c r="DV41" s="663" t="s">
        <v>428</v>
      </c>
      <c r="DW41" s="742"/>
      <c r="DX41" s="663" t="s">
        <v>428</v>
      </c>
      <c r="DY41" s="742"/>
      <c r="DZ41" s="663" t="s">
        <v>428</v>
      </c>
      <c r="EA41" s="742"/>
      <c r="EB41" s="663" t="s">
        <v>428</v>
      </c>
      <c r="EC41" s="742"/>
      <c r="ED41" s="663" t="s">
        <v>428</v>
      </c>
      <c r="EE41" s="742" t="s">
        <v>448</v>
      </c>
      <c r="EF41" s="663" t="s">
        <v>428</v>
      </c>
      <c r="EG41" s="742" t="s">
        <v>447</v>
      </c>
      <c r="EH41" s="663" t="s">
        <v>428</v>
      </c>
      <c r="EI41" s="742"/>
      <c r="EJ41" s="663" t="s">
        <v>428</v>
      </c>
      <c r="EK41" s="742"/>
      <c r="EL41" s="663" t="s">
        <v>428</v>
      </c>
      <c r="EM41" s="742"/>
      <c r="EN41" s="663" t="s">
        <v>430</v>
      </c>
      <c r="EO41" s="742"/>
      <c r="EP41" s="663" t="s">
        <v>428</v>
      </c>
      <c r="EQ41" s="742"/>
      <c r="ER41" s="663" t="s">
        <v>430</v>
      </c>
      <c r="ES41" s="742"/>
      <c r="ET41" s="663" t="s">
        <v>428</v>
      </c>
      <c r="EU41" s="742"/>
      <c r="EV41" s="663" t="s">
        <v>428</v>
      </c>
      <c r="EW41" s="742"/>
      <c r="EX41" s="663" t="s">
        <v>428</v>
      </c>
      <c r="EY41" s="742"/>
      <c r="EZ41" s="663" t="s">
        <v>428</v>
      </c>
      <c r="FA41" s="742"/>
      <c r="FB41" s="663" t="s">
        <v>428</v>
      </c>
      <c r="FC41" s="742"/>
      <c r="FD41" s="663" t="s">
        <v>428</v>
      </c>
      <c r="FE41" s="742"/>
      <c r="FF41" s="663" t="s">
        <v>428</v>
      </c>
      <c r="FG41" s="742"/>
      <c r="FH41" s="665" t="s">
        <v>430</v>
      </c>
      <c r="FI41" s="746"/>
      <c r="FJ41" s="827" t="s">
        <v>467</v>
      </c>
      <c r="FK41" s="743"/>
      <c r="FL41" s="897"/>
      <c r="FM41" s="897"/>
      <c r="FN41" s="897"/>
      <c r="FO41" s="898"/>
      <c r="FP41" s="747"/>
      <c r="FQ41" s="673"/>
      <c r="FR41" s="663" t="s">
        <v>451</v>
      </c>
      <c r="FS41" s="748"/>
      <c r="FT41" s="673"/>
      <c r="FU41" s="675" t="s">
        <v>434</v>
      </c>
      <c r="FV41" s="593"/>
      <c r="FW41" s="594"/>
      <c r="FX41" s="806"/>
      <c r="FY41" s="596"/>
      <c r="FZ41" s="807"/>
      <c r="GA41" s="598"/>
      <c r="GB41" s="808"/>
      <c r="GC41" s="600"/>
      <c r="GD41" s="808"/>
      <c r="GE41" s="601"/>
      <c r="GF41" s="749"/>
      <c r="GG41" s="750"/>
      <c r="GH41" s="750"/>
      <c r="GI41" s="750"/>
      <c r="GJ41" s="580"/>
      <c r="GK41" s="899" t="s">
        <v>574</v>
      </c>
      <c r="GL41" s="900"/>
      <c r="GM41" s="901" t="s">
        <v>838</v>
      </c>
      <c r="GN41" s="901"/>
      <c r="GO41" s="901" t="s">
        <v>576</v>
      </c>
      <c r="GP41" s="901"/>
      <c r="GQ41" s="901"/>
      <c r="GR41" s="902"/>
      <c r="GS41" s="861"/>
      <c r="GT41" s="689"/>
      <c r="GU41" s="530" t="s">
        <v>611</v>
      </c>
      <c r="GV41" s="530"/>
      <c r="GW41" s="530"/>
      <c r="GX41" s="530"/>
      <c r="GY41" s="530"/>
      <c r="GZ41" s="530"/>
      <c r="HA41" s="894">
        <v>38</v>
      </c>
      <c r="HB41" s="413"/>
      <c r="HC41" s="530"/>
      <c r="HD41" s="409"/>
    </row>
    <row r="42" spans="1:219" ht="20.100000000000001" customHeight="1">
      <c r="A42" s="832"/>
      <c r="B42" s="903" t="s">
        <v>470</v>
      </c>
      <c r="C42" s="904"/>
      <c r="D42" s="904"/>
      <c r="E42" s="905"/>
      <c r="F42" s="906"/>
      <c r="G42" s="836"/>
      <c r="H42" s="837"/>
      <c r="I42" s="838"/>
      <c r="J42" s="799"/>
      <c r="K42" s="839"/>
      <c r="L42" s="799"/>
      <c r="M42" s="839"/>
      <c r="N42" s="799"/>
      <c r="O42" s="839"/>
      <c r="P42" s="799"/>
      <c r="Q42" s="839"/>
      <c r="R42" s="799"/>
      <c r="S42" s="839"/>
      <c r="T42" s="799"/>
      <c r="U42" s="839"/>
      <c r="V42" s="799"/>
      <c r="W42" s="839"/>
      <c r="X42" s="799">
        <v>225</v>
      </c>
      <c r="Y42" s="839"/>
      <c r="Z42" s="799">
        <v>148</v>
      </c>
      <c r="AA42" s="839"/>
      <c r="AB42" s="799">
        <v>144</v>
      </c>
      <c r="AC42" s="839"/>
      <c r="AD42" s="799">
        <v>140</v>
      </c>
      <c r="AE42" s="839"/>
      <c r="AF42" s="799">
        <v>136</v>
      </c>
      <c r="AG42" s="839"/>
      <c r="AH42" s="799">
        <v>132</v>
      </c>
      <c r="AI42" s="839"/>
      <c r="AJ42" s="799">
        <v>130</v>
      </c>
      <c r="AK42" s="839"/>
      <c r="AL42" s="799">
        <v>127</v>
      </c>
      <c r="AM42" s="839"/>
      <c r="AN42" s="799">
        <v>123</v>
      </c>
      <c r="AO42" s="839"/>
      <c r="AP42" s="799">
        <v>122</v>
      </c>
      <c r="AQ42" s="839"/>
      <c r="AR42" s="799"/>
      <c r="AS42" s="839"/>
      <c r="AT42" s="799"/>
      <c r="AU42" s="839"/>
      <c r="AV42" s="799"/>
      <c r="AW42" s="839"/>
      <c r="AX42" s="799"/>
      <c r="AY42" s="839"/>
      <c r="AZ42" s="799"/>
      <c r="BA42" s="839"/>
      <c r="BB42" s="840"/>
      <c r="BC42" s="562"/>
      <c r="BD42" s="832"/>
      <c r="BE42" s="907" t="s">
        <v>470</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225</v>
      </c>
      <c r="CB42" s="839"/>
      <c r="CC42" s="799">
        <v>148</v>
      </c>
      <c r="CD42" s="839"/>
      <c r="CE42" s="799">
        <v>144</v>
      </c>
      <c r="CF42" s="839"/>
      <c r="CG42" s="799">
        <v>140</v>
      </c>
      <c r="CH42" s="839"/>
      <c r="CI42" s="799">
        <v>136</v>
      </c>
      <c r="CJ42" s="839"/>
      <c r="CK42" s="799">
        <v>132</v>
      </c>
      <c r="CL42" s="839"/>
      <c r="CM42" s="799">
        <v>130</v>
      </c>
      <c r="CN42" s="839"/>
      <c r="CO42" s="799">
        <v>127</v>
      </c>
      <c r="CP42" s="839"/>
      <c r="CQ42" s="799">
        <v>123</v>
      </c>
      <c r="CR42" s="839"/>
      <c r="CS42" s="799">
        <v>122</v>
      </c>
      <c r="CT42" s="839"/>
      <c r="CU42" s="799"/>
      <c r="CV42" s="839"/>
      <c r="CW42" s="799"/>
      <c r="CX42" s="839"/>
      <c r="CY42" s="799"/>
      <c r="CZ42" s="839"/>
      <c r="DA42" s="799"/>
      <c r="DB42" s="839"/>
      <c r="DC42" s="799"/>
      <c r="DD42" s="839"/>
      <c r="DE42" s="840"/>
      <c r="DF42" s="562"/>
      <c r="DG42" s="832"/>
      <c r="DH42" s="907" t="s">
        <v>470</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225</v>
      </c>
      <c r="EE42" s="839"/>
      <c r="EF42" s="799">
        <v>148</v>
      </c>
      <c r="EG42" s="839"/>
      <c r="EH42" s="799">
        <v>144</v>
      </c>
      <c r="EI42" s="839"/>
      <c r="EJ42" s="799">
        <v>140</v>
      </c>
      <c r="EK42" s="839"/>
      <c r="EL42" s="799">
        <v>136</v>
      </c>
      <c r="EM42" s="839"/>
      <c r="EN42" s="799">
        <v>132</v>
      </c>
      <c r="EO42" s="839"/>
      <c r="EP42" s="799">
        <v>130</v>
      </c>
      <c r="EQ42" s="839"/>
      <c r="ER42" s="799">
        <v>127</v>
      </c>
      <c r="ES42" s="839"/>
      <c r="ET42" s="799">
        <v>123</v>
      </c>
      <c r="EU42" s="839"/>
      <c r="EV42" s="799">
        <v>122</v>
      </c>
      <c r="EW42" s="839"/>
      <c r="EX42" s="799"/>
      <c r="EY42" s="839"/>
      <c r="EZ42" s="799"/>
      <c r="FA42" s="839"/>
      <c r="FB42" s="799"/>
      <c r="FC42" s="839"/>
      <c r="FD42" s="799"/>
      <c r="FE42" s="839"/>
      <c r="FF42" s="799"/>
      <c r="FG42" s="839"/>
      <c r="FH42" s="840"/>
      <c r="FI42" s="563"/>
      <c r="FJ42" s="841"/>
      <c r="FK42" s="907" t="s">
        <v>469</v>
      </c>
      <c r="FL42" s="904"/>
      <c r="FM42" s="904"/>
      <c r="FN42" s="905"/>
      <c r="FO42" s="906"/>
      <c r="FP42" s="842"/>
      <c r="FQ42" s="838"/>
      <c r="FR42" s="837">
        <v>721</v>
      </c>
      <c r="FS42" s="843"/>
      <c r="FT42" s="838"/>
      <c r="FU42" s="805">
        <v>721</v>
      </c>
      <c r="FV42" s="593"/>
      <c r="FW42" s="594"/>
      <c r="FX42" s="806"/>
      <c r="FY42" s="596"/>
      <c r="FZ42" s="807"/>
      <c r="GA42" s="598"/>
      <c r="GB42" s="808"/>
      <c r="GC42" s="600"/>
      <c r="GD42" s="808"/>
      <c r="GE42" s="601"/>
      <c r="GF42" s="844"/>
      <c r="GG42" s="602"/>
      <c r="GH42" s="602"/>
      <c r="GI42" s="602"/>
      <c r="GJ42" s="409"/>
      <c r="GK42" s="908"/>
      <c r="GL42" s="909"/>
      <c r="GM42" s="910">
        <v>7</v>
      </c>
      <c r="GN42" s="910"/>
      <c r="GO42" s="910">
        <v>10</v>
      </c>
      <c r="GP42" s="910"/>
      <c r="GQ42" s="910">
        <v>17</v>
      </c>
      <c r="GR42" s="911"/>
      <c r="GS42" s="580"/>
      <c r="GT42" s="500"/>
      <c r="GU42" s="500"/>
      <c r="GV42" s="500"/>
      <c r="GW42" s="579"/>
      <c r="GX42" s="579"/>
      <c r="GY42" s="579"/>
      <c r="GZ42" s="578"/>
      <c r="HA42" s="500"/>
      <c r="HB42" s="500"/>
      <c r="HC42" s="530"/>
      <c r="HD42" s="530"/>
    </row>
    <row r="43" spans="1:219" ht="20.100000000000001" customHeight="1">
      <c r="A43" s="832"/>
      <c r="B43" s="912" t="s">
        <v>471</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472</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472</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471</v>
      </c>
      <c r="FL43" s="913"/>
      <c r="FM43" s="913"/>
      <c r="FN43" s="913"/>
      <c r="FO43" s="914"/>
      <c r="FP43" s="696"/>
      <c r="FQ43" s="697"/>
      <c r="FR43" s="587">
        <v>0</v>
      </c>
      <c r="FS43" s="698"/>
      <c r="FT43" s="697"/>
      <c r="FU43" s="592">
        <v>0</v>
      </c>
      <c r="FV43" s="918"/>
      <c r="FW43" s="919"/>
      <c r="FX43" s="920"/>
      <c r="FY43" s="921"/>
      <c r="FZ43" s="922"/>
      <c r="GA43" s="923"/>
      <c r="GB43" s="924"/>
      <c r="GC43" s="925"/>
      <c r="GD43" s="924"/>
      <c r="GE43" s="926"/>
      <c r="GF43" s="688"/>
      <c r="GG43" s="602"/>
      <c r="GH43" s="602"/>
      <c r="GI43" s="602"/>
      <c r="GJ43" s="927"/>
      <c r="GK43" s="928" t="s">
        <v>721</v>
      </c>
      <c r="GL43" s="929"/>
      <c r="GM43" s="930" t="s">
        <v>839</v>
      </c>
      <c r="GN43" s="930"/>
      <c r="GO43" s="930" t="s">
        <v>578</v>
      </c>
      <c r="GP43" s="930"/>
      <c r="GQ43" s="930"/>
      <c r="GR43" s="931"/>
      <c r="GS43" s="580"/>
      <c r="GT43" s="609"/>
      <c r="GU43" s="530" t="s">
        <v>722</v>
      </c>
      <c r="GV43" s="413"/>
      <c r="GW43" s="409"/>
      <c r="GX43" s="413"/>
      <c r="GY43" s="413"/>
      <c r="GZ43" s="413"/>
      <c r="HA43" s="409"/>
      <c r="HB43" s="413"/>
      <c r="HC43" s="932"/>
      <c r="HD43" s="415"/>
    </row>
    <row r="44" spans="1:219" ht="20.100000000000001" customHeight="1" thickBot="1">
      <c r="A44" s="933"/>
      <c r="B44" s="642"/>
      <c r="C44" s="642"/>
      <c r="D44" s="643" t="s">
        <v>330</v>
      </c>
      <c r="E44" s="642"/>
      <c r="F44" s="642"/>
      <c r="G44" s="845"/>
      <c r="H44" s="1294">
        <v>0</v>
      </c>
      <c r="I44" s="1295"/>
      <c r="J44" s="848">
        <v>0</v>
      </c>
      <c r="K44" s="849"/>
      <c r="L44" s="848">
        <v>0</v>
      </c>
      <c r="M44" s="849"/>
      <c r="N44" s="848">
        <v>0</v>
      </c>
      <c r="O44" s="849"/>
      <c r="P44" s="848">
        <v>0</v>
      </c>
      <c r="Q44" s="849"/>
      <c r="R44" s="848">
        <v>0</v>
      </c>
      <c r="S44" s="849"/>
      <c r="T44" s="848">
        <v>0</v>
      </c>
      <c r="U44" s="849"/>
      <c r="V44" s="848">
        <v>0</v>
      </c>
      <c r="W44" s="849"/>
      <c r="X44" s="848">
        <v>225</v>
      </c>
      <c r="Y44" s="849"/>
      <c r="Z44" s="848">
        <v>148</v>
      </c>
      <c r="AA44" s="849"/>
      <c r="AB44" s="848">
        <v>144</v>
      </c>
      <c r="AC44" s="849"/>
      <c r="AD44" s="848">
        <v>140</v>
      </c>
      <c r="AE44" s="849"/>
      <c r="AF44" s="848">
        <v>136</v>
      </c>
      <c r="AG44" s="849"/>
      <c r="AH44" s="848">
        <v>132</v>
      </c>
      <c r="AI44" s="849"/>
      <c r="AJ44" s="848">
        <v>130</v>
      </c>
      <c r="AK44" s="849"/>
      <c r="AL44" s="848">
        <v>127</v>
      </c>
      <c r="AM44" s="849"/>
      <c r="AN44" s="848">
        <v>123</v>
      </c>
      <c r="AO44" s="849"/>
      <c r="AP44" s="848">
        <v>122</v>
      </c>
      <c r="AQ44" s="849"/>
      <c r="AR44" s="848">
        <v>0</v>
      </c>
      <c r="AS44" s="849"/>
      <c r="AT44" s="848">
        <v>0</v>
      </c>
      <c r="AU44" s="849"/>
      <c r="AV44" s="848">
        <v>0</v>
      </c>
      <c r="AW44" s="849"/>
      <c r="AX44" s="848">
        <v>0</v>
      </c>
      <c r="AY44" s="849"/>
      <c r="AZ44" s="848">
        <v>0</v>
      </c>
      <c r="BA44" s="849"/>
      <c r="BB44" s="1296">
        <v>0</v>
      </c>
      <c r="BC44" s="648"/>
      <c r="BD44" s="933"/>
      <c r="BE44" s="642"/>
      <c r="BF44" s="642"/>
      <c r="BG44" s="643" t="s">
        <v>672</v>
      </c>
      <c r="BH44" s="642"/>
      <c r="BI44" s="642"/>
      <c r="BJ44" s="845"/>
      <c r="BK44" s="1294">
        <v>0</v>
      </c>
      <c r="BL44" s="1295"/>
      <c r="BM44" s="848">
        <v>0</v>
      </c>
      <c r="BN44" s="849"/>
      <c r="BO44" s="848">
        <v>0</v>
      </c>
      <c r="BP44" s="849"/>
      <c r="BQ44" s="848">
        <v>0</v>
      </c>
      <c r="BR44" s="849"/>
      <c r="BS44" s="848">
        <v>0</v>
      </c>
      <c r="BT44" s="849"/>
      <c r="BU44" s="848">
        <v>0</v>
      </c>
      <c r="BV44" s="849"/>
      <c r="BW44" s="848">
        <v>0</v>
      </c>
      <c r="BX44" s="849"/>
      <c r="BY44" s="848">
        <v>0</v>
      </c>
      <c r="BZ44" s="849"/>
      <c r="CA44" s="848">
        <v>225</v>
      </c>
      <c r="CB44" s="849"/>
      <c r="CC44" s="848">
        <v>148</v>
      </c>
      <c r="CD44" s="849"/>
      <c r="CE44" s="848">
        <v>144</v>
      </c>
      <c r="CF44" s="849"/>
      <c r="CG44" s="848">
        <v>140</v>
      </c>
      <c r="CH44" s="849"/>
      <c r="CI44" s="848">
        <v>136</v>
      </c>
      <c r="CJ44" s="849"/>
      <c r="CK44" s="848">
        <v>132</v>
      </c>
      <c r="CL44" s="849"/>
      <c r="CM44" s="848">
        <v>130</v>
      </c>
      <c r="CN44" s="849"/>
      <c r="CO44" s="848">
        <v>127</v>
      </c>
      <c r="CP44" s="849"/>
      <c r="CQ44" s="848">
        <v>123</v>
      </c>
      <c r="CR44" s="849"/>
      <c r="CS44" s="848">
        <v>122</v>
      </c>
      <c r="CT44" s="849"/>
      <c r="CU44" s="848">
        <v>0</v>
      </c>
      <c r="CV44" s="849"/>
      <c r="CW44" s="848">
        <v>0</v>
      </c>
      <c r="CX44" s="849"/>
      <c r="CY44" s="848">
        <v>0</v>
      </c>
      <c r="CZ44" s="849"/>
      <c r="DA44" s="848">
        <v>0</v>
      </c>
      <c r="DB44" s="849"/>
      <c r="DC44" s="848">
        <v>0</v>
      </c>
      <c r="DD44" s="849"/>
      <c r="DE44" s="1296">
        <v>0</v>
      </c>
      <c r="DF44" s="648"/>
      <c r="DG44" s="933"/>
      <c r="DH44" s="642"/>
      <c r="DI44" s="642"/>
      <c r="DJ44" s="643" t="s">
        <v>672</v>
      </c>
      <c r="DK44" s="642"/>
      <c r="DL44" s="642"/>
      <c r="DM44" s="845"/>
      <c r="DN44" s="1294">
        <v>0</v>
      </c>
      <c r="DO44" s="1295"/>
      <c r="DP44" s="848">
        <v>0</v>
      </c>
      <c r="DQ44" s="849"/>
      <c r="DR44" s="848">
        <v>0</v>
      </c>
      <c r="DS44" s="849"/>
      <c r="DT44" s="848">
        <v>0</v>
      </c>
      <c r="DU44" s="849"/>
      <c r="DV44" s="848">
        <v>0</v>
      </c>
      <c r="DW44" s="849"/>
      <c r="DX44" s="848">
        <v>0</v>
      </c>
      <c r="DY44" s="849"/>
      <c r="DZ44" s="848">
        <v>0</v>
      </c>
      <c r="EA44" s="849"/>
      <c r="EB44" s="848">
        <v>0</v>
      </c>
      <c r="EC44" s="849"/>
      <c r="ED44" s="848">
        <v>225</v>
      </c>
      <c r="EE44" s="849"/>
      <c r="EF44" s="848">
        <v>148</v>
      </c>
      <c r="EG44" s="849"/>
      <c r="EH44" s="848">
        <v>144</v>
      </c>
      <c r="EI44" s="849"/>
      <c r="EJ44" s="848">
        <v>140</v>
      </c>
      <c r="EK44" s="849"/>
      <c r="EL44" s="848">
        <v>136</v>
      </c>
      <c r="EM44" s="849"/>
      <c r="EN44" s="848">
        <v>132</v>
      </c>
      <c r="EO44" s="849"/>
      <c r="EP44" s="848">
        <v>130</v>
      </c>
      <c r="EQ44" s="849"/>
      <c r="ER44" s="848">
        <v>127</v>
      </c>
      <c r="ES44" s="849"/>
      <c r="ET44" s="848">
        <v>123</v>
      </c>
      <c r="EU44" s="849"/>
      <c r="EV44" s="848">
        <v>122</v>
      </c>
      <c r="EW44" s="849"/>
      <c r="EX44" s="848">
        <v>0</v>
      </c>
      <c r="EY44" s="849"/>
      <c r="EZ44" s="848">
        <v>0</v>
      </c>
      <c r="FA44" s="849"/>
      <c r="FB44" s="848">
        <v>0</v>
      </c>
      <c r="FC44" s="849"/>
      <c r="FD44" s="848">
        <v>0</v>
      </c>
      <c r="FE44" s="849"/>
      <c r="FF44" s="848">
        <v>0</v>
      </c>
      <c r="FG44" s="849"/>
      <c r="FH44" s="1296">
        <v>0</v>
      </c>
      <c r="FI44" s="649"/>
      <c r="FJ44" s="934"/>
      <c r="FK44" s="642"/>
      <c r="FL44" s="642"/>
      <c r="FM44" s="643" t="s">
        <v>672</v>
      </c>
      <c r="FN44" s="642"/>
      <c r="FO44" s="642"/>
      <c r="FP44" s="650"/>
      <c r="FQ44" s="1295"/>
      <c r="FR44" s="1294">
        <v>721</v>
      </c>
      <c r="FS44" s="1297"/>
      <c r="FT44" s="1295"/>
      <c r="FU44" s="1298">
        <v>721</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4.5999999999999996</v>
      </c>
      <c r="GN44" s="935"/>
      <c r="GO44" s="935">
        <v>7</v>
      </c>
      <c r="GP44" s="935"/>
      <c r="GQ44" s="910">
        <v>11.6</v>
      </c>
      <c r="GR44" s="911"/>
      <c r="GS44" s="936"/>
      <c r="GT44" s="937"/>
      <c r="GU44" s="530" t="s">
        <v>723</v>
      </c>
      <c r="GV44" s="615"/>
      <c r="GW44" s="615"/>
      <c r="GX44" s="615"/>
      <c r="GY44" s="413"/>
      <c r="GZ44" s="413"/>
      <c r="HA44" s="751">
        <v>1.5</v>
      </c>
      <c r="HB44" s="413" t="s">
        <v>707</v>
      </c>
      <c r="HC44" s="938"/>
      <c r="HD44" s="415"/>
    </row>
    <row r="45" spans="1:219" ht="20.100000000000001" customHeight="1" thickTop="1">
      <c r="A45" s="939" t="s">
        <v>476</v>
      </c>
      <c r="B45" s="940"/>
      <c r="C45" s="940"/>
      <c r="D45" s="940"/>
      <c r="E45" s="940"/>
      <c r="F45" s="941"/>
      <c r="G45" s="942"/>
      <c r="H45" s="943">
        <v>0</v>
      </c>
      <c r="I45" s="944"/>
      <c r="J45" s="943">
        <v>0</v>
      </c>
      <c r="K45" s="944"/>
      <c r="L45" s="943">
        <v>0</v>
      </c>
      <c r="M45" s="944"/>
      <c r="N45" s="943">
        <v>0</v>
      </c>
      <c r="O45" s="944"/>
      <c r="P45" s="943">
        <v>0</v>
      </c>
      <c r="Q45" s="944"/>
      <c r="R45" s="943">
        <v>0</v>
      </c>
      <c r="S45" s="944"/>
      <c r="T45" s="943">
        <v>0</v>
      </c>
      <c r="U45" s="944"/>
      <c r="V45" s="943">
        <v>0</v>
      </c>
      <c r="W45" s="944"/>
      <c r="X45" s="943">
        <v>644</v>
      </c>
      <c r="Y45" s="944"/>
      <c r="Z45" s="943">
        <v>604</v>
      </c>
      <c r="AA45" s="944"/>
      <c r="AB45" s="943">
        <v>632</v>
      </c>
      <c r="AC45" s="944"/>
      <c r="AD45" s="943">
        <v>641</v>
      </c>
      <c r="AE45" s="944"/>
      <c r="AF45" s="943">
        <v>651</v>
      </c>
      <c r="AG45" s="944"/>
      <c r="AH45" s="943">
        <v>651</v>
      </c>
      <c r="AI45" s="944"/>
      <c r="AJ45" s="943">
        <v>631</v>
      </c>
      <c r="AK45" s="944"/>
      <c r="AL45" s="943">
        <v>620</v>
      </c>
      <c r="AM45" s="944"/>
      <c r="AN45" s="943">
        <v>653</v>
      </c>
      <c r="AO45" s="944"/>
      <c r="AP45" s="943">
        <v>633</v>
      </c>
      <c r="AQ45" s="944"/>
      <c r="AR45" s="943">
        <v>0</v>
      </c>
      <c r="AS45" s="944"/>
      <c r="AT45" s="943">
        <v>0</v>
      </c>
      <c r="AU45" s="944"/>
      <c r="AV45" s="943">
        <v>0</v>
      </c>
      <c r="AW45" s="944"/>
      <c r="AX45" s="943">
        <v>0</v>
      </c>
      <c r="AY45" s="944"/>
      <c r="AZ45" s="943">
        <v>0</v>
      </c>
      <c r="BA45" s="944"/>
      <c r="BB45" s="945">
        <v>0</v>
      </c>
      <c r="BC45" s="648"/>
      <c r="BD45" s="939" t="s">
        <v>673</v>
      </c>
      <c r="BE45" s="940"/>
      <c r="BF45" s="940"/>
      <c r="BG45" s="940"/>
      <c r="BH45" s="940"/>
      <c r="BI45" s="941"/>
      <c r="BJ45" s="942"/>
      <c r="BK45" s="943">
        <v>0</v>
      </c>
      <c r="BL45" s="944"/>
      <c r="BM45" s="943">
        <v>0</v>
      </c>
      <c r="BN45" s="944"/>
      <c r="BO45" s="943">
        <v>0</v>
      </c>
      <c r="BP45" s="944"/>
      <c r="BQ45" s="943">
        <v>0</v>
      </c>
      <c r="BR45" s="944"/>
      <c r="BS45" s="943">
        <v>0</v>
      </c>
      <c r="BT45" s="944"/>
      <c r="BU45" s="943">
        <v>0</v>
      </c>
      <c r="BV45" s="944"/>
      <c r="BW45" s="943">
        <v>0</v>
      </c>
      <c r="BX45" s="944"/>
      <c r="BY45" s="943">
        <v>0</v>
      </c>
      <c r="BZ45" s="944"/>
      <c r="CA45" s="943">
        <v>634</v>
      </c>
      <c r="CB45" s="944"/>
      <c r="CC45" s="943">
        <v>590</v>
      </c>
      <c r="CD45" s="944"/>
      <c r="CE45" s="943">
        <v>620</v>
      </c>
      <c r="CF45" s="944"/>
      <c r="CG45" s="943">
        <v>629</v>
      </c>
      <c r="CH45" s="944"/>
      <c r="CI45" s="943">
        <v>636</v>
      </c>
      <c r="CJ45" s="944"/>
      <c r="CK45" s="943">
        <v>627</v>
      </c>
      <c r="CL45" s="944"/>
      <c r="CM45" s="943">
        <v>617</v>
      </c>
      <c r="CN45" s="944"/>
      <c r="CO45" s="943">
        <v>599</v>
      </c>
      <c r="CP45" s="944"/>
      <c r="CQ45" s="943">
        <v>654</v>
      </c>
      <c r="CR45" s="944"/>
      <c r="CS45" s="943">
        <v>624</v>
      </c>
      <c r="CT45" s="944"/>
      <c r="CU45" s="943">
        <v>0</v>
      </c>
      <c r="CV45" s="944"/>
      <c r="CW45" s="943">
        <v>0</v>
      </c>
      <c r="CX45" s="944"/>
      <c r="CY45" s="943">
        <v>0</v>
      </c>
      <c r="CZ45" s="944"/>
      <c r="DA45" s="943">
        <v>0</v>
      </c>
      <c r="DB45" s="944"/>
      <c r="DC45" s="943">
        <v>0</v>
      </c>
      <c r="DD45" s="944"/>
      <c r="DE45" s="945">
        <v>0</v>
      </c>
      <c r="DF45" s="648"/>
      <c r="DG45" s="939" t="s">
        <v>476</v>
      </c>
      <c r="DH45" s="940"/>
      <c r="DI45" s="940"/>
      <c r="DJ45" s="940"/>
      <c r="DK45" s="940"/>
      <c r="DL45" s="941"/>
      <c r="DM45" s="942"/>
      <c r="DN45" s="943">
        <v>0</v>
      </c>
      <c r="DO45" s="944"/>
      <c r="DP45" s="943">
        <v>0</v>
      </c>
      <c r="DQ45" s="944"/>
      <c r="DR45" s="943">
        <v>0</v>
      </c>
      <c r="DS45" s="944"/>
      <c r="DT45" s="943">
        <v>0</v>
      </c>
      <c r="DU45" s="944"/>
      <c r="DV45" s="943">
        <v>0</v>
      </c>
      <c r="DW45" s="944"/>
      <c r="DX45" s="943">
        <v>0</v>
      </c>
      <c r="DY45" s="944"/>
      <c r="DZ45" s="943">
        <v>0</v>
      </c>
      <c r="EA45" s="944"/>
      <c r="EB45" s="943">
        <v>0</v>
      </c>
      <c r="EC45" s="944"/>
      <c r="ED45" s="943">
        <v>545</v>
      </c>
      <c r="EE45" s="944"/>
      <c r="EF45" s="943">
        <v>511</v>
      </c>
      <c r="EG45" s="944"/>
      <c r="EH45" s="943">
        <v>542</v>
      </c>
      <c r="EI45" s="944"/>
      <c r="EJ45" s="943">
        <v>560</v>
      </c>
      <c r="EK45" s="944"/>
      <c r="EL45" s="943">
        <v>562</v>
      </c>
      <c r="EM45" s="944"/>
      <c r="EN45" s="943">
        <v>551</v>
      </c>
      <c r="EO45" s="944"/>
      <c r="EP45" s="943">
        <v>544</v>
      </c>
      <c r="EQ45" s="944"/>
      <c r="ER45" s="943">
        <v>538</v>
      </c>
      <c r="ES45" s="944"/>
      <c r="ET45" s="943">
        <v>573</v>
      </c>
      <c r="EU45" s="944"/>
      <c r="EV45" s="943">
        <v>544</v>
      </c>
      <c r="EW45" s="944"/>
      <c r="EX45" s="943">
        <v>0</v>
      </c>
      <c r="EY45" s="944"/>
      <c r="EZ45" s="943">
        <v>0</v>
      </c>
      <c r="FA45" s="944"/>
      <c r="FB45" s="943">
        <v>0</v>
      </c>
      <c r="FC45" s="944"/>
      <c r="FD45" s="943">
        <v>0</v>
      </c>
      <c r="FE45" s="944"/>
      <c r="FF45" s="943">
        <v>0</v>
      </c>
      <c r="FG45" s="944"/>
      <c r="FH45" s="945">
        <v>0</v>
      </c>
      <c r="FI45" s="648"/>
      <c r="FJ45" s="939" t="s">
        <v>476</v>
      </c>
      <c r="FK45" s="940"/>
      <c r="FL45" s="940"/>
      <c r="FM45" s="940"/>
      <c r="FN45" s="940"/>
      <c r="FO45" s="941"/>
      <c r="FP45" s="946"/>
      <c r="FQ45" s="947"/>
      <c r="FR45" s="943">
        <v>1408</v>
      </c>
      <c r="FS45" s="948"/>
      <c r="FT45" s="947"/>
      <c r="FU45" s="949">
        <v>1425</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580</v>
      </c>
      <c r="GV45" s="413"/>
      <c r="GW45" s="413"/>
      <c r="GX45" s="413"/>
      <c r="GY45" s="530"/>
      <c r="GZ45" s="733"/>
      <c r="HA45" s="751">
        <v>19</v>
      </c>
      <c r="HB45" s="413" t="s">
        <v>707</v>
      </c>
      <c r="HC45" s="938"/>
      <c r="HD45" s="415"/>
    </row>
    <row r="46" spans="1:219" ht="20.100000000000001" customHeight="1">
      <c r="A46" s="954" t="s">
        <v>674</v>
      </c>
      <c r="B46" s="955"/>
      <c r="C46" s="955"/>
      <c r="D46" s="955"/>
      <c r="E46" s="955"/>
      <c r="F46" s="956"/>
      <c r="G46" s="957" t="s">
        <v>477</v>
      </c>
      <c r="H46" s="958"/>
      <c r="I46" s="1287" t="s">
        <v>477</v>
      </c>
      <c r="J46" s="958"/>
      <c r="K46" s="1287" t="s">
        <v>477</v>
      </c>
      <c r="L46" s="958"/>
      <c r="M46" s="1287" t="s">
        <v>477</v>
      </c>
      <c r="N46" s="958"/>
      <c r="O46" s="1287" t="s">
        <v>477</v>
      </c>
      <c r="P46" s="958"/>
      <c r="Q46" s="1287" t="s">
        <v>477</v>
      </c>
      <c r="R46" s="958"/>
      <c r="S46" s="1287" t="s">
        <v>477</v>
      </c>
      <c r="T46" s="958"/>
      <c r="U46" s="1287" t="s">
        <v>477</v>
      </c>
      <c r="V46" s="958"/>
      <c r="W46" s="1287" t="s">
        <v>477</v>
      </c>
      <c r="X46" s="958"/>
      <c r="Y46" s="1287" t="s">
        <v>477</v>
      </c>
      <c r="Z46" s="958"/>
      <c r="AA46" s="1287" t="s">
        <v>477</v>
      </c>
      <c r="AB46" s="958"/>
      <c r="AC46" s="1287" t="s">
        <v>477</v>
      </c>
      <c r="AD46" s="958"/>
      <c r="AE46" s="1287" t="s">
        <v>477</v>
      </c>
      <c r="AF46" s="958"/>
      <c r="AG46" s="1287" t="s">
        <v>477</v>
      </c>
      <c r="AH46" s="958"/>
      <c r="AI46" s="1287" t="s">
        <v>477</v>
      </c>
      <c r="AJ46" s="958"/>
      <c r="AK46" s="1287" t="s">
        <v>477</v>
      </c>
      <c r="AL46" s="958"/>
      <c r="AM46" s="1287" t="s">
        <v>477</v>
      </c>
      <c r="AN46" s="958"/>
      <c r="AO46" s="1287" t="s">
        <v>477</v>
      </c>
      <c r="AP46" s="958"/>
      <c r="AQ46" s="1287" t="s">
        <v>477</v>
      </c>
      <c r="AR46" s="958"/>
      <c r="AS46" s="1287" t="s">
        <v>477</v>
      </c>
      <c r="AT46" s="958"/>
      <c r="AU46" s="1287" t="s">
        <v>477</v>
      </c>
      <c r="AV46" s="958"/>
      <c r="AW46" s="1287" t="s">
        <v>477</v>
      </c>
      <c r="AX46" s="958"/>
      <c r="AY46" s="1287" t="s">
        <v>477</v>
      </c>
      <c r="AZ46" s="960"/>
      <c r="BA46" s="961" t="s">
        <v>477</v>
      </c>
      <c r="BB46" s="962"/>
      <c r="BC46" s="963"/>
      <c r="BD46" s="954" t="s">
        <v>877</v>
      </c>
      <c r="BE46" s="955"/>
      <c r="BF46" s="955"/>
      <c r="BG46" s="955"/>
      <c r="BH46" s="955"/>
      <c r="BI46" s="956"/>
      <c r="BJ46" s="957" t="s">
        <v>477</v>
      </c>
      <c r="BK46" s="958"/>
      <c r="BL46" s="1287" t="s">
        <v>477</v>
      </c>
      <c r="BM46" s="958"/>
      <c r="BN46" s="1287" t="s">
        <v>477</v>
      </c>
      <c r="BO46" s="958"/>
      <c r="BP46" s="1287" t="s">
        <v>477</v>
      </c>
      <c r="BQ46" s="958"/>
      <c r="BR46" s="1287" t="s">
        <v>477</v>
      </c>
      <c r="BS46" s="958"/>
      <c r="BT46" s="1287" t="s">
        <v>477</v>
      </c>
      <c r="BU46" s="958"/>
      <c r="BV46" s="1287" t="s">
        <v>477</v>
      </c>
      <c r="BW46" s="958"/>
      <c r="BX46" s="1287" t="s">
        <v>477</v>
      </c>
      <c r="BY46" s="958"/>
      <c r="BZ46" s="1287" t="s">
        <v>477</v>
      </c>
      <c r="CA46" s="958"/>
      <c r="CB46" s="1287" t="s">
        <v>477</v>
      </c>
      <c r="CC46" s="958"/>
      <c r="CD46" s="1287" t="s">
        <v>477</v>
      </c>
      <c r="CE46" s="958"/>
      <c r="CF46" s="1287" t="s">
        <v>477</v>
      </c>
      <c r="CG46" s="958"/>
      <c r="CH46" s="1287" t="s">
        <v>477</v>
      </c>
      <c r="CI46" s="958"/>
      <c r="CJ46" s="1287" t="s">
        <v>477</v>
      </c>
      <c r="CK46" s="958"/>
      <c r="CL46" s="1287" t="s">
        <v>477</v>
      </c>
      <c r="CM46" s="958"/>
      <c r="CN46" s="1287" t="s">
        <v>477</v>
      </c>
      <c r="CO46" s="958"/>
      <c r="CP46" s="1287" t="s">
        <v>477</v>
      </c>
      <c r="CQ46" s="958"/>
      <c r="CR46" s="1287" t="s">
        <v>477</v>
      </c>
      <c r="CS46" s="958"/>
      <c r="CT46" s="1287" t="s">
        <v>477</v>
      </c>
      <c r="CU46" s="958"/>
      <c r="CV46" s="1287" t="s">
        <v>477</v>
      </c>
      <c r="CW46" s="958"/>
      <c r="CX46" s="1287" t="s">
        <v>477</v>
      </c>
      <c r="CY46" s="958"/>
      <c r="CZ46" s="1287" t="s">
        <v>477</v>
      </c>
      <c r="DA46" s="958"/>
      <c r="DB46" s="1287" t="s">
        <v>477</v>
      </c>
      <c r="DC46" s="960"/>
      <c r="DD46" s="961" t="s">
        <v>477</v>
      </c>
      <c r="DE46" s="962"/>
      <c r="DF46" s="963"/>
      <c r="DG46" s="954" t="s">
        <v>877</v>
      </c>
      <c r="DH46" s="955"/>
      <c r="DI46" s="955"/>
      <c r="DJ46" s="955"/>
      <c r="DK46" s="955"/>
      <c r="DL46" s="956"/>
      <c r="DM46" s="957" t="s">
        <v>477</v>
      </c>
      <c r="DN46" s="958"/>
      <c r="DO46" s="1287" t="s">
        <v>477</v>
      </c>
      <c r="DP46" s="958"/>
      <c r="DQ46" s="1287" t="s">
        <v>477</v>
      </c>
      <c r="DR46" s="958"/>
      <c r="DS46" s="1287" t="s">
        <v>477</v>
      </c>
      <c r="DT46" s="958"/>
      <c r="DU46" s="1287" t="s">
        <v>477</v>
      </c>
      <c r="DV46" s="958"/>
      <c r="DW46" s="1287" t="s">
        <v>477</v>
      </c>
      <c r="DX46" s="958"/>
      <c r="DY46" s="1287" t="s">
        <v>477</v>
      </c>
      <c r="DZ46" s="958"/>
      <c r="EA46" s="1287" t="s">
        <v>477</v>
      </c>
      <c r="EB46" s="958"/>
      <c r="EC46" s="1287" t="s">
        <v>477</v>
      </c>
      <c r="ED46" s="958"/>
      <c r="EE46" s="1287" t="s">
        <v>477</v>
      </c>
      <c r="EF46" s="958"/>
      <c r="EG46" s="1287" t="s">
        <v>477</v>
      </c>
      <c r="EH46" s="958"/>
      <c r="EI46" s="1287" t="s">
        <v>477</v>
      </c>
      <c r="EJ46" s="958"/>
      <c r="EK46" s="1287" t="s">
        <v>477</v>
      </c>
      <c r="EL46" s="958"/>
      <c r="EM46" s="1287" t="s">
        <v>477</v>
      </c>
      <c r="EN46" s="958"/>
      <c r="EO46" s="1287" t="s">
        <v>477</v>
      </c>
      <c r="EP46" s="958"/>
      <c r="EQ46" s="1287" t="s">
        <v>477</v>
      </c>
      <c r="ER46" s="958"/>
      <c r="ES46" s="1287" t="s">
        <v>477</v>
      </c>
      <c r="ET46" s="958"/>
      <c r="EU46" s="1287" t="s">
        <v>477</v>
      </c>
      <c r="EV46" s="958"/>
      <c r="EW46" s="1287" t="s">
        <v>477</v>
      </c>
      <c r="EX46" s="958"/>
      <c r="EY46" s="1287" t="s">
        <v>477</v>
      </c>
      <c r="EZ46" s="958"/>
      <c r="FA46" s="1287" t="s">
        <v>477</v>
      </c>
      <c r="FB46" s="958"/>
      <c r="FC46" s="1287" t="s">
        <v>477</v>
      </c>
      <c r="FD46" s="958"/>
      <c r="FE46" s="1287" t="s">
        <v>477</v>
      </c>
      <c r="FF46" s="960"/>
      <c r="FG46" s="961" t="s">
        <v>477</v>
      </c>
      <c r="FH46" s="962"/>
      <c r="FI46" s="963"/>
      <c r="FJ46" s="954" t="s">
        <v>675</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t="s">
        <v>584</v>
      </c>
      <c r="GL46" s="413"/>
      <c r="GM46" s="750"/>
      <c r="GN46" s="750"/>
      <c r="GO46" s="750"/>
      <c r="GP46" s="750"/>
      <c r="GQ46" s="750"/>
      <c r="GR46" s="861"/>
      <c r="GS46" s="580"/>
      <c r="GT46" s="763"/>
      <c r="GU46" s="774" t="s">
        <v>582</v>
      </c>
      <c r="GV46" s="774"/>
      <c r="GW46" s="774"/>
      <c r="GX46" s="774"/>
      <c r="GY46" s="615"/>
      <c r="GZ46" s="775"/>
      <c r="HA46" s="751">
        <v>17.5</v>
      </c>
      <c r="HB46" s="413" t="s">
        <v>707</v>
      </c>
      <c r="HC46" s="938"/>
      <c r="HD46" s="415"/>
    </row>
    <row r="47" spans="1:219" ht="20.100000000000001" customHeight="1" thickBot="1">
      <c r="A47" s="970" t="s">
        <v>768</v>
      </c>
      <c r="B47" s="971"/>
      <c r="C47" s="971"/>
      <c r="D47" s="972"/>
      <c r="E47" s="973"/>
      <c r="F47" s="973"/>
      <c r="G47" s="974"/>
      <c r="H47" s="975">
        <v>0</v>
      </c>
      <c r="I47" s="976"/>
      <c r="J47" s="975">
        <v>0</v>
      </c>
      <c r="K47" s="976"/>
      <c r="L47" s="975">
        <v>0</v>
      </c>
      <c r="M47" s="976"/>
      <c r="N47" s="975">
        <v>0</v>
      </c>
      <c r="O47" s="976"/>
      <c r="P47" s="975">
        <v>0</v>
      </c>
      <c r="Q47" s="976"/>
      <c r="R47" s="975">
        <v>0</v>
      </c>
      <c r="S47" s="976"/>
      <c r="T47" s="975">
        <v>0</v>
      </c>
      <c r="U47" s="976"/>
      <c r="V47" s="975">
        <v>0</v>
      </c>
      <c r="W47" s="976"/>
      <c r="X47" s="975">
        <v>676</v>
      </c>
      <c r="Y47" s="976"/>
      <c r="Z47" s="975">
        <v>634</v>
      </c>
      <c r="AA47" s="976"/>
      <c r="AB47" s="975">
        <v>664</v>
      </c>
      <c r="AC47" s="976"/>
      <c r="AD47" s="975">
        <v>673</v>
      </c>
      <c r="AE47" s="976"/>
      <c r="AF47" s="975">
        <v>684</v>
      </c>
      <c r="AG47" s="976"/>
      <c r="AH47" s="975">
        <v>684</v>
      </c>
      <c r="AI47" s="976"/>
      <c r="AJ47" s="975">
        <v>663</v>
      </c>
      <c r="AK47" s="976"/>
      <c r="AL47" s="975">
        <v>651</v>
      </c>
      <c r="AM47" s="976"/>
      <c r="AN47" s="975">
        <v>686</v>
      </c>
      <c r="AO47" s="976"/>
      <c r="AP47" s="975">
        <v>665</v>
      </c>
      <c r="AQ47" s="976"/>
      <c r="AR47" s="975">
        <v>0</v>
      </c>
      <c r="AS47" s="976"/>
      <c r="AT47" s="975">
        <v>0</v>
      </c>
      <c r="AU47" s="976"/>
      <c r="AV47" s="975">
        <v>0</v>
      </c>
      <c r="AW47" s="976"/>
      <c r="AX47" s="975">
        <v>0</v>
      </c>
      <c r="AY47" s="977"/>
      <c r="AZ47" s="978">
        <v>0</v>
      </c>
      <c r="BA47" s="979"/>
      <c r="BB47" s="980">
        <v>0</v>
      </c>
      <c r="BC47" s="981"/>
      <c r="BD47" s="970" t="s">
        <v>768</v>
      </c>
      <c r="BE47" s="971"/>
      <c r="BF47" s="971"/>
      <c r="BG47" s="972"/>
      <c r="BH47" s="973"/>
      <c r="BI47" s="973"/>
      <c r="BJ47" s="974"/>
      <c r="BK47" s="975">
        <v>0</v>
      </c>
      <c r="BL47" s="976"/>
      <c r="BM47" s="975">
        <v>0</v>
      </c>
      <c r="BN47" s="976"/>
      <c r="BO47" s="975">
        <v>0</v>
      </c>
      <c r="BP47" s="976"/>
      <c r="BQ47" s="975">
        <v>0</v>
      </c>
      <c r="BR47" s="976"/>
      <c r="BS47" s="975">
        <v>0</v>
      </c>
      <c r="BT47" s="976"/>
      <c r="BU47" s="975">
        <v>0</v>
      </c>
      <c r="BV47" s="976"/>
      <c r="BW47" s="975">
        <v>0</v>
      </c>
      <c r="BX47" s="976"/>
      <c r="BY47" s="975">
        <v>0</v>
      </c>
      <c r="BZ47" s="976"/>
      <c r="CA47" s="975">
        <v>666</v>
      </c>
      <c r="CB47" s="976"/>
      <c r="CC47" s="975">
        <v>620</v>
      </c>
      <c r="CD47" s="976"/>
      <c r="CE47" s="975">
        <v>651</v>
      </c>
      <c r="CF47" s="976"/>
      <c r="CG47" s="975">
        <v>660</v>
      </c>
      <c r="CH47" s="976"/>
      <c r="CI47" s="975">
        <v>668</v>
      </c>
      <c r="CJ47" s="976"/>
      <c r="CK47" s="975">
        <v>658</v>
      </c>
      <c r="CL47" s="976"/>
      <c r="CM47" s="975">
        <v>648</v>
      </c>
      <c r="CN47" s="976"/>
      <c r="CO47" s="975">
        <v>629</v>
      </c>
      <c r="CP47" s="976"/>
      <c r="CQ47" s="975">
        <v>687</v>
      </c>
      <c r="CR47" s="976"/>
      <c r="CS47" s="975">
        <v>655</v>
      </c>
      <c r="CT47" s="976"/>
      <c r="CU47" s="975">
        <v>0</v>
      </c>
      <c r="CV47" s="976"/>
      <c r="CW47" s="975">
        <v>0</v>
      </c>
      <c r="CX47" s="976"/>
      <c r="CY47" s="975">
        <v>0</v>
      </c>
      <c r="CZ47" s="976"/>
      <c r="DA47" s="975">
        <v>0</v>
      </c>
      <c r="DB47" s="977"/>
      <c r="DC47" s="978">
        <v>0</v>
      </c>
      <c r="DD47" s="979"/>
      <c r="DE47" s="980">
        <v>0</v>
      </c>
      <c r="DF47" s="981"/>
      <c r="DG47" s="970" t="s">
        <v>337</v>
      </c>
      <c r="DH47" s="971"/>
      <c r="DI47" s="971"/>
      <c r="DJ47" s="972"/>
      <c r="DK47" s="973"/>
      <c r="DL47" s="973"/>
      <c r="DM47" s="974"/>
      <c r="DN47" s="975">
        <v>0</v>
      </c>
      <c r="DO47" s="976"/>
      <c r="DP47" s="975">
        <v>0</v>
      </c>
      <c r="DQ47" s="976"/>
      <c r="DR47" s="975">
        <v>0</v>
      </c>
      <c r="DS47" s="976"/>
      <c r="DT47" s="975">
        <v>0</v>
      </c>
      <c r="DU47" s="976"/>
      <c r="DV47" s="975">
        <v>0</v>
      </c>
      <c r="DW47" s="976"/>
      <c r="DX47" s="975">
        <v>0</v>
      </c>
      <c r="DY47" s="976"/>
      <c r="DZ47" s="975">
        <v>0</v>
      </c>
      <c r="EA47" s="976"/>
      <c r="EB47" s="975">
        <v>0</v>
      </c>
      <c r="EC47" s="976"/>
      <c r="ED47" s="975">
        <v>572</v>
      </c>
      <c r="EE47" s="976"/>
      <c r="EF47" s="975">
        <v>537</v>
      </c>
      <c r="EG47" s="976"/>
      <c r="EH47" s="975">
        <v>569</v>
      </c>
      <c r="EI47" s="976"/>
      <c r="EJ47" s="975">
        <v>588</v>
      </c>
      <c r="EK47" s="976"/>
      <c r="EL47" s="975">
        <v>590</v>
      </c>
      <c r="EM47" s="976"/>
      <c r="EN47" s="975">
        <v>579</v>
      </c>
      <c r="EO47" s="976"/>
      <c r="EP47" s="975">
        <v>571</v>
      </c>
      <c r="EQ47" s="976"/>
      <c r="ER47" s="975">
        <v>565</v>
      </c>
      <c r="ES47" s="976"/>
      <c r="ET47" s="975">
        <v>602</v>
      </c>
      <c r="EU47" s="976"/>
      <c r="EV47" s="975">
        <v>571</v>
      </c>
      <c r="EW47" s="976"/>
      <c r="EX47" s="975">
        <v>0</v>
      </c>
      <c r="EY47" s="976"/>
      <c r="EZ47" s="975">
        <v>0</v>
      </c>
      <c r="FA47" s="976"/>
      <c r="FB47" s="975">
        <v>0</v>
      </c>
      <c r="FC47" s="976"/>
      <c r="FD47" s="975">
        <v>0</v>
      </c>
      <c r="FE47" s="977"/>
      <c r="FF47" s="978">
        <v>0</v>
      </c>
      <c r="FG47" s="979"/>
      <c r="FH47" s="980">
        <v>0</v>
      </c>
      <c r="FI47" s="981"/>
      <c r="FJ47" s="970" t="s">
        <v>337</v>
      </c>
      <c r="FK47" s="971"/>
      <c r="FL47" s="971"/>
      <c r="FM47" s="972"/>
      <c r="FN47" s="973"/>
      <c r="FO47" s="973"/>
      <c r="FP47" s="982"/>
      <c r="FQ47" s="983"/>
      <c r="FR47" s="975">
        <v>1408</v>
      </c>
      <c r="FS47" s="984"/>
      <c r="FT47" s="983"/>
      <c r="FU47" s="985">
        <v>1425</v>
      </c>
      <c r="FV47" s="986">
        <v>17</v>
      </c>
      <c r="FW47" s="975">
        <v>686</v>
      </c>
      <c r="FX47" s="987">
        <v>17</v>
      </c>
      <c r="FY47" s="975">
        <v>687</v>
      </c>
      <c r="FZ47" s="987">
        <v>17</v>
      </c>
      <c r="GA47" s="975">
        <v>602</v>
      </c>
      <c r="GB47" s="988" t="s">
        <v>366</v>
      </c>
      <c r="GC47" s="975">
        <v>686</v>
      </c>
      <c r="GD47" s="988" t="s">
        <v>815</v>
      </c>
      <c r="GE47" s="989">
        <v>1425</v>
      </c>
      <c r="GF47" s="688"/>
      <c r="GG47" s="990"/>
      <c r="GH47" s="990"/>
      <c r="GI47" s="990"/>
      <c r="GJ47" s="893"/>
      <c r="GK47" s="413" t="s">
        <v>840</v>
      </c>
      <c r="GL47" s="893"/>
      <c r="GM47" s="530"/>
      <c r="GN47" s="893"/>
      <c r="GO47" s="530"/>
      <c r="GP47" s="530"/>
      <c r="GQ47" s="530"/>
      <c r="GR47" s="893"/>
      <c r="GS47" s="530"/>
      <c r="GT47" s="763"/>
      <c r="GU47" s="774" t="s">
        <v>585</v>
      </c>
      <c r="GV47" s="774"/>
      <c r="GW47" s="774"/>
      <c r="GX47" s="774"/>
      <c r="GY47" s="530"/>
      <c r="GZ47" s="413"/>
      <c r="HA47" s="778">
        <v>-0.15</v>
      </c>
      <c r="HB47" s="413"/>
      <c r="HC47" s="981"/>
      <c r="HD47" s="415"/>
    </row>
    <row r="48" spans="1:219" ht="20.100000000000001" customHeight="1">
      <c r="A48" s="991" t="s">
        <v>482</v>
      </c>
      <c r="B48" s="992" t="s">
        <v>677</v>
      </c>
      <c r="C48" s="895"/>
      <c r="D48" s="825"/>
      <c r="E48" s="825"/>
      <c r="F48" s="826"/>
      <c r="G48" s="740" t="s">
        <v>678</v>
      </c>
      <c r="H48" s="663" t="s">
        <v>428</v>
      </c>
      <c r="I48" s="742" t="s">
        <v>484</v>
      </c>
      <c r="J48" s="993" t="s">
        <v>428</v>
      </c>
      <c r="K48" s="742" t="s">
        <v>678</v>
      </c>
      <c r="L48" s="993" t="s">
        <v>430</v>
      </c>
      <c r="M48" s="742" t="s">
        <v>484</v>
      </c>
      <c r="N48" s="993" t="s">
        <v>430</v>
      </c>
      <c r="O48" s="742" t="s">
        <v>484</v>
      </c>
      <c r="P48" s="993" t="s">
        <v>428</v>
      </c>
      <c r="Q48" s="742" t="s">
        <v>678</v>
      </c>
      <c r="R48" s="993" t="s">
        <v>430</v>
      </c>
      <c r="S48" s="742" t="s">
        <v>484</v>
      </c>
      <c r="T48" s="993" t="s">
        <v>430</v>
      </c>
      <c r="U48" s="742" t="s">
        <v>484</v>
      </c>
      <c r="V48" s="993" t="s">
        <v>428</v>
      </c>
      <c r="W48" s="742" t="s">
        <v>484</v>
      </c>
      <c r="X48" s="993" t="s">
        <v>430</v>
      </c>
      <c r="Y48" s="742" t="s">
        <v>678</v>
      </c>
      <c r="Z48" s="993" t="s">
        <v>430</v>
      </c>
      <c r="AA48" s="742" t="s">
        <v>484</v>
      </c>
      <c r="AB48" s="993" t="s">
        <v>428</v>
      </c>
      <c r="AC48" s="742" t="s">
        <v>678</v>
      </c>
      <c r="AD48" s="993" t="s">
        <v>430</v>
      </c>
      <c r="AE48" s="742" t="s">
        <v>678</v>
      </c>
      <c r="AF48" s="993" t="s">
        <v>428</v>
      </c>
      <c r="AG48" s="742" t="s">
        <v>484</v>
      </c>
      <c r="AH48" s="993" t="s">
        <v>428</v>
      </c>
      <c r="AI48" s="742" t="s">
        <v>678</v>
      </c>
      <c r="AJ48" s="993" t="s">
        <v>430</v>
      </c>
      <c r="AK48" s="742" t="s">
        <v>484</v>
      </c>
      <c r="AL48" s="993" t="s">
        <v>428</v>
      </c>
      <c r="AM48" s="742" t="s">
        <v>678</v>
      </c>
      <c r="AN48" s="993" t="s">
        <v>428</v>
      </c>
      <c r="AO48" s="742" t="s">
        <v>484</v>
      </c>
      <c r="AP48" s="993" t="s">
        <v>430</v>
      </c>
      <c r="AQ48" s="742" t="s">
        <v>678</v>
      </c>
      <c r="AR48" s="993" t="s">
        <v>430</v>
      </c>
      <c r="AS48" s="742" t="s">
        <v>678</v>
      </c>
      <c r="AT48" s="993" t="s">
        <v>430</v>
      </c>
      <c r="AU48" s="742" t="s">
        <v>678</v>
      </c>
      <c r="AV48" s="993" t="s">
        <v>430</v>
      </c>
      <c r="AW48" s="742" t="s">
        <v>678</v>
      </c>
      <c r="AX48" s="993" t="s">
        <v>428</v>
      </c>
      <c r="AY48" s="742" t="s">
        <v>484</v>
      </c>
      <c r="AZ48" s="994" t="s">
        <v>430</v>
      </c>
      <c r="BA48" s="995" t="s">
        <v>678</v>
      </c>
      <c r="BB48" s="996" t="s">
        <v>430</v>
      </c>
      <c r="BC48" s="932"/>
      <c r="BD48" s="991" t="s">
        <v>676</v>
      </c>
      <c r="BE48" s="992" t="s">
        <v>483</v>
      </c>
      <c r="BF48" s="895"/>
      <c r="BG48" s="825"/>
      <c r="BH48" s="825"/>
      <c r="BI48" s="826"/>
      <c r="BJ48" s="740" t="s">
        <v>678</v>
      </c>
      <c r="BK48" s="663" t="s">
        <v>428</v>
      </c>
      <c r="BL48" s="742" t="s">
        <v>678</v>
      </c>
      <c r="BM48" s="993" t="s">
        <v>430</v>
      </c>
      <c r="BN48" s="742" t="s">
        <v>484</v>
      </c>
      <c r="BO48" s="993" t="s">
        <v>428</v>
      </c>
      <c r="BP48" s="742" t="s">
        <v>678</v>
      </c>
      <c r="BQ48" s="993" t="s">
        <v>428</v>
      </c>
      <c r="BR48" s="742" t="s">
        <v>484</v>
      </c>
      <c r="BS48" s="993" t="s">
        <v>428</v>
      </c>
      <c r="BT48" s="742" t="s">
        <v>678</v>
      </c>
      <c r="BU48" s="993" t="s">
        <v>430</v>
      </c>
      <c r="BV48" s="742" t="s">
        <v>484</v>
      </c>
      <c r="BW48" s="993" t="s">
        <v>430</v>
      </c>
      <c r="BX48" s="742" t="s">
        <v>678</v>
      </c>
      <c r="BY48" s="993" t="s">
        <v>428</v>
      </c>
      <c r="BZ48" s="742" t="s">
        <v>484</v>
      </c>
      <c r="CA48" s="993" t="s">
        <v>430</v>
      </c>
      <c r="CB48" s="742" t="s">
        <v>678</v>
      </c>
      <c r="CC48" s="993" t="s">
        <v>428</v>
      </c>
      <c r="CD48" s="742" t="s">
        <v>484</v>
      </c>
      <c r="CE48" s="993" t="s">
        <v>430</v>
      </c>
      <c r="CF48" s="742" t="s">
        <v>484</v>
      </c>
      <c r="CG48" s="993" t="s">
        <v>430</v>
      </c>
      <c r="CH48" s="742" t="s">
        <v>484</v>
      </c>
      <c r="CI48" s="993" t="s">
        <v>428</v>
      </c>
      <c r="CJ48" s="742" t="s">
        <v>678</v>
      </c>
      <c r="CK48" s="993" t="s">
        <v>430</v>
      </c>
      <c r="CL48" s="742" t="s">
        <v>678</v>
      </c>
      <c r="CM48" s="993" t="s">
        <v>430</v>
      </c>
      <c r="CN48" s="742" t="s">
        <v>484</v>
      </c>
      <c r="CO48" s="993" t="s">
        <v>428</v>
      </c>
      <c r="CP48" s="742" t="s">
        <v>678</v>
      </c>
      <c r="CQ48" s="993" t="s">
        <v>430</v>
      </c>
      <c r="CR48" s="742" t="s">
        <v>678</v>
      </c>
      <c r="CS48" s="993" t="s">
        <v>428</v>
      </c>
      <c r="CT48" s="742" t="s">
        <v>484</v>
      </c>
      <c r="CU48" s="993" t="s">
        <v>428</v>
      </c>
      <c r="CV48" s="742" t="s">
        <v>678</v>
      </c>
      <c r="CW48" s="993" t="s">
        <v>430</v>
      </c>
      <c r="CX48" s="742" t="s">
        <v>484</v>
      </c>
      <c r="CY48" s="993" t="s">
        <v>428</v>
      </c>
      <c r="CZ48" s="742" t="s">
        <v>678</v>
      </c>
      <c r="DA48" s="993" t="s">
        <v>428</v>
      </c>
      <c r="DB48" s="742" t="s">
        <v>484</v>
      </c>
      <c r="DC48" s="994" t="s">
        <v>430</v>
      </c>
      <c r="DD48" s="995" t="s">
        <v>678</v>
      </c>
      <c r="DE48" s="996" t="s">
        <v>430</v>
      </c>
      <c r="DF48" s="932"/>
      <c r="DG48" s="991" t="s">
        <v>482</v>
      </c>
      <c r="DH48" s="992" t="s">
        <v>483</v>
      </c>
      <c r="DI48" s="895"/>
      <c r="DJ48" s="825"/>
      <c r="DK48" s="825"/>
      <c r="DL48" s="826"/>
      <c r="DM48" s="740" t="s">
        <v>484</v>
      </c>
      <c r="DN48" s="663" t="s">
        <v>430</v>
      </c>
      <c r="DO48" s="742" t="s">
        <v>678</v>
      </c>
      <c r="DP48" s="993" t="s">
        <v>430</v>
      </c>
      <c r="DQ48" s="742" t="s">
        <v>484</v>
      </c>
      <c r="DR48" s="993" t="s">
        <v>428</v>
      </c>
      <c r="DS48" s="742" t="s">
        <v>484</v>
      </c>
      <c r="DT48" s="993" t="s">
        <v>428</v>
      </c>
      <c r="DU48" s="742" t="s">
        <v>678</v>
      </c>
      <c r="DV48" s="993" t="s">
        <v>430</v>
      </c>
      <c r="DW48" s="742" t="s">
        <v>678</v>
      </c>
      <c r="DX48" s="993" t="s">
        <v>428</v>
      </c>
      <c r="DY48" s="742" t="s">
        <v>678</v>
      </c>
      <c r="DZ48" s="993" t="s">
        <v>428</v>
      </c>
      <c r="EA48" s="742" t="s">
        <v>484</v>
      </c>
      <c r="EB48" s="993" t="s">
        <v>428</v>
      </c>
      <c r="EC48" s="742" t="s">
        <v>678</v>
      </c>
      <c r="ED48" s="993" t="s">
        <v>430</v>
      </c>
      <c r="EE48" s="742" t="s">
        <v>678</v>
      </c>
      <c r="EF48" s="993" t="s">
        <v>428</v>
      </c>
      <c r="EG48" s="742" t="s">
        <v>678</v>
      </c>
      <c r="EH48" s="993" t="s">
        <v>430</v>
      </c>
      <c r="EI48" s="742" t="s">
        <v>678</v>
      </c>
      <c r="EJ48" s="993" t="s">
        <v>428</v>
      </c>
      <c r="EK48" s="742" t="s">
        <v>678</v>
      </c>
      <c r="EL48" s="993" t="s">
        <v>428</v>
      </c>
      <c r="EM48" s="742" t="s">
        <v>484</v>
      </c>
      <c r="EN48" s="993" t="s">
        <v>430</v>
      </c>
      <c r="EO48" s="742" t="s">
        <v>678</v>
      </c>
      <c r="EP48" s="993" t="s">
        <v>428</v>
      </c>
      <c r="EQ48" s="742" t="s">
        <v>484</v>
      </c>
      <c r="ER48" s="993" t="s">
        <v>430</v>
      </c>
      <c r="ES48" s="742" t="s">
        <v>484</v>
      </c>
      <c r="ET48" s="993" t="s">
        <v>430</v>
      </c>
      <c r="EU48" s="742" t="s">
        <v>484</v>
      </c>
      <c r="EV48" s="993" t="s">
        <v>428</v>
      </c>
      <c r="EW48" s="742" t="s">
        <v>678</v>
      </c>
      <c r="EX48" s="993" t="s">
        <v>430</v>
      </c>
      <c r="EY48" s="742" t="s">
        <v>678</v>
      </c>
      <c r="EZ48" s="993" t="s">
        <v>430</v>
      </c>
      <c r="FA48" s="742" t="s">
        <v>484</v>
      </c>
      <c r="FB48" s="993" t="s">
        <v>428</v>
      </c>
      <c r="FC48" s="742" t="s">
        <v>678</v>
      </c>
      <c r="FD48" s="993" t="s">
        <v>430</v>
      </c>
      <c r="FE48" s="742" t="s">
        <v>678</v>
      </c>
      <c r="FF48" s="994" t="s">
        <v>428</v>
      </c>
      <c r="FG48" s="995" t="s">
        <v>484</v>
      </c>
      <c r="FH48" s="996" t="s">
        <v>428</v>
      </c>
      <c r="FI48" s="932"/>
      <c r="FJ48" s="991" t="s">
        <v>482</v>
      </c>
      <c r="FK48" s="738" t="s">
        <v>483</v>
      </c>
      <c r="FL48" s="895"/>
      <c r="FM48" s="825"/>
      <c r="FN48" s="825"/>
      <c r="FO48" s="826"/>
      <c r="FP48" s="747" t="s">
        <v>433</v>
      </c>
      <c r="FQ48" s="673" t="s">
        <v>484</v>
      </c>
      <c r="FR48" s="663" t="s">
        <v>434</v>
      </c>
      <c r="FS48" s="997" t="s">
        <v>433</v>
      </c>
      <c r="FT48" s="673" t="s">
        <v>678</v>
      </c>
      <c r="FU48" s="998" t="s">
        <v>451</v>
      </c>
      <c r="FV48" s="999"/>
      <c r="FW48" s="993" t="s">
        <v>323</v>
      </c>
      <c r="FX48" s="997"/>
      <c r="FY48" s="993" t="s">
        <v>323</v>
      </c>
      <c r="FZ48" s="997"/>
      <c r="GA48" s="993" t="s">
        <v>323</v>
      </c>
      <c r="GB48" s="997"/>
      <c r="GC48" s="993" t="s">
        <v>323</v>
      </c>
      <c r="GD48" s="997"/>
      <c r="GE48" s="1000" t="s">
        <v>324</v>
      </c>
      <c r="GF48" s="688"/>
      <c r="GG48" s="655"/>
      <c r="GH48" s="655"/>
      <c r="GI48" s="655"/>
      <c r="GJ48" s="530"/>
      <c r="GK48" s="615" t="s">
        <v>841</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435</v>
      </c>
      <c r="C49" s="1002"/>
      <c r="D49" s="754">
        <v>66</v>
      </c>
      <c r="E49" s="755">
        <v>4</v>
      </c>
      <c r="F49" s="1003" t="s">
        <v>436</v>
      </c>
      <c r="G49" s="757"/>
      <c r="H49" s="559"/>
      <c r="I49" s="758"/>
      <c r="J49" s="559"/>
      <c r="K49" s="758"/>
      <c r="L49" s="559"/>
      <c r="M49" s="758"/>
      <c r="N49" s="559"/>
      <c r="O49" s="758"/>
      <c r="P49" s="559"/>
      <c r="Q49" s="758"/>
      <c r="R49" s="559"/>
      <c r="S49" s="758"/>
      <c r="T49" s="559"/>
      <c r="U49" s="758"/>
      <c r="V49" s="559"/>
      <c r="W49" s="758">
        <v>0.4</v>
      </c>
      <c r="X49" s="559">
        <v>106</v>
      </c>
      <c r="Y49" s="758">
        <v>0.4</v>
      </c>
      <c r="Z49" s="559">
        <v>106</v>
      </c>
      <c r="AA49" s="758">
        <v>0.4</v>
      </c>
      <c r="AB49" s="559">
        <v>106</v>
      </c>
      <c r="AC49" s="758">
        <v>0.4</v>
      </c>
      <c r="AD49" s="559">
        <v>106</v>
      </c>
      <c r="AE49" s="758">
        <v>0.4</v>
      </c>
      <c r="AF49" s="559">
        <v>106</v>
      </c>
      <c r="AG49" s="758">
        <v>0.4</v>
      </c>
      <c r="AH49" s="559">
        <v>106</v>
      </c>
      <c r="AI49" s="758">
        <v>0.4</v>
      </c>
      <c r="AJ49" s="559">
        <v>106</v>
      </c>
      <c r="AK49" s="758">
        <v>0.4</v>
      </c>
      <c r="AL49" s="559">
        <v>106</v>
      </c>
      <c r="AM49" s="758">
        <v>0.7</v>
      </c>
      <c r="AN49" s="559">
        <v>185</v>
      </c>
      <c r="AO49" s="758">
        <v>0.7</v>
      </c>
      <c r="AP49" s="559">
        <v>185</v>
      </c>
      <c r="AQ49" s="758"/>
      <c r="AR49" s="559"/>
      <c r="AS49" s="758"/>
      <c r="AT49" s="559"/>
      <c r="AU49" s="758"/>
      <c r="AV49" s="559"/>
      <c r="AW49" s="758"/>
      <c r="AX49" s="559"/>
      <c r="AY49" s="1004"/>
      <c r="AZ49" s="1005"/>
      <c r="BA49" s="1006"/>
      <c r="BB49" s="1007"/>
      <c r="BC49" s="938"/>
      <c r="BD49" s="1001"/>
      <c r="BE49" s="752" t="s">
        <v>437</v>
      </c>
      <c r="BF49" s="1002"/>
      <c r="BG49" s="754"/>
      <c r="BH49" s="755">
        <v>4</v>
      </c>
      <c r="BI49" s="1003" t="s">
        <v>436</v>
      </c>
      <c r="BJ49" s="757"/>
      <c r="BK49" s="559"/>
      <c r="BL49" s="758"/>
      <c r="BM49" s="559"/>
      <c r="BN49" s="758"/>
      <c r="BO49" s="559"/>
      <c r="BP49" s="758"/>
      <c r="BQ49" s="559"/>
      <c r="BR49" s="758"/>
      <c r="BS49" s="559"/>
      <c r="BT49" s="758"/>
      <c r="BU49" s="559"/>
      <c r="BV49" s="758"/>
      <c r="BW49" s="559"/>
      <c r="BX49" s="758"/>
      <c r="BY49" s="559"/>
      <c r="BZ49" s="758">
        <v>0.4</v>
      </c>
      <c r="CA49" s="559">
        <v>106</v>
      </c>
      <c r="CB49" s="758">
        <v>0.4</v>
      </c>
      <c r="CC49" s="559">
        <v>106</v>
      </c>
      <c r="CD49" s="758">
        <v>0.4</v>
      </c>
      <c r="CE49" s="559">
        <v>106</v>
      </c>
      <c r="CF49" s="758">
        <v>0.4</v>
      </c>
      <c r="CG49" s="559">
        <v>106</v>
      </c>
      <c r="CH49" s="758">
        <v>0.4</v>
      </c>
      <c r="CI49" s="559">
        <v>106</v>
      </c>
      <c r="CJ49" s="758">
        <v>0.4</v>
      </c>
      <c r="CK49" s="559">
        <v>106</v>
      </c>
      <c r="CL49" s="758">
        <v>0.4</v>
      </c>
      <c r="CM49" s="559">
        <v>106</v>
      </c>
      <c r="CN49" s="758">
        <v>0.4</v>
      </c>
      <c r="CO49" s="559">
        <v>106</v>
      </c>
      <c r="CP49" s="758">
        <v>0.7</v>
      </c>
      <c r="CQ49" s="559">
        <v>185</v>
      </c>
      <c r="CR49" s="758">
        <v>0.7</v>
      </c>
      <c r="CS49" s="559">
        <v>185</v>
      </c>
      <c r="CT49" s="758"/>
      <c r="CU49" s="559"/>
      <c r="CV49" s="758"/>
      <c r="CW49" s="559"/>
      <c r="CX49" s="758"/>
      <c r="CY49" s="559"/>
      <c r="CZ49" s="758"/>
      <c r="DA49" s="559"/>
      <c r="DB49" s="1004"/>
      <c r="DC49" s="1005"/>
      <c r="DD49" s="1006"/>
      <c r="DE49" s="1007"/>
      <c r="DF49" s="938"/>
      <c r="DG49" s="1001"/>
      <c r="DH49" s="752" t="s">
        <v>435</v>
      </c>
      <c r="DI49" s="1002"/>
      <c r="DJ49" s="754"/>
      <c r="DK49" s="755">
        <v>4</v>
      </c>
      <c r="DL49" s="1003" t="s">
        <v>436</v>
      </c>
      <c r="DM49" s="757"/>
      <c r="DN49" s="559"/>
      <c r="DO49" s="758"/>
      <c r="DP49" s="559"/>
      <c r="DQ49" s="758"/>
      <c r="DR49" s="559"/>
      <c r="DS49" s="758"/>
      <c r="DT49" s="559"/>
      <c r="DU49" s="758"/>
      <c r="DV49" s="559"/>
      <c r="DW49" s="758"/>
      <c r="DX49" s="559"/>
      <c r="DY49" s="758"/>
      <c r="DZ49" s="559"/>
      <c r="EA49" s="758"/>
      <c r="EB49" s="559"/>
      <c r="EC49" s="758">
        <v>0.4</v>
      </c>
      <c r="ED49" s="559">
        <v>106</v>
      </c>
      <c r="EE49" s="758">
        <v>0.4</v>
      </c>
      <c r="EF49" s="559">
        <v>106</v>
      </c>
      <c r="EG49" s="758">
        <v>0.4</v>
      </c>
      <c r="EH49" s="559">
        <v>106</v>
      </c>
      <c r="EI49" s="758">
        <v>0.4</v>
      </c>
      <c r="EJ49" s="559">
        <v>106</v>
      </c>
      <c r="EK49" s="758">
        <v>0.4</v>
      </c>
      <c r="EL49" s="559">
        <v>106</v>
      </c>
      <c r="EM49" s="758">
        <v>0.4</v>
      </c>
      <c r="EN49" s="559">
        <v>106</v>
      </c>
      <c r="EO49" s="758">
        <v>0.4</v>
      </c>
      <c r="EP49" s="559">
        <v>106</v>
      </c>
      <c r="EQ49" s="758">
        <v>0.4</v>
      </c>
      <c r="ER49" s="559">
        <v>106</v>
      </c>
      <c r="ES49" s="758">
        <v>0.7</v>
      </c>
      <c r="ET49" s="559">
        <v>185</v>
      </c>
      <c r="EU49" s="758">
        <v>0.7</v>
      </c>
      <c r="EV49" s="559">
        <v>185</v>
      </c>
      <c r="EW49" s="758"/>
      <c r="EX49" s="559"/>
      <c r="EY49" s="758"/>
      <c r="EZ49" s="559"/>
      <c r="FA49" s="758"/>
      <c r="FB49" s="559"/>
      <c r="FC49" s="758"/>
      <c r="FD49" s="559"/>
      <c r="FE49" s="1004"/>
      <c r="FF49" s="1005"/>
      <c r="FG49" s="1006"/>
      <c r="FH49" s="1007"/>
      <c r="FI49" s="938"/>
      <c r="FJ49" s="1001"/>
      <c r="FK49" s="752" t="s">
        <v>437</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842</v>
      </c>
      <c r="GL49" s="580"/>
      <c r="GM49" s="413"/>
      <c r="GN49" s="580"/>
      <c r="GO49" s="413"/>
      <c r="GP49" s="413"/>
      <c r="GQ49" s="413"/>
      <c r="GR49" s="580"/>
      <c r="GS49" s="530"/>
      <c r="GT49" s="861"/>
      <c r="GU49" s="530" t="s">
        <v>784</v>
      </c>
      <c r="GV49" s="615"/>
      <c r="GW49" s="530"/>
      <c r="GX49" s="615"/>
      <c r="GY49" s="530"/>
      <c r="GZ49" s="391"/>
      <c r="HA49" s="580"/>
      <c r="HB49" s="391"/>
      <c r="HC49" s="1017"/>
      <c r="HD49" s="415"/>
    </row>
    <row r="50" spans="1:212" ht="20.100000000000001" customHeight="1">
      <c r="A50" s="1001"/>
      <c r="B50" s="764" t="s">
        <v>446</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446</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446</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449</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843</v>
      </c>
      <c r="GL50" s="580"/>
      <c r="GM50" s="413"/>
      <c r="GN50" s="580"/>
      <c r="GO50" s="413"/>
      <c r="GP50" s="413"/>
      <c r="GQ50" s="413"/>
      <c r="GR50" s="580"/>
      <c r="GS50" s="953"/>
      <c r="GT50" s="937"/>
      <c r="GU50" s="580" t="s">
        <v>905</v>
      </c>
      <c r="GV50" s="580"/>
      <c r="GW50" s="580"/>
      <c r="GX50" s="580"/>
      <c r="GY50" s="615"/>
      <c r="GZ50" s="579"/>
      <c r="HA50" s="615">
        <v>26.8</v>
      </c>
      <c r="HB50" s="579" t="s">
        <v>705</v>
      </c>
      <c r="HC50" s="1038"/>
      <c r="HD50" s="415"/>
    </row>
    <row r="51" spans="1:212" ht="20.100000000000001" customHeight="1" thickBot="1">
      <c r="A51" s="1039"/>
      <c r="B51" s="466" t="s">
        <v>679</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506</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679</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506</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450</v>
      </c>
      <c r="GM51" s="1047" t="s">
        <v>906</v>
      </c>
      <c r="GN51" s="1048" t="s">
        <v>343</v>
      </c>
      <c r="GO51" s="1049" t="s">
        <v>788</v>
      </c>
      <c r="GP51" s="1049" t="s">
        <v>837</v>
      </c>
      <c r="GQ51" s="1050" t="s">
        <v>789</v>
      </c>
      <c r="GR51" s="733"/>
      <c r="GS51" s="953"/>
      <c r="GT51" s="763"/>
      <c r="GU51" s="580" t="s">
        <v>845</v>
      </c>
      <c r="GV51" s="580"/>
      <c r="GW51" s="580"/>
      <c r="GX51" s="580"/>
      <c r="GY51" s="413"/>
      <c r="GZ51" s="1051"/>
      <c r="HA51" s="615">
        <v>26.8</v>
      </c>
      <c r="HB51" s="579" t="s">
        <v>705</v>
      </c>
      <c r="HC51" s="1052"/>
      <c r="HD51" s="415"/>
    </row>
    <row r="52" spans="1:212" ht="20.100000000000001" customHeight="1" thickBot="1">
      <c r="A52" s="1053" t="s">
        <v>508</v>
      </c>
      <c r="B52" s="1054"/>
      <c r="C52" s="1055"/>
      <c r="D52" s="1055"/>
      <c r="E52" s="1056"/>
      <c r="F52" s="1055"/>
      <c r="G52" s="1057"/>
      <c r="H52" s="1058">
        <v>0</v>
      </c>
      <c r="I52" s="1059"/>
      <c r="J52" s="1058">
        <v>0</v>
      </c>
      <c r="K52" s="1059"/>
      <c r="L52" s="1058">
        <v>0</v>
      </c>
      <c r="M52" s="1059"/>
      <c r="N52" s="1058">
        <v>0</v>
      </c>
      <c r="O52" s="1059"/>
      <c r="P52" s="1058">
        <v>0</v>
      </c>
      <c r="Q52" s="1059"/>
      <c r="R52" s="1058">
        <v>0</v>
      </c>
      <c r="S52" s="1059"/>
      <c r="T52" s="1058">
        <v>0</v>
      </c>
      <c r="U52" s="1059"/>
      <c r="V52" s="1058">
        <v>0</v>
      </c>
      <c r="W52" s="1059"/>
      <c r="X52" s="1058">
        <v>106</v>
      </c>
      <c r="Y52" s="1059"/>
      <c r="Z52" s="1058">
        <v>106</v>
      </c>
      <c r="AA52" s="1059"/>
      <c r="AB52" s="1058">
        <v>106</v>
      </c>
      <c r="AC52" s="1059"/>
      <c r="AD52" s="1058">
        <v>106</v>
      </c>
      <c r="AE52" s="1059"/>
      <c r="AF52" s="1058">
        <v>106</v>
      </c>
      <c r="AG52" s="1059"/>
      <c r="AH52" s="1058">
        <v>106</v>
      </c>
      <c r="AI52" s="1059"/>
      <c r="AJ52" s="1058">
        <v>106</v>
      </c>
      <c r="AK52" s="1059"/>
      <c r="AL52" s="1058">
        <v>106</v>
      </c>
      <c r="AM52" s="1059"/>
      <c r="AN52" s="1058">
        <v>185</v>
      </c>
      <c r="AO52" s="1059"/>
      <c r="AP52" s="1058">
        <v>185</v>
      </c>
      <c r="AQ52" s="1059"/>
      <c r="AR52" s="1058">
        <v>0</v>
      </c>
      <c r="AS52" s="1059"/>
      <c r="AT52" s="1058">
        <v>0</v>
      </c>
      <c r="AU52" s="1059"/>
      <c r="AV52" s="1058">
        <v>0</v>
      </c>
      <c r="AW52" s="1059"/>
      <c r="AX52" s="1058">
        <v>0</v>
      </c>
      <c r="AY52" s="1060"/>
      <c r="AZ52" s="1061">
        <v>0</v>
      </c>
      <c r="BA52" s="1062"/>
      <c r="BB52" s="1063">
        <v>0</v>
      </c>
      <c r="BC52" s="981"/>
      <c r="BD52" s="1053" t="s">
        <v>680</v>
      </c>
      <c r="BE52" s="1054"/>
      <c r="BF52" s="1055"/>
      <c r="BG52" s="1055"/>
      <c r="BH52" s="1056"/>
      <c r="BI52" s="1055"/>
      <c r="BJ52" s="1057"/>
      <c r="BK52" s="1058">
        <v>0</v>
      </c>
      <c r="BL52" s="1059"/>
      <c r="BM52" s="1058">
        <v>0</v>
      </c>
      <c r="BN52" s="1059"/>
      <c r="BO52" s="1058">
        <v>0</v>
      </c>
      <c r="BP52" s="1059"/>
      <c r="BQ52" s="1058">
        <v>0</v>
      </c>
      <c r="BR52" s="1059"/>
      <c r="BS52" s="1058">
        <v>0</v>
      </c>
      <c r="BT52" s="1059"/>
      <c r="BU52" s="1058">
        <v>0</v>
      </c>
      <c r="BV52" s="1059"/>
      <c r="BW52" s="1058">
        <v>0</v>
      </c>
      <c r="BX52" s="1059"/>
      <c r="BY52" s="1058">
        <v>0</v>
      </c>
      <c r="BZ52" s="1059"/>
      <c r="CA52" s="1058">
        <v>106</v>
      </c>
      <c r="CB52" s="1059"/>
      <c r="CC52" s="1058">
        <v>106</v>
      </c>
      <c r="CD52" s="1059"/>
      <c r="CE52" s="1058">
        <v>106</v>
      </c>
      <c r="CF52" s="1059"/>
      <c r="CG52" s="1058">
        <v>106</v>
      </c>
      <c r="CH52" s="1059"/>
      <c r="CI52" s="1058">
        <v>106</v>
      </c>
      <c r="CJ52" s="1059"/>
      <c r="CK52" s="1058">
        <v>106</v>
      </c>
      <c r="CL52" s="1059"/>
      <c r="CM52" s="1058">
        <v>106</v>
      </c>
      <c r="CN52" s="1059"/>
      <c r="CO52" s="1058">
        <v>106</v>
      </c>
      <c r="CP52" s="1059"/>
      <c r="CQ52" s="1058">
        <v>185</v>
      </c>
      <c r="CR52" s="1059"/>
      <c r="CS52" s="1058">
        <v>185</v>
      </c>
      <c r="CT52" s="1059"/>
      <c r="CU52" s="1058">
        <v>0</v>
      </c>
      <c r="CV52" s="1059"/>
      <c r="CW52" s="1058">
        <v>0</v>
      </c>
      <c r="CX52" s="1059"/>
      <c r="CY52" s="1058">
        <v>0</v>
      </c>
      <c r="CZ52" s="1059"/>
      <c r="DA52" s="1058">
        <v>0</v>
      </c>
      <c r="DB52" s="1060"/>
      <c r="DC52" s="1061">
        <v>0</v>
      </c>
      <c r="DD52" s="1062"/>
      <c r="DE52" s="1063">
        <v>0</v>
      </c>
      <c r="DF52" s="981"/>
      <c r="DG52" s="1053" t="s">
        <v>508</v>
      </c>
      <c r="DH52" s="1054"/>
      <c r="DI52" s="1055"/>
      <c r="DJ52" s="1055"/>
      <c r="DK52" s="1056"/>
      <c r="DL52" s="1055"/>
      <c r="DM52" s="1057"/>
      <c r="DN52" s="1058">
        <v>0</v>
      </c>
      <c r="DO52" s="1059"/>
      <c r="DP52" s="1058">
        <v>0</v>
      </c>
      <c r="DQ52" s="1059"/>
      <c r="DR52" s="1058">
        <v>0</v>
      </c>
      <c r="DS52" s="1059"/>
      <c r="DT52" s="1058">
        <v>0</v>
      </c>
      <c r="DU52" s="1059"/>
      <c r="DV52" s="1058">
        <v>0</v>
      </c>
      <c r="DW52" s="1059"/>
      <c r="DX52" s="1058">
        <v>0</v>
      </c>
      <c r="DY52" s="1059"/>
      <c r="DZ52" s="1058">
        <v>0</v>
      </c>
      <c r="EA52" s="1059"/>
      <c r="EB52" s="1058">
        <v>0</v>
      </c>
      <c r="EC52" s="1059"/>
      <c r="ED52" s="1058">
        <v>106</v>
      </c>
      <c r="EE52" s="1059"/>
      <c r="EF52" s="1058">
        <v>106</v>
      </c>
      <c r="EG52" s="1059"/>
      <c r="EH52" s="1058">
        <v>106</v>
      </c>
      <c r="EI52" s="1059"/>
      <c r="EJ52" s="1058">
        <v>106</v>
      </c>
      <c r="EK52" s="1059"/>
      <c r="EL52" s="1058">
        <v>106</v>
      </c>
      <c r="EM52" s="1059"/>
      <c r="EN52" s="1058">
        <v>106</v>
      </c>
      <c r="EO52" s="1059"/>
      <c r="EP52" s="1058">
        <v>106</v>
      </c>
      <c r="EQ52" s="1059"/>
      <c r="ER52" s="1058">
        <v>106</v>
      </c>
      <c r="ES52" s="1059"/>
      <c r="ET52" s="1058">
        <v>185</v>
      </c>
      <c r="EU52" s="1059"/>
      <c r="EV52" s="1058">
        <v>185</v>
      </c>
      <c r="EW52" s="1059"/>
      <c r="EX52" s="1058">
        <v>0</v>
      </c>
      <c r="EY52" s="1059"/>
      <c r="EZ52" s="1058">
        <v>0</v>
      </c>
      <c r="FA52" s="1059"/>
      <c r="FB52" s="1058">
        <v>0</v>
      </c>
      <c r="FC52" s="1059"/>
      <c r="FD52" s="1058">
        <v>0</v>
      </c>
      <c r="FE52" s="1060"/>
      <c r="FF52" s="1061">
        <v>0</v>
      </c>
      <c r="FG52" s="1062"/>
      <c r="FH52" s="1063">
        <v>0</v>
      </c>
      <c r="FI52" s="981"/>
      <c r="FJ52" s="1053" t="s">
        <v>508</v>
      </c>
      <c r="FK52" s="1054"/>
      <c r="FL52" s="1055"/>
      <c r="FM52" s="1055"/>
      <c r="FN52" s="1056"/>
      <c r="FO52" s="1055"/>
      <c r="FP52" s="1064"/>
      <c r="FQ52" s="1065"/>
      <c r="FR52" s="1058">
        <v>0</v>
      </c>
      <c r="FS52" s="1066"/>
      <c r="FT52" s="1065"/>
      <c r="FU52" s="1067">
        <v>0</v>
      </c>
      <c r="FV52" s="1068">
        <v>17</v>
      </c>
      <c r="FW52" s="1069">
        <v>185</v>
      </c>
      <c r="FX52" s="1070">
        <v>17</v>
      </c>
      <c r="FY52" s="1069">
        <v>185</v>
      </c>
      <c r="FZ52" s="1070">
        <v>17</v>
      </c>
      <c r="GA52" s="1069">
        <v>185</v>
      </c>
      <c r="GB52" s="1071" t="s">
        <v>366</v>
      </c>
      <c r="GC52" s="1072">
        <v>185</v>
      </c>
      <c r="GD52" s="1071" t="s">
        <v>815</v>
      </c>
      <c r="GE52" s="1073">
        <v>0</v>
      </c>
      <c r="GF52" s="688"/>
      <c r="GG52" s="990"/>
      <c r="GH52" s="990"/>
      <c r="GI52" s="990"/>
      <c r="GJ52" s="936"/>
      <c r="GK52" s="733"/>
      <c r="GL52" s="1074"/>
      <c r="GM52" s="1075"/>
      <c r="GN52" s="1075"/>
      <c r="GO52" s="1076"/>
      <c r="GP52" s="1076"/>
      <c r="GQ52" s="1077"/>
      <c r="GR52" s="953"/>
      <c r="GS52" s="893"/>
      <c r="GT52" s="861"/>
      <c r="GU52" s="530" t="s">
        <v>566</v>
      </c>
      <c r="GV52" s="733"/>
      <c r="GW52" s="936"/>
      <c r="GX52" s="733"/>
      <c r="GY52" s="413"/>
      <c r="GZ52" s="1078"/>
      <c r="HA52" s="953"/>
      <c r="HB52" s="1078"/>
      <c r="HC52" s="562"/>
      <c r="HD52" s="415"/>
    </row>
    <row r="53" spans="1:212" ht="20.100000000000001" customHeight="1" thickTop="1">
      <c r="A53" s="1079" t="s">
        <v>681</v>
      </c>
      <c r="B53" s="1080"/>
      <c r="C53" s="1081"/>
      <c r="D53" s="1081"/>
      <c r="E53" s="1082"/>
      <c r="F53" s="1083"/>
      <c r="G53" s="1084"/>
      <c r="H53" s="1085">
        <v>0</v>
      </c>
      <c r="I53" s="1086"/>
      <c r="J53" s="1085">
        <v>0</v>
      </c>
      <c r="K53" s="1086"/>
      <c r="L53" s="1085">
        <v>0</v>
      </c>
      <c r="M53" s="1086"/>
      <c r="N53" s="1085">
        <v>0</v>
      </c>
      <c r="O53" s="1086"/>
      <c r="P53" s="1085">
        <v>0</v>
      </c>
      <c r="Q53" s="1086"/>
      <c r="R53" s="1085">
        <v>0</v>
      </c>
      <c r="S53" s="1086"/>
      <c r="T53" s="1085">
        <v>0</v>
      </c>
      <c r="U53" s="1086"/>
      <c r="V53" s="1085">
        <v>0</v>
      </c>
      <c r="W53" s="1086"/>
      <c r="X53" s="1085">
        <v>782</v>
      </c>
      <c r="Y53" s="1086"/>
      <c r="Z53" s="1085">
        <v>740</v>
      </c>
      <c r="AA53" s="1086"/>
      <c r="AB53" s="1085">
        <v>770</v>
      </c>
      <c r="AC53" s="1086"/>
      <c r="AD53" s="1085">
        <v>779</v>
      </c>
      <c r="AE53" s="1086"/>
      <c r="AF53" s="1085">
        <v>790</v>
      </c>
      <c r="AG53" s="1086"/>
      <c r="AH53" s="1085">
        <v>790</v>
      </c>
      <c r="AI53" s="1086"/>
      <c r="AJ53" s="1085">
        <v>769</v>
      </c>
      <c r="AK53" s="1086"/>
      <c r="AL53" s="1085">
        <v>757</v>
      </c>
      <c r="AM53" s="1086"/>
      <c r="AN53" s="1085">
        <v>871</v>
      </c>
      <c r="AO53" s="1086"/>
      <c r="AP53" s="1085">
        <v>850</v>
      </c>
      <c r="AQ53" s="1086"/>
      <c r="AR53" s="1085">
        <v>0</v>
      </c>
      <c r="AS53" s="1086"/>
      <c r="AT53" s="1085">
        <v>0</v>
      </c>
      <c r="AU53" s="1086"/>
      <c r="AV53" s="1085">
        <v>0</v>
      </c>
      <c r="AW53" s="1086"/>
      <c r="AX53" s="1085">
        <v>0</v>
      </c>
      <c r="AY53" s="1087"/>
      <c r="AZ53" s="1088">
        <v>0</v>
      </c>
      <c r="BA53" s="1089"/>
      <c r="BB53" s="1090">
        <v>0</v>
      </c>
      <c r="BC53" s="981"/>
      <c r="BD53" s="1079" t="s">
        <v>344</v>
      </c>
      <c r="BE53" s="1080"/>
      <c r="BF53" s="1081"/>
      <c r="BG53" s="1081"/>
      <c r="BH53" s="1082"/>
      <c r="BI53" s="1083"/>
      <c r="BJ53" s="1084"/>
      <c r="BK53" s="1085">
        <v>0</v>
      </c>
      <c r="BL53" s="1086"/>
      <c r="BM53" s="1085">
        <v>0</v>
      </c>
      <c r="BN53" s="1086"/>
      <c r="BO53" s="1085">
        <v>0</v>
      </c>
      <c r="BP53" s="1086"/>
      <c r="BQ53" s="1085">
        <v>0</v>
      </c>
      <c r="BR53" s="1086"/>
      <c r="BS53" s="1085">
        <v>0</v>
      </c>
      <c r="BT53" s="1086"/>
      <c r="BU53" s="1085">
        <v>0</v>
      </c>
      <c r="BV53" s="1086"/>
      <c r="BW53" s="1085">
        <v>0</v>
      </c>
      <c r="BX53" s="1086"/>
      <c r="BY53" s="1085">
        <v>0</v>
      </c>
      <c r="BZ53" s="1086"/>
      <c r="CA53" s="1085">
        <v>772</v>
      </c>
      <c r="CB53" s="1086"/>
      <c r="CC53" s="1085">
        <v>726</v>
      </c>
      <c r="CD53" s="1086"/>
      <c r="CE53" s="1085">
        <v>757</v>
      </c>
      <c r="CF53" s="1086"/>
      <c r="CG53" s="1085">
        <v>766</v>
      </c>
      <c r="CH53" s="1086"/>
      <c r="CI53" s="1085">
        <v>774</v>
      </c>
      <c r="CJ53" s="1086"/>
      <c r="CK53" s="1085">
        <v>764</v>
      </c>
      <c r="CL53" s="1086"/>
      <c r="CM53" s="1085">
        <v>754</v>
      </c>
      <c r="CN53" s="1086"/>
      <c r="CO53" s="1085">
        <v>735</v>
      </c>
      <c r="CP53" s="1086"/>
      <c r="CQ53" s="1085">
        <v>872</v>
      </c>
      <c r="CR53" s="1086"/>
      <c r="CS53" s="1085">
        <v>840</v>
      </c>
      <c r="CT53" s="1086"/>
      <c r="CU53" s="1085">
        <v>0</v>
      </c>
      <c r="CV53" s="1086"/>
      <c r="CW53" s="1085">
        <v>0</v>
      </c>
      <c r="CX53" s="1086"/>
      <c r="CY53" s="1085">
        <v>0</v>
      </c>
      <c r="CZ53" s="1086"/>
      <c r="DA53" s="1085">
        <v>0</v>
      </c>
      <c r="DB53" s="1087"/>
      <c r="DC53" s="1088">
        <v>0</v>
      </c>
      <c r="DD53" s="1089"/>
      <c r="DE53" s="1090">
        <v>0</v>
      </c>
      <c r="DF53" s="981"/>
      <c r="DG53" s="1079" t="s">
        <v>681</v>
      </c>
      <c r="DH53" s="1080"/>
      <c r="DI53" s="1081"/>
      <c r="DJ53" s="1081"/>
      <c r="DK53" s="1082"/>
      <c r="DL53" s="1083"/>
      <c r="DM53" s="1084"/>
      <c r="DN53" s="1085">
        <v>0</v>
      </c>
      <c r="DO53" s="1086"/>
      <c r="DP53" s="1085">
        <v>0</v>
      </c>
      <c r="DQ53" s="1086"/>
      <c r="DR53" s="1085">
        <v>0</v>
      </c>
      <c r="DS53" s="1086"/>
      <c r="DT53" s="1085">
        <v>0</v>
      </c>
      <c r="DU53" s="1086"/>
      <c r="DV53" s="1085">
        <v>0</v>
      </c>
      <c r="DW53" s="1086"/>
      <c r="DX53" s="1085">
        <v>0</v>
      </c>
      <c r="DY53" s="1086"/>
      <c r="DZ53" s="1085">
        <v>0</v>
      </c>
      <c r="EA53" s="1086"/>
      <c r="EB53" s="1085">
        <v>0</v>
      </c>
      <c r="EC53" s="1086"/>
      <c r="ED53" s="1085">
        <v>678</v>
      </c>
      <c r="EE53" s="1086"/>
      <c r="EF53" s="1085">
        <v>643</v>
      </c>
      <c r="EG53" s="1086"/>
      <c r="EH53" s="1085">
        <v>675</v>
      </c>
      <c r="EI53" s="1086"/>
      <c r="EJ53" s="1085">
        <v>694</v>
      </c>
      <c r="EK53" s="1086"/>
      <c r="EL53" s="1085">
        <v>696</v>
      </c>
      <c r="EM53" s="1086"/>
      <c r="EN53" s="1085">
        <v>685</v>
      </c>
      <c r="EO53" s="1086"/>
      <c r="EP53" s="1085">
        <v>677</v>
      </c>
      <c r="EQ53" s="1086"/>
      <c r="ER53" s="1085">
        <v>671</v>
      </c>
      <c r="ES53" s="1086"/>
      <c r="ET53" s="1085">
        <v>787</v>
      </c>
      <c r="EU53" s="1086"/>
      <c r="EV53" s="1085">
        <v>756</v>
      </c>
      <c r="EW53" s="1086"/>
      <c r="EX53" s="1085">
        <v>0</v>
      </c>
      <c r="EY53" s="1086"/>
      <c r="EZ53" s="1085">
        <v>0</v>
      </c>
      <c r="FA53" s="1086"/>
      <c r="FB53" s="1085">
        <v>0</v>
      </c>
      <c r="FC53" s="1086"/>
      <c r="FD53" s="1085">
        <v>0</v>
      </c>
      <c r="FE53" s="1087"/>
      <c r="FF53" s="1088">
        <v>0</v>
      </c>
      <c r="FG53" s="1089"/>
      <c r="FH53" s="1090">
        <v>0</v>
      </c>
      <c r="FI53" s="981"/>
      <c r="FJ53" s="1079" t="s">
        <v>344</v>
      </c>
      <c r="FK53" s="1080"/>
      <c r="FL53" s="1081"/>
      <c r="FM53" s="1081"/>
      <c r="FN53" s="1082"/>
      <c r="FO53" s="1083"/>
      <c r="FP53" s="1091"/>
      <c r="FQ53" s="1092"/>
      <c r="FR53" s="1085">
        <v>1408</v>
      </c>
      <c r="FS53" s="1093"/>
      <c r="FT53" s="1092"/>
      <c r="FU53" s="1094">
        <v>1425</v>
      </c>
      <c r="FV53" s="1095">
        <v>17</v>
      </c>
      <c r="FW53" s="1096">
        <v>871</v>
      </c>
      <c r="FX53" s="1097">
        <v>17</v>
      </c>
      <c r="FY53" s="1096">
        <v>872</v>
      </c>
      <c r="FZ53" s="1097">
        <v>17</v>
      </c>
      <c r="GA53" s="1096">
        <v>787</v>
      </c>
      <c r="GB53" s="1098" t="s">
        <v>366</v>
      </c>
      <c r="GC53" s="1096">
        <v>871</v>
      </c>
      <c r="GD53" s="1098" t="s">
        <v>815</v>
      </c>
      <c r="GE53" s="1099">
        <v>1425</v>
      </c>
      <c r="GF53" s="688"/>
      <c r="GG53" s="990"/>
      <c r="GH53" s="990"/>
      <c r="GI53" s="990"/>
      <c r="GJ53" s="953"/>
      <c r="GK53" s="413"/>
      <c r="GL53" s="1100">
        <v>10</v>
      </c>
      <c r="GM53" s="1101">
        <v>1</v>
      </c>
      <c r="GN53" s="1102">
        <v>0.92</v>
      </c>
      <c r="GO53" s="1103">
        <v>4.2</v>
      </c>
      <c r="GP53" s="1103">
        <v>7</v>
      </c>
      <c r="GQ53" s="1104">
        <v>11.2</v>
      </c>
      <c r="GR53" s="580"/>
      <c r="GS53" s="483"/>
      <c r="GT53" s="861"/>
      <c r="GU53" s="580" t="s">
        <v>907</v>
      </c>
      <c r="GV53" s="580"/>
      <c r="GW53" s="580"/>
      <c r="GX53" s="580"/>
      <c r="GY53" s="413"/>
      <c r="GZ53" s="409"/>
      <c r="HA53" s="615">
        <v>27.7</v>
      </c>
      <c r="HB53" s="579" t="s">
        <v>705</v>
      </c>
      <c r="HC53" s="799"/>
      <c r="HD53" s="415"/>
    </row>
    <row r="54" spans="1:212" ht="20.100000000000001" customHeight="1">
      <c r="A54" s="1105" t="s">
        <v>682</v>
      </c>
      <c r="B54" s="1106"/>
      <c r="C54" s="1107"/>
      <c r="D54" s="1108"/>
      <c r="E54" s="1109"/>
      <c r="F54" s="1110"/>
      <c r="G54" s="1111"/>
      <c r="H54" s="1112">
        <v>0</v>
      </c>
      <c r="I54" s="1113"/>
      <c r="J54" s="1112">
        <v>0</v>
      </c>
      <c r="K54" s="1113"/>
      <c r="L54" s="1112">
        <v>0</v>
      </c>
      <c r="M54" s="1113"/>
      <c r="N54" s="1112">
        <v>0</v>
      </c>
      <c r="O54" s="1113"/>
      <c r="P54" s="1112">
        <v>0</v>
      </c>
      <c r="Q54" s="1113"/>
      <c r="R54" s="1112">
        <v>0</v>
      </c>
      <c r="S54" s="1113"/>
      <c r="T54" s="1112">
        <v>0</v>
      </c>
      <c r="U54" s="1113"/>
      <c r="V54" s="1112">
        <v>0</v>
      </c>
      <c r="W54" s="1113"/>
      <c r="X54" s="1112">
        <v>59.1</v>
      </c>
      <c r="Y54" s="1113"/>
      <c r="Z54" s="1112">
        <v>55.9</v>
      </c>
      <c r="AA54" s="1113"/>
      <c r="AB54" s="1112">
        <v>58.2</v>
      </c>
      <c r="AC54" s="1113"/>
      <c r="AD54" s="1112">
        <v>58.9</v>
      </c>
      <c r="AE54" s="1113"/>
      <c r="AF54" s="1112">
        <v>59.7</v>
      </c>
      <c r="AG54" s="1113"/>
      <c r="AH54" s="1112">
        <v>59.7</v>
      </c>
      <c r="AI54" s="1113"/>
      <c r="AJ54" s="1112">
        <v>58.1</v>
      </c>
      <c r="AK54" s="1113"/>
      <c r="AL54" s="1112">
        <v>57.2</v>
      </c>
      <c r="AM54" s="1113"/>
      <c r="AN54" s="1112">
        <v>65.8</v>
      </c>
      <c r="AO54" s="1113"/>
      <c r="AP54" s="1112">
        <v>64.2</v>
      </c>
      <c r="AQ54" s="1113"/>
      <c r="AR54" s="1112">
        <v>0</v>
      </c>
      <c r="AS54" s="1113"/>
      <c r="AT54" s="1112">
        <v>0</v>
      </c>
      <c r="AU54" s="1113"/>
      <c r="AV54" s="1112">
        <v>0</v>
      </c>
      <c r="AW54" s="1113"/>
      <c r="AX54" s="1112">
        <v>0</v>
      </c>
      <c r="AY54" s="1113"/>
      <c r="AZ54" s="1112">
        <v>0</v>
      </c>
      <c r="BA54" s="1113"/>
      <c r="BB54" s="1114">
        <v>0</v>
      </c>
      <c r="BC54" s="1017"/>
      <c r="BD54" s="1105" t="s">
        <v>682</v>
      </c>
      <c r="BE54" s="1106"/>
      <c r="BF54" s="1107"/>
      <c r="BG54" s="1108"/>
      <c r="BH54" s="1109"/>
      <c r="BI54" s="1110"/>
      <c r="BJ54" s="1111"/>
      <c r="BK54" s="1112">
        <v>0</v>
      </c>
      <c r="BL54" s="1113"/>
      <c r="BM54" s="1112">
        <v>0</v>
      </c>
      <c r="BN54" s="1113"/>
      <c r="BO54" s="1112">
        <v>0</v>
      </c>
      <c r="BP54" s="1113"/>
      <c r="BQ54" s="1112">
        <v>0</v>
      </c>
      <c r="BR54" s="1113"/>
      <c r="BS54" s="1112">
        <v>0</v>
      </c>
      <c r="BT54" s="1113"/>
      <c r="BU54" s="1112">
        <v>0</v>
      </c>
      <c r="BV54" s="1113"/>
      <c r="BW54" s="1112">
        <v>0</v>
      </c>
      <c r="BX54" s="1113"/>
      <c r="BY54" s="1112">
        <v>0</v>
      </c>
      <c r="BZ54" s="1113"/>
      <c r="CA54" s="1112">
        <v>58.4</v>
      </c>
      <c r="CB54" s="1113"/>
      <c r="CC54" s="1112">
        <v>54.9</v>
      </c>
      <c r="CD54" s="1113"/>
      <c r="CE54" s="1112">
        <v>57.2</v>
      </c>
      <c r="CF54" s="1113"/>
      <c r="CG54" s="1112">
        <v>57.9</v>
      </c>
      <c r="CH54" s="1113"/>
      <c r="CI54" s="1112">
        <v>58.5</v>
      </c>
      <c r="CJ54" s="1113"/>
      <c r="CK54" s="1112">
        <v>57.7</v>
      </c>
      <c r="CL54" s="1113"/>
      <c r="CM54" s="1112">
        <v>57</v>
      </c>
      <c r="CN54" s="1113"/>
      <c r="CO54" s="1112">
        <v>55.6</v>
      </c>
      <c r="CP54" s="1113"/>
      <c r="CQ54" s="1112">
        <v>65.900000000000006</v>
      </c>
      <c r="CR54" s="1113"/>
      <c r="CS54" s="1112">
        <v>63.5</v>
      </c>
      <c r="CT54" s="1113"/>
      <c r="CU54" s="1112">
        <v>0</v>
      </c>
      <c r="CV54" s="1113"/>
      <c r="CW54" s="1112">
        <v>0</v>
      </c>
      <c r="CX54" s="1113"/>
      <c r="CY54" s="1112">
        <v>0</v>
      </c>
      <c r="CZ54" s="1113"/>
      <c r="DA54" s="1112">
        <v>0</v>
      </c>
      <c r="DB54" s="1113"/>
      <c r="DC54" s="1112">
        <v>0</v>
      </c>
      <c r="DD54" s="1113"/>
      <c r="DE54" s="1114">
        <v>0</v>
      </c>
      <c r="DF54" s="1017"/>
      <c r="DG54" s="1105" t="s">
        <v>345</v>
      </c>
      <c r="DH54" s="1106"/>
      <c r="DI54" s="1107"/>
      <c r="DJ54" s="1108"/>
      <c r="DK54" s="1109"/>
      <c r="DL54" s="1110"/>
      <c r="DM54" s="1111"/>
      <c r="DN54" s="1112">
        <v>0</v>
      </c>
      <c r="DO54" s="1113"/>
      <c r="DP54" s="1112">
        <v>0</v>
      </c>
      <c r="DQ54" s="1113"/>
      <c r="DR54" s="1112">
        <v>0</v>
      </c>
      <c r="DS54" s="1113"/>
      <c r="DT54" s="1112">
        <v>0</v>
      </c>
      <c r="DU54" s="1113"/>
      <c r="DV54" s="1112">
        <v>0</v>
      </c>
      <c r="DW54" s="1113"/>
      <c r="DX54" s="1112">
        <v>0</v>
      </c>
      <c r="DY54" s="1113"/>
      <c r="DZ54" s="1112">
        <v>0</v>
      </c>
      <c r="EA54" s="1113"/>
      <c r="EB54" s="1112">
        <v>0</v>
      </c>
      <c r="EC54" s="1113"/>
      <c r="ED54" s="1112">
        <v>51.2</v>
      </c>
      <c r="EE54" s="1113"/>
      <c r="EF54" s="1112">
        <v>48.6</v>
      </c>
      <c r="EG54" s="1113"/>
      <c r="EH54" s="1112">
        <v>51</v>
      </c>
      <c r="EI54" s="1113"/>
      <c r="EJ54" s="1112">
        <v>52.5</v>
      </c>
      <c r="EK54" s="1113"/>
      <c r="EL54" s="1112">
        <v>52.6</v>
      </c>
      <c r="EM54" s="1113"/>
      <c r="EN54" s="1112">
        <v>51.8</v>
      </c>
      <c r="EO54" s="1113"/>
      <c r="EP54" s="1112">
        <v>51.2</v>
      </c>
      <c r="EQ54" s="1113"/>
      <c r="ER54" s="1112">
        <v>50.7</v>
      </c>
      <c r="ES54" s="1113"/>
      <c r="ET54" s="1112">
        <v>59.5</v>
      </c>
      <c r="EU54" s="1113"/>
      <c r="EV54" s="1112">
        <v>57.1</v>
      </c>
      <c r="EW54" s="1113"/>
      <c r="EX54" s="1112">
        <v>0</v>
      </c>
      <c r="EY54" s="1113"/>
      <c r="EZ54" s="1112">
        <v>0</v>
      </c>
      <c r="FA54" s="1113"/>
      <c r="FB54" s="1112">
        <v>0</v>
      </c>
      <c r="FC54" s="1113"/>
      <c r="FD54" s="1112">
        <v>0</v>
      </c>
      <c r="FE54" s="1113"/>
      <c r="FF54" s="1112">
        <v>0</v>
      </c>
      <c r="FG54" s="1113"/>
      <c r="FH54" s="1114">
        <v>0</v>
      </c>
      <c r="FI54" s="1017"/>
      <c r="FJ54" s="1105" t="s">
        <v>345</v>
      </c>
      <c r="FK54" s="1106"/>
      <c r="FL54" s="1107"/>
      <c r="FM54" s="1108"/>
      <c r="FN54" s="1109"/>
      <c r="FO54" s="1110"/>
      <c r="FP54" s="1115"/>
      <c r="FQ54" s="1113"/>
      <c r="FR54" s="1112">
        <v>106.4</v>
      </c>
      <c r="FS54" s="1116"/>
      <c r="FT54" s="1113"/>
      <c r="FU54" s="1117">
        <v>107.7</v>
      </c>
      <c r="FV54" s="1116"/>
      <c r="FW54" s="1112">
        <f>IF(面積=0,0,ROUND(FW53/面積,1))</f>
        <v>65.8</v>
      </c>
      <c r="FX54" s="1116"/>
      <c r="FY54" s="1112">
        <f>IF(面積=0,0,ROUND(FY53/面積,1))</f>
        <v>65.900000000000006</v>
      </c>
      <c r="FZ54" s="1116"/>
      <c r="GA54" s="1112">
        <f>IF(面積=0,0,ROUND(GA53/面積,1))</f>
        <v>59.5</v>
      </c>
      <c r="GB54" s="1116"/>
      <c r="GC54" s="1112">
        <f>IF(面積=0,0,ROUND(GC53/面積,1))</f>
        <v>65.8</v>
      </c>
      <c r="GD54" s="1116"/>
      <c r="GE54" s="1114">
        <f>IF(面積=0,0,ROUND(GE53/面積,1))</f>
        <v>107.7</v>
      </c>
      <c r="GF54" s="688"/>
      <c r="GG54" s="937"/>
      <c r="GH54" s="937"/>
      <c r="GI54" s="937"/>
      <c r="GJ54" s="580"/>
      <c r="GK54" s="579"/>
      <c r="GL54" s="1100">
        <v>11</v>
      </c>
      <c r="GM54" s="1101">
        <v>2</v>
      </c>
      <c r="GN54" s="1102">
        <v>0.85</v>
      </c>
      <c r="GO54" s="1103">
        <v>3.9</v>
      </c>
      <c r="GP54" s="1103">
        <v>7</v>
      </c>
      <c r="GQ54" s="1104">
        <v>10.9</v>
      </c>
      <c r="GR54" s="530"/>
      <c r="GS54" s="580"/>
      <c r="GT54" s="861"/>
      <c r="GU54" s="1118" t="s">
        <v>728</v>
      </c>
      <c r="GV54" s="1118"/>
      <c r="GW54" s="1118"/>
      <c r="GX54" s="1118"/>
      <c r="GY54" s="775"/>
      <c r="GZ54" s="1119"/>
      <c r="HA54" s="1120">
        <v>54.5</v>
      </c>
      <c r="HB54" s="1121" t="s">
        <v>319</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3.6</v>
      </c>
      <c r="GP55" s="1103">
        <v>7</v>
      </c>
      <c r="GQ55" s="1104">
        <v>10.6</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759</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3.3</v>
      </c>
      <c r="GP56" s="1103">
        <v>7</v>
      </c>
      <c r="GQ56" s="1104">
        <v>10.3</v>
      </c>
      <c r="GR56" s="530"/>
      <c r="GS56" s="529"/>
      <c r="GT56" s="1303"/>
      <c r="GU56" s="578"/>
      <c r="GV56" s="579"/>
      <c r="GW56" s="578"/>
      <c r="GX56" s="579"/>
      <c r="GY56" s="579"/>
      <c r="GZ56" s="500"/>
      <c r="HA56" s="578"/>
      <c r="HB56" s="500"/>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3</v>
      </c>
      <c r="GP57" s="1103">
        <v>7</v>
      </c>
      <c r="GQ57" s="1104">
        <v>10</v>
      </c>
      <c r="GR57" s="953"/>
      <c r="GS57" s="529"/>
      <c r="GT57" s="1303"/>
      <c r="GU57" s="578"/>
      <c r="GV57" s="578"/>
      <c r="GW57" s="500"/>
      <c r="GX57" s="1306"/>
      <c r="GY57" s="579"/>
      <c r="GZ57" s="500"/>
      <c r="HA57" s="578"/>
      <c r="HB57" s="500"/>
      <c r="HC57" s="1052"/>
    </row>
    <row r="58" spans="1:212" ht="20.100000000000001" customHeight="1">
      <c r="A58" s="1163" t="s">
        <v>737</v>
      </c>
      <c r="B58" s="1164"/>
      <c r="C58" s="1164"/>
      <c r="D58" s="1164"/>
      <c r="E58" s="1165"/>
      <c r="F58" s="1166"/>
      <c r="G58" s="1167"/>
      <c r="H58" s="1168"/>
      <c r="I58" s="1169"/>
      <c r="J58" s="1168"/>
      <c r="K58" s="1169"/>
      <c r="L58" s="1168"/>
      <c r="M58" s="1169"/>
      <c r="N58" s="1168"/>
      <c r="O58" s="1169"/>
      <c r="P58" s="1168"/>
      <c r="Q58" s="1169"/>
      <c r="R58" s="1168"/>
      <c r="S58" s="1169"/>
      <c r="T58" s="1168"/>
      <c r="U58" s="1169"/>
      <c r="V58" s="1168"/>
      <c r="W58" s="1169"/>
      <c r="X58" s="1168">
        <v>120</v>
      </c>
      <c r="Y58" s="1169"/>
      <c r="Z58" s="1168">
        <v>120</v>
      </c>
      <c r="AA58" s="1169"/>
      <c r="AB58" s="1168">
        <v>120</v>
      </c>
      <c r="AC58" s="1169"/>
      <c r="AD58" s="1168">
        <v>120</v>
      </c>
      <c r="AE58" s="1169"/>
      <c r="AF58" s="1168">
        <v>120</v>
      </c>
      <c r="AG58" s="1169"/>
      <c r="AH58" s="1168">
        <v>120</v>
      </c>
      <c r="AI58" s="1169"/>
      <c r="AJ58" s="1168">
        <v>120</v>
      </c>
      <c r="AK58" s="1169"/>
      <c r="AL58" s="1168">
        <v>120</v>
      </c>
      <c r="AM58" s="1169"/>
      <c r="AN58" s="1168">
        <v>120</v>
      </c>
      <c r="AO58" s="1169"/>
      <c r="AP58" s="1168">
        <v>120</v>
      </c>
      <c r="AQ58" s="1169"/>
      <c r="AR58" s="1168"/>
      <c r="AS58" s="1169"/>
      <c r="AT58" s="1168"/>
      <c r="AU58" s="1169"/>
      <c r="AV58" s="1168"/>
      <c r="AW58" s="1169"/>
      <c r="AX58" s="1168"/>
      <c r="AY58" s="1169"/>
      <c r="AZ58" s="1168"/>
      <c r="BA58" s="1169"/>
      <c r="BB58" s="561"/>
      <c r="BC58" s="563"/>
      <c r="BD58" s="1163" t="s">
        <v>612</v>
      </c>
      <c r="BE58" s="1164"/>
      <c r="BF58" s="1164"/>
      <c r="BG58" s="1164"/>
      <c r="BH58" s="1165"/>
      <c r="BI58" s="1166"/>
      <c r="BJ58" s="1167"/>
      <c r="BK58" s="1168"/>
      <c r="BL58" s="1169"/>
      <c r="BM58" s="1168"/>
      <c r="BN58" s="1169"/>
      <c r="BO58" s="1168"/>
      <c r="BP58" s="1169"/>
      <c r="BQ58" s="1168"/>
      <c r="BR58" s="1169"/>
      <c r="BS58" s="1168"/>
      <c r="BT58" s="1169"/>
      <c r="BU58" s="1168"/>
      <c r="BV58" s="1169"/>
      <c r="BW58" s="1168"/>
      <c r="BX58" s="1169"/>
      <c r="BY58" s="1168"/>
      <c r="BZ58" s="1169"/>
      <c r="CA58" s="1168">
        <v>120</v>
      </c>
      <c r="CB58" s="1169"/>
      <c r="CC58" s="1168">
        <v>120</v>
      </c>
      <c r="CD58" s="1169"/>
      <c r="CE58" s="1168">
        <v>120</v>
      </c>
      <c r="CF58" s="1169"/>
      <c r="CG58" s="1168">
        <v>120</v>
      </c>
      <c r="CH58" s="1169"/>
      <c r="CI58" s="1168">
        <v>120</v>
      </c>
      <c r="CJ58" s="1169"/>
      <c r="CK58" s="1168">
        <v>120</v>
      </c>
      <c r="CL58" s="1169"/>
      <c r="CM58" s="1168">
        <v>120</v>
      </c>
      <c r="CN58" s="1169"/>
      <c r="CO58" s="1168">
        <v>120</v>
      </c>
      <c r="CP58" s="1169"/>
      <c r="CQ58" s="1168">
        <v>120</v>
      </c>
      <c r="CR58" s="1169"/>
      <c r="CS58" s="1168">
        <v>120</v>
      </c>
      <c r="CT58" s="1169"/>
      <c r="CU58" s="1168"/>
      <c r="CV58" s="1169"/>
      <c r="CW58" s="1168"/>
      <c r="CX58" s="1169"/>
      <c r="CY58" s="1168"/>
      <c r="CZ58" s="1169"/>
      <c r="DA58" s="1168"/>
      <c r="DB58" s="1169"/>
      <c r="DC58" s="1168"/>
      <c r="DD58" s="1169"/>
      <c r="DE58" s="561"/>
      <c r="DF58" s="562"/>
      <c r="DG58" s="1163" t="s">
        <v>737</v>
      </c>
      <c r="DH58" s="1164"/>
      <c r="DI58" s="1164"/>
      <c r="DJ58" s="1164"/>
      <c r="DK58" s="1165"/>
      <c r="DL58" s="1166"/>
      <c r="DM58" s="1167"/>
      <c r="DN58" s="1168"/>
      <c r="DO58" s="1169"/>
      <c r="DP58" s="1168"/>
      <c r="DQ58" s="1169"/>
      <c r="DR58" s="1168"/>
      <c r="DS58" s="1169"/>
      <c r="DT58" s="1168"/>
      <c r="DU58" s="1169"/>
      <c r="DV58" s="1168"/>
      <c r="DW58" s="1169"/>
      <c r="DX58" s="1168"/>
      <c r="DY58" s="1169"/>
      <c r="DZ58" s="1168"/>
      <c r="EA58" s="1169"/>
      <c r="EB58" s="1168"/>
      <c r="EC58" s="1169"/>
      <c r="ED58" s="1168">
        <v>120</v>
      </c>
      <c r="EE58" s="1169"/>
      <c r="EF58" s="1168">
        <v>120</v>
      </c>
      <c r="EG58" s="1169"/>
      <c r="EH58" s="1168">
        <v>120</v>
      </c>
      <c r="EI58" s="1169"/>
      <c r="EJ58" s="1168">
        <v>120</v>
      </c>
      <c r="EK58" s="1169"/>
      <c r="EL58" s="1168">
        <v>120</v>
      </c>
      <c r="EM58" s="1169"/>
      <c r="EN58" s="1168">
        <v>120</v>
      </c>
      <c r="EO58" s="1169"/>
      <c r="EP58" s="1168">
        <v>120</v>
      </c>
      <c r="EQ58" s="1169"/>
      <c r="ER58" s="1168">
        <v>120</v>
      </c>
      <c r="ES58" s="1169"/>
      <c r="ET58" s="1168">
        <v>120</v>
      </c>
      <c r="EU58" s="1169"/>
      <c r="EV58" s="1168">
        <v>120</v>
      </c>
      <c r="EW58" s="1169"/>
      <c r="EX58" s="1168"/>
      <c r="EY58" s="1169"/>
      <c r="EZ58" s="1168"/>
      <c r="FA58" s="1169"/>
      <c r="FB58" s="1168"/>
      <c r="FC58" s="1169"/>
      <c r="FD58" s="1168"/>
      <c r="FE58" s="1169"/>
      <c r="FF58" s="1168"/>
      <c r="FG58" s="1169"/>
      <c r="FH58" s="561"/>
      <c r="FI58" s="563"/>
      <c r="FJ58" s="1163" t="s">
        <v>737</v>
      </c>
      <c r="FK58" s="1164"/>
      <c r="FL58" s="1164"/>
      <c r="FM58" s="1164"/>
      <c r="FN58" s="1165"/>
      <c r="FO58" s="1166"/>
      <c r="FP58" s="1170"/>
      <c r="FQ58" s="1171"/>
      <c r="FR58" s="1168">
        <v>120</v>
      </c>
      <c r="FS58" s="1172"/>
      <c r="FT58" s="1171"/>
      <c r="FU58" s="1173">
        <v>120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2.8</v>
      </c>
      <c r="GP58" s="1103">
        <v>7</v>
      </c>
      <c r="GQ58" s="1104">
        <v>9.8000000000000007</v>
      </c>
      <c r="GR58" s="953"/>
      <c r="GS58" s="530"/>
      <c r="GT58" s="689"/>
      <c r="GU58" s="500"/>
      <c r="GV58" s="578"/>
      <c r="GW58" s="500"/>
      <c r="GX58" s="1306"/>
      <c r="GY58" s="1304"/>
      <c r="GZ58" s="579"/>
      <c r="HA58" s="578"/>
      <c r="HB58" s="500"/>
      <c r="HC58" s="562"/>
      <c r="HD58" s="1179"/>
    </row>
    <row r="59" spans="1:212" ht="20.100000000000001" customHeight="1">
      <c r="A59" s="1180" t="s">
        <v>738</v>
      </c>
      <c r="B59" s="1181"/>
      <c r="C59" s="1181"/>
      <c r="D59" s="1182" t="s">
        <v>615</v>
      </c>
      <c r="E59" s="1183"/>
      <c r="F59" s="1021"/>
      <c r="G59" s="1184">
        <v>0</v>
      </c>
      <c r="H59" s="585">
        <v>0</v>
      </c>
      <c r="I59" s="1185">
        <v>0</v>
      </c>
      <c r="J59" s="587">
        <v>0</v>
      </c>
      <c r="K59" s="1185">
        <v>0</v>
      </c>
      <c r="L59" s="587">
        <v>0</v>
      </c>
      <c r="M59" s="1185">
        <v>0</v>
      </c>
      <c r="N59" s="587">
        <v>0</v>
      </c>
      <c r="O59" s="1185">
        <v>0</v>
      </c>
      <c r="P59" s="587">
        <v>0</v>
      </c>
      <c r="Q59" s="1185">
        <v>0</v>
      </c>
      <c r="R59" s="587">
        <v>0</v>
      </c>
      <c r="S59" s="1185">
        <v>0</v>
      </c>
      <c r="T59" s="587">
        <v>0</v>
      </c>
      <c r="U59" s="1185">
        <v>0</v>
      </c>
      <c r="V59" s="587">
        <v>0</v>
      </c>
      <c r="W59" s="1185">
        <v>23.7</v>
      </c>
      <c r="X59" s="587">
        <v>948</v>
      </c>
      <c r="Y59" s="1185">
        <v>24.6</v>
      </c>
      <c r="Z59" s="587">
        <v>984</v>
      </c>
      <c r="AA59" s="1185">
        <v>24.9</v>
      </c>
      <c r="AB59" s="587">
        <v>996</v>
      </c>
      <c r="AC59" s="1185">
        <v>26.2</v>
      </c>
      <c r="AD59" s="587">
        <v>1048</v>
      </c>
      <c r="AE59" s="1185">
        <v>25.8</v>
      </c>
      <c r="AF59" s="587">
        <v>1032</v>
      </c>
      <c r="AG59" s="1185">
        <v>25.1</v>
      </c>
      <c r="AH59" s="587">
        <v>1004</v>
      </c>
      <c r="AI59" s="1185">
        <v>25.1</v>
      </c>
      <c r="AJ59" s="587">
        <v>1004</v>
      </c>
      <c r="AK59" s="1185">
        <v>24.8</v>
      </c>
      <c r="AL59" s="587">
        <v>992</v>
      </c>
      <c r="AM59" s="1185">
        <v>24.1</v>
      </c>
      <c r="AN59" s="587">
        <v>964</v>
      </c>
      <c r="AO59" s="1185">
        <v>23.4</v>
      </c>
      <c r="AP59" s="587">
        <v>936</v>
      </c>
      <c r="AQ59" s="1185">
        <v>0</v>
      </c>
      <c r="AR59" s="587">
        <v>0</v>
      </c>
      <c r="AS59" s="1185">
        <v>0</v>
      </c>
      <c r="AT59" s="587">
        <v>0</v>
      </c>
      <c r="AU59" s="1185">
        <v>0</v>
      </c>
      <c r="AV59" s="587">
        <v>0</v>
      </c>
      <c r="AW59" s="1185">
        <v>0</v>
      </c>
      <c r="AX59" s="587">
        <v>0</v>
      </c>
      <c r="AY59" s="1185">
        <v>0</v>
      </c>
      <c r="AZ59" s="587">
        <v>0</v>
      </c>
      <c r="BA59" s="1185">
        <v>0</v>
      </c>
      <c r="BB59" s="589">
        <v>0</v>
      </c>
      <c r="BC59" s="563"/>
      <c r="BD59" s="1180" t="s">
        <v>738</v>
      </c>
      <c r="BE59" s="1181"/>
      <c r="BF59" s="1181"/>
      <c r="BG59" s="1182" t="s">
        <v>615</v>
      </c>
      <c r="BH59" s="1183"/>
      <c r="BI59" s="1021"/>
      <c r="BJ59" s="1184">
        <v>0</v>
      </c>
      <c r="BK59" s="585">
        <v>0</v>
      </c>
      <c r="BL59" s="1185">
        <v>0</v>
      </c>
      <c r="BM59" s="587">
        <v>0</v>
      </c>
      <c r="BN59" s="1185">
        <v>0</v>
      </c>
      <c r="BO59" s="587">
        <v>0</v>
      </c>
      <c r="BP59" s="1185">
        <v>0</v>
      </c>
      <c r="BQ59" s="587">
        <v>0</v>
      </c>
      <c r="BR59" s="1185">
        <v>0</v>
      </c>
      <c r="BS59" s="587">
        <v>0</v>
      </c>
      <c r="BT59" s="1185">
        <v>0</v>
      </c>
      <c r="BU59" s="587">
        <v>0</v>
      </c>
      <c r="BV59" s="1185">
        <v>0</v>
      </c>
      <c r="BW59" s="587">
        <v>0</v>
      </c>
      <c r="BX59" s="1185">
        <v>0</v>
      </c>
      <c r="BY59" s="587">
        <v>0</v>
      </c>
      <c r="BZ59" s="1185">
        <v>18.600000000000001</v>
      </c>
      <c r="CA59" s="587">
        <v>744</v>
      </c>
      <c r="CB59" s="1185">
        <v>19.399999999999999</v>
      </c>
      <c r="CC59" s="587">
        <v>776</v>
      </c>
      <c r="CD59" s="1185">
        <v>20.3</v>
      </c>
      <c r="CE59" s="587">
        <v>812</v>
      </c>
      <c r="CF59" s="1185">
        <v>21</v>
      </c>
      <c r="CG59" s="587">
        <v>840</v>
      </c>
      <c r="CH59" s="1185">
        <v>21.4</v>
      </c>
      <c r="CI59" s="587">
        <v>856</v>
      </c>
      <c r="CJ59" s="1185">
        <v>20.7</v>
      </c>
      <c r="CK59" s="587">
        <v>828</v>
      </c>
      <c r="CL59" s="1185">
        <v>20.5</v>
      </c>
      <c r="CM59" s="587">
        <v>820</v>
      </c>
      <c r="CN59" s="1185">
        <v>20.3</v>
      </c>
      <c r="CO59" s="587">
        <v>812</v>
      </c>
      <c r="CP59" s="1185">
        <v>20.3</v>
      </c>
      <c r="CQ59" s="587">
        <v>812</v>
      </c>
      <c r="CR59" s="1185">
        <v>19.600000000000001</v>
      </c>
      <c r="CS59" s="587">
        <v>784</v>
      </c>
      <c r="CT59" s="1185">
        <v>0</v>
      </c>
      <c r="CU59" s="587">
        <v>0</v>
      </c>
      <c r="CV59" s="1185">
        <v>0</v>
      </c>
      <c r="CW59" s="587">
        <v>0</v>
      </c>
      <c r="CX59" s="1185">
        <v>0</v>
      </c>
      <c r="CY59" s="587">
        <v>0</v>
      </c>
      <c r="CZ59" s="1185">
        <v>0</v>
      </c>
      <c r="DA59" s="587">
        <v>0</v>
      </c>
      <c r="DB59" s="1185">
        <v>0</v>
      </c>
      <c r="DC59" s="587">
        <v>0</v>
      </c>
      <c r="DD59" s="1185">
        <v>0</v>
      </c>
      <c r="DE59" s="589">
        <v>0</v>
      </c>
      <c r="DF59" s="562"/>
      <c r="DG59" s="1180" t="s">
        <v>738</v>
      </c>
      <c r="DH59" s="1181"/>
      <c r="DI59" s="1181"/>
      <c r="DJ59" s="1182" t="s">
        <v>615</v>
      </c>
      <c r="DK59" s="1183"/>
      <c r="DL59" s="1021"/>
      <c r="DM59" s="1184">
        <v>0</v>
      </c>
      <c r="DN59" s="585">
        <v>0</v>
      </c>
      <c r="DO59" s="1185">
        <v>0</v>
      </c>
      <c r="DP59" s="587">
        <v>0</v>
      </c>
      <c r="DQ59" s="1185">
        <v>0</v>
      </c>
      <c r="DR59" s="587">
        <v>0</v>
      </c>
      <c r="DS59" s="1185">
        <v>0</v>
      </c>
      <c r="DT59" s="587">
        <v>0</v>
      </c>
      <c r="DU59" s="1185">
        <v>0</v>
      </c>
      <c r="DV59" s="587">
        <v>0</v>
      </c>
      <c r="DW59" s="1185">
        <v>0</v>
      </c>
      <c r="DX59" s="587">
        <v>0</v>
      </c>
      <c r="DY59" s="1185">
        <v>0</v>
      </c>
      <c r="DZ59" s="587">
        <v>0</v>
      </c>
      <c r="EA59" s="1185">
        <v>0</v>
      </c>
      <c r="EB59" s="587">
        <v>0</v>
      </c>
      <c r="EC59" s="1185">
        <v>9.8000000000000007</v>
      </c>
      <c r="ED59" s="587">
        <v>392</v>
      </c>
      <c r="EE59" s="1185">
        <v>10.9</v>
      </c>
      <c r="EF59" s="587">
        <v>436</v>
      </c>
      <c r="EG59" s="1185">
        <v>11</v>
      </c>
      <c r="EH59" s="587">
        <v>440</v>
      </c>
      <c r="EI59" s="1185">
        <v>11.4</v>
      </c>
      <c r="EJ59" s="587">
        <v>456</v>
      </c>
      <c r="EK59" s="1185">
        <v>11.1</v>
      </c>
      <c r="EL59" s="587">
        <v>444</v>
      </c>
      <c r="EM59" s="1185">
        <v>10.6</v>
      </c>
      <c r="EN59" s="587">
        <v>424</v>
      </c>
      <c r="EO59" s="1185">
        <v>10.4</v>
      </c>
      <c r="EP59" s="587">
        <v>416</v>
      </c>
      <c r="EQ59" s="1185">
        <v>10.5</v>
      </c>
      <c r="ER59" s="587">
        <v>420</v>
      </c>
      <c r="ES59" s="1185">
        <v>10</v>
      </c>
      <c r="ET59" s="587">
        <v>400</v>
      </c>
      <c r="EU59" s="1185">
        <v>10.5</v>
      </c>
      <c r="EV59" s="587">
        <v>420</v>
      </c>
      <c r="EW59" s="1185">
        <v>0</v>
      </c>
      <c r="EX59" s="587">
        <v>0</v>
      </c>
      <c r="EY59" s="1185">
        <v>0</v>
      </c>
      <c r="EZ59" s="587">
        <v>0</v>
      </c>
      <c r="FA59" s="1185">
        <v>0</v>
      </c>
      <c r="FB59" s="587">
        <v>0</v>
      </c>
      <c r="FC59" s="1185">
        <v>0</v>
      </c>
      <c r="FD59" s="587">
        <v>0</v>
      </c>
      <c r="FE59" s="1185">
        <v>0</v>
      </c>
      <c r="FF59" s="587">
        <v>0</v>
      </c>
      <c r="FG59" s="1185">
        <v>0</v>
      </c>
      <c r="FH59" s="589">
        <v>0</v>
      </c>
      <c r="FI59" s="563"/>
      <c r="FJ59" s="1180" t="s">
        <v>616</v>
      </c>
      <c r="FK59" s="1181"/>
      <c r="FL59" s="1181"/>
      <c r="FM59" s="1182" t="s">
        <v>615</v>
      </c>
      <c r="FN59" s="1183"/>
      <c r="FO59" s="1021"/>
      <c r="FP59" s="625">
        <v>9</v>
      </c>
      <c r="FQ59" s="1186">
        <v>5.7</v>
      </c>
      <c r="FR59" s="1187">
        <v>228</v>
      </c>
      <c r="FS59" s="1188">
        <v>9</v>
      </c>
      <c r="FT59" s="1186">
        <v>5.9</v>
      </c>
      <c r="FU59" s="1189">
        <v>236</v>
      </c>
      <c r="FV59" s="1190">
        <v>17</v>
      </c>
      <c r="FW59" s="1191">
        <v>964</v>
      </c>
      <c r="FX59" s="1192">
        <v>17</v>
      </c>
      <c r="FY59" s="1191">
        <v>812</v>
      </c>
      <c r="FZ59" s="1192">
        <v>17</v>
      </c>
      <c r="GA59" s="1191">
        <v>400</v>
      </c>
      <c r="GB59" s="1192" t="s">
        <v>797</v>
      </c>
      <c r="GC59" s="1191">
        <v>964</v>
      </c>
      <c r="GD59" s="1192" t="s">
        <v>909</v>
      </c>
      <c r="GE59" s="1193">
        <v>236</v>
      </c>
      <c r="GF59" s="688"/>
      <c r="GG59" s="1194"/>
      <c r="GH59" s="1194"/>
      <c r="GI59" s="1194"/>
      <c r="GJ59" s="893"/>
      <c r="GK59" s="409"/>
      <c r="GL59" s="1124">
        <v>16</v>
      </c>
      <c r="GM59" s="1125">
        <v>7</v>
      </c>
      <c r="GN59" s="1102">
        <v>0.56000000000000005</v>
      </c>
      <c r="GO59" s="1103">
        <v>2.6</v>
      </c>
      <c r="GP59" s="1103">
        <v>7</v>
      </c>
      <c r="GQ59" s="1104">
        <v>9.6</v>
      </c>
      <c r="GR59" s="893"/>
      <c r="GS59" s="391"/>
      <c r="GT59" s="1305"/>
      <c r="GU59" s="579"/>
      <c r="GV59" s="500"/>
      <c r="GW59" s="500"/>
      <c r="GX59" s="1306"/>
      <c r="GY59" s="1304"/>
      <c r="GZ59" s="579"/>
      <c r="HA59" s="578"/>
      <c r="HB59" s="500"/>
      <c r="HC59" s="1179"/>
      <c r="HD59" s="1195"/>
    </row>
    <row r="60" spans="1:212" ht="20.100000000000001" customHeight="1">
      <c r="A60" s="1180"/>
      <c r="B60" s="1181"/>
      <c r="C60" s="1181"/>
      <c r="D60" s="1196"/>
      <c r="E60" s="1196"/>
      <c r="F60" s="1197">
        <v>0</v>
      </c>
      <c r="G60" s="584"/>
      <c r="H60" s="585"/>
      <c r="I60" s="588"/>
      <c r="J60" s="587"/>
      <c r="K60" s="588"/>
      <c r="L60" s="587"/>
      <c r="M60" s="588"/>
      <c r="N60" s="587"/>
      <c r="O60" s="588"/>
      <c r="P60" s="587"/>
      <c r="Q60" s="588"/>
      <c r="R60" s="587"/>
      <c r="S60" s="588"/>
      <c r="T60" s="587"/>
      <c r="U60" s="588"/>
      <c r="V60" s="587"/>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c r="AS60" s="588"/>
      <c r="AT60" s="587"/>
      <c r="AU60" s="588"/>
      <c r="AV60" s="587"/>
      <c r="AW60" s="588"/>
      <c r="AX60" s="587"/>
      <c r="AY60" s="588"/>
      <c r="AZ60" s="587"/>
      <c r="BA60" s="588"/>
      <c r="BB60" s="589"/>
      <c r="BC60" s="563"/>
      <c r="BD60" s="1180"/>
      <c r="BE60" s="1181"/>
      <c r="BF60" s="1181"/>
      <c r="BG60" s="1196"/>
      <c r="BH60" s="1196"/>
      <c r="BI60" s="1197"/>
      <c r="BJ60" s="584"/>
      <c r="BK60" s="585"/>
      <c r="BL60" s="588"/>
      <c r="BM60" s="587"/>
      <c r="BN60" s="588"/>
      <c r="BO60" s="587"/>
      <c r="BP60" s="588"/>
      <c r="BQ60" s="587"/>
      <c r="BR60" s="588"/>
      <c r="BS60" s="587"/>
      <c r="BT60" s="588"/>
      <c r="BU60" s="587"/>
      <c r="BV60" s="588"/>
      <c r="BW60" s="587"/>
      <c r="BX60" s="588"/>
      <c r="BY60" s="587"/>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c r="CV60" s="588"/>
      <c r="CW60" s="587"/>
      <c r="CX60" s="588"/>
      <c r="CY60" s="587"/>
      <c r="CZ60" s="588"/>
      <c r="DA60" s="587"/>
      <c r="DB60" s="588"/>
      <c r="DC60" s="587"/>
      <c r="DD60" s="588"/>
      <c r="DE60" s="589"/>
      <c r="DF60" s="562"/>
      <c r="DG60" s="1180"/>
      <c r="DH60" s="1181"/>
      <c r="DI60" s="1181"/>
      <c r="DJ60" s="1196"/>
      <c r="DK60" s="1196"/>
      <c r="DL60" s="1197"/>
      <c r="DM60" s="584"/>
      <c r="DN60" s="585"/>
      <c r="DO60" s="588"/>
      <c r="DP60" s="587"/>
      <c r="DQ60" s="588"/>
      <c r="DR60" s="587"/>
      <c r="DS60" s="588"/>
      <c r="DT60" s="587"/>
      <c r="DU60" s="588"/>
      <c r="DV60" s="587"/>
      <c r="DW60" s="588"/>
      <c r="DX60" s="587"/>
      <c r="DY60" s="588"/>
      <c r="DZ60" s="587"/>
      <c r="EA60" s="588"/>
      <c r="EB60" s="587"/>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c r="EY60" s="588"/>
      <c r="EZ60" s="587"/>
      <c r="FA60" s="588"/>
      <c r="FB60" s="587"/>
      <c r="FC60" s="588"/>
      <c r="FD60" s="587"/>
      <c r="FE60" s="588"/>
      <c r="FF60" s="587"/>
      <c r="FG60" s="588"/>
      <c r="FH60" s="589"/>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2.2999999999999998</v>
      </c>
      <c r="GP60" s="1103">
        <v>7</v>
      </c>
      <c r="GQ60" s="1104">
        <v>9.3000000000000007</v>
      </c>
      <c r="GR60" s="391"/>
      <c r="GS60" s="483"/>
      <c r="GT60" s="1305"/>
      <c r="GU60" s="500"/>
      <c r="GV60" s="579"/>
      <c r="GW60" s="500"/>
      <c r="GX60" s="579"/>
      <c r="GY60" s="500"/>
      <c r="GZ60" s="500"/>
      <c r="HA60" s="578"/>
      <c r="HB60" s="500"/>
      <c r="HC60" s="1201"/>
      <c r="HD60" s="1038"/>
    </row>
    <row r="61" spans="1:212" ht="20.100000000000001" customHeight="1">
      <c r="A61" s="1202" t="s">
        <v>621</v>
      </c>
      <c r="B61" s="1203"/>
      <c r="C61" s="1203"/>
      <c r="D61" s="1203"/>
      <c r="E61" s="1203"/>
      <c r="F61" s="1204"/>
      <c r="G61" s="1205"/>
      <c r="H61" s="1206">
        <v>0</v>
      </c>
      <c r="I61" s="1207"/>
      <c r="J61" s="1208">
        <v>0</v>
      </c>
      <c r="K61" s="1207"/>
      <c r="L61" s="1208">
        <v>0</v>
      </c>
      <c r="M61" s="1207"/>
      <c r="N61" s="1208">
        <v>0</v>
      </c>
      <c r="O61" s="1207"/>
      <c r="P61" s="1208">
        <v>0</v>
      </c>
      <c r="Q61" s="1207"/>
      <c r="R61" s="1208">
        <v>0</v>
      </c>
      <c r="S61" s="1207"/>
      <c r="T61" s="1208">
        <v>0</v>
      </c>
      <c r="U61" s="1207"/>
      <c r="V61" s="1208">
        <v>0</v>
      </c>
      <c r="W61" s="1207"/>
      <c r="X61" s="1208">
        <v>1730</v>
      </c>
      <c r="Y61" s="1207"/>
      <c r="Z61" s="1208">
        <v>1724</v>
      </c>
      <c r="AA61" s="1207"/>
      <c r="AB61" s="1208">
        <v>1766</v>
      </c>
      <c r="AC61" s="1207"/>
      <c r="AD61" s="1208">
        <v>1827</v>
      </c>
      <c r="AE61" s="1207"/>
      <c r="AF61" s="1208">
        <v>1822</v>
      </c>
      <c r="AG61" s="1207"/>
      <c r="AH61" s="1208">
        <v>1794</v>
      </c>
      <c r="AI61" s="1207"/>
      <c r="AJ61" s="1208">
        <v>1773</v>
      </c>
      <c r="AK61" s="1207"/>
      <c r="AL61" s="1208">
        <v>1749</v>
      </c>
      <c r="AM61" s="1207"/>
      <c r="AN61" s="1208">
        <v>1835</v>
      </c>
      <c r="AO61" s="1207"/>
      <c r="AP61" s="1208">
        <v>1786</v>
      </c>
      <c r="AQ61" s="1207"/>
      <c r="AR61" s="1208">
        <v>0</v>
      </c>
      <c r="AS61" s="1207"/>
      <c r="AT61" s="1208">
        <v>0</v>
      </c>
      <c r="AU61" s="1207"/>
      <c r="AV61" s="1208">
        <v>0</v>
      </c>
      <c r="AW61" s="1207"/>
      <c r="AX61" s="1208">
        <v>0</v>
      </c>
      <c r="AY61" s="1207"/>
      <c r="AZ61" s="1208">
        <v>0</v>
      </c>
      <c r="BA61" s="1207"/>
      <c r="BB61" s="1209">
        <v>0</v>
      </c>
      <c r="BC61" s="563"/>
      <c r="BD61" s="1202" t="s">
        <v>740</v>
      </c>
      <c r="BE61" s="1203"/>
      <c r="BF61" s="1203"/>
      <c r="BG61" s="1203"/>
      <c r="BH61" s="1203"/>
      <c r="BI61" s="1204"/>
      <c r="BJ61" s="1205"/>
      <c r="BK61" s="1206">
        <v>0</v>
      </c>
      <c r="BL61" s="1207"/>
      <c r="BM61" s="1208">
        <v>0</v>
      </c>
      <c r="BN61" s="1207"/>
      <c r="BO61" s="1208">
        <v>0</v>
      </c>
      <c r="BP61" s="1207"/>
      <c r="BQ61" s="1208">
        <v>0</v>
      </c>
      <c r="BR61" s="1207"/>
      <c r="BS61" s="1208">
        <v>0</v>
      </c>
      <c r="BT61" s="1207"/>
      <c r="BU61" s="1208">
        <v>0</v>
      </c>
      <c r="BV61" s="1207"/>
      <c r="BW61" s="1208">
        <v>0</v>
      </c>
      <c r="BX61" s="1207"/>
      <c r="BY61" s="1208">
        <v>0</v>
      </c>
      <c r="BZ61" s="1207"/>
      <c r="CA61" s="1208">
        <v>1516</v>
      </c>
      <c r="CB61" s="1207"/>
      <c r="CC61" s="1208">
        <v>1502</v>
      </c>
      <c r="CD61" s="1207"/>
      <c r="CE61" s="1208">
        <v>1569</v>
      </c>
      <c r="CF61" s="1207"/>
      <c r="CG61" s="1208">
        <v>1606</v>
      </c>
      <c r="CH61" s="1207"/>
      <c r="CI61" s="1208">
        <v>1630</v>
      </c>
      <c r="CJ61" s="1207"/>
      <c r="CK61" s="1208">
        <v>1592</v>
      </c>
      <c r="CL61" s="1207"/>
      <c r="CM61" s="1208">
        <v>1574</v>
      </c>
      <c r="CN61" s="1207"/>
      <c r="CO61" s="1208">
        <v>1547</v>
      </c>
      <c r="CP61" s="1207"/>
      <c r="CQ61" s="1208">
        <v>1684</v>
      </c>
      <c r="CR61" s="1207"/>
      <c r="CS61" s="1208">
        <v>1624</v>
      </c>
      <c r="CT61" s="1207"/>
      <c r="CU61" s="1208">
        <v>0</v>
      </c>
      <c r="CV61" s="1207"/>
      <c r="CW61" s="1208">
        <v>0</v>
      </c>
      <c r="CX61" s="1207"/>
      <c r="CY61" s="1208">
        <v>0</v>
      </c>
      <c r="CZ61" s="1207"/>
      <c r="DA61" s="1208">
        <v>0</v>
      </c>
      <c r="DB61" s="1207"/>
      <c r="DC61" s="1208">
        <v>0</v>
      </c>
      <c r="DD61" s="1207"/>
      <c r="DE61" s="1209">
        <v>0</v>
      </c>
      <c r="DF61" s="562"/>
      <c r="DG61" s="1202" t="s">
        <v>621</v>
      </c>
      <c r="DH61" s="1203"/>
      <c r="DI61" s="1203"/>
      <c r="DJ61" s="1203"/>
      <c r="DK61" s="1203"/>
      <c r="DL61" s="1204"/>
      <c r="DM61" s="1205"/>
      <c r="DN61" s="1206">
        <v>0</v>
      </c>
      <c r="DO61" s="1207"/>
      <c r="DP61" s="1208">
        <v>0</v>
      </c>
      <c r="DQ61" s="1207"/>
      <c r="DR61" s="1208">
        <v>0</v>
      </c>
      <c r="DS61" s="1207"/>
      <c r="DT61" s="1208">
        <v>0</v>
      </c>
      <c r="DU61" s="1207"/>
      <c r="DV61" s="1208">
        <v>0</v>
      </c>
      <c r="DW61" s="1207"/>
      <c r="DX61" s="1208">
        <v>0</v>
      </c>
      <c r="DY61" s="1207"/>
      <c r="DZ61" s="1208">
        <v>0</v>
      </c>
      <c r="EA61" s="1207"/>
      <c r="EB61" s="1208">
        <v>0</v>
      </c>
      <c r="EC61" s="1207"/>
      <c r="ED61" s="1208">
        <v>1070</v>
      </c>
      <c r="EE61" s="1207"/>
      <c r="EF61" s="1208">
        <v>1079</v>
      </c>
      <c r="EG61" s="1207"/>
      <c r="EH61" s="1208">
        <v>1115</v>
      </c>
      <c r="EI61" s="1207"/>
      <c r="EJ61" s="1208">
        <v>1150</v>
      </c>
      <c r="EK61" s="1207"/>
      <c r="EL61" s="1208">
        <v>1140</v>
      </c>
      <c r="EM61" s="1207"/>
      <c r="EN61" s="1208">
        <v>1109</v>
      </c>
      <c r="EO61" s="1207"/>
      <c r="EP61" s="1208">
        <v>1093</v>
      </c>
      <c r="EQ61" s="1207"/>
      <c r="ER61" s="1208">
        <v>1091</v>
      </c>
      <c r="ES61" s="1207"/>
      <c r="ET61" s="1208">
        <v>1187</v>
      </c>
      <c r="EU61" s="1207"/>
      <c r="EV61" s="1208">
        <v>1176</v>
      </c>
      <c r="EW61" s="1207"/>
      <c r="EX61" s="1208">
        <v>0</v>
      </c>
      <c r="EY61" s="1207"/>
      <c r="EZ61" s="1208">
        <v>0</v>
      </c>
      <c r="FA61" s="1207"/>
      <c r="FB61" s="1208">
        <v>0</v>
      </c>
      <c r="FC61" s="1207"/>
      <c r="FD61" s="1208">
        <v>0</v>
      </c>
      <c r="FE61" s="1207"/>
      <c r="FF61" s="1208">
        <v>0</v>
      </c>
      <c r="FG61" s="1207"/>
      <c r="FH61" s="1209">
        <v>0</v>
      </c>
      <c r="FI61" s="563"/>
      <c r="FJ61" s="1202" t="s">
        <v>621</v>
      </c>
      <c r="FK61" s="1203"/>
      <c r="FL61" s="1203"/>
      <c r="FM61" s="1203"/>
      <c r="FN61" s="1203"/>
      <c r="FO61" s="1203"/>
      <c r="FP61" s="1210"/>
      <c r="FQ61" s="1211"/>
      <c r="FR61" s="1212">
        <v>1636</v>
      </c>
      <c r="FS61" s="1213"/>
      <c r="FT61" s="1211"/>
      <c r="FU61" s="1214">
        <v>1661</v>
      </c>
      <c r="FV61" s="1215">
        <v>17</v>
      </c>
      <c r="FW61" s="1216">
        <v>1835</v>
      </c>
      <c r="FX61" s="1217">
        <v>17</v>
      </c>
      <c r="FY61" s="1216">
        <v>1684</v>
      </c>
      <c r="FZ61" s="1217">
        <v>17</v>
      </c>
      <c r="GA61" s="1216">
        <v>1187</v>
      </c>
      <c r="GB61" s="1218" t="s">
        <v>622</v>
      </c>
      <c r="GC61" s="1216">
        <v>1835</v>
      </c>
      <c r="GD61" s="1218" t="s">
        <v>909</v>
      </c>
      <c r="GE61" s="1219">
        <v>1661</v>
      </c>
      <c r="GF61" s="688"/>
      <c r="GG61" s="483"/>
      <c r="GH61" s="483"/>
      <c r="GI61" s="483"/>
      <c r="GJ61" s="483"/>
      <c r="GK61" s="486"/>
      <c r="GL61" s="1124">
        <v>18</v>
      </c>
      <c r="GM61" s="1220">
        <v>9</v>
      </c>
      <c r="GN61" s="1102">
        <v>0.47</v>
      </c>
      <c r="GO61" s="1103">
        <v>2.2000000000000002</v>
      </c>
      <c r="GP61" s="1103">
        <v>7</v>
      </c>
      <c r="GQ61" s="1104">
        <v>9.1999999999999993</v>
      </c>
      <c r="GR61" s="483"/>
      <c r="GS61" s="580"/>
      <c r="GT61" s="1305"/>
      <c r="GU61" s="689"/>
      <c r="GV61" s="689"/>
      <c r="GW61" s="689"/>
      <c r="GX61" s="689"/>
      <c r="GY61" s="579"/>
      <c r="GZ61" s="500"/>
      <c r="HA61" s="579"/>
      <c r="HB61" s="500"/>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579"/>
      <c r="GU62" s="689"/>
      <c r="GV62" s="689"/>
      <c r="GW62" s="689"/>
      <c r="GX62" s="689"/>
      <c r="GY62" s="579"/>
      <c r="GZ62" s="500"/>
      <c r="HA62" s="579"/>
      <c r="HB62" s="500"/>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759</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303"/>
      <c r="GK63" s="1303"/>
      <c r="GL63" s="578"/>
      <c r="GM63" s="500"/>
      <c r="GN63" s="578"/>
      <c r="GO63" s="500"/>
      <c r="GP63" s="500"/>
      <c r="GQ63" s="500"/>
      <c r="GR63" s="578"/>
      <c r="GS63" s="530"/>
      <c r="GT63" s="579"/>
      <c r="GU63" s="578"/>
      <c r="GV63" s="500"/>
      <c r="GW63" s="578"/>
      <c r="GX63" s="500"/>
      <c r="GY63" s="500"/>
      <c r="GZ63" s="500"/>
      <c r="HA63" s="579"/>
      <c r="HB63" s="500"/>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00"/>
      <c r="GK64" s="500"/>
      <c r="GL64" s="578"/>
      <c r="GM64" s="500"/>
      <c r="GN64" s="578"/>
      <c r="GO64" s="500"/>
      <c r="GP64" s="500"/>
      <c r="GQ64" s="500"/>
      <c r="GR64" s="578"/>
      <c r="GS64" s="409"/>
      <c r="GT64" s="1305"/>
      <c r="GU64" s="578"/>
      <c r="GV64" s="500"/>
      <c r="GW64" s="578"/>
      <c r="GX64" s="500"/>
      <c r="GY64" s="500"/>
      <c r="GZ64" s="579"/>
      <c r="HA64" s="579"/>
      <c r="HB64" s="579"/>
      <c r="HC64" s="562"/>
    </row>
    <row r="65" spans="1:211" ht="20.100000000000001" customHeight="1">
      <c r="A65" s="1163"/>
      <c r="B65" s="1164"/>
      <c r="C65" s="1164"/>
      <c r="D65" s="1232"/>
      <c r="E65" s="1233"/>
      <c r="F65" s="1234"/>
      <c r="G65" s="1235"/>
      <c r="H65" s="1168"/>
      <c r="I65" s="1236"/>
      <c r="J65" s="1237"/>
      <c r="K65" s="1238"/>
      <c r="L65" s="1237"/>
      <c r="M65" s="1238"/>
      <c r="N65" s="1237"/>
      <c r="O65" s="1238"/>
      <c r="P65" s="1237"/>
      <c r="Q65" s="1238"/>
      <c r="R65" s="1237"/>
      <c r="S65" s="1238"/>
      <c r="T65" s="1237"/>
      <c r="U65" s="1238"/>
      <c r="V65" s="1237"/>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c r="AS65" s="1238"/>
      <c r="AT65" s="1237"/>
      <c r="AU65" s="1238"/>
      <c r="AV65" s="1237"/>
      <c r="AW65" s="1238"/>
      <c r="AX65" s="1237"/>
      <c r="AY65" s="1238"/>
      <c r="AZ65" s="1237"/>
      <c r="BA65" s="1238"/>
      <c r="BB65" s="561"/>
      <c r="BC65" s="563"/>
      <c r="BD65" s="1163"/>
      <c r="BE65" s="1164"/>
      <c r="BF65" s="1164"/>
      <c r="BG65" s="1232"/>
      <c r="BH65" s="1233"/>
      <c r="BI65" s="1234"/>
      <c r="BJ65" s="1235"/>
      <c r="BK65" s="1168"/>
      <c r="BL65" s="1236"/>
      <c r="BM65" s="1237"/>
      <c r="BN65" s="1238"/>
      <c r="BO65" s="1237"/>
      <c r="BP65" s="1238"/>
      <c r="BQ65" s="1237"/>
      <c r="BR65" s="1238"/>
      <c r="BS65" s="1237"/>
      <c r="BT65" s="1238"/>
      <c r="BU65" s="1237"/>
      <c r="BV65" s="1238"/>
      <c r="BW65" s="1237"/>
      <c r="BX65" s="1238"/>
      <c r="BY65" s="1237"/>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c r="CV65" s="1238"/>
      <c r="CW65" s="1237"/>
      <c r="CX65" s="1238"/>
      <c r="CY65" s="1237"/>
      <c r="CZ65" s="1238"/>
      <c r="DA65" s="1237"/>
      <c r="DB65" s="1238"/>
      <c r="DC65" s="1237"/>
      <c r="DD65" s="1238"/>
      <c r="DE65" s="561"/>
      <c r="DF65" s="562"/>
      <c r="DG65" s="1163"/>
      <c r="DH65" s="1164"/>
      <c r="DI65" s="1164"/>
      <c r="DJ65" s="1232"/>
      <c r="DK65" s="1233"/>
      <c r="DL65" s="1234"/>
      <c r="DM65" s="1235"/>
      <c r="DN65" s="1168"/>
      <c r="DO65" s="1236"/>
      <c r="DP65" s="1237"/>
      <c r="DQ65" s="1238"/>
      <c r="DR65" s="1237"/>
      <c r="DS65" s="1238"/>
      <c r="DT65" s="1237"/>
      <c r="DU65" s="1238"/>
      <c r="DV65" s="1237"/>
      <c r="DW65" s="1238"/>
      <c r="DX65" s="1237"/>
      <c r="DY65" s="1238"/>
      <c r="DZ65" s="1237"/>
      <c r="EA65" s="1238"/>
      <c r="EB65" s="1237"/>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c r="EY65" s="1238"/>
      <c r="EZ65" s="1237"/>
      <c r="FA65" s="1238"/>
      <c r="FB65" s="1237"/>
      <c r="FC65" s="1238"/>
      <c r="FD65" s="1237"/>
      <c r="FE65" s="1238"/>
      <c r="FF65" s="1237"/>
      <c r="FG65" s="1238"/>
      <c r="FH65" s="561"/>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391"/>
      <c r="GK65" s="529"/>
      <c r="GL65" s="529"/>
      <c r="GM65" s="529"/>
      <c r="GN65" s="529"/>
      <c r="GO65" s="529"/>
      <c r="GP65" s="529"/>
      <c r="GQ65" s="529"/>
      <c r="GR65" s="529"/>
      <c r="GS65" s="409"/>
      <c r="GT65" s="1305"/>
      <c r="GU65" s="500"/>
      <c r="GV65" s="500"/>
      <c r="GW65" s="500"/>
      <c r="GX65" s="500"/>
      <c r="GY65" s="500"/>
      <c r="GZ65" s="579"/>
      <c r="HA65" s="579"/>
      <c r="HB65" s="579"/>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798</v>
      </c>
      <c r="FK66" s="1203"/>
      <c r="FL66" s="1249"/>
      <c r="FM66" s="1250" t="s">
        <v>624</v>
      </c>
      <c r="FN66" s="1251"/>
      <c r="FO66" s="1204"/>
      <c r="FP66" s="1210">
        <v>9</v>
      </c>
      <c r="FQ66" s="1252">
        <v>0</v>
      </c>
      <c r="FR66" s="1253">
        <v>0</v>
      </c>
      <c r="FS66" s="1213">
        <v>9</v>
      </c>
      <c r="FT66" s="1252">
        <v>0</v>
      </c>
      <c r="FU66" s="1254">
        <v>0</v>
      </c>
      <c r="FV66" s="1255"/>
      <c r="FW66" s="1256"/>
      <c r="FX66" s="1256"/>
      <c r="FY66" s="1256"/>
      <c r="FZ66" s="1256"/>
      <c r="GA66" s="1256"/>
      <c r="GB66" s="1256"/>
      <c r="GC66" s="1257"/>
      <c r="GD66" s="1213"/>
      <c r="GE66" s="1258">
        <v>0</v>
      </c>
      <c r="GF66" s="688"/>
      <c r="GG66" s="391"/>
      <c r="GH66" s="391"/>
      <c r="GI66" s="391"/>
      <c r="GJ66" s="483"/>
      <c r="GK66" s="529"/>
      <c r="GL66" s="530"/>
      <c r="GM66" s="529"/>
      <c r="GN66" s="530"/>
      <c r="GO66" s="529"/>
      <c r="GP66" s="529"/>
      <c r="GQ66" s="529"/>
      <c r="GR66" s="530"/>
      <c r="GT66" s="1305"/>
      <c r="GU66" s="579"/>
      <c r="GV66" s="579"/>
      <c r="GW66" s="579"/>
      <c r="GX66" s="579"/>
      <c r="GY66" s="579"/>
      <c r="GZ66" s="500"/>
      <c r="HA66" s="500"/>
      <c r="HB66" s="500"/>
      <c r="HC66" s="406"/>
    </row>
    <row r="67" spans="1:211" ht="20.100000000000001" customHeight="1" thickBot="1">
      <c r="BC67" s="389"/>
      <c r="DF67" s="389"/>
      <c r="FI67" s="389"/>
      <c r="GD67" s="688"/>
      <c r="GE67" s="799"/>
      <c r="GF67" s="688"/>
      <c r="GG67" s="483"/>
      <c r="GH67" s="483"/>
      <c r="GI67" s="483"/>
      <c r="GJ67" s="391"/>
      <c r="GT67" s="689"/>
      <c r="GU67" s="500"/>
      <c r="GV67" s="500"/>
      <c r="GW67" s="500"/>
      <c r="GX67" s="500"/>
      <c r="GY67" s="500"/>
      <c r="GZ67" s="579"/>
      <c r="HA67" s="578"/>
      <c r="HB67" s="579"/>
      <c r="HC67" s="406"/>
    </row>
    <row r="68" spans="1:211" ht="20.100000000000001" customHeight="1">
      <c r="A68" s="1260" t="s">
        <v>360</v>
      </c>
      <c r="B68" s="1261"/>
      <c r="C68" s="1261"/>
      <c r="D68" s="1261"/>
      <c r="E68" s="825"/>
      <c r="F68" s="825"/>
      <c r="G68" s="1262"/>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f>$G68</f>
        <v>0</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f>$G68</f>
        <v>0</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579"/>
      <c r="GU68" s="1303"/>
      <c r="GV68" s="1303"/>
      <c r="GW68" s="1303"/>
      <c r="GX68" s="1303"/>
      <c r="GY68" s="1121"/>
      <c r="GZ68" s="1304"/>
      <c r="HA68" s="1304"/>
      <c r="HB68" s="1304"/>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19">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921</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9時-18時</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9時-18時</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513</v>
      </c>
      <c r="GZ1" s="376" t="s">
        <v>812</v>
      </c>
      <c r="HA1" s="376"/>
      <c r="HB1" s="379"/>
      <c r="HC1" s="1276" t="s">
        <v>514</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872</v>
      </c>
      <c r="B3" s="394">
        <v>205</v>
      </c>
      <c r="C3" s="395" t="s">
        <v>374</v>
      </c>
      <c r="D3" s="396" t="s">
        <v>924</v>
      </c>
      <c r="E3" s="396"/>
      <c r="F3" s="396"/>
      <c r="G3" s="396"/>
      <c r="H3" s="396"/>
      <c r="I3" s="396"/>
      <c r="J3" s="397"/>
      <c r="K3" s="398" t="s">
        <v>376</v>
      </c>
      <c r="L3" s="399"/>
      <c r="M3" s="398" t="s">
        <v>377</v>
      </c>
      <c r="N3" s="399"/>
      <c r="O3" s="400" t="s">
        <v>378</v>
      </c>
      <c r="P3" s="401"/>
      <c r="Q3" s="401"/>
      <c r="R3" s="401"/>
      <c r="S3" s="401"/>
      <c r="T3" s="401"/>
      <c r="U3" s="401"/>
      <c r="V3" s="402"/>
      <c r="W3" s="403" t="s">
        <v>383</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384</v>
      </c>
      <c r="BE3" s="394">
        <v>205</v>
      </c>
      <c r="BF3" s="395" t="s">
        <v>373</v>
      </c>
      <c r="BG3" s="407" t="s">
        <v>920</v>
      </c>
      <c r="BH3" s="407"/>
      <c r="BI3" s="407"/>
      <c r="BJ3" s="407"/>
      <c r="BK3" s="407"/>
      <c r="BL3" s="407"/>
      <c r="BM3" s="408"/>
      <c r="BN3" s="398" t="s">
        <v>376</v>
      </c>
      <c r="BO3" s="399"/>
      <c r="BP3" s="398" t="s">
        <v>385</v>
      </c>
      <c r="BQ3" s="399"/>
      <c r="BR3" s="400" t="s">
        <v>378</v>
      </c>
      <c r="BS3" s="401"/>
      <c r="BT3" s="401"/>
      <c r="BU3" s="401"/>
      <c r="BV3" s="401"/>
      <c r="BW3" s="401"/>
      <c r="BX3" s="401"/>
      <c r="BY3" s="402"/>
      <c r="BZ3" s="403" t="s">
        <v>383</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380</v>
      </c>
      <c r="DH3" s="394">
        <v>205</v>
      </c>
      <c r="DI3" s="395" t="s">
        <v>373</v>
      </c>
      <c r="DJ3" s="407" t="s">
        <v>920</v>
      </c>
      <c r="DK3" s="407"/>
      <c r="DL3" s="407"/>
      <c r="DM3" s="407"/>
      <c r="DN3" s="407"/>
      <c r="DO3" s="407"/>
      <c r="DP3" s="408"/>
      <c r="DQ3" s="398" t="s">
        <v>376</v>
      </c>
      <c r="DR3" s="399"/>
      <c r="DS3" s="398" t="s">
        <v>385</v>
      </c>
      <c r="DT3" s="399"/>
      <c r="DU3" s="400" t="s">
        <v>378</v>
      </c>
      <c r="DV3" s="401"/>
      <c r="DW3" s="401"/>
      <c r="DX3" s="401"/>
      <c r="DY3" s="401"/>
      <c r="DZ3" s="401"/>
      <c r="EA3" s="401"/>
      <c r="EB3" s="402"/>
      <c r="EC3" s="403" t="s">
        <v>383</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384</v>
      </c>
      <c r="FK3" s="394">
        <v>205</v>
      </c>
      <c r="FL3" s="395" t="s">
        <v>373</v>
      </c>
      <c r="FM3" s="407" t="s">
        <v>920</v>
      </c>
      <c r="FN3" s="407"/>
      <c r="FO3" s="407"/>
      <c r="FP3" s="407"/>
      <c r="FQ3" s="407"/>
      <c r="FR3" s="407"/>
      <c r="FS3" s="408"/>
      <c r="FT3" s="398" t="s">
        <v>376</v>
      </c>
      <c r="FU3" s="399"/>
      <c r="FV3" s="398" t="s">
        <v>377</v>
      </c>
      <c r="FW3" s="399"/>
      <c r="FX3" s="400" t="s">
        <v>1111</v>
      </c>
      <c r="FY3" s="401"/>
      <c r="FZ3" s="401"/>
      <c r="GA3" s="401"/>
      <c r="GB3" s="401"/>
      <c r="GC3" s="401"/>
      <c r="GD3" s="401"/>
      <c r="GE3" s="402"/>
      <c r="GF3" s="403" t="s">
        <v>379</v>
      </c>
      <c r="GG3" s="404"/>
      <c r="GH3" s="405"/>
      <c r="GI3" s="409"/>
      <c r="GJ3" s="410" t="s">
        <v>683</v>
      </c>
      <c r="GK3" s="411"/>
      <c r="GL3" s="411"/>
      <c r="GM3" s="411"/>
      <c r="GN3" s="411"/>
      <c r="GO3" s="411"/>
      <c r="GP3" s="411"/>
      <c r="GQ3" s="411"/>
      <c r="GR3" s="412"/>
      <c r="GS3" s="413"/>
      <c r="GT3" s="410" t="s">
        <v>771</v>
      </c>
      <c r="GU3" s="411"/>
      <c r="GV3" s="411"/>
      <c r="GW3" s="411"/>
      <c r="GX3" s="411"/>
      <c r="GY3" s="411"/>
      <c r="GZ3" s="411"/>
      <c r="HA3" s="411"/>
      <c r="HB3" s="412"/>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653</v>
      </c>
      <c r="P4" s="425"/>
      <c r="Q4" s="426" t="s">
        <v>388</v>
      </c>
      <c r="R4" s="425"/>
      <c r="S4" s="427" t="s">
        <v>389</v>
      </c>
      <c r="T4" s="428"/>
      <c r="U4" s="429" t="s">
        <v>390</v>
      </c>
      <c r="V4" s="430"/>
      <c r="W4" s="431" t="s">
        <v>822</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387</v>
      </c>
      <c r="BS4" s="425"/>
      <c r="BT4" s="426" t="s">
        <v>388</v>
      </c>
      <c r="BU4" s="425"/>
      <c r="BV4" s="427" t="s">
        <v>389</v>
      </c>
      <c r="BW4" s="428"/>
      <c r="BX4" s="429" t="s">
        <v>390</v>
      </c>
      <c r="BY4" s="430"/>
      <c r="BZ4" s="431" t="s">
        <v>822</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653</v>
      </c>
      <c r="DV4" s="425"/>
      <c r="DW4" s="426" t="s">
        <v>391</v>
      </c>
      <c r="DX4" s="425"/>
      <c r="DY4" s="427" t="s">
        <v>389</v>
      </c>
      <c r="DZ4" s="428"/>
      <c r="EA4" s="429" t="s">
        <v>393</v>
      </c>
      <c r="EB4" s="430"/>
      <c r="EC4" s="431" t="s">
        <v>822</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387</v>
      </c>
      <c r="FY4" s="425"/>
      <c r="FZ4" s="426" t="s">
        <v>391</v>
      </c>
      <c r="GA4" s="425"/>
      <c r="GB4" s="427" t="s">
        <v>389</v>
      </c>
      <c r="GC4" s="428"/>
      <c r="GD4" s="429" t="s">
        <v>393</v>
      </c>
      <c r="GE4" s="430"/>
      <c r="GF4" s="431" t="s">
        <v>811</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c r="MO4" s="392" t="s">
        <v>811</v>
      </c>
    </row>
    <row r="5" spans="1:353" ht="24.95" customHeight="1" thickBot="1">
      <c r="A5" s="438" t="s">
        <v>408</v>
      </c>
      <c r="B5" s="439">
        <v>2</v>
      </c>
      <c r="C5" s="440" t="s">
        <v>397</v>
      </c>
      <c r="D5" s="441">
        <v>13.23</v>
      </c>
      <c r="E5" s="442" t="s">
        <v>410</v>
      </c>
      <c r="F5" s="443">
        <v>2.8</v>
      </c>
      <c r="G5" s="444" t="s">
        <v>399</v>
      </c>
      <c r="H5" s="445"/>
      <c r="I5" s="446">
        <v>37.1</v>
      </c>
      <c r="J5" s="447"/>
      <c r="K5" s="448">
        <v>120</v>
      </c>
      <c r="L5" s="449"/>
      <c r="M5" s="448">
        <v>20</v>
      </c>
      <c r="N5" s="449"/>
      <c r="O5" s="450" t="s">
        <v>400</v>
      </c>
      <c r="P5" s="451"/>
      <c r="Q5" s="452" t="s">
        <v>401</v>
      </c>
      <c r="R5" s="453"/>
      <c r="S5" s="454" t="s">
        <v>402</v>
      </c>
      <c r="T5" s="455"/>
      <c r="U5" s="456" t="s">
        <v>403</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408</v>
      </c>
      <c r="BE5" s="439">
        <v>2</v>
      </c>
      <c r="BF5" s="440" t="s">
        <v>278</v>
      </c>
      <c r="BG5" s="441">
        <v>13.23</v>
      </c>
      <c r="BH5" s="442" t="s">
        <v>410</v>
      </c>
      <c r="BI5" s="443">
        <v>2.8</v>
      </c>
      <c r="BJ5" s="444" t="s">
        <v>399</v>
      </c>
      <c r="BK5" s="445"/>
      <c r="BL5" s="446">
        <v>37.1</v>
      </c>
      <c r="BM5" s="447"/>
      <c r="BN5" s="448">
        <v>120</v>
      </c>
      <c r="BO5" s="449"/>
      <c r="BP5" s="448">
        <v>20</v>
      </c>
      <c r="BQ5" s="449"/>
      <c r="BR5" s="450" t="s">
        <v>400</v>
      </c>
      <c r="BS5" s="451"/>
      <c r="BT5" s="452" t="s">
        <v>409</v>
      </c>
      <c r="BU5" s="453"/>
      <c r="BV5" s="454" t="s">
        <v>402</v>
      </c>
      <c r="BW5" s="455"/>
      <c r="BX5" s="456" t="s">
        <v>823</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395</v>
      </c>
      <c r="DH5" s="439">
        <v>2</v>
      </c>
      <c r="DI5" s="440" t="s">
        <v>278</v>
      </c>
      <c r="DJ5" s="441">
        <v>13.23</v>
      </c>
      <c r="DK5" s="442" t="s">
        <v>398</v>
      </c>
      <c r="DL5" s="443">
        <v>2.8</v>
      </c>
      <c r="DM5" s="444" t="s">
        <v>404</v>
      </c>
      <c r="DN5" s="445"/>
      <c r="DO5" s="446">
        <v>37.1</v>
      </c>
      <c r="DP5" s="447"/>
      <c r="DQ5" s="448">
        <v>120</v>
      </c>
      <c r="DR5" s="449"/>
      <c r="DS5" s="448">
        <v>20</v>
      </c>
      <c r="DT5" s="449"/>
      <c r="DU5" s="450" t="s">
        <v>405</v>
      </c>
      <c r="DV5" s="451"/>
      <c r="DW5" s="452" t="s">
        <v>409</v>
      </c>
      <c r="DX5" s="453"/>
      <c r="DY5" s="454" t="s">
        <v>406</v>
      </c>
      <c r="DZ5" s="455"/>
      <c r="EA5" s="456" t="s">
        <v>407</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408</v>
      </c>
      <c r="FK5" s="439">
        <v>2</v>
      </c>
      <c r="FL5" s="440" t="s">
        <v>278</v>
      </c>
      <c r="FM5" s="441">
        <v>13.23</v>
      </c>
      <c r="FN5" s="442" t="s">
        <v>410</v>
      </c>
      <c r="FO5" s="443">
        <v>2.8</v>
      </c>
      <c r="FP5" s="444" t="s">
        <v>399</v>
      </c>
      <c r="FQ5" s="445"/>
      <c r="FR5" s="446">
        <v>37.1</v>
      </c>
      <c r="FS5" s="447"/>
      <c r="FT5" s="448">
        <v>120</v>
      </c>
      <c r="FU5" s="449"/>
      <c r="FV5" s="448">
        <v>20</v>
      </c>
      <c r="FW5" s="449"/>
      <c r="FX5" s="1430" t="s">
        <v>1110</v>
      </c>
      <c r="FY5" s="451"/>
      <c r="FZ5" s="1431" t="s">
        <v>1105</v>
      </c>
      <c r="GA5" s="453"/>
      <c r="GB5" s="1432" t="s">
        <v>1090</v>
      </c>
      <c r="GC5" s="455"/>
      <c r="GD5" s="1433" t="s">
        <v>1095</v>
      </c>
      <c r="GE5" s="457"/>
      <c r="GF5" s="458"/>
      <c r="GG5" s="459"/>
      <c r="GH5" s="460"/>
      <c r="GI5" s="462"/>
      <c r="GJ5" s="409"/>
      <c r="GK5" s="463" t="s">
        <v>772</v>
      </c>
      <c r="GL5" s="463"/>
      <c r="GM5" s="463"/>
      <c r="GN5" s="409" t="s">
        <v>826</v>
      </c>
      <c r="GO5" s="464"/>
      <c r="GP5" s="464"/>
      <c r="GQ5" s="464"/>
      <c r="GR5" s="409"/>
      <c r="GS5" s="409"/>
      <c r="GT5" s="413"/>
      <c r="GU5" s="463" t="s">
        <v>519</v>
      </c>
      <c r="GV5" s="463"/>
      <c r="GW5" s="463"/>
      <c r="GX5" s="409" t="s">
        <v>827</v>
      </c>
      <c r="GY5" s="464"/>
      <c r="GZ5" s="464"/>
      <c r="HA5" s="464"/>
      <c r="HB5" s="409"/>
      <c r="HC5" s="465"/>
      <c r="HD5" s="437"/>
      <c r="HE5" s="437"/>
      <c r="HF5" s="504"/>
      <c r="HG5" s="386"/>
    </row>
    <row r="6" spans="1:353" ht="20.100000000000001" customHeight="1" thickBot="1">
      <c r="A6" s="466" t="s">
        <v>415</v>
      </c>
      <c r="B6" s="467"/>
      <c r="C6" s="468" t="s">
        <v>416</v>
      </c>
      <c r="D6" s="468"/>
      <c r="E6" s="468"/>
      <c r="F6" s="469">
        <v>0</v>
      </c>
      <c r="G6" s="469"/>
      <c r="H6" s="468" t="s">
        <v>417</v>
      </c>
      <c r="I6" s="468"/>
      <c r="J6" s="468"/>
      <c r="K6" s="468"/>
      <c r="L6" s="468"/>
      <c r="M6" s="470">
        <v>0</v>
      </c>
      <c r="N6" s="470"/>
      <c r="O6" s="471"/>
      <c r="P6" s="472"/>
      <c r="Q6" s="472" t="s">
        <v>665</v>
      </c>
      <c r="R6" s="473">
        <v>0</v>
      </c>
      <c r="S6" s="473"/>
      <c r="T6" s="474"/>
      <c r="U6" s="475" t="s">
        <v>874</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29</v>
      </c>
      <c r="BC6" s="479"/>
      <c r="BD6" s="466" t="s">
        <v>664</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875</v>
      </c>
      <c r="DF6" s="481"/>
      <c r="DG6" s="466" t="s">
        <v>664</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423</v>
      </c>
      <c r="FI6" s="481"/>
      <c r="FJ6" s="466" t="s">
        <v>903</v>
      </c>
      <c r="FK6" s="467"/>
      <c r="FL6" s="468" t="s">
        <v>416</v>
      </c>
      <c r="FM6" s="468"/>
      <c r="FN6" s="468"/>
      <c r="FO6" s="469">
        <v>0</v>
      </c>
      <c r="FP6" s="469"/>
      <c r="FQ6" s="468" t="s">
        <v>417</v>
      </c>
      <c r="FR6" s="468"/>
      <c r="FS6" s="468"/>
      <c r="FT6" s="468"/>
      <c r="FU6" s="468"/>
      <c r="FV6" s="470">
        <v>0</v>
      </c>
      <c r="FW6" s="470"/>
      <c r="FX6" s="471"/>
      <c r="FY6" s="472"/>
      <c r="FZ6" s="472" t="s">
        <v>667</v>
      </c>
      <c r="GA6" s="473">
        <v>0</v>
      </c>
      <c r="GB6" s="473"/>
      <c r="GC6" s="474"/>
      <c r="GD6" s="475" t="s">
        <v>668</v>
      </c>
      <c r="GE6" s="476">
        <v>0</v>
      </c>
      <c r="GF6" s="476"/>
      <c r="GG6" s="477"/>
      <c r="GH6" s="472"/>
      <c r="GI6" s="472"/>
      <c r="GJ6" s="483"/>
      <c r="GK6" s="484" t="s">
        <v>688</v>
      </c>
      <c r="GL6" s="484"/>
      <c r="GM6" s="484"/>
      <c r="GN6" s="485">
        <v>2</v>
      </c>
      <c r="GO6" s="486"/>
      <c r="GP6" s="486"/>
      <c r="GQ6" s="486"/>
      <c r="GR6" s="483"/>
      <c r="GS6" s="483"/>
      <c r="GT6" s="413"/>
      <c r="GU6" s="484" t="s">
        <v>773</v>
      </c>
      <c r="GV6" s="484"/>
      <c r="GW6" s="484"/>
      <c r="GX6" s="485">
        <v>2</v>
      </c>
      <c r="GY6" s="413"/>
      <c r="GZ6" s="413"/>
      <c r="HA6" s="486"/>
      <c r="HB6" s="486"/>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470</v>
      </c>
      <c r="GK8" s="528"/>
      <c r="GL8" s="529"/>
      <c r="GM8" s="530"/>
      <c r="GN8" s="529"/>
      <c r="GO8" s="530"/>
      <c r="GP8" s="529"/>
      <c r="GQ8" s="529"/>
      <c r="GR8" s="529"/>
      <c r="GS8" s="529"/>
      <c r="GT8" s="528" t="s">
        <v>469</v>
      </c>
      <c r="GU8" s="528"/>
      <c r="GV8" s="413"/>
      <c r="GW8" s="483"/>
      <c r="GX8" s="486"/>
      <c r="GY8" s="483"/>
      <c r="GZ8" s="486"/>
      <c r="HA8" s="530"/>
      <c r="HB8" s="530"/>
      <c r="HC8" s="530"/>
      <c r="HD8" s="437"/>
      <c r="HE8" s="437"/>
      <c r="HF8" s="1275"/>
      <c r="HG8" s="1275"/>
    </row>
    <row r="9" spans="1:353" ht="22.5" customHeight="1">
      <c r="A9" s="532" t="s">
        <v>289</v>
      </c>
      <c r="B9" s="533" t="s">
        <v>290</v>
      </c>
      <c r="C9" s="534" t="s">
        <v>291</v>
      </c>
      <c r="D9" s="534" t="s">
        <v>910</v>
      </c>
      <c r="E9" s="535" t="s">
        <v>911</v>
      </c>
      <c r="F9" s="536" t="s">
        <v>294</v>
      </c>
      <c r="G9" s="537" t="s">
        <v>912</v>
      </c>
      <c r="H9" s="538" t="s">
        <v>913</v>
      </c>
      <c r="I9" s="539" t="s">
        <v>297</v>
      </c>
      <c r="J9" s="538" t="s">
        <v>913</v>
      </c>
      <c r="K9" s="539" t="s">
        <v>297</v>
      </c>
      <c r="L9" s="538" t="s">
        <v>913</v>
      </c>
      <c r="M9" s="539" t="s">
        <v>297</v>
      </c>
      <c r="N9" s="538" t="s">
        <v>913</v>
      </c>
      <c r="O9" s="539" t="s">
        <v>297</v>
      </c>
      <c r="P9" s="538" t="s">
        <v>913</v>
      </c>
      <c r="Q9" s="539" t="s">
        <v>297</v>
      </c>
      <c r="R9" s="538" t="s">
        <v>913</v>
      </c>
      <c r="S9" s="539" t="s">
        <v>297</v>
      </c>
      <c r="T9" s="538" t="s">
        <v>913</v>
      </c>
      <c r="U9" s="539" t="s">
        <v>297</v>
      </c>
      <c r="V9" s="538" t="s">
        <v>913</v>
      </c>
      <c r="W9" s="539" t="s">
        <v>297</v>
      </c>
      <c r="X9" s="538" t="s">
        <v>913</v>
      </c>
      <c r="Y9" s="539" t="s">
        <v>297</v>
      </c>
      <c r="Z9" s="538" t="s">
        <v>913</v>
      </c>
      <c r="AA9" s="539" t="s">
        <v>297</v>
      </c>
      <c r="AB9" s="538" t="s">
        <v>913</v>
      </c>
      <c r="AC9" s="539" t="s">
        <v>297</v>
      </c>
      <c r="AD9" s="538" t="s">
        <v>913</v>
      </c>
      <c r="AE9" s="539" t="s">
        <v>297</v>
      </c>
      <c r="AF9" s="538" t="s">
        <v>913</v>
      </c>
      <c r="AG9" s="539" t="s">
        <v>297</v>
      </c>
      <c r="AH9" s="538" t="s">
        <v>913</v>
      </c>
      <c r="AI9" s="539" t="s">
        <v>297</v>
      </c>
      <c r="AJ9" s="538" t="s">
        <v>913</v>
      </c>
      <c r="AK9" s="539" t="s">
        <v>297</v>
      </c>
      <c r="AL9" s="538" t="s">
        <v>913</v>
      </c>
      <c r="AM9" s="539" t="s">
        <v>297</v>
      </c>
      <c r="AN9" s="538" t="s">
        <v>913</v>
      </c>
      <c r="AO9" s="539" t="s">
        <v>297</v>
      </c>
      <c r="AP9" s="538" t="s">
        <v>913</v>
      </c>
      <c r="AQ9" s="539" t="s">
        <v>297</v>
      </c>
      <c r="AR9" s="538" t="s">
        <v>913</v>
      </c>
      <c r="AS9" s="539" t="s">
        <v>297</v>
      </c>
      <c r="AT9" s="538" t="s">
        <v>913</v>
      </c>
      <c r="AU9" s="539" t="s">
        <v>297</v>
      </c>
      <c r="AV9" s="538" t="s">
        <v>913</v>
      </c>
      <c r="AW9" s="539" t="s">
        <v>297</v>
      </c>
      <c r="AX9" s="538" t="s">
        <v>913</v>
      </c>
      <c r="AY9" s="539" t="s">
        <v>297</v>
      </c>
      <c r="AZ9" s="538" t="s">
        <v>913</v>
      </c>
      <c r="BA9" s="539" t="s">
        <v>297</v>
      </c>
      <c r="BB9" s="540" t="s">
        <v>298</v>
      </c>
      <c r="BC9" s="503"/>
      <c r="BD9" s="532" t="s">
        <v>289</v>
      </c>
      <c r="BE9" s="533" t="s">
        <v>290</v>
      </c>
      <c r="BF9" s="534" t="s">
        <v>291</v>
      </c>
      <c r="BG9" s="534" t="s">
        <v>910</v>
      </c>
      <c r="BH9" s="535" t="s">
        <v>911</v>
      </c>
      <c r="BI9" s="536" t="s">
        <v>294</v>
      </c>
      <c r="BJ9" s="537" t="s">
        <v>912</v>
      </c>
      <c r="BK9" s="538" t="s">
        <v>913</v>
      </c>
      <c r="BL9" s="539" t="s">
        <v>297</v>
      </c>
      <c r="BM9" s="538" t="s">
        <v>913</v>
      </c>
      <c r="BN9" s="539" t="s">
        <v>297</v>
      </c>
      <c r="BO9" s="538" t="s">
        <v>913</v>
      </c>
      <c r="BP9" s="539" t="s">
        <v>297</v>
      </c>
      <c r="BQ9" s="538" t="s">
        <v>913</v>
      </c>
      <c r="BR9" s="539" t="s">
        <v>297</v>
      </c>
      <c r="BS9" s="538" t="s">
        <v>913</v>
      </c>
      <c r="BT9" s="539" t="s">
        <v>297</v>
      </c>
      <c r="BU9" s="538" t="s">
        <v>913</v>
      </c>
      <c r="BV9" s="539" t="s">
        <v>297</v>
      </c>
      <c r="BW9" s="538" t="s">
        <v>913</v>
      </c>
      <c r="BX9" s="539" t="s">
        <v>297</v>
      </c>
      <c r="BY9" s="538" t="s">
        <v>913</v>
      </c>
      <c r="BZ9" s="539" t="s">
        <v>297</v>
      </c>
      <c r="CA9" s="538" t="s">
        <v>913</v>
      </c>
      <c r="CB9" s="539" t="s">
        <v>297</v>
      </c>
      <c r="CC9" s="538" t="s">
        <v>913</v>
      </c>
      <c r="CD9" s="539" t="s">
        <v>297</v>
      </c>
      <c r="CE9" s="538" t="s">
        <v>913</v>
      </c>
      <c r="CF9" s="539" t="s">
        <v>297</v>
      </c>
      <c r="CG9" s="538" t="s">
        <v>913</v>
      </c>
      <c r="CH9" s="539" t="s">
        <v>297</v>
      </c>
      <c r="CI9" s="538" t="s">
        <v>913</v>
      </c>
      <c r="CJ9" s="539" t="s">
        <v>297</v>
      </c>
      <c r="CK9" s="538" t="s">
        <v>913</v>
      </c>
      <c r="CL9" s="539" t="s">
        <v>297</v>
      </c>
      <c r="CM9" s="538" t="s">
        <v>913</v>
      </c>
      <c r="CN9" s="539" t="s">
        <v>297</v>
      </c>
      <c r="CO9" s="538" t="s">
        <v>913</v>
      </c>
      <c r="CP9" s="539" t="s">
        <v>297</v>
      </c>
      <c r="CQ9" s="538" t="s">
        <v>913</v>
      </c>
      <c r="CR9" s="539" t="s">
        <v>297</v>
      </c>
      <c r="CS9" s="538" t="s">
        <v>913</v>
      </c>
      <c r="CT9" s="539" t="s">
        <v>297</v>
      </c>
      <c r="CU9" s="538" t="s">
        <v>913</v>
      </c>
      <c r="CV9" s="539" t="s">
        <v>297</v>
      </c>
      <c r="CW9" s="538" t="s">
        <v>913</v>
      </c>
      <c r="CX9" s="539" t="s">
        <v>297</v>
      </c>
      <c r="CY9" s="538" t="s">
        <v>913</v>
      </c>
      <c r="CZ9" s="539" t="s">
        <v>297</v>
      </c>
      <c r="DA9" s="538" t="s">
        <v>913</v>
      </c>
      <c r="DB9" s="539" t="s">
        <v>297</v>
      </c>
      <c r="DC9" s="538" t="s">
        <v>913</v>
      </c>
      <c r="DD9" s="539" t="s">
        <v>297</v>
      </c>
      <c r="DE9" s="540" t="s">
        <v>298</v>
      </c>
      <c r="DF9" s="503"/>
      <c r="DG9" s="532" t="s">
        <v>289</v>
      </c>
      <c r="DH9" s="533" t="s">
        <v>290</v>
      </c>
      <c r="DI9" s="534" t="s">
        <v>291</v>
      </c>
      <c r="DJ9" s="534" t="s">
        <v>910</v>
      </c>
      <c r="DK9" s="535" t="s">
        <v>911</v>
      </c>
      <c r="DL9" s="536" t="s">
        <v>294</v>
      </c>
      <c r="DM9" s="537" t="s">
        <v>912</v>
      </c>
      <c r="DN9" s="538" t="s">
        <v>913</v>
      </c>
      <c r="DO9" s="539" t="s">
        <v>297</v>
      </c>
      <c r="DP9" s="538" t="s">
        <v>913</v>
      </c>
      <c r="DQ9" s="539" t="s">
        <v>297</v>
      </c>
      <c r="DR9" s="538" t="s">
        <v>913</v>
      </c>
      <c r="DS9" s="539" t="s">
        <v>297</v>
      </c>
      <c r="DT9" s="538" t="s">
        <v>913</v>
      </c>
      <c r="DU9" s="539" t="s">
        <v>297</v>
      </c>
      <c r="DV9" s="538" t="s">
        <v>913</v>
      </c>
      <c r="DW9" s="539" t="s">
        <v>297</v>
      </c>
      <c r="DX9" s="538" t="s">
        <v>913</v>
      </c>
      <c r="DY9" s="539" t="s">
        <v>297</v>
      </c>
      <c r="DZ9" s="538" t="s">
        <v>913</v>
      </c>
      <c r="EA9" s="539" t="s">
        <v>297</v>
      </c>
      <c r="EB9" s="538" t="s">
        <v>913</v>
      </c>
      <c r="EC9" s="539" t="s">
        <v>297</v>
      </c>
      <c r="ED9" s="538" t="s">
        <v>913</v>
      </c>
      <c r="EE9" s="539" t="s">
        <v>297</v>
      </c>
      <c r="EF9" s="538" t="s">
        <v>913</v>
      </c>
      <c r="EG9" s="539" t="s">
        <v>297</v>
      </c>
      <c r="EH9" s="538" t="s">
        <v>913</v>
      </c>
      <c r="EI9" s="539" t="s">
        <v>297</v>
      </c>
      <c r="EJ9" s="538" t="s">
        <v>913</v>
      </c>
      <c r="EK9" s="539" t="s">
        <v>297</v>
      </c>
      <c r="EL9" s="538" t="s">
        <v>913</v>
      </c>
      <c r="EM9" s="539" t="s">
        <v>297</v>
      </c>
      <c r="EN9" s="538" t="s">
        <v>913</v>
      </c>
      <c r="EO9" s="539" t="s">
        <v>297</v>
      </c>
      <c r="EP9" s="538" t="s">
        <v>913</v>
      </c>
      <c r="EQ9" s="539" t="s">
        <v>297</v>
      </c>
      <c r="ER9" s="538" t="s">
        <v>913</v>
      </c>
      <c r="ES9" s="539" t="s">
        <v>297</v>
      </c>
      <c r="ET9" s="538" t="s">
        <v>913</v>
      </c>
      <c r="EU9" s="539" t="s">
        <v>297</v>
      </c>
      <c r="EV9" s="538" t="s">
        <v>913</v>
      </c>
      <c r="EW9" s="539" t="s">
        <v>297</v>
      </c>
      <c r="EX9" s="538" t="s">
        <v>913</v>
      </c>
      <c r="EY9" s="539" t="s">
        <v>297</v>
      </c>
      <c r="EZ9" s="538" t="s">
        <v>913</v>
      </c>
      <c r="FA9" s="539" t="s">
        <v>297</v>
      </c>
      <c r="FB9" s="538" t="s">
        <v>913</v>
      </c>
      <c r="FC9" s="539" t="s">
        <v>297</v>
      </c>
      <c r="FD9" s="538" t="s">
        <v>913</v>
      </c>
      <c r="FE9" s="539" t="s">
        <v>297</v>
      </c>
      <c r="FF9" s="538" t="s">
        <v>913</v>
      </c>
      <c r="FG9" s="539" t="s">
        <v>297</v>
      </c>
      <c r="FH9" s="540" t="s">
        <v>298</v>
      </c>
      <c r="FI9" s="541"/>
      <c r="FJ9" s="542" t="s">
        <v>289</v>
      </c>
      <c r="FK9" s="533" t="s">
        <v>290</v>
      </c>
      <c r="FL9" s="534" t="s">
        <v>291</v>
      </c>
      <c r="FM9" s="534" t="s">
        <v>910</v>
      </c>
      <c r="FN9" s="535" t="s">
        <v>911</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689</v>
      </c>
      <c r="GL9" s="529"/>
      <c r="GM9" s="530"/>
      <c r="GN9" s="529"/>
      <c r="GO9" s="549">
        <v>0.92</v>
      </c>
      <c r="GP9" s="529"/>
      <c r="GQ9" s="529"/>
      <c r="GR9" s="529"/>
      <c r="GS9" s="529"/>
      <c r="GT9" s="550"/>
      <c r="GU9" s="483" t="s">
        <v>690</v>
      </c>
      <c r="GV9" s="413"/>
      <c r="GW9" s="483"/>
      <c r="GX9" s="551">
        <v>1</v>
      </c>
      <c r="GY9" s="483"/>
      <c r="GZ9" s="486"/>
      <c r="HA9" s="530"/>
      <c r="HB9" s="530"/>
      <c r="HC9" s="530"/>
      <c r="HD9" s="437"/>
      <c r="HE9" s="437"/>
      <c r="HF9" s="1279"/>
      <c r="HG9" s="1279"/>
    </row>
    <row r="10" spans="1:353" ht="20.100000000000001" customHeight="1">
      <c r="A10" s="552"/>
      <c r="B10" s="553"/>
      <c r="C10" s="554"/>
      <c r="D10" s="555"/>
      <c r="E10" s="553"/>
      <c r="F10" s="554"/>
      <c r="G10" s="556"/>
      <c r="H10" s="557"/>
      <c r="I10" s="558"/>
      <c r="J10" s="559"/>
      <c r="K10" s="560"/>
      <c r="L10" s="559"/>
      <c r="M10" s="560"/>
      <c r="N10" s="559"/>
      <c r="O10" s="560"/>
      <c r="P10" s="559"/>
      <c r="Q10" s="560"/>
      <c r="R10" s="559"/>
      <c r="S10" s="560"/>
      <c r="T10" s="559"/>
      <c r="U10" s="560"/>
      <c r="V10" s="559"/>
      <c r="W10" s="560"/>
      <c r="X10" s="559"/>
      <c r="Y10" s="560"/>
      <c r="Z10" s="559"/>
      <c r="AA10" s="560"/>
      <c r="AB10" s="559"/>
      <c r="AC10" s="560"/>
      <c r="AD10" s="559"/>
      <c r="AE10" s="560"/>
      <c r="AF10" s="559"/>
      <c r="AG10" s="560"/>
      <c r="AH10" s="559"/>
      <c r="AI10" s="560"/>
      <c r="AJ10" s="559"/>
      <c r="AK10" s="560"/>
      <c r="AL10" s="559"/>
      <c r="AM10" s="560"/>
      <c r="AN10" s="559"/>
      <c r="AO10" s="560"/>
      <c r="AP10" s="559"/>
      <c r="AQ10" s="560"/>
      <c r="AR10" s="559"/>
      <c r="AS10" s="560"/>
      <c r="AT10" s="559"/>
      <c r="AU10" s="560"/>
      <c r="AV10" s="559"/>
      <c r="AW10" s="560"/>
      <c r="AX10" s="559"/>
      <c r="AY10" s="560"/>
      <c r="AZ10" s="559"/>
      <c r="BA10" s="560"/>
      <c r="BB10" s="561"/>
      <c r="BC10" s="562"/>
      <c r="BD10" s="552"/>
      <c r="BE10" s="553"/>
      <c r="BF10" s="554"/>
      <c r="BG10" s="555"/>
      <c r="BH10" s="553"/>
      <c r="BI10" s="554"/>
      <c r="BJ10" s="556"/>
      <c r="BK10" s="557"/>
      <c r="BL10" s="558"/>
      <c r="BM10" s="559"/>
      <c r="BN10" s="560"/>
      <c r="BO10" s="559"/>
      <c r="BP10" s="560"/>
      <c r="BQ10" s="559"/>
      <c r="BR10" s="560"/>
      <c r="BS10" s="559"/>
      <c r="BT10" s="560"/>
      <c r="BU10" s="559"/>
      <c r="BV10" s="560"/>
      <c r="BW10" s="559"/>
      <c r="BX10" s="560"/>
      <c r="BY10" s="559"/>
      <c r="BZ10" s="560"/>
      <c r="CA10" s="559"/>
      <c r="CB10" s="560"/>
      <c r="CC10" s="559"/>
      <c r="CD10" s="560"/>
      <c r="CE10" s="559"/>
      <c r="CF10" s="560"/>
      <c r="CG10" s="559"/>
      <c r="CH10" s="560"/>
      <c r="CI10" s="559"/>
      <c r="CJ10" s="560"/>
      <c r="CK10" s="559"/>
      <c r="CL10" s="560"/>
      <c r="CM10" s="559"/>
      <c r="CN10" s="560"/>
      <c r="CO10" s="559"/>
      <c r="CP10" s="560"/>
      <c r="CQ10" s="559"/>
      <c r="CR10" s="560"/>
      <c r="CS10" s="559"/>
      <c r="CT10" s="560"/>
      <c r="CU10" s="559"/>
      <c r="CV10" s="560"/>
      <c r="CW10" s="559"/>
      <c r="CX10" s="560"/>
      <c r="CY10" s="559"/>
      <c r="CZ10" s="560"/>
      <c r="DA10" s="559"/>
      <c r="DB10" s="560"/>
      <c r="DC10" s="559"/>
      <c r="DD10" s="560"/>
      <c r="DE10" s="561"/>
      <c r="DF10" s="562"/>
      <c r="DG10" s="552"/>
      <c r="DH10" s="553"/>
      <c r="DI10" s="554"/>
      <c r="DJ10" s="555"/>
      <c r="DK10" s="553"/>
      <c r="DL10" s="554"/>
      <c r="DM10" s="556"/>
      <c r="DN10" s="557"/>
      <c r="DO10" s="558"/>
      <c r="DP10" s="559"/>
      <c r="DQ10" s="560"/>
      <c r="DR10" s="559"/>
      <c r="DS10" s="560"/>
      <c r="DT10" s="559"/>
      <c r="DU10" s="560"/>
      <c r="DV10" s="559"/>
      <c r="DW10" s="560"/>
      <c r="DX10" s="559"/>
      <c r="DY10" s="560"/>
      <c r="DZ10" s="559"/>
      <c r="EA10" s="560"/>
      <c r="EB10" s="559"/>
      <c r="EC10" s="560"/>
      <c r="ED10" s="559"/>
      <c r="EE10" s="560"/>
      <c r="EF10" s="559"/>
      <c r="EG10" s="560"/>
      <c r="EH10" s="559"/>
      <c r="EI10" s="560"/>
      <c r="EJ10" s="559"/>
      <c r="EK10" s="560"/>
      <c r="EL10" s="559"/>
      <c r="EM10" s="560"/>
      <c r="EN10" s="559"/>
      <c r="EO10" s="560"/>
      <c r="EP10" s="559"/>
      <c r="EQ10" s="560"/>
      <c r="ER10" s="559"/>
      <c r="ES10" s="560"/>
      <c r="ET10" s="559"/>
      <c r="EU10" s="560"/>
      <c r="EV10" s="559"/>
      <c r="EW10" s="560"/>
      <c r="EX10" s="559"/>
      <c r="EY10" s="560"/>
      <c r="EZ10" s="559"/>
      <c r="FA10" s="560"/>
      <c r="FB10" s="559"/>
      <c r="FC10" s="560"/>
      <c r="FD10" s="559"/>
      <c r="FE10" s="560"/>
      <c r="FF10" s="559"/>
      <c r="FG10" s="560"/>
      <c r="FH10" s="561"/>
      <c r="FI10" s="563"/>
      <c r="FJ10" s="564"/>
      <c r="FK10" s="553"/>
      <c r="FL10" s="554"/>
      <c r="FM10" s="555"/>
      <c r="FN10" s="553"/>
      <c r="FO10" s="554"/>
      <c r="FP10" s="565"/>
      <c r="FQ10" s="558"/>
      <c r="FR10" s="557" t="s">
        <v>914</v>
      </c>
      <c r="FS10" s="566"/>
      <c r="FT10" s="558"/>
      <c r="FU10" s="567" t="s">
        <v>629</v>
      </c>
      <c r="FV10" s="568" t="s">
        <v>301</v>
      </c>
      <c r="FW10" s="1299"/>
      <c r="FX10" s="1281" t="s">
        <v>302</v>
      </c>
      <c r="FY10" s="1300"/>
      <c r="FZ10" s="1283" t="s">
        <v>303</v>
      </c>
      <c r="GA10" s="1301"/>
      <c r="GB10" s="1285" t="s">
        <v>922</v>
      </c>
      <c r="GC10" s="1302"/>
      <c r="GD10" s="576" t="s">
        <v>923</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914</v>
      </c>
      <c r="FS11" s="591"/>
      <c r="FT11" s="586"/>
      <c r="FU11" s="592" t="s">
        <v>629</v>
      </c>
      <c r="FV11" s="593"/>
      <c r="FW11" s="594"/>
      <c r="FX11" s="595"/>
      <c r="FY11" s="596"/>
      <c r="FZ11" s="597"/>
      <c r="GA11" s="598"/>
      <c r="GB11" s="599"/>
      <c r="GC11" s="600"/>
      <c r="GD11" s="599"/>
      <c r="GE11" s="601"/>
      <c r="GF11" s="499"/>
      <c r="GG11" s="602"/>
      <c r="GH11" s="602"/>
      <c r="GI11" s="602"/>
      <c r="GJ11" s="529"/>
      <c r="GK11" s="580" t="s">
        <v>525</v>
      </c>
      <c r="GL11" s="413"/>
      <c r="GM11" s="483"/>
      <c r="GN11" s="486"/>
      <c r="GO11" s="483"/>
      <c r="GP11" s="413"/>
      <c r="GQ11" s="529"/>
      <c r="GR11" s="529"/>
      <c r="GS11" s="529"/>
      <c r="GT11" s="548"/>
      <c r="GU11" s="580" t="s">
        <v>830</v>
      </c>
      <c r="GV11" s="413"/>
      <c r="GW11" s="483"/>
      <c r="GX11" s="486"/>
      <c r="GY11" s="483"/>
      <c r="GZ11" s="413"/>
      <c r="HA11" s="530"/>
      <c r="HB11" s="530"/>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914</v>
      </c>
      <c r="FS12" s="591"/>
      <c r="FT12" s="586"/>
      <c r="FU12" s="592" t="s">
        <v>914</v>
      </c>
      <c r="FV12" s="593"/>
      <c r="FW12" s="594"/>
      <c r="FX12" s="595"/>
      <c r="FY12" s="596"/>
      <c r="FZ12" s="597"/>
      <c r="GA12" s="598"/>
      <c r="GB12" s="599"/>
      <c r="GC12" s="600"/>
      <c r="GD12" s="599"/>
      <c r="GE12" s="601"/>
      <c r="GF12" s="499"/>
      <c r="GG12" s="602"/>
      <c r="GH12" s="602"/>
      <c r="GI12" s="602"/>
      <c r="GJ12" s="413"/>
      <c r="GK12" s="603" t="s">
        <v>380</v>
      </c>
      <c r="GL12" s="604"/>
      <c r="GM12" s="605" t="s">
        <v>527</v>
      </c>
      <c r="GN12" s="606" t="s">
        <v>831</v>
      </c>
      <c r="GO12" s="607" t="s">
        <v>529</v>
      </c>
      <c r="GP12" s="608" t="s">
        <v>692</v>
      </c>
      <c r="GQ12" s="607" t="s">
        <v>693</v>
      </c>
      <c r="GR12" s="607" t="s">
        <v>532</v>
      </c>
      <c r="GS12" s="609"/>
      <c r="GT12" s="548"/>
      <c r="GU12" s="603" t="s">
        <v>384</v>
      </c>
      <c r="GV12" s="604"/>
      <c r="GW12" s="605" t="s">
        <v>774</v>
      </c>
      <c r="GX12" s="610" t="s">
        <v>695</v>
      </c>
      <c r="GY12" s="611"/>
      <c r="GZ12" s="612" t="s">
        <v>832</v>
      </c>
      <c r="HA12" s="613" t="s">
        <v>535</v>
      </c>
      <c r="HB12" s="614"/>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914</v>
      </c>
      <c r="FS13" s="626"/>
      <c r="FT13" s="621"/>
      <c r="FU13" s="627" t="s">
        <v>629</v>
      </c>
      <c r="FV13" s="593"/>
      <c r="FW13" s="594"/>
      <c r="FX13" s="595"/>
      <c r="FY13" s="596"/>
      <c r="FZ13" s="597"/>
      <c r="GA13" s="598"/>
      <c r="GB13" s="599"/>
      <c r="GC13" s="600"/>
      <c r="GD13" s="599"/>
      <c r="GE13" s="601"/>
      <c r="GF13" s="499"/>
      <c r="GG13" s="602"/>
      <c r="GH13" s="602"/>
      <c r="GI13" s="602"/>
      <c r="GJ13" s="413"/>
      <c r="GK13" s="628"/>
      <c r="GL13" s="629"/>
      <c r="GM13" s="630"/>
      <c r="GN13" s="631"/>
      <c r="GO13" s="632"/>
      <c r="GP13" s="632"/>
      <c r="GQ13" s="633">
        <v>0</v>
      </c>
      <c r="GR13" s="634">
        <v>0</v>
      </c>
      <c r="GS13" s="578"/>
      <c r="GT13" s="413"/>
      <c r="GU13" s="628"/>
      <c r="GV13" s="629"/>
      <c r="GW13" s="635"/>
      <c r="GX13" s="636"/>
      <c r="GY13" s="637"/>
      <c r="GZ13" s="638"/>
      <c r="HA13" s="639">
        <v>0</v>
      </c>
      <c r="HB13" s="640"/>
      <c r="HC13" s="530"/>
      <c r="HD13" s="799"/>
      <c r="HE13" s="437"/>
      <c r="HF13" s="386"/>
      <c r="HG13" s="386"/>
    </row>
    <row r="14" spans="1:353" ht="20.100000000000001" customHeight="1">
      <c r="A14" s="641"/>
      <c r="B14" s="642"/>
      <c r="C14" s="642"/>
      <c r="D14" s="643" t="s">
        <v>750</v>
      </c>
      <c r="E14" s="642"/>
      <c r="F14" s="642"/>
      <c r="G14" s="644"/>
      <c r="H14" s="645">
        <f>SUM(H10:H13)</f>
        <v>0</v>
      </c>
      <c r="I14" s="735"/>
      <c r="J14" s="645">
        <f>SUM(J10:J13)</f>
        <v>0</v>
      </c>
      <c r="K14" s="735"/>
      <c r="L14" s="645">
        <f>SUM(L10:L13)</f>
        <v>0</v>
      </c>
      <c r="M14" s="735"/>
      <c r="N14" s="645">
        <f>SUM(N10:N13)</f>
        <v>0</v>
      </c>
      <c r="O14" s="735"/>
      <c r="P14" s="645">
        <f>SUM(P10:P13)</f>
        <v>0</v>
      </c>
      <c r="Q14" s="735"/>
      <c r="R14" s="645">
        <f>SUM(R10:R13)</f>
        <v>0</v>
      </c>
      <c r="S14" s="735"/>
      <c r="T14" s="645">
        <f>SUM(T10:T13)</f>
        <v>0</v>
      </c>
      <c r="U14" s="735"/>
      <c r="V14" s="645">
        <f>SUM(V10:V13)</f>
        <v>0</v>
      </c>
      <c r="W14" s="735"/>
      <c r="X14" s="645">
        <f>SUM(X10:X13)</f>
        <v>0</v>
      </c>
      <c r="Y14" s="735"/>
      <c r="Z14" s="645">
        <f>SUM(Z10:Z13)</f>
        <v>0</v>
      </c>
      <c r="AA14" s="735"/>
      <c r="AB14" s="645">
        <f>SUM(AB10:AB13)</f>
        <v>0</v>
      </c>
      <c r="AC14" s="735"/>
      <c r="AD14" s="645">
        <f>SUM(AD10:AD13)</f>
        <v>0</v>
      </c>
      <c r="AE14" s="735"/>
      <c r="AF14" s="645">
        <f>SUM(AF10:AF13)</f>
        <v>0</v>
      </c>
      <c r="AG14" s="735"/>
      <c r="AH14" s="645">
        <f>SUM(AH10:AH13)</f>
        <v>0</v>
      </c>
      <c r="AI14" s="735"/>
      <c r="AJ14" s="645">
        <f>SUM(AJ10:AJ13)</f>
        <v>0</v>
      </c>
      <c r="AK14" s="735"/>
      <c r="AL14" s="645">
        <f>SUM(AL10:AL13)</f>
        <v>0</v>
      </c>
      <c r="AM14" s="735"/>
      <c r="AN14" s="645">
        <f>SUM(AN10:AN13)</f>
        <v>0</v>
      </c>
      <c r="AO14" s="735"/>
      <c r="AP14" s="645">
        <f>SUM(AP10:AP13)</f>
        <v>0</v>
      </c>
      <c r="AQ14" s="735"/>
      <c r="AR14" s="645">
        <f>SUM(AR10:AR13)</f>
        <v>0</v>
      </c>
      <c r="AS14" s="735"/>
      <c r="AT14" s="645">
        <f>SUM(AT10:AT13)</f>
        <v>0</v>
      </c>
      <c r="AU14" s="735"/>
      <c r="AV14" s="645">
        <f>SUM(AV10:AV13)</f>
        <v>0</v>
      </c>
      <c r="AW14" s="735"/>
      <c r="AX14" s="645">
        <f>SUM(AX10:AX13)</f>
        <v>0</v>
      </c>
      <c r="AY14" s="735"/>
      <c r="AZ14" s="645">
        <f>SUM(AZ10:AZ13)</f>
        <v>0</v>
      </c>
      <c r="BA14" s="735"/>
      <c r="BB14" s="647">
        <f>SUM(BB10:BB13)</f>
        <v>0</v>
      </c>
      <c r="BC14" s="648"/>
      <c r="BD14" s="641"/>
      <c r="BE14" s="642"/>
      <c r="BF14" s="642"/>
      <c r="BG14" s="643" t="s">
        <v>750</v>
      </c>
      <c r="BH14" s="642"/>
      <c r="BI14" s="642"/>
      <c r="BJ14" s="644"/>
      <c r="BK14" s="645">
        <f>SUM(BK10:BK13)</f>
        <v>0</v>
      </c>
      <c r="BL14" s="735"/>
      <c r="BM14" s="645">
        <f>SUM(BM10:BM13)</f>
        <v>0</v>
      </c>
      <c r="BN14" s="735"/>
      <c r="BO14" s="645">
        <f>SUM(BO10:BO13)</f>
        <v>0</v>
      </c>
      <c r="BP14" s="735"/>
      <c r="BQ14" s="645">
        <f>SUM(BQ10:BQ13)</f>
        <v>0</v>
      </c>
      <c r="BR14" s="735"/>
      <c r="BS14" s="645">
        <f>SUM(BS10:BS13)</f>
        <v>0</v>
      </c>
      <c r="BT14" s="735"/>
      <c r="BU14" s="645">
        <f>SUM(BU10:BU13)</f>
        <v>0</v>
      </c>
      <c r="BV14" s="735"/>
      <c r="BW14" s="645">
        <f>SUM(BW10:BW13)</f>
        <v>0</v>
      </c>
      <c r="BX14" s="735"/>
      <c r="BY14" s="645">
        <f>SUM(BY10:BY13)</f>
        <v>0</v>
      </c>
      <c r="BZ14" s="735"/>
      <c r="CA14" s="645">
        <f>SUM(CA10:CA13)</f>
        <v>0</v>
      </c>
      <c r="CB14" s="735"/>
      <c r="CC14" s="645">
        <f>SUM(CC10:CC13)</f>
        <v>0</v>
      </c>
      <c r="CD14" s="735"/>
      <c r="CE14" s="645">
        <f>SUM(CE10:CE13)</f>
        <v>0</v>
      </c>
      <c r="CF14" s="735"/>
      <c r="CG14" s="645">
        <f>SUM(CG10:CG13)</f>
        <v>0</v>
      </c>
      <c r="CH14" s="735"/>
      <c r="CI14" s="645">
        <f>SUM(CI10:CI13)</f>
        <v>0</v>
      </c>
      <c r="CJ14" s="735"/>
      <c r="CK14" s="645">
        <f>SUM(CK10:CK13)</f>
        <v>0</v>
      </c>
      <c r="CL14" s="735"/>
      <c r="CM14" s="645">
        <f>SUM(CM10:CM13)</f>
        <v>0</v>
      </c>
      <c r="CN14" s="735"/>
      <c r="CO14" s="645">
        <f>SUM(CO10:CO13)</f>
        <v>0</v>
      </c>
      <c r="CP14" s="735"/>
      <c r="CQ14" s="645">
        <f>SUM(CQ10:CQ13)</f>
        <v>0</v>
      </c>
      <c r="CR14" s="735"/>
      <c r="CS14" s="645">
        <f>SUM(CS10:CS13)</f>
        <v>0</v>
      </c>
      <c r="CT14" s="735"/>
      <c r="CU14" s="645">
        <f>SUM(CU10:CU13)</f>
        <v>0</v>
      </c>
      <c r="CV14" s="735"/>
      <c r="CW14" s="645">
        <f>SUM(CW10:CW13)</f>
        <v>0</v>
      </c>
      <c r="CX14" s="735"/>
      <c r="CY14" s="645">
        <f>SUM(CY10:CY13)</f>
        <v>0</v>
      </c>
      <c r="CZ14" s="735"/>
      <c r="DA14" s="645">
        <f>SUM(DA10:DA13)</f>
        <v>0</v>
      </c>
      <c r="DB14" s="735"/>
      <c r="DC14" s="645">
        <f>SUM(DC10:DC13)</f>
        <v>0</v>
      </c>
      <c r="DD14" s="735"/>
      <c r="DE14" s="647">
        <f>SUM(DE10:DE13)</f>
        <v>0</v>
      </c>
      <c r="DF14" s="648"/>
      <c r="DG14" s="641"/>
      <c r="DH14" s="642"/>
      <c r="DI14" s="642"/>
      <c r="DJ14" s="643" t="s">
        <v>750</v>
      </c>
      <c r="DK14" s="642"/>
      <c r="DL14" s="642"/>
      <c r="DM14" s="644"/>
      <c r="DN14" s="645">
        <f>SUM(DN10:DN13)</f>
        <v>0</v>
      </c>
      <c r="DO14" s="735"/>
      <c r="DP14" s="645">
        <f>SUM(DP10:DP13)</f>
        <v>0</v>
      </c>
      <c r="DQ14" s="735"/>
      <c r="DR14" s="645">
        <f>SUM(DR10:DR13)</f>
        <v>0</v>
      </c>
      <c r="DS14" s="735"/>
      <c r="DT14" s="645">
        <f>SUM(DT10:DT13)</f>
        <v>0</v>
      </c>
      <c r="DU14" s="735"/>
      <c r="DV14" s="645">
        <f>SUM(DV10:DV13)</f>
        <v>0</v>
      </c>
      <c r="DW14" s="735"/>
      <c r="DX14" s="645">
        <f>SUM(DX10:DX13)</f>
        <v>0</v>
      </c>
      <c r="DY14" s="735"/>
      <c r="DZ14" s="645">
        <f>SUM(DZ10:DZ13)</f>
        <v>0</v>
      </c>
      <c r="EA14" s="735"/>
      <c r="EB14" s="645">
        <f>SUM(EB10:EB13)</f>
        <v>0</v>
      </c>
      <c r="EC14" s="735"/>
      <c r="ED14" s="645">
        <f>SUM(ED10:ED13)</f>
        <v>0</v>
      </c>
      <c r="EE14" s="735"/>
      <c r="EF14" s="645">
        <f>SUM(EF10:EF13)</f>
        <v>0</v>
      </c>
      <c r="EG14" s="735"/>
      <c r="EH14" s="645">
        <f>SUM(EH10:EH13)</f>
        <v>0</v>
      </c>
      <c r="EI14" s="735"/>
      <c r="EJ14" s="645">
        <f>SUM(EJ10:EJ13)</f>
        <v>0</v>
      </c>
      <c r="EK14" s="735"/>
      <c r="EL14" s="645">
        <f>SUM(EL10:EL13)</f>
        <v>0</v>
      </c>
      <c r="EM14" s="735"/>
      <c r="EN14" s="645">
        <f>SUM(EN10:EN13)</f>
        <v>0</v>
      </c>
      <c r="EO14" s="735"/>
      <c r="EP14" s="645">
        <f>SUM(EP10:EP13)</f>
        <v>0</v>
      </c>
      <c r="EQ14" s="735"/>
      <c r="ER14" s="645">
        <f>SUM(ER10:ER13)</f>
        <v>0</v>
      </c>
      <c r="ES14" s="735"/>
      <c r="ET14" s="645">
        <f>SUM(ET10:ET13)</f>
        <v>0</v>
      </c>
      <c r="EU14" s="735"/>
      <c r="EV14" s="645">
        <f>SUM(EV10:EV13)</f>
        <v>0</v>
      </c>
      <c r="EW14" s="735"/>
      <c r="EX14" s="645">
        <f>SUM(EX10:EX13)</f>
        <v>0</v>
      </c>
      <c r="EY14" s="735"/>
      <c r="EZ14" s="645">
        <f>SUM(EZ10:EZ13)</f>
        <v>0</v>
      </c>
      <c r="FA14" s="735"/>
      <c r="FB14" s="645">
        <f>SUM(FB10:FB13)</f>
        <v>0</v>
      </c>
      <c r="FC14" s="735"/>
      <c r="FD14" s="645">
        <f>SUM(FD10:FD13)</f>
        <v>0</v>
      </c>
      <c r="FE14" s="735"/>
      <c r="FF14" s="645">
        <f>SUM(FF10:FF13)</f>
        <v>0</v>
      </c>
      <c r="FG14" s="735"/>
      <c r="FH14" s="647">
        <f>SUM(FH10:FH13)</f>
        <v>0</v>
      </c>
      <c r="FI14" s="649"/>
      <c r="FJ14" s="564"/>
      <c r="FK14" s="642"/>
      <c r="FL14" s="642"/>
      <c r="FM14" s="643" t="s">
        <v>750</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c r="GV14" s="629"/>
      <c r="GW14" s="635"/>
      <c r="GX14" s="636"/>
      <c r="GY14" s="637"/>
      <c r="GZ14" s="638"/>
      <c r="HA14" s="639">
        <v>0</v>
      </c>
      <c r="HB14" s="640"/>
      <c r="HC14" s="530"/>
      <c r="HD14" s="1278"/>
      <c r="HE14" s="415"/>
      <c r="HF14" s="415"/>
      <c r="HG14" s="415"/>
    </row>
    <row r="15" spans="1:353" ht="24" customHeight="1">
      <c r="A15" s="532" t="s">
        <v>307</v>
      </c>
      <c r="B15" s="658" t="s">
        <v>290</v>
      </c>
      <c r="C15" s="659" t="s">
        <v>291</v>
      </c>
      <c r="D15" s="660" t="s">
        <v>915</v>
      </c>
      <c r="E15" s="660" t="s">
        <v>309</v>
      </c>
      <c r="F15" s="661" t="s">
        <v>310</v>
      </c>
      <c r="G15" s="662" t="s">
        <v>757</v>
      </c>
      <c r="H15" s="663" t="s">
        <v>635</v>
      </c>
      <c r="I15" s="664" t="s">
        <v>313</v>
      </c>
      <c r="J15" s="663" t="s">
        <v>635</v>
      </c>
      <c r="K15" s="664" t="s">
        <v>313</v>
      </c>
      <c r="L15" s="663" t="s">
        <v>916</v>
      </c>
      <c r="M15" s="664" t="s">
        <v>313</v>
      </c>
      <c r="N15" s="663" t="s">
        <v>637</v>
      </c>
      <c r="O15" s="664" t="s">
        <v>313</v>
      </c>
      <c r="P15" s="663" t="s">
        <v>637</v>
      </c>
      <c r="Q15" s="664" t="s">
        <v>313</v>
      </c>
      <c r="R15" s="663" t="s">
        <v>635</v>
      </c>
      <c r="S15" s="664" t="s">
        <v>313</v>
      </c>
      <c r="T15" s="663" t="s">
        <v>635</v>
      </c>
      <c r="U15" s="664" t="s">
        <v>313</v>
      </c>
      <c r="V15" s="663" t="s">
        <v>635</v>
      </c>
      <c r="W15" s="664" t="s">
        <v>313</v>
      </c>
      <c r="X15" s="663" t="s">
        <v>635</v>
      </c>
      <c r="Y15" s="664" t="s">
        <v>313</v>
      </c>
      <c r="Z15" s="663" t="s">
        <v>916</v>
      </c>
      <c r="AA15" s="664" t="s">
        <v>313</v>
      </c>
      <c r="AB15" s="663" t="s">
        <v>635</v>
      </c>
      <c r="AC15" s="664" t="s">
        <v>313</v>
      </c>
      <c r="AD15" s="663" t="s">
        <v>637</v>
      </c>
      <c r="AE15" s="664" t="s">
        <v>313</v>
      </c>
      <c r="AF15" s="663" t="s">
        <v>635</v>
      </c>
      <c r="AG15" s="664" t="s">
        <v>313</v>
      </c>
      <c r="AH15" s="663" t="s">
        <v>635</v>
      </c>
      <c r="AI15" s="664" t="s">
        <v>313</v>
      </c>
      <c r="AJ15" s="663" t="s">
        <v>637</v>
      </c>
      <c r="AK15" s="664" t="s">
        <v>313</v>
      </c>
      <c r="AL15" s="663" t="s">
        <v>635</v>
      </c>
      <c r="AM15" s="664" t="s">
        <v>313</v>
      </c>
      <c r="AN15" s="663" t="s">
        <v>635</v>
      </c>
      <c r="AO15" s="664" t="s">
        <v>313</v>
      </c>
      <c r="AP15" s="663" t="s">
        <v>635</v>
      </c>
      <c r="AQ15" s="664" t="s">
        <v>313</v>
      </c>
      <c r="AR15" s="663" t="s">
        <v>635</v>
      </c>
      <c r="AS15" s="664" t="s">
        <v>313</v>
      </c>
      <c r="AT15" s="663" t="s">
        <v>635</v>
      </c>
      <c r="AU15" s="664" t="s">
        <v>313</v>
      </c>
      <c r="AV15" s="663" t="s">
        <v>635</v>
      </c>
      <c r="AW15" s="664" t="s">
        <v>313</v>
      </c>
      <c r="AX15" s="663" t="s">
        <v>637</v>
      </c>
      <c r="AY15" s="664" t="s">
        <v>313</v>
      </c>
      <c r="AZ15" s="663" t="s">
        <v>917</v>
      </c>
      <c r="BA15" s="664" t="s">
        <v>313</v>
      </c>
      <c r="BB15" s="665" t="s">
        <v>316</v>
      </c>
      <c r="BC15" s="666"/>
      <c r="BD15" s="532" t="s">
        <v>307</v>
      </c>
      <c r="BE15" s="658" t="s">
        <v>290</v>
      </c>
      <c r="BF15" s="659" t="s">
        <v>291</v>
      </c>
      <c r="BG15" s="660" t="s">
        <v>633</v>
      </c>
      <c r="BH15" s="660" t="s">
        <v>309</v>
      </c>
      <c r="BI15" s="661" t="s">
        <v>310</v>
      </c>
      <c r="BJ15" s="662" t="s">
        <v>634</v>
      </c>
      <c r="BK15" s="663" t="s">
        <v>917</v>
      </c>
      <c r="BL15" s="664" t="s">
        <v>313</v>
      </c>
      <c r="BM15" s="663" t="s">
        <v>635</v>
      </c>
      <c r="BN15" s="664" t="s">
        <v>313</v>
      </c>
      <c r="BO15" s="663" t="s">
        <v>635</v>
      </c>
      <c r="BP15" s="664" t="s">
        <v>313</v>
      </c>
      <c r="BQ15" s="663" t="s">
        <v>635</v>
      </c>
      <c r="BR15" s="664" t="s">
        <v>313</v>
      </c>
      <c r="BS15" s="663" t="s">
        <v>637</v>
      </c>
      <c r="BT15" s="664" t="s">
        <v>313</v>
      </c>
      <c r="BU15" s="663" t="s">
        <v>917</v>
      </c>
      <c r="BV15" s="664" t="s">
        <v>313</v>
      </c>
      <c r="BW15" s="663" t="s">
        <v>635</v>
      </c>
      <c r="BX15" s="664" t="s">
        <v>313</v>
      </c>
      <c r="BY15" s="663" t="s">
        <v>917</v>
      </c>
      <c r="BZ15" s="664" t="s">
        <v>313</v>
      </c>
      <c r="CA15" s="663" t="s">
        <v>916</v>
      </c>
      <c r="CB15" s="664" t="s">
        <v>313</v>
      </c>
      <c r="CC15" s="663" t="s">
        <v>637</v>
      </c>
      <c r="CD15" s="664" t="s">
        <v>313</v>
      </c>
      <c r="CE15" s="663" t="s">
        <v>637</v>
      </c>
      <c r="CF15" s="664" t="s">
        <v>313</v>
      </c>
      <c r="CG15" s="663" t="s">
        <v>635</v>
      </c>
      <c r="CH15" s="664" t="s">
        <v>313</v>
      </c>
      <c r="CI15" s="663" t="s">
        <v>637</v>
      </c>
      <c r="CJ15" s="664" t="s">
        <v>313</v>
      </c>
      <c r="CK15" s="663" t="s">
        <v>637</v>
      </c>
      <c r="CL15" s="664" t="s">
        <v>313</v>
      </c>
      <c r="CM15" s="663" t="s">
        <v>635</v>
      </c>
      <c r="CN15" s="664" t="s">
        <v>313</v>
      </c>
      <c r="CO15" s="663" t="s">
        <v>916</v>
      </c>
      <c r="CP15" s="664" t="s">
        <v>313</v>
      </c>
      <c r="CQ15" s="663" t="s">
        <v>637</v>
      </c>
      <c r="CR15" s="664" t="s">
        <v>313</v>
      </c>
      <c r="CS15" s="663" t="s">
        <v>637</v>
      </c>
      <c r="CT15" s="664" t="s">
        <v>313</v>
      </c>
      <c r="CU15" s="663" t="s">
        <v>635</v>
      </c>
      <c r="CV15" s="664" t="s">
        <v>313</v>
      </c>
      <c r="CW15" s="663" t="s">
        <v>635</v>
      </c>
      <c r="CX15" s="664" t="s">
        <v>313</v>
      </c>
      <c r="CY15" s="663" t="s">
        <v>635</v>
      </c>
      <c r="CZ15" s="664" t="s">
        <v>313</v>
      </c>
      <c r="DA15" s="663" t="s">
        <v>635</v>
      </c>
      <c r="DB15" s="664" t="s">
        <v>313</v>
      </c>
      <c r="DC15" s="663" t="s">
        <v>635</v>
      </c>
      <c r="DD15" s="664" t="s">
        <v>313</v>
      </c>
      <c r="DE15" s="665" t="s">
        <v>316</v>
      </c>
      <c r="DF15" s="666"/>
      <c r="DG15" s="532" t="s">
        <v>307</v>
      </c>
      <c r="DH15" s="667" t="s">
        <v>290</v>
      </c>
      <c r="DI15" s="668" t="s">
        <v>291</v>
      </c>
      <c r="DJ15" s="669" t="s">
        <v>639</v>
      </c>
      <c r="DK15" s="669" t="s">
        <v>309</v>
      </c>
      <c r="DL15" s="670" t="s">
        <v>310</v>
      </c>
      <c r="DM15" s="662" t="s">
        <v>634</v>
      </c>
      <c r="DN15" s="663" t="s">
        <v>917</v>
      </c>
      <c r="DO15" s="664" t="s">
        <v>313</v>
      </c>
      <c r="DP15" s="663" t="s">
        <v>917</v>
      </c>
      <c r="DQ15" s="664" t="s">
        <v>313</v>
      </c>
      <c r="DR15" s="663" t="s">
        <v>635</v>
      </c>
      <c r="DS15" s="664" t="s">
        <v>313</v>
      </c>
      <c r="DT15" s="663" t="s">
        <v>637</v>
      </c>
      <c r="DU15" s="664" t="s">
        <v>313</v>
      </c>
      <c r="DV15" s="663" t="s">
        <v>635</v>
      </c>
      <c r="DW15" s="664" t="s">
        <v>313</v>
      </c>
      <c r="DX15" s="663" t="s">
        <v>635</v>
      </c>
      <c r="DY15" s="664" t="s">
        <v>313</v>
      </c>
      <c r="DZ15" s="663" t="s">
        <v>635</v>
      </c>
      <c r="EA15" s="664" t="s">
        <v>313</v>
      </c>
      <c r="EB15" s="663" t="s">
        <v>917</v>
      </c>
      <c r="EC15" s="664" t="s">
        <v>313</v>
      </c>
      <c r="ED15" s="663" t="s">
        <v>637</v>
      </c>
      <c r="EE15" s="664" t="s">
        <v>313</v>
      </c>
      <c r="EF15" s="663" t="s">
        <v>637</v>
      </c>
      <c r="EG15" s="664" t="s">
        <v>313</v>
      </c>
      <c r="EH15" s="663" t="s">
        <v>637</v>
      </c>
      <c r="EI15" s="664" t="s">
        <v>313</v>
      </c>
      <c r="EJ15" s="663" t="s">
        <v>635</v>
      </c>
      <c r="EK15" s="664" t="s">
        <v>313</v>
      </c>
      <c r="EL15" s="663" t="s">
        <v>635</v>
      </c>
      <c r="EM15" s="664" t="s">
        <v>313</v>
      </c>
      <c r="EN15" s="663" t="s">
        <v>637</v>
      </c>
      <c r="EO15" s="664" t="s">
        <v>313</v>
      </c>
      <c r="EP15" s="663" t="s">
        <v>635</v>
      </c>
      <c r="EQ15" s="664" t="s">
        <v>313</v>
      </c>
      <c r="ER15" s="663" t="s">
        <v>635</v>
      </c>
      <c r="ES15" s="664" t="s">
        <v>313</v>
      </c>
      <c r="ET15" s="663" t="s">
        <v>917</v>
      </c>
      <c r="EU15" s="664" t="s">
        <v>313</v>
      </c>
      <c r="EV15" s="663" t="s">
        <v>637</v>
      </c>
      <c r="EW15" s="664" t="s">
        <v>313</v>
      </c>
      <c r="EX15" s="663" t="s">
        <v>635</v>
      </c>
      <c r="EY15" s="664" t="s">
        <v>313</v>
      </c>
      <c r="EZ15" s="663" t="s">
        <v>635</v>
      </c>
      <c r="FA15" s="664" t="s">
        <v>313</v>
      </c>
      <c r="FB15" s="663" t="s">
        <v>635</v>
      </c>
      <c r="FC15" s="664" t="s">
        <v>313</v>
      </c>
      <c r="FD15" s="663" t="s">
        <v>635</v>
      </c>
      <c r="FE15" s="664" t="s">
        <v>313</v>
      </c>
      <c r="FF15" s="663" t="s">
        <v>635</v>
      </c>
      <c r="FG15" s="664" t="s">
        <v>313</v>
      </c>
      <c r="FH15" s="665" t="s">
        <v>316</v>
      </c>
      <c r="FI15" s="671"/>
      <c r="FJ15" s="542" t="s">
        <v>307</v>
      </c>
      <c r="FK15" s="658" t="s">
        <v>290</v>
      </c>
      <c r="FL15" s="659" t="s">
        <v>291</v>
      </c>
      <c r="FM15" s="660" t="s">
        <v>633</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353" ht="20.100000000000001" customHeight="1">
      <c r="A16" s="552"/>
      <c r="B16" s="554" t="s">
        <v>219</v>
      </c>
      <c r="C16" s="679" t="s">
        <v>70</v>
      </c>
      <c r="D16" s="555">
        <v>22.47</v>
      </c>
      <c r="E16" s="680">
        <v>0.64</v>
      </c>
      <c r="F16" s="681"/>
      <c r="G16" s="682">
        <v>0</v>
      </c>
      <c r="H16" s="559">
        <f>ROUND(22.47*0.64*0,0)</f>
        <v>0</v>
      </c>
      <c r="I16" s="683">
        <v>0</v>
      </c>
      <c r="J16" s="559">
        <f>ROUND(22.47*0.64*0,0)</f>
        <v>0</v>
      </c>
      <c r="K16" s="683">
        <v>0</v>
      </c>
      <c r="L16" s="559">
        <f>ROUND(22.47*0.64*0,0)</f>
        <v>0</v>
      </c>
      <c r="M16" s="683">
        <v>0</v>
      </c>
      <c r="N16" s="559">
        <f>ROUND(22.47*0.64*0,0)</f>
        <v>0</v>
      </c>
      <c r="O16" s="683">
        <v>0</v>
      </c>
      <c r="P16" s="559">
        <f>ROUND(22.47*0.64*0,0)</f>
        <v>0</v>
      </c>
      <c r="Q16" s="683">
        <v>0</v>
      </c>
      <c r="R16" s="559">
        <f>ROUND(22.47*0.64*0,0)</f>
        <v>0</v>
      </c>
      <c r="S16" s="683">
        <v>0</v>
      </c>
      <c r="T16" s="559">
        <f>ROUND(22.47*0.64*0,0)</f>
        <v>0</v>
      </c>
      <c r="U16" s="683">
        <v>0</v>
      </c>
      <c r="V16" s="559">
        <f>ROUND(22.47*0.64*0,0)</f>
        <v>0</v>
      </c>
      <c r="W16" s="683">
        <v>8.5</v>
      </c>
      <c r="X16" s="559">
        <f>ROUND(22.47*0.64*8.5,0)</f>
        <v>122</v>
      </c>
      <c r="Y16" s="683">
        <v>11.2</v>
      </c>
      <c r="Z16" s="559">
        <f>ROUND(22.47*0.64*11.2,0)</f>
        <v>161</v>
      </c>
      <c r="AA16" s="683">
        <v>13</v>
      </c>
      <c r="AB16" s="559">
        <f>ROUND(22.47*0.64*13,0)</f>
        <v>187</v>
      </c>
      <c r="AC16" s="683">
        <v>13.5</v>
      </c>
      <c r="AD16" s="559">
        <f>ROUND(22.47*0.64*13.5,0)</f>
        <v>194</v>
      </c>
      <c r="AE16" s="683">
        <v>12.9</v>
      </c>
      <c r="AF16" s="559">
        <f>ROUND(22.47*0.64*12.9,0)</f>
        <v>186</v>
      </c>
      <c r="AG16" s="683">
        <v>12.2</v>
      </c>
      <c r="AH16" s="559">
        <f>ROUND(22.47*0.64*12.2,0)</f>
        <v>175</v>
      </c>
      <c r="AI16" s="683">
        <v>11.5</v>
      </c>
      <c r="AJ16" s="559">
        <f>ROUND(22.47*0.64*11.5,0)</f>
        <v>165</v>
      </c>
      <c r="AK16" s="683">
        <v>10.7</v>
      </c>
      <c r="AL16" s="559">
        <f>ROUND(22.47*0.64*10.7,0)</f>
        <v>154</v>
      </c>
      <c r="AM16" s="683">
        <v>9.6</v>
      </c>
      <c r="AN16" s="559">
        <f>ROUND(22.47*0.64*9.6,0)</f>
        <v>138</v>
      </c>
      <c r="AO16" s="683">
        <v>8.1999999999999993</v>
      </c>
      <c r="AP16" s="559">
        <f>ROUND(22.47*0.64*8.2,0)</f>
        <v>118</v>
      </c>
      <c r="AQ16" s="683">
        <v>0</v>
      </c>
      <c r="AR16" s="559">
        <f>ROUND(22.47*0.64*0,0)</f>
        <v>0</v>
      </c>
      <c r="AS16" s="683">
        <v>0</v>
      </c>
      <c r="AT16" s="559">
        <f>ROUND(22.47*0.64*0,0)</f>
        <v>0</v>
      </c>
      <c r="AU16" s="683">
        <v>0</v>
      </c>
      <c r="AV16" s="559">
        <f>ROUND(22.47*0.64*0,0)</f>
        <v>0</v>
      </c>
      <c r="AW16" s="683">
        <v>0</v>
      </c>
      <c r="AX16" s="559">
        <f>ROUND(22.47*0.64*0,0)</f>
        <v>0</v>
      </c>
      <c r="AY16" s="683">
        <v>0</v>
      </c>
      <c r="AZ16" s="559">
        <f>ROUND(22.47*0.64*0,0)</f>
        <v>0</v>
      </c>
      <c r="BA16" s="683">
        <v>0</v>
      </c>
      <c r="BB16" s="684">
        <f>ROUND(22.47*0.64*0,0)</f>
        <v>0</v>
      </c>
      <c r="BC16" s="562"/>
      <c r="BD16" s="552"/>
      <c r="BE16" s="554" t="s">
        <v>219</v>
      </c>
      <c r="BF16" s="679" t="s">
        <v>70</v>
      </c>
      <c r="BG16" s="555">
        <v>22.47</v>
      </c>
      <c r="BH16" s="680">
        <v>0.64</v>
      </c>
      <c r="BI16" s="681"/>
      <c r="BJ16" s="682">
        <v>0</v>
      </c>
      <c r="BK16" s="559">
        <f>ROUND(22.47*0.64*0,0)</f>
        <v>0</v>
      </c>
      <c r="BL16" s="683">
        <v>0</v>
      </c>
      <c r="BM16" s="559">
        <f>ROUND(22.47*0.64*0,0)</f>
        <v>0</v>
      </c>
      <c r="BN16" s="683">
        <v>0</v>
      </c>
      <c r="BO16" s="559">
        <f>ROUND(22.47*0.64*0,0)</f>
        <v>0</v>
      </c>
      <c r="BP16" s="683">
        <v>0</v>
      </c>
      <c r="BQ16" s="559">
        <f>ROUND(22.47*0.64*0,0)</f>
        <v>0</v>
      </c>
      <c r="BR16" s="683">
        <v>0</v>
      </c>
      <c r="BS16" s="559">
        <f>ROUND(22.47*0.64*0,0)</f>
        <v>0</v>
      </c>
      <c r="BT16" s="683">
        <v>0</v>
      </c>
      <c r="BU16" s="559">
        <f>ROUND(22.47*0.64*0,0)</f>
        <v>0</v>
      </c>
      <c r="BV16" s="683">
        <v>0</v>
      </c>
      <c r="BW16" s="559">
        <f>ROUND(22.47*0.64*0,0)</f>
        <v>0</v>
      </c>
      <c r="BX16" s="683">
        <v>0</v>
      </c>
      <c r="BY16" s="559">
        <f>ROUND(22.47*0.64*0,0)</f>
        <v>0</v>
      </c>
      <c r="BZ16" s="683">
        <v>13.6</v>
      </c>
      <c r="CA16" s="559">
        <f>ROUND(22.47*0.64*13.6,0)</f>
        <v>196</v>
      </c>
      <c r="CB16" s="683">
        <v>16.5</v>
      </c>
      <c r="CC16" s="559">
        <f>ROUND(22.47*0.64*16.5,0)</f>
        <v>237</v>
      </c>
      <c r="CD16" s="683">
        <v>17.5</v>
      </c>
      <c r="CE16" s="559">
        <f>ROUND(22.47*0.64*17.5,0)</f>
        <v>252</v>
      </c>
      <c r="CF16" s="683">
        <v>16.8</v>
      </c>
      <c r="CG16" s="559">
        <f>ROUND(22.47*0.64*16.8,0)</f>
        <v>242</v>
      </c>
      <c r="CH16" s="683">
        <v>14.8</v>
      </c>
      <c r="CI16" s="559">
        <f>ROUND(22.47*0.64*14.8,0)</f>
        <v>213</v>
      </c>
      <c r="CJ16" s="683">
        <v>12.9</v>
      </c>
      <c r="CK16" s="559">
        <f>ROUND(22.47*0.64*12.9,0)</f>
        <v>186</v>
      </c>
      <c r="CL16" s="683">
        <v>11.6</v>
      </c>
      <c r="CM16" s="559">
        <f>ROUND(22.47*0.64*11.6,0)</f>
        <v>167</v>
      </c>
      <c r="CN16" s="683">
        <v>10.4</v>
      </c>
      <c r="CO16" s="559">
        <f>ROUND(22.47*0.64*10.4,0)</f>
        <v>150</v>
      </c>
      <c r="CP16" s="683">
        <v>9.1999999999999993</v>
      </c>
      <c r="CQ16" s="559">
        <f>ROUND(22.47*0.64*9.2,0)</f>
        <v>132</v>
      </c>
      <c r="CR16" s="683">
        <v>7.9</v>
      </c>
      <c r="CS16" s="559">
        <f>ROUND(22.47*0.64*7.9,0)</f>
        <v>114</v>
      </c>
      <c r="CT16" s="683">
        <v>0</v>
      </c>
      <c r="CU16" s="559">
        <f>ROUND(22.47*0.64*0,0)</f>
        <v>0</v>
      </c>
      <c r="CV16" s="683">
        <v>0</v>
      </c>
      <c r="CW16" s="559">
        <f>ROUND(22.47*0.64*0,0)</f>
        <v>0</v>
      </c>
      <c r="CX16" s="683">
        <v>0</v>
      </c>
      <c r="CY16" s="559">
        <f>ROUND(22.47*0.64*0,0)</f>
        <v>0</v>
      </c>
      <c r="CZ16" s="683">
        <v>0</v>
      </c>
      <c r="DA16" s="559">
        <f>ROUND(22.47*0.64*0,0)</f>
        <v>0</v>
      </c>
      <c r="DB16" s="683">
        <v>0</v>
      </c>
      <c r="DC16" s="559">
        <f>ROUND(22.47*0.64*0,0)</f>
        <v>0</v>
      </c>
      <c r="DD16" s="683">
        <v>0</v>
      </c>
      <c r="DE16" s="684">
        <f>ROUND(22.47*0.64*0,0)</f>
        <v>0</v>
      </c>
      <c r="DF16" s="562"/>
      <c r="DG16" s="552"/>
      <c r="DH16" s="554" t="s">
        <v>219</v>
      </c>
      <c r="DI16" s="679" t="s">
        <v>70</v>
      </c>
      <c r="DJ16" s="555">
        <v>22.47</v>
      </c>
      <c r="DK16" s="680">
        <v>0.64</v>
      </c>
      <c r="DL16" s="681"/>
      <c r="DM16" s="682">
        <v>0</v>
      </c>
      <c r="DN16" s="559">
        <f>ROUND(22.47*0.64*0,0)</f>
        <v>0</v>
      </c>
      <c r="DO16" s="683">
        <v>0</v>
      </c>
      <c r="DP16" s="559">
        <f>ROUND(22.47*0.64*0,0)</f>
        <v>0</v>
      </c>
      <c r="DQ16" s="683">
        <v>0</v>
      </c>
      <c r="DR16" s="559">
        <f>ROUND(22.47*0.64*0,0)</f>
        <v>0</v>
      </c>
      <c r="DS16" s="683">
        <v>0</v>
      </c>
      <c r="DT16" s="559">
        <f>ROUND(22.47*0.64*0,0)</f>
        <v>0</v>
      </c>
      <c r="DU16" s="683">
        <v>0</v>
      </c>
      <c r="DV16" s="559">
        <f>ROUND(22.47*0.64*0,0)</f>
        <v>0</v>
      </c>
      <c r="DW16" s="683">
        <v>0</v>
      </c>
      <c r="DX16" s="559">
        <f>ROUND(22.47*0.64*0,0)</f>
        <v>0</v>
      </c>
      <c r="DY16" s="683">
        <v>0</v>
      </c>
      <c r="DZ16" s="559">
        <f>ROUND(22.47*0.64*0,0)</f>
        <v>0</v>
      </c>
      <c r="EA16" s="683">
        <v>0</v>
      </c>
      <c r="EB16" s="559">
        <f>ROUND(22.47*0.64*0,0)</f>
        <v>0</v>
      </c>
      <c r="EC16" s="683">
        <v>11.4</v>
      </c>
      <c r="ED16" s="559">
        <f>ROUND(22.47*0.64*11.4,0)</f>
        <v>164</v>
      </c>
      <c r="EE16" s="683">
        <v>14.6</v>
      </c>
      <c r="EF16" s="559">
        <f>ROUND(22.47*0.64*14.6,0)</f>
        <v>210</v>
      </c>
      <c r="EG16" s="683">
        <v>16</v>
      </c>
      <c r="EH16" s="559">
        <f>ROUND(22.47*0.64*16,0)</f>
        <v>230</v>
      </c>
      <c r="EI16" s="683">
        <v>15.4</v>
      </c>
      <c r="EJ16" s="559">
        <f>ROUND(22.47*0.64*15.4,0)</f>
        <v>221</v>
      </c>
      <c r="EK16" s="683">
        <v>13.3</v>
      </c>
      <c r="EL16" s="559">
        <f>ROUND(22.47*0.64*13.3,0)</f>
        <v>191</v>
      </c>
      <c r="EM16" s="683">
        <v>11.2</v>
      </c>
      <c r="EN16" s="559">
        <f>ROUND(22.47*0.64*11.2,0)</f>
        <v>161</v>
      </c>
      <c r="EO16" s="683">
        <v>9.6</v>
      </c>
      <c r="EP16" s="559">
        <f>ROUND(22.47*0.64*9.6,0)</f>
        <v>138</v>
      </c>
      <c r="EQ16" s="683">
        <v>8.1999999999999993</v>
      </c>
      <c r="ER16" s="559">
        <f>ROUND(22.47*0.64*8.2,0)</f>
        <v>118</v>
      </c>
      <c r="ES16" s="683">
        <v>6.8</v>
      </c>
      <c r="ET16" s="559">
        <f>ROUND(22.47*0.64*6.8,0)</f>
        <v>98</v>
      </c>
      <c r="EU16" s="683">
        <v>5.2</v>
      </c>
      <c r="EV16" s="559">
        <f>ROUND(22.47*0.64*5.2,0)</f>
        <v>75</v>
      </c>
      <c r="EW16" s="683">
        <v>0</v>
      </c>
      <c r="EX16" s="559">
        <f>ROUND(22.47*0.64*0,0)</f>
        <v>0</v>
      </c>
      <c r="EY16" s="683">
        <v>0</v>
      </c>
      <c r="EZ16" s="559">
        <f>ROUND(22.47*0.64*0,0)</f>
        <v>0</v>
      </c>
      <c r="FA16" s="683">
        <v>0</v>
      </c>
      <c r="FB16" s="559">
        <f>ROUND(22.47*0.64*0,0)</f>
        <v>0</v>
      </c>
      <c r="FC16" s="683">
        <v>0</v>
      </c>
      <c r="FD16" s="559">
        <f>ROUND(22.47*0.64*0,0)</f>
        <v>0</v>
      </c>
      <c r="FE16" s="683">
        <v>0</v>
      </c>
      <c r="FF16" s="559">
        <f>ROUND(22.47*0.64*0,0)</f>
        <v>0</v>
      </c>
      <c r="FG16" s="683">
        <v>0</v>
      </c>
      <c r="FH16" s="684">
        <f>ROUND(22.47*0.64*0,0)</f>
        <v>0</v>
      </c>
      <c r="FI16" s="563"/>
      <c r="FJ16" s="564"/>
      <c r="FK16" s="554" t="s">
        <v>219</v>
      </c>
      <c r="FL16" s="679" t="s">
        <v>70</v>
      </c>
      <c r="FM16" s="555">
        <v>22.47</v>
      </c>
      <c r="FN16" s="680">
        <v>0.64</v>
      </c>
      <c r="FO16" s="681"/>
      <c r="FP16" s="685">
        <v>9</v>
      </c>
      <c r="FQ16" s="686">
        <v>17</v>
      </c>
      <c r="FR16" s="559">
        <f>ROUND(22.47*0.64*17,0)</f>
        <v>244</v>
      </c>
      <c r="FS16" s="687">
        <v>9</v>
      </c>
      <c r="FT16" s="686">
        <v>17.5</v>
      </c>
      <c r="FU16" s="567">
        <f>ROUND(22.47*0.64*17.5,0)</f>
        <v>252</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250</v>
      </c>
      <c r="C17" s="691"/>
      <c r="D17" s="583">
        <v>8.9600000000000009</v>
      </c>
      <c r="E17" s="692">
        <v>2.35</v>
      </c>
      <c r="F17" s="693"/>
      <c r="G17" s="694">
        <v>0</v>
      </c>
      <c r="H17" s="587">
        <f>ROUND(8.96*2.35*0,0)</f>
        <v>0</v>
      </c>
      <c r="I17" s="695">
        <v>0</v>
      </c>
      <c r="J17" s="587">
        <f>ROUND(8.96*2.35*0,0)</f>
        <v>0</v>
      </c>
      <c r="K17" s="695">
        <v>0</v>
      </c>
      <c r="L17" s="587">
        <f>ROUND(8.96*2.35*0,0)</f>
        <v>0</v>
      </c>
      <c r="M17" s="695">
        <v>0</v>
      </c>
      <c r="N17" s="587">
        <f>ROUND(8.96*2.35*0,0)</f>
        <v>0</v>
      </c>
      <c r="O17" s="695">
        <v>0</v>
      </c>
      <c r="P17" s="587">
        <f>ROUND(8.96*2.35*0,0)</f>
        <v>0</v>
      </c>
      <c r="Q17" s="695">
        <v>0</v>
      </c>
      <c r="R17" s="587">
        <f>ROUND(8.96*2.35*0,0)</f>
        <v>0</v>
      </c>
      <c r="S17" s="695">
        <v>0</v>
      </c>
      <c r="T17" s="587">
        <f>ROUND(8.96*2.35*0,0)</f>
        <v>0</v>
      </c>
      <c r="U17" s="695">
        <v>0</v>
      </c>
      <c r="V17" s="587">
        <f>ROUND(8.96*2.35*0,0)</f>
        <v>0</v>
      </c>
      <c r="W17" s="695">
        <v>1</v>
      </c>
      <c r="X17" s="587">
        <f>ROUND(8.96*2.35*1,0)</f>
        <v>21</v>
      </c>
      <c r="Y17" s="695">
        <v>1.3</v>
      </c>
      <c r="Z17" s="587">
        <f>ROUND(8.96*2.35*1.3,0)</f>
        <v>27</v>
      </c>
      <c r="AA17" s="695">
        <v>1.6</v>
      </c>
      <c r="AB17" s="587">
        <f>ROUND(8.96*2.35*1.6,0)</f>
        <v>34</v>
      </c>
      <c r="AC17" s="695">
        <v>1.7</v>
      </c>
      <c r="AD17" s="587">
        <f>ROUND(8.96*2.35*1.7,0)</f>
        <v>36</v>
      </c>
      <c r="AE17" s="695">
        <v>1.8</v>
      </c>
      <c r="AF17" s="587">
        <f>ROUND(8.96*2.35*1.8,0)</f>
        <v>38</v>
      </c>
      <c r="AG17" s="695">
        <v>1.8</v>
      </c>
      <c r="AH17" s="587">
        <f>ROUND(8.96*2.35*1.8,0)</f>
        <v>38</v>
      </c>
      <c r="AI17" s="695">
        <v>1.6</v>
      </c>
      <c r="AJ17" s="587">
        <f>ROUND(8.96*2.35*1.6,0)</f>
        <v>34</v>
      </c>
      <c r="AK17" s="695">
        <v>1.5</v>
      </c>
      <c r="AL17" s="587">
        <f>ROUND(8.96*2.35*1.5,0)</f>
        <v>32</v>
      </c>
      <c r="AM17" s="695">
        <v>1.2</v>
      </c>
      <c r="AN17" s="587">
        <f>ROUND(8.96*2.35*1.2,0)</f>
        <v>25</v>
      </c>
      <c r="AO17" s="695">
        <v>1</v>
      </c>
      <c r="AP17" s="587">
        <f>ROUND(8.96*2.35*1,0)</f>
        <v>21</v>
      </c>
      <c r="AQ17" s="695">
        <v>0</v>
      </c>
      <c r="AR17" s="587">
        <f>ROUND(8.96*2.35*0,0)</f>
        <v>0</v>
      </c>
      <c r="AS17" s="695">
        <v>0</v>
      </c>
      <c r="AT17" s="587">
        <f>ROUND(8.96*2.35*0,0)</f>
        <v>0</v>
      </c>
      <c r="AU17" s="695">
        <v>0</v>
      </c>
      <c r="AV17" s="587">
        <f>ROUND(8.96*2.35*0,0)</f>
        <v>0</v>
      </c>
      <c r="AW17" s="695">
        <v>0</v>
      </c>
      <c r="AX17" s="587">
        <f>ROUND(8.96*2.35*0,0)</f>
        <v>0</v>
      </c>
      <c r="AY17" s="695">
        <v>0</v>
      </c>
      <c r="AZ17" s="587">
        <f>ROUND(8.96*2.35*0,0)</f>
        <v>0</v>
      </c>
      <c r="BA17" s="695">
        <v>0</v>
      </c>
      <c r="BB17" s="589">
        <f>ROUND(8.96*2.35*0,0)</f>
        <v>0</v>
      </c>
      <c r="BC17" s="562"/>
      <c r="BD17" s="552"/>
      <c r="BE17" s="582" t="s">
        <v>250</v>
      </c>
      <c r="BF17" s="691"/>
      <c r="BG17" s="583">
        <v>8.9600000000000009</v>
      </c>
      <c r="BH17" s="692">
        <v>2.35</v>
      </c>
      <c r="BI17" s="693"/>
      <c r="BJ17" s="694">
        <v>0</v>
      </c>
      <c r="BK17" s="587">
        <f>ROUND(8.96*2.35*0,0)</f>
        <v>0</v>
      </c>
      <c r="BL17" s="695">
        <v>0</v>
      </c>
      <c r="BM17" s="587">
        <f>ROUND(8.96*2.35*0,0)</f>
        <v>0</v>
      </c>
      <c r="BN17" s="695">
        <v>0</v>
      </c>
      <c r="BO17" s="587">
        <f>ROUND(8.96*2.35*0,0)</f>
        <v>0</v>
      </c>
      <c r="BP17" s="695">
        <v>0</v>
      </c>
      <c r="BQ17" s="587">
        <f>ROUND(8.96*2.35*0,0)</f>
        <v>0</v>
      </c>
      <c r="BR17" s="695">
        <v>0</v>
      </c>
      <c r="BS17" s="587">
        <f>ROUND(8.96*2.35*0,0)</f>
        <v>0</v>
      </c>
      <c r="BT17" s="695">
        <v>0</v>
      </c>
      <c r="BU17" s="587">
        <f>ROUND(8.96*2.35*0,0)</f>
        <v>0</v>
      </c>
      <c r="BV17" s="695">
        <v>0</v>
      </c>
      <c r="BW17" s="587">
        <f>ROUND(8.96*2.35*0,0)</f>
        <v>0</v>
      </c>
      <c r="BX17" s="695">
        <v>0</v>
      </c>
      <c r="BY17" s="587">
        <f>ROUND(8.96*2.35*0,0)</f>
        <v>0</v>
      </c>
      <c r="BZ17" s="695">
        <v>0.9</v>
      </c>
      <c r="CA17" s="587">
        <f>ROUND(8.96*2.35*0.9,0)</f>
        <v>19</v>
      </c>
      <c r="CB17" s="695">
        <v>1.2</v>
      </c>
      <c r="CC17" s="587">
        <f>ROUND(8.96*2.35*1.2,0)</f>
        <v>25</v>
      </c>
      <c r="CD17" s="695">
        <v>1.5</v>
      </c>
      <c r="CE17" s="587">
        <f>ROUND(8.96*2.35*1.5,0)</f>
        <v>32</v>
      </c>
      <c r="CF17" s="695">
        <v>1.6</v>
      </c>
      <c r="CG17" s="587">
        <f>ROUND(8.96*2.35*1.6,0)</f>
        <v>34</v>
      </c>
      <c r="CH17" s="695">
        <v>1.7</v>
      </c>
      <c r="CI17" s="587">
        <f>ROUND(8.96*2.35*1.7,0)</f>
        <v>36</v>
      </c>
      <c r="CJ17" s="695">
        <v>1.6</v>
      </c>
      <c r="CK17" s="587">
        <f>ROUND(8.96*2.35*1.6,0)</f>
        <v>34</v>
      </c>
      <c r="CL17" s="695">
        <v>1.5</v>
      </c>
      <c r="CM17" s="587">
        <f>ROUND(8.96*2.35*1.5,0)</f>
        <v>32</v>
      </c>
      <c r="CN17" s="695">
        <v>1.3</v>
      </c>
      <c r="CO17" s="587">
        <f>ROUND(8.96*2.35*1.3,0)</f>
        <v>27</v>
      </c>
      <c r="CP17" s="695">
        <v>1.2</v>
      </c>
      <c r="CQ17" s="587">
        <f>ROUND(8.96*2.35*1.2,0)</f>
        <v>25</v>
      </c>
      <c r="CR17" s="695">
        <v>0.9</v>
      </c>
      <c r="CS17" s="587">
        <f>ROUND(8.96*2.35*0.9,0)</f>
        <v>19</v>
      </c>
      <c r="CT17" s="695">
        <v>0</v>
      </c>
      <c r="CU17" s="587">
        <f>ROUND(8.96*2.35*0,0)</f>
        <v>0</v>
      </c>
      <c r="CV17" s="695">
        <v>0</v>
      </c>
      <c r="CW17" s="587">
        <f>ROUND(8.96*2.35*0,0)</f>
        <v>0</v>
      </c>
      <c r="CX17" s="695">
        <v>0</v>
      </c>
      <c r="CY17" s="587">
        <f>ROUND(8.96*2.35*0,0)</f>
        <v>0</v>
      </c>
      <c r="CZ17" s="695">
        <v>0</v>
      </c>
      <c r="DA17" s="587">
        <f>ROUND(8.96*2.35*0,0)</f>
        <v>0</v>
      </c>
      <c r="DB17" s="695">
        <v>0</v>
      </c>
      <c r="DC17" s="587">
        <f>ROUND(8.96*2.35*0,0)</f>
        <v>0</v>
      </c>
      <c r="DD17" s="695">
        <v>0</v>
      </c>
      <c r="DE17" s="589">
        <f>ROUND(8.96*2.35*0,0)</f>
        <v>0</v>
      </c>
      <c r="DF17" s="562"/>
      <c r="DG17" s="552"/>
      <c r="DH17" s="582" t="s">
        <v>250</v>
      </c>
      <c r="DI17" s="691"/>
      <c r="DJ17" s="583">
        <v>8.9600000000000009</v>
      </c>
      <c r="DK17" s="692">
        <v>2.35</v>
      </c>
      <c r="DL17" s="693"/>
      <c r="DM17" s="694">
        <v>0</v>
      </c>
      <c r="DN17" s="587">
        <f>ROUND(8.96*2.35*0,0)</f>
        <v>0</v>
      </c>
      <c r="DO17" s="695">
        <v>0</v>
      </c>
      <c r="DP17" s="587">
        <f>ROUND(8.96*2.35*0,0)</f>
        <v>0</v>
      </c>
      <c r="DQ17" s="695">
        <v>0</v>
      </c>
      <c r="DR17" s="587">
        <f>ROUND(8.96*2.35*0,0)</f>
        <v>0</v>
      </c>
      <c r="DS17" s="695">
        <v>0</v>
      </c>
      <c r="DT17" s="587">
        <f>ROUND(8.96*2.35*0,0)</f>
        <v>0</v>
      </c>
      <c r="DU17" s="695">
        <v>0</v>
      </c>
      <c r="DV17" s="587">
        <f>ROUND(8.96*2.35*0,0)</f>
        <v>0</v>
      </c>
      <c r="DW17" s="695">
        <v>0</v>
      </c>
      <c r="DX17" s="587">
        <f>ROUND(8.96*2.35*0,0)</f>
        <v>0</v>
      </c>
      <c r="DY17" s="695">
        <v>0</v>
      </c>
      <c r="DZ17" s="587">
        <f>ROUND(8.96*2.35*0,0)</f>
        <v>0</v>
      </c>
      <c r="EA17" s="695">
        <v>0</v>
      </c>
      <c r="EB17" s="587">
        <f>ROUND(8.96*2.35*0,0)</f>
        <v>0</v>
      </c>
      <c r="EC17" s="695">
        <v>0.2</v>
      </c>
      <c r="ED17" s="587">
        <f>ROUND(8.96*2.35*0.2,0)</f>
        <v>4</v>
      </c>
      <c r="EE17" s="695">
        <v>0.6</v>
      </c>
      <c r="EF17" s="587">
        <f>ROUND(8.96*2.35*0.6,0)</f>
        <v>13</v>
      </c>
      <c r="EG17" s="695">
        <v>0.9</v>
      </c>
      <c r="EH17" s="587">
        <f>ROUND(8.96*2.35*0.9,0)</f>
        <v>19</v>
      </c>
      <c r="EI17" s="695">
        <v>1.1000000000000001</v>
      </c>
      <c r="EJ17" s="587">
        <f>ROUND(8.96*2.35*1.1,0)</f>
        <v>23</v>
      </c>
      <c r="EK17" s="695">
        <v>1.1000000000000001</v>
      </c>
      <c r="EL17" s="587">
        <f>ROUND(8.96*2.35*1.1,0)</f>
        <v>23</v>
      </c>
      <c r="EM17" s="695">
        <v>1</v>
      </c>
      <c r="EN17" s="587">
        <f>ROUND(8.96*2.35*1,0)</f>
        <v>21</v>
      </c>
      <c r="EO17" s="695">
        <v>0.9</v>
      </c>
      <c r="EP17" s="587">
        <f>ROUND(8.96*2.35*0.9,0)</f>
        <v>19</v>
      </c>
      <c r="EQ17" s="695">
        <v>0.8</v>
      </c>
      <c r="ER17" s="587">
        <f>ROUND(8.96*2.35*0.8,0)</f>
        <v>17</v>
      </c>
      <c r="ES17" s="695">
        <v>0.5</v>
      </c>
      <c r="ET17" s="587">
        <f>ROUND(8.96*2.35*0.5,0)</f>
        <v>11</v>
      </c>
      <c r="EU17" s="695">
        <v>0.2</v>
      </c>
      <c r="EV17" s="587">
        <f>ROUND(8.96*2.35*0.2,0)</f>
        <v>4</v>
      </c>
      <c r="EW17" s="695">
        <v>0</v>
      </c>
      <c r="EX17" s="587">
        <f>ROUND(8.96*2.35*0,0)</f>
        <v>0</v>
      </c>
      <c r="EY17" s="695">
        <v>0</v>
      </c>
      <c r="EZ17" s="587">
        <f>ROUND(8.96*2.35*0,0)</f>
        <v>0</v>
      </c>
      <c r="FA17" s="695">
        <v>0</v>
      </c>
      <c r="FB17" s="587">
        <f>ROUND(8.96*2.35*0,0)</f>
        <v>0</v>
      </c>
      <c r="FC17" s="695">
        <v>0</v>
      </c>
      <c r="FD17" s="587">
        <f>ROUND(8.96*2.35*0,0)</f>
        <v>0</v>
      </c>
      <c r="FE17" s="695">
        <v>0</v>
      </c>
      <c r="FF17" s="587">
        <f>ROUND(8.96*2.35*0,0)</f>
        <v>0</v>
      </c>
      <c r="FG17" s="695">
        <v>0</v>
      </c>
      <c r="FH17" s="589">
        <f>ROUND(8.96*2.35*0,0)</f>
        <v>0</v>
      </c>
      <c r="FI17" s="563"/>
      <c r="FJ17" s="564"/>
      <c r="FK17" s="582" t="s">
        <v>250</v>
      </c>
      <c r="FL17" s="691"/>
      <c r="FM17" s="583">
        <v>8.9600000000000009</v>
      </c>
      <c r="FN17" s="692">
        <v>2.35</v>
      </c>
      <c r="FO17" s="693"/>
      <c r="FP17" s="696">
        <v>9</v>
      </c>
      <c r="FQ17" s="697">
        <v>5.0999999999999996</v>
      </c>
      <c r="FR17" s="587">
        <f>ROUND(8.96*2.35*5.1,0)</f>
        <v>107</v>
      </c>
      <c r="FS17" s="698">
        <v>9</v>
      </c>
      <c r="FT17" s="697">
        <v>5.2</v>
      </c>
      <c r="FU17" s="592">
        <f>ROUND(8.96*2.35*5.2,0)</f>
        <v>109</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250</v>
      </c>
      <c r="C18" s="691"/>
      <c r="D18" s="583">
        <v>8.9600000000000009</v>
      </c>
      <c r="E18" s="692">
        <v>2.35</v>
      </c>
      <c r="F18" s="693"/>
      <c r="G18" s="694">
        <v>0</v>
      </c>
      <c r="H18" s="587">
        <f>ROUND(8.96*2.35*0,0)</f>
        <v>0</v>
      </c>
      <c r="I18" s="695">
        <v>0</v>
      </c>
      <c r="J18" s="587">
        <f>ROUND(8.96*2.35*0,0)</f>
        <v>0</v>
      </c>
      <c r="K18" s="695">
        <v>0</v>
      </c>
      <c r="L18" s="587">
        <f>ROUND(8.96*2.35*0,0)</f>
        <v>0</v>
      </c>
      <c r="M18" s="695">
        <v>0</v>
      </c>
      <c r="N18" s="587">
        <f>ROUND(8.96*2.35*0,0)</f>
        <v>0</v>
      </c>
      <c r="O18" s="695">
        <v>0</v>
      </c>
      <c r="P18" s="587">
        <f>ROUND(8.96*2.35*0,0)</f>
        <v>0</v>
      </c>
      <c r="Q18" s="695">
        <v>0</v>
      </c>
      <c r="R18" s="587">
        <f>ROUND(8.96*2.35*0,0)</f>
        <v>0</v>
      </c>
      <c r="S18" s="695">
        <v>0</v>
      </c>
      <c r="T18" s="587">
        <f>ROUND(8.96*2.35*0,0)</f>
        <v>0</v>
      </c>
      <c r="U18" s="695">
        <v>0</v>
      </c>
      <c r="V18" s="587">
        <f>ROUND(8.96*2.35*0,0)</f>
        <v>0</v>
      </c>
      <c r="W18" s="695">
        <v>1.3</v>
      </c>
      <c r="X18" s="587">
        <f>ROUND(8.96*2.35*1.3,0)</f>
        <v>27</v>
      </c>
      <c r="Y18" s="695">
        <v>1.8</v>
      </c>
      <c r="Z18" s="587">
        <f>ROUND(8.96*2.35*1.8,0)</f>
        <v>38</v>
      </c>
      <c r="AA18" s="695">
        <v>2.1</v>
      </c>
      <c r="AB18" s="587">
        <f>ROUND(8.96*2.35*2.1,0)</f>
        <v>44</v>
      </c>
      <c r="AC18" s="695">
        <v>2.2999999999999998</v>
      </c>
      <c r="AD18" s="587">
        <f>ROUND(8.96*2.35*2.3,0)</f>
        <v>48</v>
      </c>
      <c r="AE18" s="695">
        <v>2.4</v>
      </c>
      <c r="AF18" s="587">
        <f>ROUND(8.96*2.35*2.4,0)</f>
        <v>51</v>
      </c>
      <c r="AG18" s="695">
        <v>2.4</v>
      </c>
      <c r="AH18" s="587">
        <f>ROUND(8.96*2.35*2.4,0)</f>
        <v>51</v>
      </c>
      <c r="AI18" s="695">
        <v>2.2000000000000002</v>
      </c>
      <c r="AJ18" s="587">
        <f>ROUND(8.96*2.35*2.2,0)</f>
        <v>46</v>
      </c>
      <c r="AK18" s="695">
        <v>2</v>
      </c>
      <c r="AL18" s="587">
        <f>ROUND(8.96*2.35*2,0)</f>
        <v>42</v>
      </c>
      <c r="AM18" s="695">
        <v>1.6</v>
      </c>
      <c r="AN18" s="587">
        <f>ROUND(8.96*2.35*1.6,0)</f>
        <v>34</v>
      </c>
      <c r="AO18" s="695">
        <v>1.3</v>
      </c>
      <c r="AP18" s="587">
        <f>ROUND(8.96*2.35*1.3,0)</f>
        <v>27</v>
      </c>
      <c r="AQ18" s="695">
        <v>0</v>
      </c>
      <c r="AR18" s="587">
        <f>ROUND(8.96*2.35*0,0)</f>
        <v>0</v>
      </c>
      <c r="AS18" s="695">
        <v>0</v>
      </c>
      <c r="AT18" s="587">
        <f>ROUND(8.96*2.35*0,0)</f>
        <v>0</v>
      </c>
      <c r="AU18" s="695">
        <v>0</v>
      </c>
      <c r="AV18" s="587">
        <f>ROUND(8.96*2.35*0,0)</f>
        <v>0</v>
      </c>
      <c r="AW18" s="695">
        <v>0</v>
      </c>
      <c r="AX18" s="587">
        <f>ROUND(8.96*2.35*0,0)</f>
        <v>0</v>
      </c>
      <c r="AY18" s="695">
        <v>0</v>
      </c>
      <c r="AZ18" s="587">
        <f>ROUND(8.96*2.35*0,0)</f>
        <v>0</v>
      </c>
      <c r="BA18" s="695">
        <v>0</v>
      </c>
      <c r="BB18" s="589">
        <f>ROUND(8.96*2.35*0,0)</f>
        <v>0</v>
      </c>
      <c r="BC18" s="562"/>
      <c r="BD18" s="552"/>
      <c r="BE18" s="700" t="s">
        <v>250</v>
      </c>
      <c r="BF18" s="691"/>
      <c r="BG18" s="583">
        <v>8.9600000000000009</v>
      </c>
      <c r="BH18" s="692">
        <v>2.35</v>
      </c>
      <c r="BI18" s="693"/>
      <c r="BJ18" s="694">
        <v>0</v>
      </c>
      <c r="BK18" s="587">
        <f>ROUND(8.96*2.35*0,0)</f>
        <v>0</v>
      </c>
      <c r="BL18" s="695">
        <v>0</v>
      </c>
      <c r="BM18" s="587">
        <f>ROUND(8.96*2.35*0,0)</f>
        <v>0</v>
      </c>
      <c r="BN18" s="695">
        <v>0</v>
      </c>
      <c r="BO18" s="587">
        <f>ROUND(8.96*2.35*0,0)</f>
        <v>0</v>
      </c>
      <c r="BP18" s="695">
        <v>0</v>
      </c>
      <c r="BQ18" s="587">
        <f>ROUND(8.96*2.35*0,0)</f>
        <v>0</v>
      </c>
      <c r="BR18" s="695">
        <v>0</v>
      </c>
      <c r="BS18" s="587">
        <f>ROUND(8.96*2.35*0,0)</f>
        <v>0</v>
      </c>
      <c r="BT18" s="695">
        <v>0</v>
      </c>
      <c r="BU18" s="587">
        <f>ROUND(8.96*2.35*0,0)</f>
        <v>0</v>
      </c>
      <c r="BV18" s="695">
        <v>0</v>
      </c>
      <c r="BW18" s="587">
        <f>ROUND(8.96*2.35*0,0)</f>
        <v>0</v>
      </c>
      <c r="BX18" s="695">
        <v>0</v>
      </c>
      <c r="BY18" s="587">
        <f>ROUND(8.96*2.35*0,0)</f>
        <v>0</v>
      </c>
      <c r="BZ18" s="695">
        <v>1.2</v>
      </c>
      <c r="CA18" s="587">
        <f>ROUND(8.96*2.35*1.2,0)</f>
        <v>25</v>
      </c>
      <c r="CB18" s="695">
        <v>1.6</v>
      </c>
      <c r="CC18" s="587">
        <f>ROUND(8.96*2.35*1.6,0)</f>
        <v>34</v>
      </c>
      <c r="CD18" s="695">
        <v>2</v>
      </c>
      <c r="CE18" s="587">
        <f>ROUND(8.96*2.35*2,0)</f>
        <v>42</v>
      </c>
      <c r="CF18" s="695">
        <v>2.2000000000000002</v>
      </c>
      <c r="CG18" s="587">
        <f>ROUND(8.96*2.35*2.2,0)</f>
        <v>46</v>
      </c>
      <c r="CH18" s="695">
        <v>2.2000000000000002</v>
      </c>
      <c r="CI18" s="587">
        <f>ROUND(8.96*2.35*2.2,0)</f>
        <v>46</v>
      </c>
      <c r="CJ18" s="695">
        <v>2.2000000000000002</v>
      </c>
      <c r="CK18" s="587">
        <f>ROUND(8.96*2.35*2.2,0)</f>
        <v>46</v>
      </c>
      <c r="CL18" s="695">
        <v>2</v>
      </c>
      <c r="CM18" s="587">
        <f>ROUND(8.96*2.35*2,0)</f>
        <v>42</v>
      </c>
      <c r="CN18" s="695">
        <v>1.8</v>
      </c>
      <c r="CO18" s="587">
        <f>ROUND(8.96*2.35*1.8,0)</f>
        <v>38</v>
      </c>
      <c r="CP18" s="695">
        <v>1.6</v>
      </c>
      <c r="CQ18" s="587">
        <f>ROUND(8.96*2.35*1.6,0)</f>
        <v>34</v>
      </c>
      <c r="CR18" s="695">
        <v>1.2</v>
      </c>
      <c r="CS18" s="587">
        <f>ROUND(8.96*2.35*1.2,0)</f>
        <v>25</v>
      </c>
      <c r="CT18" s="695">
        <v>0</v>
      </c>
      <c r="CU18" s="587">
        <f>ROUND(8.96*2.35*0,0)</f>
        <v>0</v>
      </c>
      <c r="CV18" s="695">
        <v>0</v>
      </c>
      <c r="CW18" s="587">
        <f>ROUND(8.96*2.35*0,0)</f>
        <v>0</v>
      </c>
      <c r="CX18" s="695">
        <v>0</v>
      </c>
      <c r="CY18" s="587">
        <f>ROUND(8.96*2.35*0,0)</f>
        <v>0</v>
      </c>
      <c r="CZ18" s="695">
        <v>0</v>
      </c>
      <c r="DA18" s="587">
        <f>ROUND(8.96*2.35*0,0)</f>
        <v>0</v>
      </c>
      <c r="DB18" s="695">
        <v>0</v>
      </c>
      <c r="DC18" s="587">
        <f>ROUND(8.96*2.35*0,0)</f>
        <v>0</v>
      </c>
      <c r="DD18" s="695">
        <v>0</v>
      </c>
      <c r="DE18" s="589">
        <f>ROUND(8.96*2.35*0,0)</f>
        <v>0</v>
      </c>
      <c r="DF18" s="562"/>
      <c r="DG18" s="552"/>
      <c r="DH18" s="700" t="s">
        <v>250</v>
      </c>
      <c r="DI18" s="691"/>
      <c r="DJ18" s="583">
        <v>8.9600000000000009</v>
      </c>
      <c r="DK18" s="692">
        <v>2.35</v>
      </c>
      <c r="DL18" s="693"/>
      <c r="DM18" s="694">
        <v>0</v>
      </c>
      <c r="DN18" s="587">
        <f>ROUND(8.96*2.35*0,0)</f>
        <v>0</v>
      </c>
      <c r="DO18" s="695">
        <v>0</v>
      </c>
      <c r="DP18" s="587">
        <f>ROUND(8.96*2.35*0,0)</f>
        <v>0</v>
      </c>
      <c r="DQ18" s="695">
        <v>0</v>
      </c>
      <c r="DR18" s="587">
        <f>ROUND(8.96*2.35*0,0)</f>
        <v>0</v>
      </c>
      <c r="DS18" s="695">
        <v>0</v>
      </c>
      <c r="DT18" s="587">
        <f>ROUND(8.96*2.35*0,0)</f>
        <v>0</v>
      </c>
      <c r="DU18" s="695">
        <v>0</v>
      </c>
      <c r="DV18" s="587">
        <f>ROUND(8.96*2.35*0,0)</f>
        <v>0</v>
      </c>
      <c r="DW18" s="695">
        <v>0</v>
      </c>
      <c r="DX18" s="587">
        <f>ROUND(8.96*2.35*0,0)</f>
        <v>0</v>
      </c>
      <c r="DY18" s="695">
        <v>0</v>
      </c>
      <c r="DZ18" s="587">
        <f>ROUND(8.96*2.35*0,0)</f>
        <v>0</v>
      </c>
      <c r="EA18" s="695">
        <v>0</v>
      </c>
      <c r="EB18" s="587">
        <f>ROUND(8.96*2.35*0,0)</f>
        <v>0</v>
      </c>
      <c r="EC18" s="695">
        <v>0.3</v>
      </c>
      <c r="ED18" s="587">
        <f>ROUND(8.96*2.35*0.3,0)</f>
        <v>6</v>
      </c>
      <c r="EE18" s="695">
        <v>0.8</v>
      </c>
      <c r="EF18" s="587">
        <f>ROUND(8.96*2.35*0.8,0)</f>
        <v>17</v>
      </c>
      <c r="EG18" s="695">
        <v>1.2</v>
      </c>
      <c r="EH18" s="587">
        <f>ROUND(8.96*2.35*1.2,0)</f>
        <v>25</v>
      </c>
      <c r="EI18" s="695">
        <v>1.4</v>
      </c>
      <c r="EJ18" s="587">
        <f>ROUND(8.96*2.35*1.4,0)</f>
        <v>29</v>
      </c>
      <c r="EK18" s="695">
        <v>1.5</v>
      </c>
      <c r="EL18" s="587">
        <f>ROUND(8.96*2.35*1.5,0)</f>
        <v>32</v>
      </c>
      <c r="EM18" s="695">
        <v>1.4</v>
      </c>
      <c r="EN18" s="587">
        <f>ROUND(8.96*2.35*1.4,0)</f>
        <v>29</v>
      </c>
      <c r="EO18" s="695">
        <v>1.2</v>
      </c>
      <c r="EP18" s="587">
        <f>ROUND(8.96*2.35*1.2,0)</f>
        <v>25</v>
      </c>
      <c r="EQ18" s="695">
        <v>1.1000000000000001</v>
      </c>
      <c r="ER18" s="587">
        <f>ROUND(8.96*2.35*1.1,0)</f>
        <v>23</v>
      </c>
      <c r="ES18" s="695">
        <v>0.7</v>
      </c>
      <c r="ET18" s="587">
        <f>ROUND(8.96*2.35*0.7,0)</f>
        <v>15</v>
      </c>
      <c r="EU18" s="695">
        <v>0.3</v>
      </c>
      <c r="EV18" s="587">
        <f>ROUND(8.96*2.35*0.3,0)</f>
        <v>6</v>
      </c>
      <c r="EW18" s="695">
        <v>0</v>
      </c>
      <c r="EX18" s="587">
        <f>ROUND(8.96*2.35*0,0)</f>
        <v>0</v>
      </c>
      <c r="EY18" s="695">
        <v>0</v>
      </c>
      <c r="EZ18" s="587">
        <f>ROUND(8.96*2.35*0,0)</f>
        <v>0</v>
      </c>
      <c r="FA18" s="695">
        <v>0</v>
      </c>
      <c r="FB18" s="587">
        <f>ROUND(8.96*2.35*0,0)</f>
        <v>0</v>
      </c>
      <c r="FC18" s="695">
        <v>0</v>
      </c>
      <c r="FD18" s="587">
        <f>ROUND(8.96*2.35*0,0)</f>
        <v>0</v>
      </c>
      <c r="FE18" s="695">
        <v>0</v>
      </c>
      <c r="FF18" s="587">
        <f>ROUND(8.96*2.35*0,0)</f>
        <v>0</v>
      </c>
      <c r="FG18" s="695">
        <v>0</v>
      </c>
      <c r="FH18" s="589">
        <f>ROUND(8.96*2.35*0,0)</f>
        <v>0</v>
      </c>
      <c r="FI18" s="563"/>
      <c r="FJ18" s="564"/>
      <c r="FK18" s="700" t="s">
        <v>250</v>
      </c>
      <c r="FL18" s="691"/>
      <c r="FM18" s="583">
        <v>8.9600000000000009</v>
      </c>
      <c r="FN18" s="692">
        <v>2.35</v>
      </c>
      <c r="FO18" s="693"/>
      <c r="FP18" s="696">
        <v>9</v>
      </c>
      <c r="FQ18" s="697">
        <v>6.8</v>
      </c>
      <c r="FR18" s="587">
        <f>ROUND(8.96*2.35*6.8,0)</f>
        <v>143</v>
      </c>
      <c r="FS18" s="698">
        <v>9</v>
      </c>
      <c r="FT18" s="697">
        <v>7</v>
      </c>
      <c r="FU18" s="592">
        <f>ROUND(8.96*2.35*7,0)</f>
        <v>147</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t="s">
        <v>238</v>
      </c>
      <c r="C19" s="691"/>
      <c r="D19" s="583">
        <v>13.2</v>
      </c>
      <c r="E19" s="692">
        <v>0.47</v>
      </c>
      <c r="F19" s="693"/>
      <c r="G19" s="694">
        <v>0</v>
      </c>
      <c r="H19" s="587">
        <f>ROUND(13.2*0.47*0,0)</f>
        <v>0</v>
      </c>
      <c r="I19" s="695">
        <v>0</v>
      </c>
      <c r="J19" s="587">
        <f>ROUND(13.2*0.47*0,0)</f>
        <v>0</v>
      </c>
      <c r="K19" s="695">
        <v>0</v>
      </c>
      <c r="L19" s="587">
        <f>ROUND(13.2*0.47*0,0)</f>
        <v>0</v>
      </c>
      <c r="M19" s="695">
        <v>0</v>
      </c>
      <c r="N19" s="587">
        <f>ROUND(13.2*0.47*0,0)</f>
        <v>0</v>
      </c>
      <c r="O19" s="695">
        <v>0</v>
      </c>
      <c r="P19" s="587">
        <f>ROUND(13.2*0.47*0,0)</f>
        <v>0</v>
      </c>
      <c r="Q19" s="695">
        <v>0</v>
      </c>
      <c r="R19" s="587">
        <f>ROUND(13.2*0.47*0,0)</f>
        <v>0</v>
      </c>
      <c r="S19" s="695">
        <v>0</v>
      </c>
      <c r="T19" s="587">
        <f>ROUND(13.2*0.47*0,0)</f>
        <v>0</v>
      </c>
      <c r="U19" s="695">
        <v>0</v>
      </c>
      <c r="V19" s="587">
        <f>ROUND(13.2*0.47*0,0)</f>
        <v>0</v>
      </c>
      <c r="W19" s="695">
        <v>3.3</v>
      </c>
      <c r="X19" s="587">
        <f>ROUND(13.2*0.47*3.3,0)</f>
        <v>20</v>
      </c>
      <c r="Y19" s="695">
        <v>3.2</v>
      </c>
      <c r="Z19" s="587">
        <f>ROUND(13.2*0.47*3.2,0)</f>
        <v>20</v>
      </c>
      <c r="AA19" s="695">
        <v>3.2</v>
      </c>
      <c r="AB19" s="587">
        <f>ROUND(13.2*0.47*3.2,0)</f>
        <v>20</v>
      </c>
      <c r="AC19" s="695">
        <v>3.3</v>
      </c>
      <c r="AD19" s="587">
        <f>ROUND(13.2*0.47*3.3,0)</f>
        <v>20</v>
      </c>
      <c r="AE19" s="695">
        <v>3.7</v>
      </c>
      <c r="AF19" s="587">
        <f>ROUND(13.2*0.47*3.7,0)</f>
        <v>23</v>
      </c>
      <c r="AG19" s="695">
        <v>4.3</v>
      </c>
      <c r="AH19" s="587">
        <f>ROUND(13.2*0.47*4.3,0)</f>
        <v>27</v>
      </c>
      <c r="AI19" s="695">
        <v>5</v>
      </c>
      <c r="AJ19" s="587">
        <f>ROUND(13.2*0.47*5,0)</f>
        <v>31</v>
      </c>
      <c r="AK19" s="695">
        <v>5.8</v>
      </c>
      <c r="AL19" s="587">
        <f>ROUND(13.2*0.47*5.8,0)</f>
        <v>36</v>
      </c>
      <c r="AM19" s="695">
        <v>6.6</v>
      </c>
      <c r="AN19" s="587">
        <f>ROUND(13.2*0.47*6.6,0)</f>
        <v>41</v>
      </c>
      <c r="AO19" s="695">
        <v>7.4</v>
      </c>
      <c r="AP19" s="587">
        <f>ROUND(13.2*0.47*7.4,0)</f>
        <v>46</v>
      </c>
      <c r="AQ19" s="695">
        <v>0</v>
      </c>
      <c r="AR19" s="587">
        <f>ROUND(13.2*0.47*0,0)</f>
        <v>0</v>
      </c>
      <c r="AS19" s="695">
        <v>0</v>
      </c>
      <c r="AT19" s="587">
        <f>ROUND(13.2*0.47*0,0)</f>
        <v>0</v>
      </c>
      <c r="AU19" s="695">
        <v>0</v>
      </c>
      <c r="AV19" s="587">
        <f>ROUND(13.2*0.47*0,0)</f>
        <v>0</v>
      </c>
      <c r="AW19" s="695">
        <v>0</v>
      </c>
      <c r="AX19" s="587">
        <f>ROUND(13.2*0.47*0,0)</f>
        <v>0</v>
      </c>
      <c r="AY19" s="695">
        <v>0</v>
      </c>
      <c r="AZ19" s="587">
        <f>ROUND(13.2*0.47*0,0)</f>
        <v>0</v>
      </c>
      <c r="BA19" s="695">
        <v>0</v>
      </c>
      <c r="BB19" s="589">
        <f>ROUND(13.2*0.47*0,0)</f>
        <v>0</v>
      </c>
      <c r="BC19" s="562"/>
      <c r="BD19" s="552"/>
      <c r="BE19" s="700" t="s">
        <v>238</v>
      </c>
      <c r="BF19" s="691"/>
      <c r="BG19" s="583">
        <v>13.2</v>
      </c>
      <c r="BH19" s="692">
        <v>0.47</v>
      </c>
      <c r="BI19" s="693"/>
      <c r="BJ19" s="694">
        <v>0</v>
      </c>
      <c r="BK19" s="587">
        <f>ROUND(13.2*0.47*0,0)</f>
        <v>0</v>
      </c>
      <c r="BL19" s="695">
        <v>0</v>
      </c>
      <c r="BM19" s="587">
        <f>ROUND(13.2*0.47*0,0)</f>
        <v>0</v>
      </c>
      <c r="BN19" s="695">
        <v>0</v>
      </c>
      <c r="BO19" s="587">
        <f>ROUND(13.2*0.47*0,0)</f>
        <v>0</v>
      </c>
      <c r="BP19" s="695">
        <v>0</v>
      </c>
      <c r="BQ19" s="587">
        <f>ROUND(13.2*0.47*0,0)</f>
        <v>0</v>
      </c>
      <c r="BR19" s="695">
        <v>0</v>
      </c>
      <c r="BS19" s="587">
        <f>ROUND(13.2*0.47*0,0)</f>
        <v>0</v>
      </c>
      <c r="BT19" s="695">
        <v>0</v>
      </c>
      <c r="BU19" s="587">
        <f>ROUND(13.2*0.47*0,0)</f>
        <v>0</v>
      </c>
      <c r="BV19" s="695">
        <v>0</v>
      </c>
      <c r="BW19" s="587">
        <f>ROUND(13.2*0.47*0,0)</f>
        <v>0</v>
      </c>
      <c r="BX19" s="695">
        <v>0</v>
      </c>
      <c r="BY19" s="587">
        <f>ROUND(13.2*0.47*0,0)</f>
        <v>0</v>
      </c>
      <c r="BZ19" s="695">
        <v>3.2</v>
      </c>
      <c r="CA19" s="587">
        <f>ROUND(13.2*0.47*3.2,0)</f>
        <v>20</v>
      </c>
      <c r="CB19" s="695">
        <v>3</v>
      </c>
      <c r="CC19" s="587">
        <f>ROUND(13.2*0.47*3,0)</f>
        <v>19</v>
      </c>
      <c r="CD19" s="695">
        <v>3</v>
      </c>
      <c r="CE19" s="587">
        <f>ROUND(13.2*0.47*3,0)</f>
        <v>19</v>
      </c>
      <c r="CF19" s="695">
        <v>3.1</v>
      </c>
      <c r="CG19" s="587">
        <f>ROUND(13.2*0.47*3.1,0)</f>
        <v>19</v>
      </c>
      <c r="CH19" s="695">
        <v>3.4</v>
      </c>
      <c r="CI19" s="587">
        <f>ROUND(13.2*0.47*3.4,0)</f>
        <v>21</v>
      </c>
      <c r="CJ19" s="695">
        <v>4</v>
      </c>
      <c r="CK19" s="587">
        <f>ROUND(13.2*0.47*4,0)</f>
        <v>25</v>
      </c>
      <c r="CL19" s="695">
        <v>4.8</v>
      </c>
      <c r="CM19" s="587">
        <f>ROUND(13.2*0.47*4.8,0)</f>
        <v>30</v>
      </c>
      <c r="CN19" s="695">
        <v>5.8</v>
      </c>
      <c r="CO19" s="587">
        <f>ROUND(13.2*0.47*5.8,0)</f>
        <v>36</v>
      </c>
      <c r="CP19" s="695">
        <v>6.7</v>
      </c>
      <c r="CQ19" s="587">
        <f>ROUND(13.2*0.47*6.7,0)</f>
        <v>42</v>
      </c>
      <c r="CR19" s="695">
        <v>7.6</v>
      </c>
      <c r="CS19" s="587">
        <f>ROUND(13.2*0.47*7.6,0)</f>
        <v>47</v>
      </c>
      <c r="CT19" s="695">
        <v>0</v>
      </c>
      <c r="CU19" s="587">
        <f>ROUND(13.2*0.47*0,0)</f>
        <v>0</v>
      </c>
      <c r="CV19" s="695">
        <v>0</v>
      </c>
      <c r="CW19" s="587">
        <f>ROUND(13.2*0.47*0,0)</f>
        <v>0</v>
      </c>
      <c r="CX19" s="695">
        <v>0</v>
      </c>
      <c r="CY19" s="587">
        <f>ROUND(13.2*0.47*0,0)</f>
        <v>0</v>
      </c>
      <c r="CZ19" s="695">
        <v>0</v>
      </c>
      <c r="DA19" s="587">
        <f>ROUND(13.2*0.47*0,0)</f>
        <v>0</v>
      </c>
      <c r="DB19" s="695">
        <v>0</v>
      </c>
      <c r="DC19" s="587">
        <f>ROUND(13.2*0.47*0,0)</f>
        <v>0</v>
      </c>
      <c r="DD19" s="695">
        <v>0</v>
      </c>
      <c r="DE19" s="589">
        <f>ROUND(13.2*0.47*0,0)</f>
        <v>0</v>
      </c>
      <c r="DF19" s="562"/>
      <c r="DG19" s="552"/>
      <c r="DH19" s="700" t="s">
        <v>238</v>
      </c>
      <c r="DI19" s="691"/>
      <c r="DJ19" s="583">
        <v>13.2</v>
      </c>
      <c r="DK19" s="692">
        <v>0.47</v>
      </c>
      <c r="DL19" s="693"/>
      <c r="DM19" s="694">
        <v>0</v>
      </c>
      <c r="DN19" s="587">
        <f>ROUND(13.2*0.47*0,0)</f>
        <v>0</v>
      </c>
      <c r="DO19" s="695">
        <v>0</v>
      </c>
      <c r="DP19" s="587">
        <f>ROUND(13.2*0.47*0,0)</f>
        <v>0</v>
      </c>
      <c r="DQ19" s="695">
        <v>0</v>
      </c>
      <c r="DR19" s="587">
        <f>ROUND(13.2*0.47*0,0)</f>
        <v>0</v>
      </c>
      <c r="DS19" s="695">
        <v>0</v>
      </c>
      <c r="DT19" s="587">
        <f>ROUND(13.2*0.47*0,0)</f>
        <v>0</v>
      </c>
      <c r="DU19" s="695">
        <v>0</v>
      </c>
      <c r="DV19" s="587">
        <f>ROUND(13.2*0.47*0,0)</f>
        <v>0</v>
      </c>
      <c r="DW19" s="695">
        <v>0</v>
      </c>
      <c r="DX19" s="587">
        <f>ROUND(13.2*0.47*0,0)</f>
        <v>0</v>
      </c>
      <c r="DY19" s="695">
        <v>0</v>
      </c>
      <c r="DZ19" s="587">
        <f>ROUND(13.2*0.47*0,0)</f>
        <v>0</v>
      </c>
      <c r="EA19" s="695">
        <v>0</v>
      </c>
      <c r="EB19" s="587">
        <f>ROUND(13.2*0.47*0,0)</f>
        <v>0</v>
      </c>
      <c r="EC19" s="695">
        <v>1.8</v>
      </c>
      <c r="ED19" s="587">
        <f>ROUND(13.2*0.47*1.8,0)</f>
        <v>11</v>
      </c>
      <c r="EE19" s="695">
        <v>1.5</v>
      </c>
      <c r="EF19" s="587">
        <f>ROUND(13.2*0.47*1.5,0)</f>
        <v>9</v>
      </c>
      <c r="EG19" s="695">
        <v>1.4</v>
      </c>
      <c r="EH19" s="587">
        <f>ROUND(13.2*0.47*1.4,0)</f>
        <v>9</v>
      </c>
      <c r="EI19" s="695">
        <v>1.6</v>
      </c>
      <c r="EJ19" s="587">
        <f>ROUND(13.2*0.47*1.6,0)</f>
        <v>10</v>
      </c>
      <c r="EK19" s="695">
        <v>2.1</v>
      </c>
      <c r="EL19" s="587">
        <f>ROUND(13.2*0.47*2.1,0)</f>
        <v>13</v>
      </c>
      <c r="EM19" s="695">
        <v>2.9</v>
      </c>
      <c r="EN19" s="587">
        <f>ROUND(13.2*0.47*2.9,0)</f>
        <v>18</v>
      </c>
      <c r="EO19" s="695">
        <v>4</v>
      </c>
      <c r="EP19" s="587">
        <f>ROUND(13.2*0.47*4,0)</f>
        <v>25</v>
      </c>
      <c r="EQ19" s="695">
        <v>5.3</v>
      </c>
      <c r="ER19" s="587">
        <f>ROUND(13.2*0.47*5.3,0)</f>
        <v>33</v>
      </c>
      <c r="ES19" s="695">
        <v>6.5</v>
      </c>
      <c r="ET19" s="587">
        <f>ROUND(13.2*0.47*6.5,0)</f>
        <v>40</v>
      </c>
      <c r="EU19" s="695">
        <v>7.6</v>
      </c>
      <c r="EV19" s="587">
        <f>ROUND(13.2*0.47*7.6,0)</f>
        <v>47</v>
      </c>
      <c r="EW19" s="695">
        <v>0</v>
      </c>
      <c r="EX19" s="587">
        <f>ROUND(13.2*0.47*0,0)</f>
        <v>0</v>
      </c>
      <c r="EY19" s="695">
        <v>0</v>
      </c>
      <c r="EZ19" s="587">
        <f>ROUND(13.2*0.47*0,0)</f>
        <v>0</v>
      </c>
      <c r="FA19" s="695">
        <v>0</v>
      </c>
      <c r="FB19" s="587">
        <f>ROUND(13.2*0.47*0,0)</f>
        <v>0</v>
      </c>
      <c r="FC19" s="695">
        <v>0</v>
      </c>
      <c r="FD19" s="587">
        <f>ROUND(13.2*0.47*0,0)</f>
        <v>0</v>
      </c>
      <c r="FE19" s="695">
        <v>0</v>
      </c>
      <c r="FF19" s="587">
        <f>ROUND(13.2*0.47*0,0)</f>
        <v>0</v>
      </c>
      <c r="FG19" s="695">
        <v>0</v>
      </c>
      <c r="FH19" s="589">
        <f>ROUND(13.2*0.47*0,0)</f>
        <v>0</v>
      </c>
      <c r="FI19" s="563"/>
      <c r="FJ19" s="564"/>
      <c r="FK19" s="700" t="s">
        <v>238</v>
      </c>
      <c r="FL19" s="691"/>
      <c r="FM19" s="583">
        <v>13.2</v>
      </c>
      <c r="FN19" s="692">
        <v>0.47</v>
      </c>
      <c r="FO19" s="693"/>
      <c r="FP19" s="696">
        <v>9</v>
      </c>
      <c r="FQ19" s="697">
        <v>17</v>
      </c>
      <c r="FR19" s="587">
        <f>ROUND(13.2*0.47*17,0)</f>
        <v>105</v>
      </c>
      <c r="FS19" s="698">
        <v>9</v>
      </c>
      <c r="FT19" s="697">
        <v>17.5</v>
      </c>
      <c r="FU19" s="592">
        <f>ROUND(13.2*0.47*17.5,0)</f>
        <v>109</v>
      </c>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t="s">
        <v>261</v>
      </c>
      <c r="C20" s="691"/>
      <c r="D20" s="583">
        <v>13.2</v>
      </c>
      <c r="E20" s="692">
        <v>2.84</v>
      </c>
      <c r="F20" s="693"/>
      <c r="G20" s="694">
        <v>0</v>
      </c>
      <c r="H20" s="587">
        <f>ROUND(13.2*2.84*0,0)</f>
        <v>0</v>
      </c>
      <c r="I20" s="695">
        <v>0</v>
      </c>
      <c r="J20" s="587">
        <f>ROUND(13.2*2.84*0,0)</f>
        <v>0</v>
      </c>
      <c r="K20" s="695">
        <v>0</v>
      </c>
      <c r="L20" s="587">
        <f>ROUND(13.2*2.84*0,0)</f>
        <v>0</v>
      </c>
      <c r="M20" s="695">
        <v>0</v>
      </c>
      <c r="N20" s="587">
        <f>ROUND(13.2*2.84*0,0)</f>
        <v>0</v>
      </c>
      <c r="O20" s="695">
        <v>0</v>
      </c>
      <c r="P20" s="587">
        <f>ROUND(13.2*2.84*0,0)</f>
        <v>0</v>
      </c>
      <c r="Q20" s="695">
        <v>0</v>
      </c>
      <c r="R20" s="587">
        <f>ROUND(13.2*2.84*0,0)</f>
        <v>0</v>
      </c>
      <c r="S20" s="695">
        <v>0</v>
      </c>
      <c r="T20" s="587">
        <f>ROUND(13.2*2.84*0,0)</f>
        <v>0</v>
      </c>
      <c r="U20" s="695">
        <v>0</v>
      </c>
      <c r="V20" s="587">
        <f>ROUND(13.2*2.84*0,0)</f>
        <v>0</v>
      </c>
      <c r="W20" s="695">
        <v>1</v>
      </c>
      <c r="X20" s="587">
        <f>ROUND(13.2*2.84*1,0)</f>
        <v>37</v>
      </c>
      <c r="Y20" s="695">
        <v>1.3</v>
      </c>
      <c r="Z20" s="587">
        <f>ROUND(13.2*2.84*1.3,0)</f>
        <v>49</v>
      </c>
      <c r="AA20" s="695">
        <v>1.6</v>
      </c>
      <c r="AB20" s="587">
        <f>ROUND(13.2*2.84*1.6,0)</f>
        <v>60</v>
      </c>
      <c r="AC20" s="695">
        <v>1.7</v>
      </c>
      <c r="AD20" s="587">
        <f>ROUND(13.2*2.84*1.7,0)</f>
        <v>64</v>
      </c>
      <c r="AE20" s="695">
        <v>1.8</v>
      </c>
      <c r="AF20" s="587">
        <f>ROUND(13.2*2.84*1.8,0)</f>
        <v>67</v>
      </c>
      <c r="AG20" s="695">
        <v>1.8</v>
      </c>
      <c r="AH20" s="587">
        <f>ROUND(13.2*2.84*1.8,0)</f>
        <v>67</v>
      </c>
      <c r="AI20" s="695">
        <v>1.6</v>
      </c>
      <c r="AJ20" s="587">
        <f>ROUND(13.2*2.84*1.6,0)</f>
        <v>60</v>
      </c>
      <c r="AK20" s="695">
        <v>1.5</v>
      </c>
      <c r="AL20" s="587">
        <f>ROUND(13.2*2.84*1.5,0)</f>
        <v>56</v>
      </c>
      <c r="AM20" s="695">
        <v>1.2</v>
      </c>
      <c r="AN20" s="587">
        <f>ROUND(13.2*2.84*1.2,0)</f>
        <v>45</v>
      </c>
      <c r="AO20" s="695">
        <v>1</v>
      </c>
      <c r="AP20" s="587">
        <f>ROUND(13.2*2.84*1,0)</f>
        <v>37</v>
      </c>
      <c r="AQ20" s="695">
        <v>0</v>
      </c>
      <c r="AR20" s="587">
        <f>ROUND(13.2*2.84*0,0)</f>
        <v>0</v>
      </c>
      <c r="AS20" s="695">
        <v>0</v>
      </c>
      <c r="AT20" s="587">
        <f>ROUND(13.2*2.84*0,0)</f>
        <v>0</v>
      </c>
      <c r="AU20" s="695">
        <v>0</v>
      </c>
      <c r="AV20" s="587">
        <f>ROUND(13.2*2.84*0,0)</f>
        <v>0</v>
      </c>
      <c r="AW20" s="695">
        <v>0</v>
      </c>
      <c r="AX20" s="587">
        <f>ROUND(13.2*2.84*0,0)</f>
        <v>0</v>
      </c>
      <c r="AY20" s="695">
        <v>0</v>
      </c>
      <c r="AZ20" s="587">
        <f>ROUND(13.2*2.84*0,0)</f>
        <v>0</v>
      </c>
      <c r="BA20" s="695">
        <v>0</v>
      </c>
      <c r="BB20" s="589">
        <f>ROUND(13.2*2.84*0,0)</f>
        <v>0</v>
      </c>
      <c r="BC20" s="562"/>
      <c r="BD20" s="552"/>
      <c r="BE20" s="700" t="s">
        <v>261</v>
      </c>
      <c r="BF20" s="691"/>
      <c r="BG20" s="583">
        <v>13.2</v>
      </c>
      <c r="BH20" s="692">
        <v>2.84</v>
      </c>
      <c r="BI20" s="693"/>
      <c r="BJ20" s="694">
        <v>0</v>
      </c>
      <c r="BK20" s="587">
        <f>ROUND(13.2*2.84*0,0)</f>
        <v>0</v>
      </c>
      <c r="BL20" s="695">
        <v>0</v>
      </c>
      <c r="BM20" s="587">
        <f>ROUND(13.2*2.84*0,0)</f>
        <v>0</v>
      </c>
      <c r="BN20" s="695">
        <v>0</v>
      </c>
      <c r="BO20" s="587">
        <f>ROUND(13.2*2.84*0,0)</f>
        <v>0</v>
      </c>
      <c r="BP20" s="695">
        <v>0</v>
      </c>
      <c r="BQ20" s="587">
        <f>ROUND(13.2*2.84*0,0)</f>
        <v>0</v>
      </c>
      <c r="BR20" s="695">
        <v>0</v>
      </c>
      <c r="BS20" s="587">
        <f>ROUND(13.2*2.84*0,0)</f>
        <v>0</v>
      </c>
      <c r="BT20" s="695">
        <v>0</v>
      </c>
      <c r="BU20" s="587">
        <f>ROUND(13.2*2.84*0,0)</f>
        <v>0</v>
      </c>
      <c r="BV20" s="695">
        <v>0</v>
      </c>
      <c r="BW20" s="587">
        <f>ROUND(13.2*2.84*0,0)</f>
        <v>0</v>
      </c>
      <c r="BX20" s="695">
        <v>0</v>
      </c>
      <c r="BY20" s="587">
        <f>ROUND(13.2*2.84*0,0)</f>
        <v>0</v>
      </c>
      <c r="BZ20" s="695">
        <v>0.9</v>
      </c>
      <c r="CA20" s="587">
        <f>ROUND(13.2*2.84*0.9,0)</f>
        <v>34</v>
      </c>
      <c r="CB20" s="695">
        <v>1.2</v>
      </c>
      <c r="CC20" s="587">
        <f>ROUND(13.2*2.84*1.2,0)</f>
        <v>45</v>
      </c>
      <c r="CD20" s="695">
        <v>1.5</v>
      </c>
      <c r="CE20" s="587">
        <f>ROUND(13.2*2.84*1.5,0)</f>
        <v>56</v>
      </c>
      <c r="CF20" s="695">
        <v>1.6</v>
      </c>
      <c r="CG20" s="587">
        <f>ROUND(13.2*2.84*1.6,0)</f>
        <v>60</v>
      </c>
      <c r="CH20" s="695">
        <v>1.7</v>
      </c>
      <c r="CI20" s="587">
        <f>ROUND(13.2*2.84*1.7,0)</f>
        <v>64</v>
      </c>
      <c r="CJ20" s="695">
        <v>1.6</v>
      </c>
      <c r="CK20" s="587">
        <f>ROUND(13.2*2.84*1.6,0)</f>
        <v>60</v>
      </c>
      <c r="CL20" s="695">
        <v>1.5</v>
      </c>
      <c r="CM20" s="587">
        <f>ROUND(13.2*2.84*1.5,0)</f>
        <v>56</v>
      </c>
      <c r="CN20" s="695">
        <v>1.3</v>
      </c>
      <c r="CO20" s="587">
        <f>ROUND(13.2*2.84*1.3,0)</f>
        <v>49</v>
      </c>
      <c r="CP20" s="695">
        <v>1.2</v>
      </c>
      <c r="CQ20" s="587">
        <f>ROUND(13.2*2.84*1.2,0)</f>
        <v>45</v>
      </c>
      <c r="CR20" s="695">
        <v>0.9</v>
      </c>
      <c r="CS20" s="587">
        <f>ROUND(13.2*2.84*0.9,0)</f>
        <v>34</v>
      </c>
      <c r="CT20" s="695">
        <v>0</v>
      </c>
      <c r="CU20" s="587">
        <f>ROUND(13.2*2.84*0,0)</f>
        <v>0</v>
      </c>
      <c r="CV20" s="695">
        <v>0</v>
      </c>
      <c r="CW20" s="587">
        <f>ROUND(13.2*2.84*0,0)</f>
        <v>0</v>
      </c>
      <c r="CX20" s="695">
        <v>0</v>
      </c>
      <c r="CY20" s="587">
        <f>ROUND(13.2*2.84*0,0)</f>
        <v>0</v>
      </c>
      <c r="CZ20" s="695">
        <v>0</v>
      </c>
      <c r="DA20" s="587">
        <f>ROUND(13.2*2.84*0,0)</f>
        <v>0</v>
      </c>
      <c r="DB20" s="695">
        <v>0</v>
      </c>
      <c r="DC20" s="587">
        <f>ROUND(13.2*2.84*0,0)</f>
        <v>0</v>
      </c>
      <c r="DD20" s="695">
        <v>0</v>
      </c>
      <c r="DE20" s="589">
        <f>ROUND(13.2*2.84*0,0)</f>
        <v>0</v>
      </c>
      <c r="DF20" s="562"/>
      <c r="DG20" s="552"/>
      <c r="DH20" s="700" t="s">
        <v>261</v>
      </c>
      <c r="DI20" s="691"/>
      <c r="DJ20" s="583">
        <v>13.2</v>
      </c>
      <c r="DK20" s="692">
        <v>2.84</v>
      </c>
      <c r="DL20" s="693"/>
      <c r="DM20" s="694">
        <v>0</v>
      </c>
      <c r="DN20" s="587">
        <f>ROUND(13.2*2.84*0,0)</f>
        <v>0</v>
      </c>
      <c r="DO20" s="695">
        <v>0</v>
      </c>
      <c r="DP20" s="587">
        <f>ROUND(13.2*2.84*0,0)</f>
        <v>0</v>
      </c>
      <c r="DQ20" s="695">
        <v>0</v>
      </c>
      <c r="DR20" s="587">
        <f>ROUND(13.2*2.84*0,0)</f>
        <v>0</v>
      </c>
      <c r="DS20" s="695">
        <v>0</v>
      </c>
      <c r="DT20" s="587">
        <f>ROUND(13.2*2.84*0,0)</f>
        <v>0</v>
      </c>
      <c r="DU20" s="695">
        <v>0</v>
      </c>
      <c r="DV20" s="587">
        <f>ROUND(13.2*2.84*0,0)</f>
        <v>0</v>
      </c>
      <c r="DW20" s="695">
        <v>0</v>
      </c>
      <c r="DX20" s="587">
        <f>ROUND(13.2*2.84*0,0)</f>
        <v>0</v>
      </c>
      <c r="DY20" s="695">
        <v>0</v>
      </c>
      <c r="DZ20" s="587">
        <f>ROUND(13.2*2.84*0,0)</f>
        <v>0</v>
      </c>
      <c r="EA20" s="695">
        <v>0</v>
      </c>
      <c r="EB20" s="587">
        <f>ROUND(13.2*2.84*0,0)</f>
        <v>0</v>
      </c>
      <c r="EC20" s="695">
        <v>0.2</v>
      </c>
      <c r="ED20" s="587">
        <f>ROUND(13.2*2.84*0.2,0)</f>
        <v>7</v>
      </c>
      <c r="EE20" s="695">
        <v>0.6</v>
      </c>
      <c r="EF20" s="587">
        <f>ROUND(13.2*2.84*0.6,0)</f>
        <v>22</v>
      </c>
      <c r="EG20" s="695">
        <v>0.9</v>
      </c>
      <c r="EH20" s="587">
        <f>ROUND(13.2*2.84*0.9,0)</f>
        <v>34</v>
      </c>
      <c r="EI20" s="695">
        <v>1.1000000000000001</v>
      </c>
      <c r="EJ20" s="587">
        <f>ROUND(13.2*2.84*1.1,0)</f>
        <v>41</v>
      </c>
      <c r="EK20" s="695">
        <v>1.1000000000000001</v>
      </c>
      <c r="EL20" s="587">
        <f>ROUND(13.2*2.84*1.1,0)</f>
        <v>41</v>
      </c>
      <c r="EM20" s="695">
        <v>1</v>
      </c>
      <c r="EN20" s="587">
        <f>ROUND(13.2*2.84*1,0)</f>
        <v>37</v>
      </c>
      <c r="EO20" s="695">
        <v>0.9</v>
      </c>
      <c r="EP20" s="587">
        <f>ROUND(13.2*2.84*0.9,0)</f>
        <v>34</v>
      </c>
      <c r="EQ20" s="695">
        <v>0.8</v>
      </c>
      <c r="ER20" s="587">
        <f>ROUND(13.2*2.84*0.8,0)</f>
        <v>30</v>
      </c>
      <c r="ES20" s="695">
        <v>0.5</v>
      </c>
      <c r="ET20" s="587">
        <f>ROUND(13.2*2.84*0.5,0)</f>
        <v>19</v>
      </c>
      <c r="EU20" s="695">
        <v>0.2</v>
      </c>
      <c r="EV20" s="587">
        <f>ROUND(13.2*2.84*0.2,0)</f>
        <v>7</v>
      </c>
      <c r="EW20" s="695">
        <v>0</v>
      </c>
      <c r="EX20" s="587">
        <f>ROUND(13.2*2.84*0,0)</f>
        <v>0</v>
      </c>
      <c r="EY20" s="695">
        <v>0</v>
      </c>
      <c r="EZ20" s="587">
        <f>ROUND(13.2*2.84*0,0)</f>
        <v>0</v>
      </c>
      <c r="FA20" s="695">
        <v>0</v>
      </c>
      <c r="FB20" s="587">
        <f>ROUND(13.2*2.84*0,0)</f>
        <v>0</v>
      </c>
      <c r="FC20" s="695">
        <v>0</v>
      </c>
      <c r="FD20" s="587">
        <f>ROUND(13.2*2.84*0,0)</f>
        <v>0</v>
      </c>
      <c r="FE20" s="695">
        <v>0</v>
      </c>
      <c r="FF20" s="587">
        <f>ROUND(13.2*2.84*0,0)</f>
        <v>0</v>
      </c>
      <c r="FG20" s="695">
        <v>0</v>
      </c>
      <c r="FH20" s="589">
        <f>ROUND(13.2*2.84*0,0)</f>
        <v>0</v>
      </c>
      <c r="FI20" s="563"/>
      <c r="FJ20" s="564"/>
      <c r="FK20" s="700" t="s">
        <v>261</v>
      </c>
      <c r="FL20" s="691"/>
      <c r="FM20" s="583">
        <v>13.2</v>
      </c>
      <c r="FN20" s="692">
        <v>2.84</v>
      </c>
      <c r="FO20" s="693"/>
      <c r="FP20" s="696">
        <v>9</v>
      </c>
      <c r="FQ20" s="697">
        <v>5.0999999999999996</v>
      </c>
      <c r="FR20" s="587">
        <f>ROUND(13.2*2.84*5.1,0)</f>
        <v>191</v>
      </c>
      <c r="FS20" s="698">
        <v>9</v>
      </c>
      <c r="FT20" s="697">
        <v>5.2</v>
      </c>
      <c r="FU20" s="592">
        <f>ROUND(13.2*2.84*5.2,0)</f>
        <v>195</v>
      </c>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c r="C21" s="691"/>
      <c r="D21" s="583"/>
      <c r="E21" s="692"/>
      <c r="F21" s="693"/>
      <c r="G21" s="694"/>
      <c r="H21" s="587"/>
      <c r="I21" s="695"/>
      <c r="J21" s="587"/>
      <c r="K21" s="695"/>
      <c r="L21" s="587"/>
      <c r="M21" s="695"/>
      <c r="N21" s="587"/>
      <c r="O21" s="695"/>
      <c r="P21" s="587"/>
      <c r="Q21" s="695"/>
      <c r="R21" s="587"/>
      <c r="S21" s="695"/>
      <c r="T21" s="587"/>
      <c r="U21" s="695"/>
      <c r="V21" s="587"/>
      <c r="W21" s="695"/>
      <c r="X21" s="587"/>
      <c r="Y21" s="695"/>
      <c r="Z21" s="587"/>
      <c r="AA21" s="695"/>
      <c r="AB21" s="587"/>
      <c r="AC21" s="695"/>
      <c r="AD21" s="587"/>
      <c r="AE21" s="695"/>
      <c r="AF21" s="587"/>
      <c r="AG21" s="695"/>
      <c r="AH21" s="587"/>
      <c r="AI21" s="695"/>
      <c r="AJ21" s="587"/>
      <c r="AK21" s="695"/>
      <c r="AL21" s="587"/>
      <c r="AM21" s="695"/>
      <c r="AN21" s="587"/>
      <c r="AO21" s="695"/>
      <c r="AP21" s="587"/>
      <c r="AQ21" s="695"/>
      <c r="AR21" s="587"/>
      <c r="AS21" s="695"/>
      <c r="AT21" s="587"/>
      <c r="AU21" s="695"/>
      <c r="AV21" s="587"/>
      <c r="AW21" s="695"/>
      <c r="AX21" s="587"/>
      <c r="AY21" s="695"/>
      <c r="AZ21" s="587"/>
      <c r="BA21" s="695"/>
      <c r="BB21" s="589"/>
      <c r="BC21" s="562"/>
      <c r="BD21" s="552"/>
      <c r="BE21" s="700"/>
      <c r="BF21" s="691"/>
      <c r="BG21" s="583"/>
      <c r="BH21" s="692"/>
      <c r="BI21" s="693"/>
      <c r="BJ21" s="694"/>
      <c r="BK21" s="587"/>
      <c r="BL21" s="695"/>
      <c r="BM21" s="587"/>
      <c r="BN21" s="695"/>
      <c r="BO21" s="587"/>
      <c r="BP21" s="695"/>
      <c r="BQ21" s="587"/>
      <c r="BR21" s="695"/>
      <c r="BS21" s="587"/>
      <c r="BT21" s="695"/>
      <c r="BU21" s="587"/>
      <c r="BV21" s="695"/>
      <c r="BW21" s="587"/>
      <c r="BX21" s="695"/>
      <c r="BY21" s="587"/>
      <c r="BZ21" s="695"/>
      <c r="CA21" s="587"/>
      <c r="CB21" s="695"/>
      <c r="CC21" s="587"/>
      <c r="CD21" s="695"/>
      <c r="CE21" s="587"/>
      <c r="CF21" s="695"/>
      <c r="CG21" s="587"/>
      <c r="CH21" s="695"/>
      <c r="CI21" s="587"/>
      <c r="CJ21" s="695"/>
      <c r="CK21" s="587"/>
      <c r="CL21" s="695"/>
      <c r="CM21" s="587"/>
      <c r="CN21" s="695"/>
      <c r="CO21" s="587"/>
      <c r="CP21" s="695"/>
      <c r="CQ21" s="587"/>
      <c r="CR21" s="695"/>
      <c r="CS21" s="587"/>
      <c r="CT21" s="695"/>
      <c r="CU21" s="587"/>
      <c r="CV21" s="695"/>
      <c r="CW21" s="587"/>
      <c r="CX21" s="695"/>
      <c r="CY21" s="587"/>
      <c r="CZ21" s="695"/>
      <c r="DA21" s="587"/>
      <c r="DB21" s="695"/>
      <c r="DC21" s="587"/>
      <c r="DD21" s="695"/>
      <c r="DE21" s="589"/>
      <c r="DF21" s="562"/>
      <c r="DG21" s="552"/>
      <c r="DH21" s="700"/>
      <c r="DI21" s="691"/>
      <c r="DJ21" s="583"/>
      <c r="DK21" s="692"/>
      <c r="DL21" s="693"/>
      <c r="DM21" s="694"/>
      <c r="DN21" s="587"/>
      <c r="DO21" s="695"/>
      <c r="DP21" s="587"/>
      <c r="DQ21" s="695"/>
      <c r="DR21" s="587"/>
      <c r="DS21" s="695"/>
      <c r="DT21" s="587"/>
      <c r="DU21" s="695"/>
      <c r="DV21" s="587"/>
      <c r="DW21" s="695"/>
      <c r="DX21" s="587"/>
      <c r="DY21" s="695"/>
      <c r="DZ21" s="587"/>
      <c r="EA21" s="695"/>
      <c r="EB21" s="587"/>
      <c r="EC21" s="695"/>
      <c r="ED21" s="587"/>
      <c r="EE21" s="695"/>
      <c r="EF21" s="587"/>
      <c r="EG21" s="695"/>
      <c r="EH21" s="587"/>
      <c r="EI21" s="695"/>
      <c r="EJ21" s="587"/>
      <c r="EK21" s="695"/>
      <c r="EL21" s="587"/>
      <c r="EM21" s="695"/>
      <c r="EN21" s="587"/>
      <c r="EO21" s="695"/>
      <c r="EP21" s="587"/>
      <c r="EQ21" s="695"/>
      <c r="ER21" s="587"/>
      <c r="ES21" s="695"/>
      <c r="ET21" s="587"/>
      <c r="EU21" s="695"/>
      <c r="EV21" s="587"/>
      <c r="EW21" s="695"/>
      <c r="EX21" s="587"/>
      <c r="EY21" s="695"/>
      <c r="EZ21" s="587"/>
      <c r="FA21" s="695"/>
      <c r="FB21" s="587"/>
      <c r="FC21" s="695"/>
      <c r="FD21" s="587"/>
      <c r="FE21" s="695"/>
      <c r="FF21" s="587"/>
      <c r="FG21" s="695"/>
      <c r="FH21" s="589"/>
      <c r="FI21" s="563"/>
      <c r="FJ21" s="564"/>
      <c r="FK21" s="700"/>
      <c r="FL21" s="691"/>
      <c r="FM21" s="583"/>
      <c r="FN21" s="692"/>
      <c r="FO21" s="693"/>
      <c r="FP21" s="696"/>
      <c r="FQ21" s="697"/>
      <c r="FR21" s="587"/>
      <c r="FS21" s="698"/>
      <c r="FT21" s="697"/>
      <c r="FU21" s="592"/>
      <c r="FV21" s="593"/>
      <c r="FW21" s="594"/>
      <c r="FX21" s="595"/>
      <c r="FY21" s="596"/>
      <c r="FZ21" s="597"/>
      <c r="GA21" s="598"/>
      <c r="GB21" s="599"/>
      <c r="GC21" s="600"/>
      <c r="GD21" s="599"/>
      <c r="GE21" s="601"/>
      <c r="GF21" s="688"/>
      <c r="GG21" s="602"/>
      <c r="GH21" s="602"/>
      <c r="GI21" s="602"/>
      <c r="GJ21" s="409"/>
      <c r="GK21" s="701" t="s">
        <v>536</v>
      </c>
      <c r="GL21" s="702"/>
      <c r="GM21" s="703"/>
      <c r="GN21" s="638">
        <v>0</v>
      </c>
      <c r="GO21" s="704"/>
      <c r="GP21" s="705"/>
      <c r="GQ21" s="633">
        <v>0</v>
      </c>
      <c r="GR21" s="634">
        <v>0</v>
      </c>
      <c r="GS21" s="578"/>
      <c r="GT21" s="677"/>
      <c r="GU21" s="701" t="s">
        <v>699</v>
      </c>
      <c r="GV21" s="702"/>
      <c r="GW21" s="703"/>
      <c r="GX21" s="706">
        <v>0</v>
      </c>
      <c r="GY21" s="707"/>
      <c r="GZ21" s="704"/>
      <c r="HA21" s="708">
        <v>0</v>
      </c>
      <c r="HB21" s="709"/>
      <c r="HC21" s="710"/>
      <c r="HD21" s="562"/>
      <c r="HE21" s="615"/>
      <c r="HF21" s="615"/>
      <c r="HG21" s="415"/>
    </row>
    <row r="22" spans="1:218" ht="20.100000000000001" customHeight="1">
      <c r="A22" s="552"/>
      <c r="B22" s="700"/>
      <c r="C22" s="691"/>
      <c r="D22" s="583"/>
      <c r="E22" s="692"/>
      <c r="F22" s="693"/>
      <c r="G22" s="694"/>
      <c r="H22" s="587"/>
      <c r="I22" s="695"/>
      <c r="J22" s="587"/>
      <c r="K22" s="695"/>
      <c r="L22" s="587"/>
      <c r="M22" s="695"/>
      <c r="N22" s="587"/>
      <c r="O22" s="695"/>
      <c r="P22" s="587"/>
      <c r="Q22" s="695"/>
      <c r="R22" s="587"/>
      <c r="S22" s="695"/>
      <c r="T22" s="587"/>
      <c r="U22" s="695"/>
      <c r="V22" s="587"/>
      <c r="W22" s="695"/>
      <c r="X22" s="587"/>
      <c r="Y22" s="695"/>
      <c r="Z22" s="587"/>
      <c r="AA22" s="695"/>
      <c r="AB22" s="587"/>
      <c r="AC22" s="695"/>
      <c r="AD22" s="587"/>
      <c r="AE22" s="695"/>
      <c r="AF22" s="587"/>
      <c r="AG22" s="695"/>
      <c r="AH22" s="587"/>
      <c r="AI22" s="695"/>
      <c r="AJ22" s="587"/>
      <c r="AK22" s="695"/>
      <c r="AL22" s="587"/>
      <c r="AM22" s="695"/>
      <c r="AN22" s="587"/>
      <c r="AO22" s="695"/>
      <c r="AP22" s="587"/>
      <c r="AQ22" s="695"/>
      <c r="AR22" s="587"/>
      <c r="AS22" s="695"/>
      <c r="AT22" s="587"/>
      <c r="AU22" s="695"/>
      <c r="AV22" s="587"/>
      <c r="AW22" s="695"/>
      <c r="AX22" s="587"/>
      <c r="AY22" s="695"/>
      <c r="AZ22" s="587"/>
      <c r="BA22" s="695"/>
      <c r="BB22" s="589"/>
      <c r="BC22" s="562"/>
      <c r="BD22" s="552"/>
      <c r="BE22" s="700"/>
      <c r="BF22" s="691"/>
      <c r="BG22" s="583"/>
      <c r="BH22" s="692"/>
      <c r="BI22" s="693"/>
      <c r="BJ22" s="694"/>
      <c r="BK22" s="587"/>
      <c r="BL22" s="695"/>
      <c r="BM22" s="587"/>
      <c r="BN22" s="695"/>
      <c r="BO22" s="587"/>
      <c r="BP22" s="695"/>
      <c r="BQ22" s="587"/>
      <c r="BR22" s="695"/>
      <c r="BS22" s="587"/>
      <c r="BT22" s="695"/>
      <c r="BU22" s="587"/>
      <c r="BV22" s="695"/>
      <c r="BW22" s="587"/>
      <c r="BX22" s="695"/>
      <c r="BY22" s="587"/>
      <c r="BZ22" s="695"/>
      <c r="CA22" s="587"/>
      <c r="CB22" s="695"/>
      <c r="CC22" s="587"/>
      <c r="CD22" s="695"/>
      <c r="CE22" s="587"/>
      <c r="CF22" s="695"/>
      <c r="CG22" s="587"/>
      <c r="CH22" s="695"/>
      <c r="CI22" s="587"/>
      <c r="CJ22" s="695"/>
      <c r="CK22" s="587"/>
      <c r="CL22" s="695"/>
      <c r="CM22" s="587"/>
      <c r="CN22" s="695"/>
      <c r="CO22" s="587"/>
      <c r="CP22" s="695"/>
      <c r="CQ22" s="587"/>
      <c r="CR22" s="695"/>
      <c r="CS22" s="587"/>
      <c r="CT22" s="695"/>
      <c r="CU22" s="587"/>
      <c r="CV22" s="695"/>
      <c r="CW22" s="587"/>
      <c r="CX22" s="695"/>
      <c r="CY22" s="587"/>
      <c r="CZ22" s="695"/>
      <c r="DA22" s="587"/>
      <c r="DB22" s="695"/>
      <c r="DC22" s="587"/>
      <c r="DD22" s="695"/>
      <c r="DE22" s="589"/>
      <c r="DF22" s="562"/>
      <c r="DG22" s="552"/>
      <c r="DH22" s="700"/>
      <c r="DI22" s="691"/>
      <c r="DJ22" s="583"/>
      <c r="DK22" s="692"/>
      <c r="DL22" s="693"/>
      <c r="DM22" s="694"/>
      <c r="DN22" s="587"/>
      <c r="DO22" s="695"/>
      <c r="DP22" s="587"/>
      <c r="DQ22" s="695"/>
      <c r="DR22" s="587"/>
      <c r="DS22" s="695"/>
      <c r="DT22" s="587"/>
      <c r="DU22" s="695"/>
      <c r="DV22" s="587"/>
      <c r="DW22" s="695"/>
      <c r="DX22" s="587"/>
      <c r="DY22" s="695"/>
      <c r="DZ22" s="587"/>
      <c r="EA22" s="695"/>
      <c r="EB22" s="587"/>
      <c r="EC22" s="695"/>
      <c r="ED22" s="587"/>
      <c r="EE22" s="695"/>
      <c r="EF22" s="587"/>
      <c r="EG22" s="695"/>
      <c r="EH22" s="587"/>
      <c r="EI22" s="695"/>
      <c r="EJ22" s="587"/>
      <c r="EK22" s="695"/>
      <c r="EL22" s="587"/>
      <c r="EM22" s="695"/>
      <c r="EN22" s="587"/>
      <c r="EO22" s="695"/>
      <c r="EP22" s="587"/>
      <c r="EQ22" s="695"/>
      <c r="ER22" s="587"/>
      <c r="ES22" s="695"/>
      <c r="ET22" s="587"/>
      <c r="EU22" s="695"/>
      <c r="EV22" s="587"/>
      <c r="EW22" s="695"/>
      <c r="EX22" s="587"/>
      <c r="EY22" s="695"/>
      <c r="EZ22" s="587"/>
      <c r="FA22" s="695"/>
      <c r="FB22" s="587"/>
      <c r="FC22" s="695"/>
      <c r="FD22" s="587"/>
      <c r="FE22" s="695"/>
      <c r="FF22" s="587"/>
      <c r="FG22" s="695"/>
      <c r="FH22" s="589"/>
      <c r="FI22" s="563"/>
      <c r="FJ22" s="564"/>
      <c r="FK22" s="700"/>
      <c r="FL22" s="691"/>
      <c r="FM22" s="583"/>
      <c r="FN22" s="692"/>
      <c r="FO22" s="693"/>
      <c r="FP22" s="696"/>
      <c r="FQ22" s="697"/>
      <c r="FR22" s="587"/>
      <c r="FS22" s="698"/>
      <c r="FT22" s="697"/>
      <c r="FU22" s="592"/>
      <c r="FV22" s="593"/>
      <c r="FW22" s="594"/>
      <c r="FX22" s="595"/>
      <c r="FY22" s="596"/>
      <c r="FZ22" s="597"/>
      <c r="GA22" s="598"/>
      <c r="GB22" s="599"/>
      <c r="GC22" s="600"/>
      <c r="GD22" s="599"/>
      <c r="GE22" s="601"/>
      <c r="GF22" s="688"/>
      <c r="GG22" s="602"/>
      <c r="GH22" s="602"/>
      <c r="GI22" s="602"/>
      <c r="GJ22" s="530"/>
      <c r="GK22" s="711" t="s">
        <v>700</v>
      </c>
      <c r="GL22" s="712"/>
      <c r="GM22" s="712"/>
      <c r="GN22" s="713"/>
      <c r="GO22" s="633">
        <v>0</v>
      </c>
      <c r="GP22" s="633">
        <v>1</v>
      </c>
      <c r="GQ22" s="714"/>
      <c r="GR22" s="715"/>
      <c r="GS22" s="578"/>
      <c r="GT22" s="677"/>
      <c r="GU22" s="711" t="s">
        <v>539</v>
      </c>
      <c r="GV22" s="712"/>
      <c r="GW22" s="712"/>
      <c r="GX22" s="712"/>
      <c r="GY22" s="713"/>
      <c r="GZ22" s="633">
        <v>0</v>
      </c>
      <c r="HA22" s="716"/>
      <c r="HB22" s="717"/>
      <c r="HC22" s="413"/>
      <c r="HD22" s="562"/>
      <c r="HE22" s="415"/>
      <c r="HF22" s="415"/>
      <c r="HG22" s="415"/>
    </row>
    <row r="23" spans="1:218" ht="20.100000000000001" customHeight="1">
      <c r="A23" s="552"/>
      <c r="B23" s="700"/>
      <c r="C23" s="691"/>
      <c r="D23" s="583"/>
      <c r="E23" s="692"/>
      <c r="F23" s="693"/>
      <c r="G23" s="694"/>
      <c r="H23" s="587"/>
      <c r="I23" s="695"/>
      <c r="J23" s="587"/>
      <c r="K23" s="695"/>
      <c r="L23" s="587"/>
      <c r="M23" s="695"/>
      <c r="N23" s="587"/>
      <c r="O23" s="695"/>
      <c r="P23" s="587"/>
      <c r="Q23" s="695"/>
      <c r="R23" s="587"/>
      <c r="S23" s="695"/>
      <c r="T23" s="587"/>
      <c r="U23" s="695"/>
      <c r="V23" s="587"/>
      <c r="W23" s="695"/>
      <c r="X23" s="587"/>
      <c r="Y23" s="695"/>
      <c r="Z23" s="587"/>
      <c r="AA23" s="695"/>
      <c r="AB23" s="587"/>
      <c r="AC23" s="695"/>
      <c r="AD23" s="587"/>
      <c r="AE23" s="695"/>
      <c r="AF23" s="587"/>
      <c r="AG23" s="695"/>
      <c r="AH23" s="587"/>
      <c r="AI23" s="695"/>
      <c r="AJ23" s="587"/>
      <c r="AK23" s="695"/>
      <c r="AL23" s="587"/>
      <c r="AM23" s="695"/>
      <c r="AN23" s="587"/>
      <c r="AO23" s="695"/>
      <c r="AP23" s="587"/>
      <c r="AQ23" s="695"/>
      <c r="AR23" s="587"/>
      <c r="AS23" s="695"/>
      <c r="AT23" s="587"/>
      <c r="AU23" s="695"/>
      <c r="AV23" s="587"/>
      <c r="AW23" s="695"/>
      <c r="AX23" s="587"/>
      <c r="AY23" s="695"/>
      <c r="AZ23" s="587"/>
      <c r="BA23" s="695"/>
      <c r="BB23" s="589"/>
      <c r="BC23" s="562"/>
      <c r="BD23" s="552"/>
      <c r="BE23" s="700"/>
      <c r="BF23" s="691"/>
      <c r="BG23" s="583"/>
      <c r="BH23" s="692"/>
      <c r="BI23" s="693"/>
      <c r="BJ23" s="694"/>
      <c r="BK23" s="587"/>
      <c r="BL23" s="695"/>
      <c r="BM23" s="587"/>
      <c r="BN23" s="695"/>
      <c r="BO23" s="587"/>
      <c r="BP23" s="695"/>
      <c r="BQ23" s="587"/>
      <c r="BR23" s="695"/>
      <c r="BS23" s="587"/>
      <c r="BT23" s="695"/>
      <c r="BU23" s="587"/>
      <c r="BV23" s="695"/>
      <c r="BW23" s="587"/>
      <c r="BX23" s="695"/>
      <c r="BY23" s="587"/>
      <c r="BZ23" s="695"/>
      <c r="CA23" s="587"/>
      <c r="CB23" s="695"/>
      <c r="CC23" s="587"/>
      <c r="CD23" s="695"/>
      <c r="CE23" s="587"/>
      <c r="CF23" s="695"/>
      <c r="CG23" s="587"/>
      <c r="CH23" s="695"/>
      <c r="CI23" s="587"/>
      <c r="CJ23" s="695"/>
      <c r="CK23" s="587"/>
      <c r="CL23" s="695"/>
      <c r="CM23" s="587"/>
      <c r="CN23" s="695"/>
      <c r="CO23" s="587"/>
      <c r="CP23" s="695"/>
      <c r="CQ23" s="587"/>
      <c r="CR23" s="695"/>
      <c r="CS23" s="587"/>
      <c r="CT23" s="695"/>
      <c r="CU23" s="587"/>
      <c r="CV23" s="695"/>
      <c r="CW23" s="587"/>
      <c r="CX23" s="695"/>
      <c r="CY23" s="587"/>
      <c r="CZ23" s="695"/>
      <c r="DA23" s="587"/>
      <c r="DB23" s="695"/>
      <c r="DC23" s="587"/>
      <c r="DD23" s="695"/>
      <c r="DE23" s="589"/>
      <c r="DF23" s="562"/>
      <c r="DG23" s="552"/>
      <c r="DH23" s="700"/>
      <c r="DI23" s="691"/>
      <c r="DJ23" s="583"/>
      <c r="DK23" s="692"/>
      <c r="DL23" s="693"/>
      <c r="DM23" s="694"/>
      <c r="DN23" s="587"/>
      <c r="DO23" s="695"/>
      <c r="DP23" s="587"/>
      <c r="DQ23" s="695"/>
      <c r="DR23" s="587"/>
      <c r="DS23" s="695"/>
      <c r="DT23" s="587"/>
      <c r="DU23" s="695"/>
      <c r="DV23" s="587"/>
      <c r="DW23" s="695"/>
      <c r="DX23" s="587"/>
      <c r="DY23" s="695"/>
      <c r="DZ23" s="587"/>
      <c r="EA23" s="695"/>
      <c r="EB23" s="587"/>
      <c r="EC23" s="695"/>
      <c r="ED23" s="587"/>
      <c r="EE23" s="695"/>
      <c r="EF23" s="587"/>
      <c r="EG23" s="695"/>
      <c r="EH23" s="587"/>
      <c r="EI23" s="695"/>
      <c r="EJ23" s="587"/>
      <c r="EK23" s="695"/>
      <c r="EL23" s="587"/>
      <c r="EM23" s="695"/>
      <c r="EN23" s="587"/>
      <c r="EO23" s="695"/>
      <c r="EP23" s="587"/>
      <c r="EQ23" s="695"/>
      <c r="ER23" s="587"/>
      <c r="ES23" s="695"/>
      <c r="ET23" s="587"/>
      <c r="EU23" s="695"/>
      <c r="EV23" s="587"/>
      <c r="EW23" s="695"/>
      <c r="EX23" s="587"/>
      <c r="EY23" s="695"/>
      <c r="EZ23" s="587"/>
      <c r="FA23" s="695"/>
      <c r="FB23" s="587"/>
      <c r="FC23" s="695"/>
      <c r="FD23" s="587"/>
      <c r="FE23" s="695"/>
      <c r="FF23" s="587"/>
      <c r="FG23" s="695"/>
      <c r="FH23" s="589"/>
      <c r="FI23" s="563"/>
      <c r="FJ23" s="564"/>
      <c r="FK23" s="700"/>
      <c r="FL23" s="691"/>
      <c r="FM23" s="583"/>
      <c r="FN23" s="692"/>
      <c r="FO23" s="693"/>
      <c r="FP23" s="696"/>
      <c r="FQ23" s="697"/>
      <c r="FR23" s="587"/>
      <c r="FS23" s="698"/>
      <c r="FT23" s="697"/>
      <c r="FU23" s="592"/>
      <c r="FV23" s="593"/>
      <c r="FW23" s="594"/>
      <c r="FX23" s="595"/>
      <c r="FY23" s="596"/>
      <c r="FZ23" s="597"/>
      <c r="GA23" s="598"/>
      <c r="GB23" s="599"/>
      <c r="GC23" s="600"/>
      <c r="GD23" s="599"/>
      <c r="GE23" s="601"/>
      <c r="GF23" s="688"/>
      <c r="GG23" s="602"/>
      <c r="GH23" s="602"/>
      <c r="GI23" s="602"/>
      <c r="GJ23" s="615"/>
      <c r="GK23" s="580" t="s">
        <v>701</v>
      </c>
      <c r="GL23" s="609"/>
      <c r="GM23" s="718"/>
      <c r="GN23" s="719">
        <v>13.23</v>
      </c>
      <c r="GO23" s="500" t="s">
        <v>318</v>
      </c>
      <c r="GP23" s="719"/>
      <c r="GQ23" s="609"/>
      <c r="GR23" s="615"/>
      <c r="GS23" s="578"/>
      <c r="GT23" s="677"/>
      <c r="GU23" s="609"/>
      <c r="GV23" s="530"/>
      <c r="GW23" s="609"/>
      <c r="GX23" s="609"/>
      <c r="GY23" s="720"/>
      <c r="GZ23" s="721"/>
      <c r="HA23" s="413"/>
      <c r="HB23" s="721" t="s">
        <v>702</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703</v>
      </c>
      <c r="GL24" s="609"/>
      <c r="GM24" s="718"/>
      <c r="GN24" s="719">
        <v>0</v>
      </c>
      <c r="GO24" s="719"/>
      <c r="GP24" s="719"/>
      <c r="GQ24" s="609"/>
      <c r="GR24" s="615"/>
      <c r="GS24" s="609"/>
      <c r="GT24" s="677"/>
      <c r="GU24" s="580" t="s">
        <v>704</v>
      </c>
      <c r="GV24" s="609"/>
      <c r="GW24" s="609"/>
      <c r="GX24" s="413"/>
      <c r="GY24" s="722">
        <v>614</v>
      </c>
      <c r="GZ24" s="580" t="s">
        <v>705</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833</v>
      </c>
      <c r="GV25" s="609"/>
      <c r="GW25" s="609"/>
      <c r="GX25" s="413"/>
      <c r="GY25" s="733">
        <v>1</v>
      </c>
      <c r="GZ25" s="580"/>
      <c r="HA25" s="530"/>
      <c r="HB25" s="530"/>
      <c r="HC25" s="530"/>
      <c r="HD25" s="562"/>
      <c r="HE25" s="562"/>
      <c r="HF25" s="415"/>
      <c r="HG25" s="415"/>
    </row>
    <row r="26" spans="1:218" ht="20.100000000000001" customHeight="1">
      <c r="A26" s="641"/>
      <c r="B26" s="642"/>
      <c r="C26" s="642"/>
      <c r="D26" s="642" t="s">
        <v>641</v>
      </c>
      <c r="E26" s="642"/>
      <c r="F26" s="642"/>
      <c r="G26" s="644"/>
      <c r="H26" s="645">
        <f>SUM(H16:H25)</f>
        <v>0</v>
      </c>
      <c r="I26" s="734"/>
      <c r="J26" s="645">
        <f>SUM(J16:J25)</f>
        <v>0</v>
      </c>
      <c r="K26" s="735"/>
      <c r="L26" s="645">
        <f>SUM(L16:L25)</f>
        <v>0</v>
      </c>
      <c r="M26" s="735"/>
      <c r="N26" s="645">
        <f>SUM(N16:N25)</f>
        <v>0</v>
      </c>
      <c r="O26" s="735"/>
      <c r="P26" s="645">
        <f>SUM(P16:P25)</f>
        <v>0</v>
      </c>
      <c r="Q26" s="735"/>
      <c r="R26" s="645">
        <f>SUM(R16:R25)</f>
        <v>0</v>
      </c>
      <c r="S26" s="735"/>
      <c r="T26" s="645">
        <f>SUM(T16:T25)</f>
        <v>0</v>
      </c>
      <c r="U26" s="735"/>
      <c r="V26" s="645">
        <f>SUM(V16:V25)</f>
        <v>0</v>
      </c>
      <c r="W26" s="735"/>
      <c r="X26" s="645">
        <f>SUM(X16:X25)</f>
        <v>227</v>
      </c>
      <c r="Y26" s="735"/>
      <c r="Z26" s="645">
        <f>SUM(Z16:Z25)</f>
        <v>295</v>
      </c>
      <c r="AA26" s="735"/>
      <c r="AB26" s="645">
        <f>SUM(AB16:AB25)</f>
        <v>345</v>
      </c>
      <c r="AC26" s="735"/>
      <c r="AD26" s="645">
        <f>SUM(AD16:AD25)</f>
        <v>362</v>
      </c>
      <c r="AE26" s="735"/>
      <c r="AF26" s="645">
        <f>SUM(AF16:AF25)</f>
        <v>365</v>
      </c>
      <c r="AG26" s="735"/>
      <c r="AH26" s="645">
        <f>SUM(AH16:AH25)</f>
        <v>358</v>
      </c>
      <c r="AI26" s="735"/>
      <c r="AJ26" s="645">
        <f>SUM(AJ16:AJ25)</f>
        <v>336</v>
      </c>
      <c r="AK26" s="735"/>
      <c r="AL26" s="645">
        <f>SUM(AL16:AL25)</f>
        <v>320</v>
      </c>
      <c r="AM26" s="735"/>
      <c r="AN26" s="645">
        <f>SUM(AN16:AN25)</f>
        <v>283</v>
      </c>
      <c r="AO26" s="735"/>
      <c r="AP26" s="645">
        <f>SUM(AP16:AP25)</f>
        <v>249</v>
      </c>
      <c r="AQ26" s="735"/>
      <c r="AR26" s="645">
        <f>SUM(AR16:AR25)</f>
        <v>0</v>
      </c>
      <c r="AS26" s="735"/>
      <c r="AT26" s="645">
        <f>SUM(AT16:AT25)</f>
        <v>0</v>
      </c>
      <c r="AU26" s="735"/>
      <c r="AV26" s="645">
        <f>SUM(AV16:AV25)</f>
        <v>0</v>
      </c>
      <c r="AW26" s="735"/>
      <c r="AX26" s="645">
        <f>SUM(AX16:AX25)</f>
        <v>0</v>
      </c>
      <c r="AY26" s="735"/>
      <c r="AZ26" s="645">
        <f>SUM(AZ16:AZ25)</f>
        <v>0</v>
      </c>
      <c r="BA26" s="735"/>
      <c r="BB26" s="647">
        <f>SUM(BB16:BB25)</f>
        <v>0</v>
      </c>
      <c r="BC26" s="648"/>
      <c r="BD26" s="641"/>
      <c r="BE26" s="642"/>
      <c r="BF26" s="642"/>
      <c r="BG26" s="642" t="s">
        <v>641</v>
      </c>
      <c r="BH26" s="642"/>
      <c r="BI26" s="642"/>
      <c r="BJ26" s="644"/>
      <c r="BK26" s="645">
        <f>SUM(BK16:BK25)</f>
        <v>0</v>
      </c>
      <c r="BL26" s="734"/>
      <c r="BM26" s="645">
        <f>SUM(BM16:BM25)</f>
        <v>0</v>
      </c>
      <c r="BN26" s="735"/>
      <c r="BO26" s="645">
        <f>SUM(BO16:BO25)</f>
        <v>0</v>
      </c>
      <c r="BP26" s="735"/>
      <c r="BQ26" s="645">
        <f>SUM(BQ16:BQ25)</f>
        <v>0</v>
      </c>
      <c r="BR26" s="735"/>
      <c r="BS26" s="645">
        <f>SUM(BS16:BS25)</f>
        <v>0</v>
      </c>
      <c r="BT26" s="735"/>
      <c r="BU26" s="645">
        <f>SUM(BU16:BU25)</f>
        <v>0</v>
      </c>
      <c r="BV26" s="735"/>
      <c r="BW26" s="645">
        <f>SUM(BW16:BW25)</f>
        <v>0</v>
      </c>
      <c r="BX26" s="735"/>
      <c r="BY26" s="645">
        <f>SUM(BY16:BY25)</f>
        <v>0</v>
      </c>
      <c r="BZ26" s="735"/>
      <c r="CA26" s="645">
        <f>SUM(CA16:CA25)</f>
        <v>294</v>
      </c>
      <c r="CB26" s="735"/>
      <c r="CC26" s="645">
        <f>SUM(CC16:CC25)</f>
        <v>360</v>
      </c>
      <c r="CD26" s="735"/>
      <c r="CE26" s="645">
        <f>SUM(CE16:CE25)</f>
        <v>401</v>
      </c>
      <c r="CF26" s="735"/>
      <c r="CG26" s="645">
        <f>SUM(CG16:CG25)</f>
        <v>401</v>
      </c>
      <c r="CH26" s="735"/>
      <c r="CI26" s="645">
        <f>SUM(CI16:CI25)</f>
        <v>380</v>
      </c>
      <c r="CJ26" s="735"/>
      <c r="CK26" s="645">
        <f>SUM(CK16:CK25)</f>
        <v>351</v>
      </c>
      <c r="CL26" s="735"/>
      <c r="CM26" s="645">
        <f>SUM(CM16:CM25)</f>
        <v>327</v>
      </c>
      <c r="CN26" s="735"/>
      <c r="CO26" s="645">
        <f>SUM(CO16:CO25)</f>
        <v>300</v>
      </c>
      <c r="CP26" s="735"/>
      <c r="CQ26" s="645">
        <f>SUM(CQ16:CQ25)</f>
        <v>278</v>
      </c>
      <c r="CR26" s="735"/>
      <c r="CS26" s="645">
        <f>SUM(CS16:CS25)</f>
        <v>239</v>
      </c>
      <c r="CT26" s="735"/>
      <c r="CU26" s="645">
        <f>SUM(CU16:CU25)</f>
        <v>0</v>
      </c>
      <c r="CV26" s="735"/>
      <c r="CW26" s="645">
        <f>SUM(CW16:CW25)</f>
        <v>0</v>
      </c>
      <c r="CX26" s="735"/>
      <c r="CY26" s="645">
        <f>SUM(CY16:CY25)</f>
        <v>0</v>
      </c>
      <c r="CZ26" s="735"/>
      <c r="DA26" s="645">
        <f>SUM(DA16:DA25)</f>
        <v>0</v>
      </c>
      <c r="DB26" s="735"/>
      <c r="DC26" s="645">
        <f>SUM(DC16:DC25)</f>
        <v>0</v>
      </c>
      <c r="DD26" s="735"/>
      <c r="DE26" s="647">
        <f>SUM(DE16:DE25)</f>
        <v>0</v>
      </c>
      <c r="DF26" s="648"/>
      <c r="DG26" s="641"/>
      <c r="DH26" s="642"/>
      <c r="DI26" s="642"/>
      <c r="DJ26" s="642" t="s">
        <v>641</v>
      </c>
      <c r="DK26" s="642"/>
      <c r="DL26" s="642"/>
      <c r="DM26" s="644"/>
      <c r="DN26" s="645">
        <f>SUM(DN16:DN25)</f>
        <v>0</v>
      </c>
      <c r="DO26" s="734"/>
      <c r="DP26" s="645">
        <f>SUM(DP16:DP25)</f>
        <v>0</v>
      </c>
      <c r="DQ26" s="735"/>
      <c r="DR26" s="645">
        <f>SUM(DR16:DR25)</f>
        <v>0</v>
      </c>
      <c r="DS26" s="735"/>
      <c r="DT26" s="645">
        <f>SUM(DT16:DT25)</f>
        <v>0</v>
      </c>
      <c r="DU26" s="735"/>
      <c r="DV26" s="645">
        <f>SUM(DV16:DV25)</f>
        <v>0</v>
      </c>
      <c r="DW26" s="735"/>
      <c r="DX26" s="645">
        <f>SUM(DX16:DX25)</f>
        <v>0</v>
      </c>
      <c r="DY26" s="735"/>
      <c r="DZ26" s="645">
        <f>SUM(DZ16:DZ25)</f>
        <v>0</v>
      </c>
      <c r="EA26" s="735"/>
      <c r="EB26" s="645">
        <f>SUM(EB16:EB25)</f>
        <v>0</v>
      </c>
      <c r="EC26" s="735"/>
      <c r="ED26" s="645">
        <f>SUM(ED16:ED25)</f>
        <v>192</v>
      </c>
      <c r="EE26" s="735"/>
      <c r="EF26" s="645">
        <f>SUM(EF16:EF25)</f>
        <v>271</v>
      </c>
      <c r="EG26" s="735"/>
      <c r="EH26" s="645">
        <f>SUM(EH16:EH25)</f>
        <v>317</v>
      </c>
      <c r="EI26" s="735"/>
      <c r="EJ26" s="645">
        <f>SUM(EJ16:EJ25)</f>
        <v>324</v>
      </c>
      <c r="EK26" s="735"/>
      <c r="EL26" s="645">
        <f>SUM(EL16:EL25)</f>
        <v>300</v>
      </c>
      <c r="EM26" s="735"/>
      <c r="EN26" s="645">
        <f>SUM(EN16:EN25)</f>
        <v>266</v>
      </c>
      <c r="EO26" s="735"/>
      <c r="EP26" s="645">
        <f>SUM(EP16:EP25)</f>
        <v>241</v>
      </c>
      <c r="EQ26" s="735"/>
      <c r="ER26" s="645">
        <f>SUM(ER16:ER25)</f>
        <v>221</v>
      </c>
      <c r="ES26" s="735"/>
      <c r="ET26" s="645">
        <f>SUM(ET16:ET25)</f>
        <v>183</v>
      </c>
      <c r="EU26" s="735"/>
      <c r="EV26" s="645">
        <f>SUM(EV16:EV25)</f>
        <v>139</v>
      </c>
      <c r="EW26" s="735"/>
      <c r="EX26" s="645">
        <f>SUM(EX16:EX25)</f>
        <v>0</v>
      </c>
      <c r="EY26" s="735"/>
      <c r="EZ26" s="645">
        <f>SUM(EZ16:EZ25)</f>
        <v>0</v>
      </c>
      <c r="FA26" s="735"/>
      <c r="FB26" s="645">
        <f>SUM(FB16:FB25)</f>
        <v>0</v>
      </c>
      <c r="FC26" s="735"/>
      <c r="FD26" s="645">
        <f>SUM(FD16:FD25)</f>
        <v>0</v>
      </c>
      <c r="FE26" s="735"/>
      <c r="FF26" s="645">
        <f>SUM(FF16:FF25)</f>
        <v>0</v>
      </c>
      <c r="FG26" s="735"/>
      <c r="FH26" s="647">
        <f>SUM(FH16:FH25)</f>
        <v>0</v>
      </c>
      <c r="FI26" s="649"/>
      <c r="FJ26" s="564"/>
      <c r="FK26" s="642"/>
      <c r="FL26" s="642"/>
      <c r="FM26" s="642" t="s">
        <v>918</v>
      </c>
      <c r="FN26" s="642"/>
      <c r="FO26" s="642"/>
      <c r="FP26" s="650"/>
      <c r="FQ26" s="651"/>
      <c r="FR26" s="645">
        <f>SUM(FR16:FR25)</f>
        <v>790</v>
      </c>
      <c r="FS26" s="736"/>
      <c r="FT26" s="651"/>
      <c r="FU26" s="653">
        <f>SUM(FU16:FU25)</f>
        <v>812</v>
      </c>
      <c r="FV26" s="593"/>
      <c r="FW26" s="594"/>
      <c r="FX26" s="595"/>
      <c r="FY26" s="596"/>
      <c r="FZ26" s="597"/>
      <c r="GA26" s="598"/>
      <c r="GB26" s="599"/>
      <c r="GC26" s="600"/>
      <c r="GD26" s="599"/>
      <c r="GE26" s="601"/>
      <c r="GF26" s="654"/>
      <c r="GG26" s="655"/>
      <c r="GH26" s="655"/>
      <c r="GI26" s="655"/>
      <c r="GJ26" s="615"/>
      <c r="GK26" s="530" t="s">
        <v>545</v>
      </c>
      <c r="GL26" s="615"/>
      <c r="GM26" s="530"/>
      <c r="GN26" s="615"/>
      <c r="GO26" s="530"/>
      <c r="GP26" s="615"/>
      <c r="GQ26" s="615"/>
      <c r="GR26" s="615"/>
      <c r="GS26" s="579"/>
      <c r="GT26" s="677"/>
      <c r="GU26" s="580" t="s">
        <v>834</v>
      </c>
      <c r="GV26" s="609"/>
      <c r="GW26" s="609"/>
      <c r="GX26" s="413"/>
      <c r="GY26" s="733">
        <v>0</v>
      </c>
      <c r="GZ26" s="580"/>
      <c r="HA26" s="530"/>
      <c r="HB26" s="530"/>
      <c r="HC26" s="530"/>
      <c r="HD26" s="648"/>
      <c r="HE26" s="415"/>
      <c r="HF26" s="415"/>
      <c r="HG26" s="580"/>
      <c r="HH26" s="648"/>
      <c r="HI26" s="415"/>
      <c r="HJ26" s="415"/>
    </row>
    <row r="27" spans="1:218" ht="20.100000000000001" customHeight="1">
      <c r="A27" s="1292" t="s">
        <v>431</v>
      </c>
      <c r="B27" s="738"/>
      <c r="C27" s="739"/>
      <c r="D27" s="663"/>
      <c r="E27" s="739"/>
      <c r="F27" s="739"/>
      <c r="G27" s="740" t="s">
        <v>429</v>
      </c>
      <c r="H27" s="663" t="s">
        <v>430</v>
      </c>
      <c r="I27" s="741" t="s">
        <v>429</v>
      </c>
      <c r="J27" s="663" t="s">
        <v>430</v>
      </c>
      <c r="K27" s="742" t="s">
        <v>429</v>
      </c>
      <c r="L27" s="663" t="s">
        <v>428</v>
      </c>
      <c r="M27" s="742" t="s">
        <v>322</v>
      </c>
      <c r="N27" s="663" t="s">
        <v>430</v>
      </c>
      <c r="O27" s="742" t="s">
        <v>429</v>
      </c>
      <c r="P27" s="663" t="s">
        <v>430</v>
      </c>
      <c r="Q27" s="742" t="s">
        <v>429</v>
      </c>
      <c r="R27" s="663" t="s">
        <v>428</v>
      </c>
      <c r="S27" s="742" t="s">
        <v>322</v>
      </c>
      <c r="T27" s="663" t="s">
        <v>428</v>
      </c>
      <c r="U27" s="742" t="s">
        <v>429</v>
      </c>
      <c r="V27" s="663" t="s">
        <v>428</v>
      </c>
      <c r="W27" s="742" t="s">
        <v>322</v>
      </c>
      <c r="X27" s="663" t="s">
        <v>430</v>
      </c>
      <c r="Y27" s="742" t="s">
        <v>322</v>
      </c>
      <c r="Z27" s="663" t="s">
        <v>428</v>
      </c>
      <c r="AA27" s="742" t="s">
        <v>429</v>
      </c>
      <c r="AB27" s="663" t="s">
        <v>428</v>
      </c>
      <c r="AC27" s="742" t="s">
        <v>429</v>
      </c>
      <c r="AD27" s="663" t="s">
        <v>430</v>
      </c>
      <c r="AE27" s="742" t="s">
        <v>429</v>
      </c>
      <c r="AF27" s="663" t="s">
        <v>430</v>
      </c>
      <c r="AG27" s="742" t="s">
        <v>429</v>
      </c>
      <c r="AH27" s="663" t="s">
        <v>428</v>
      </c>
      <c r="AI27" s="742" t="s">
        <v>429</v>
      </c>
      <c r="AJ27" s="663" t="s">
        <v>430</v>
      </c>
      <c r="AK27" s="742" t="s">
        <v>322</v>
      </c>
      <c r="AL27" s="663" t="s">
        <v>428</v>
      </c>
      <c r="AM27" s="742" t="s">
        <v>429</v>
      </c>
      <c r="AN27" s="663" t="s">
        <v>428</v>
      </c>
      <c r="AO27" s="742" t="s">
        <v>322</v>
      </c>
      <c r="AP27" s="663" t="s">
        <v>430</v>
      </c>
      <c r="AQ27" s="742" t="s">
        <v>322</v>
      </c>
      <c r="AR27" s="663" t="s">
        <v>428</v>
      </c>
      <c r="AS27" s="742" t="s">
        <v>429</v>
      </c>
      <c r="AT27" s="663" t="s">
        <v>430</v>
      </c>
      <c r="AU27" s="742" t="s">
        <v>322</v>
      </c>
      <c r="AV27" s="663" t="s">
        <v>430</v>
      </c>
      <c r="AW27" s="742" t="s">
        <v>322</v>
      </c>
      <c r="AX27" s="663" t="s">
        <v>428</v>
      </c>
      <c r="AY27" s="742" t="s">
        <v>429</v>
      </c>
      <c r="AZ27" s="663" t="s">
        <v>428</v>
      </c>
      <c r="BA27" s="742" t="s">
        <v>322</v>
      </c>
      <c r="BB27" s="665" t="s">
        <v>430</v>
      </c>
      <c r="BC27" s="723"/>
      <c r="BD27" s="1292" t="s">
        <v>431</v>
      </c>
      <c r="BE27" s="738"/>
      <c r="BF27" s="739"/>
      <c r="BG27" s="663"/>
      <c r="BH27" s="739"/>
      <c r="BI27" s="739"/>
      <c r="BJ27" s="740" t="s">
        <v>322</v>
      </c>
      <c r="BK27" s="663" t="s">
        <v>430</v>
      </c>
      <c r="BL27" s="741" t="s">
        <v>429</v>
      </c>
      <c r="BM27" s="663" t="s">
        <v>428</v>
      </c>
      <c r="BN27" s="742" t="s">
        <v>429</v>
      </c>
      <c r="BO27" s="663" t="s">
        <v>428</v>
      </c>
      <c r="BP27" s="742" t="s">
        <v>322</v>
      </c>
      <c r="BQ27" s="663" t="s">
        <v>428</v>
      </c>
      <c r="BR27" s="742" t="s">
        <v>322</v>
      </c>
      <c r="BS27" s="663" t="s">
        <v>428</v>
      </c>
      <c r="BT27" s="742" t="s">
        <v>322</v>
      </c>
      <c r="BU27" s="663" t="s">
        <v>428</v>
      </c>
      <c r="BV27" s="742" t="s">
        <v>322</v>
      </c>
      <c r="BW27" s="663" t="s">
        <v>430</v>
      </c>
      <c r="BX27" s="742" t="s">
        <v>429</v>
      </c>
      <c r="BY27" s="663" t="s">
        <v>428</v>
      </c>
      <c r="BZ27" s="742" t="s">
        <v>322</v>
      </c>
      <c r="CA27" s="663" t="s">
        <v>430</v>
      </c>
      <c r="CB27" s="742" t="s">
        <v>429</v>
      </c>
      <c r="CC27" s="663" t="s">
        <v>428</v>
      </c>
      <c r="CD27" s="742" t="s">
        <v>322</v>
      </c>
      <c r="CE27" s="663" t="s">
        <v>428</v>
      </c>
      <c r="CF27" s="742" t="s">
        <v>429</v>
      </c>
      <c r="CG27" s="663" t="s">
        <v>428</v>
      </c>
      <c r="CH27" s="742" t="s">
        <v>322</v>
      </c>
      <c r="CI27" s="663" t="s">
        <v>428</v>
      </c>
      <c r="CJ27" s="742" t="s">
        <v>322</v>
      </c>
      <c r="CK27" s="663" t="s">
        <v>428</v>
      </c>
      <c r="CL27" s="742" t="s">
        <v>429</v>
      </c>
      <c r="CM27" s="663" t="s">
        <v>430</v>
      </c>
      <c r="CN27" s="742" t="s">
        <v>322</v>
      </c>
      <c r="CO27" s="663" t="s">
        <v>428</v>
      </c>
      <c r="CP27" s="742" t="s">
        <v>322</v>
      </c>
      <c r="CQ27" s="663" t="s">
        <v>428</v>
      </c>
      <c r="CR27" s="742" t="s">
        <v>429</v>
      </c>
      <c r="CS27" s="663" t="s">
        <v>428</v>
      </c>
      <c r="CT27" s="742" t="s">
        <v>429</v>
      </c>
      <c r="CU27" s="663" t="s">
        <v>428</v>
      </c>
      <c r="CV27" s="742" t="s">
        <v>429</v>
      </c>
      <c r="CW27" s="663" t="s">
        <v>430</v>
      </c>
      <c r="CX27" s="742" t="s">
        <v>322</v>
      </c>
      <c r="CY27" s="663" t="s">
        <v>430</v>
      </c>
      <c r="CZ27" s="742" t="s">
        <v>429</v>
      </c>
      <c r="DA27" s="663" t="s">
        <v>428</v>
      </c>
      <c r="DB27" s="742" t="s">
        <v>429</v>
      </c>
      <c r="DC27" s="663" t="s">
        <v>428</v>
      </c>
      <c r="DD27" s="742" t="s">
        <v>322</v>
      </c>
      <c r="DE27" s="665" t="s">
        <v>428</v>
      </c>
      <c r="DF27" s="723"/>
      <c r="DG27" s="1292" t="s">
        <v>431</v>
      </c>
      <c r="DH27" s="743"/>
      <c r="DI27" s="744"/>
      <c r="DJ27" s="745"/>
      <c r="DK27" s="744"/>
      <c r="DL27" s="744"/>
      <c r="DM27" s="740" t="s">
        <v>322</v>
      </c>
      <c r="DN27" s="663" t="s">
        <v>430</v>
      </c>
      <c r="DO27" s="741" t="s">
        <v>322</v>
      </c>
      <c r="DP27" s="663" t="s">
        <v>428</v>
      </c>
      <c r="DQ27" s="742" t="s">
        <v>429</v>
      </c>
      <c r="DR27" s="663" t="s">
        <v>430</v>
      </c>
      <c r="DS27" s="742" t="s">
        <v>429</v>
      </c>
      <c r="DT27" s="663" t="s">
        <v>430</v>
      </c>
      <c r="DU27" s="742" t="s">
        <v>429</v>
      </c>
      <c r="DV27" s="663" t="s">
        <v>430</v>
      </c>
      <c r="DW27" s="742" t="s">
        <v>429</v>
      </c>
      <c r="DX27" s="663" t="s">
        <v>430</v>
      </c>
      <c r="DY27" s="742" t="s">
        <v>322</v>
      </c>
      <c r="DZ27" s="663" t="s">
        <v>428</v>
      </c>
      <c r="EA27" s="742" t="s">
        <v>429</v>
      </c>
      <c r="EB27" s="663" t="s">
        <v>428</v>
      </c>
      <c r="EC27" s="742" t="s">
        <v>322</v>
      </c>
      <c r="ED27" s="663" t="s">
        <v>430</v>
      </c>
      <c r="EE27" s="742" t="s">
        <v>322</v>
      </c>
      <c r="EF27" s="663" t="s">
        <v>428</v>
      </c>
      <c r="EG27" s="742" t="s">
        <v>429</v>
      </c>
      <c r="EH27" s="663" t="s">
        <v>430</v>
      </c>
      <c r="EI27" s="742" t="s">
        <v>322</v>
      </c>
      <c r="EJ27" s="663" t="s">
        <v>430</v>
      </c>
      <c r="EK27" s="742" t="s">
        <v>322</v>
      </c>
      <c r="EL27" s="663" t="s">
        <v>428</v>
      </c>
      <c r="EM27" s="742" t="s">
        <v>429</v>
      </c>
      <c r="EN27" s="663" t="s">
        <v>428</v>
      </c>
      <c r="EO27" s="742" t="s">
        <v>322</v>
      </c>
      <c r="EP27" s="663" t="s">
        <v>430</v>
      </c>
      <c r="EQ27" s="742" t="s">
        <v>429</v>
      </c>
      <c r="ER27" s="663" t="s">
        <v>430</v>
      </c>
      <c r="ES27" s="742" t="s">
        <v>429</v>
      </c>
      <c r="ET27" s="663" t="s">
        <v>430</v>
      </c>
      <c r="EU27" s="742" t="s">
        <v>429</v>
      </c>
      <c r="EV27" s="663" t="s">
        <v>430</v>
      </c>
      <c r="EW27" s="742" t="s">
        <v>322</v>
      </c>
      <c r="EX27" s="663" t="s">
        <v>428</v>
      </c>
      <c r="EY27" s="742" t="s">
        <v>429</v>
      </c>
      <c r="EZ27" s="663" t="s">
        <v>430</v>
      </c>
      <c r="FA27" s="742" t="s">
        <v>322</v>
      </c>
      <c r="FB27" s="663" t="s">
        <v>428</v>
      </c>
      <c r="FC27" s="742" t="s">
        <v>429</v>
      </c>
      <c r="FD27" s="663" t="s">
        <v>430</v>
      </c>
      <c r="FE27" s="742" t="s">
        <v>429</v>
      </c>
      <c r="FF27" s="663" t="s">
        <v>428</v>
      </c>
      <c r="FG27" s="742" t="s">
        <v>429</v>
      </c>
      <c r="FH27" s="665" t="s">
        <v>430</v>
      </c>
      <c r="FI27" s="746"/>
      <c r="FJ27" s="542" t="s">
        <v>432</v>
      </c>
      <c r="FK27" s="743"/>
      <c r="FL27" s="744"/>
      <c r="FM27" s="745"/>
      <c r="FN27" s="744"/>
      <c r="FO27" s="744"/>
      <c r="FP27" s="747" t="s">
        <v>433</v>
      </c>
      <c r="FQ27" s="673" t="s">
        <v>322</v>
      </c>
      <c r="FR27" s="663" t="s">
        <v>451</v>
      </c>
      <c r="FS27" s="748" t="s">
        <v>433</v>
      </c>
      <c r="FT27" s="673" t="s">
        <v>429</v>
      </c>
      <c r="FU27" s="675" t="s">
        <v>434</v>
      </c>
      <c r="FV27" s="593"/>
      <c r="FW27" s="594"/>
      <c r="FX27" s="595"/>
      <c r="FY27" s="596"/>
      <c r="FZ27" s="597"/>
      <c r="GA27" s="598"/>
      <c r="GB27" s="599"/>
      <c r="GC27" s="600"/>
      <c r="GD27" s="599"/>
      <c r="GE27" s="601"/>
      <c r="GF27" s="749"/>
      <c r="GG27" s="750"/>
      <c r="GH27" s="750"/>
      <c r="GI27" s="750"/>
      <c r="GJ27" s="615"/>
      <c r="GK27" s="530" t="s">
        <v>779</v>
      </c>
      <c r="GL27" s="615"/>
      <c r="GM27" s="615"/>
      <c r="GN27" s="615"/>
      <c r="GO27" s="413"/>
      <c r="GP27" s="751">
        <v>27.3</v>
      </c>
      <c r="GQ27" s="413" t="s">
        <v>550</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435</v>
      </c>
      <c r="C28" s="753"/>
      <c r="D28" s="754">
        <v>55</v>
      </c>
      <c r="E28" s="755">
        <v>4</v>
      </c>
      <c r="F28" s="756" t="s">
        <v>436</v>
      </c>
      <c r="G28" s="757"/>
      <c r="H28" s="559"/>
      <c r="I28" s="758"/>
      <c r="J28" s="559"/>
      <c r="K28" s="758"/>
      <c r="L28" s="559"/>
      <c r="M28" s="758"/>
      <c r="N28" s="559"/>
      <c r="O28" s="758"/>
      <c r="P28" s="559"/>
      <c r="Q28" s="758"/>
      <c r="R28" s="559"/>
      <c r="S28" s="758"/>
      <c r="T28" s="559"/>
      <c r="U28" s="758"/>
      <c r="V28" s="559"/>
      <c r="W28" s="758">
        <v>0.4</v>
      </c>
      <c r="X28" s="559">
        <v>88</v>
      </c>
      <c r="Y28" s="758">
        <v>0.4</v>
      </c>
      <c r="Z28" s="559">
        <v>88</v>
      </c>
      <c r="AA28" s="758">
        <v>0.4</v>
      </c>
      <c r="AB28" s="559">
        <v>88</v>
      </c>
      <c r="AC28" s="758">
        <v>0.4</v>
      </c>
      <c r="AD28" s="559">
        <v>88</v>
      </c>
      <c r="AE28" s="758">
        <v>0.4</v>
      </c>
      <c r="AF28" s="559">
        <v>88</v>
      </c>
      <c r="AG28" s="758">
        <v>0.4</v>
      </c>
      <c r="AH28" s="559">
        <v>88</v>
      </c>
      <c r="AI28" s="758">
        <v>0.4</v>
      </c>
      <c r="AJ28" s="559">
        <v>88</v>
      </c>
      <c r="AK28" s="758">
        <v>0.4</v>
      </c>
      <c r="AL28" s="559">
        <v>88</v>
      </c>
      <c r="AM28" s="758">
        <v>0.7</v>
      </c>
      <c r="AN28" s="559">
        <v>154</v>
      </c>
      <c r="AO28" s="758">
        <v>0.7</v>
      </c>
      <c r="AP28" s="559">
        <v>154</v>
      </c>
      <c r="AQ28" s="758"/>
      <c r="AR28" s="559"/>
      <c r="AS28" s="758"/>
      <c r="AT28" s="559"/>
      <c r="AU28" s="758"/>
      <c r="AV28" s="559"/>
      <c r="AW28" s="758"/>
      <c r="AX28" s="559"/>
      <c r="AY28" s="758"/>
      <c r="AZ28" s="559"/>
      <c r="BA28" s="758"/>
      <c r="BB28" s="684"/>
      <c r="BC28" s="562"/>
      <c r="BD28" s="552"/>
      <c r="BE28" s="752" t="s">
        <v>437</v>
      </c>
      <c r="BF28" s="753"/>
      <c r="BG28" s="754">
        <v>55</v>
      </c>
      <c r="BH28" s="755">
        <v>4</v>
      </c>
      <c r="BI28" s="756" t="s">
        <v>436</v>
      </c>
      <c r="BJ28" s="757"/>
      <c r="BK28" s="559"/>
      <c r="BL28" s="758"/>
      <c r="BM28" s="559"/>
      <c r="BN28" s="758"/>
      <c r="BO28" s="559"/>
      <c r="BP28" s="758"/>
      <c r="BQ28" s="559"/>
      <c r="BR28" s="758"/>
      <c r="BS28" s="559"/>
      <c r="BT28" s="758"/>
      <c r="BU28" s="559"/>
      <c r="BV28" s="758"/>
      <c r="BW28" s="559"/>
      <c r="BX28" s="758"/>
      <c r="BY28" s="559"/>
      <c r="BZ28" s="758">
        <v>0.4</v>
      </c>
      <c r="CA28" s="559">
        <v>88</v>
      </c>
      <c r="CB28" s="758">
        <v>0.4</v>
      </c>
      <c r="CC28" s="559">
        <v>88</v>
      </c>
      <c r="CD28" s="758">
        <v>0.4</v>
      </c>
      <c r="CE28" s="559">
        <v>88</v>
      </c>
      <c r="CF28" s="758">
        <v>0.4</v>
      </c>
      <c r="CG28" s="559">
        <v>88</v>
      </c>
      <c r="CH28" s="758">
        <v>0.4</v>
      </c>
      <c r="CI28" s="559">
        <v>88</v>
      </c>
      <c r="CJ28" s="758">
        <v>0.4</v>
      </c>
      <c r="CK28" s="559">
        <v>88</v>
      </c>
      <c r="CL28" s="758">
        <v>0.4</v>
      </c>
      <c r="CM28" s="559">
        <v>88</v>
      </c>
      <c r="CN28" s="758">
        <v>0.4</v>
      </c>
      <c r="CO28" s="559">
        <v>88</v>
      </c>
      <c r="CP28" s="758">
        <v>0.7</v>
      </c>
      <c r="CQ28" s="559">
        <v>154</v>
      </c>
      <c r="CR28" s="758">
        <v>0.7</v>
      </c>
      <c r="CS28" s="559">
        <v>154</v>
      </c>
      <c r="CT28" s="758"/>
      <c r="CU28" s="559"/>
      <c r="CV28" s="758"/>
      <c r="CW28" s="559"/>
      <c r="CX28" s="758"/>
      <c r="CY28" s="559"/>
      <c r="CZ28" s="758"/>
      <c r="DA28" s="559"/>
      <c r="DB28" s="758"/>
      <c r="DC28" s="559"/>
      <c r="DD28" s="758"/>
      <c r="DE28" s="684"/>
      <c r="DF28" s="562"/>
      <c r="DG28" s="552"/>
      <c r="DH28" s="752" t="s">
        <v>437</v>
      </c>
      <c r="DI28" s="753"/>
      <c r="DJ28" s="754">
        <v>55</v>
      </c>
      <c r="DK28" s="755">
        <v>4</v>
      </c>
      <c r="DL28" s="756" t="s">
        <v>436</v>
      </c>
      <c r="DM28" s="757"/>
      <c r="DN28" s="559"/>
      <c r="DO28" s="758"/>
      <c r="DP28" s="559"/>
      <c r="DQ28" s="758"/>
      <c r="DR28" s="559"/>
      <c r="DS28" s="758"/>
      <c r="DT28" s="559"/>
      <c r="DU28" s="758"/>
      <c r="DV28" s="559"/>
      <c r="DW28" s="758"/>
      <c r="DX28" s="559"/>
      <c r="DY28" s="758"/>
      <c r="DZ28" s="559"/>
      <c r="EA28" s="758"/>
      <c r="EB28" s="559"/>
      <c r="EC28" s="758">
        <v>0.4</v>
      </c>
      <c r="ED28" s="559">
        <v>88</v>
      </c>
      <c r="EE28" s="758">
        <v>0.4</v>
      </c>
      <c r="EF28" s="559">
        <v>88</v>
      </c>
      <c r="EG28" s="758">
        <v>0.4</v>
      </c>
      <c r="EH28" s="559">
        <v>88</v>
      </c>
      <c r="EI28" s="758">
        <v>0.4</v>
      </c>
      <c r="EJ28" s="559">
        <v>88</v>
      </c>
      <c r="EK28" s="758">
        <v>0.4</v>
      </c>
      <c r="EL28" s="559">
        <v>88</v>
      </c>
      <c r="EM28" s="758">
        <v>0.4</v>
      </c>
      <c r="EN28" s="559">
        <v>88</v>
      </c>
      <c r="EO28" s="758">
        <v>0.4</v>
      </c>
      <c r="EP28" s="559">
        <v>88</v>
      </c>
      <c r="EQ28" s="758">
        <v>0.4</v>
      </c>
      <c r="ER28" s="559">
        <v>88</v>
      </c>
      <c r="ES28" s="758">
        <v>0.7</v>
      </c>
      <c r="ET28" s="559">
        <v>154</v>
      </c>
      <c r="EU28" s="758">
        <v>0.7</v>
      </c>
      <c r="EV28" s="559">
        <v>154</v>
      </c>
      <c r="EW28" s="758"/>
      <c r="EX28" s="559"/>
      <c r="EY28" s="758"/>
      <c r="EZ28" s="559"/>
      <c r="FA28" s="758"/>
      <c r="FB28" s="559"/>
      <c r="FC28" s="758"/>
      <c r="FD28" s="559"/>
      <c r="FE28" s="758"/>
      <c r="FF28" s="559"/>
      <c r="FG28" s="758"/>
      <c r="FH28" s="684"/>
      <c r="FI28" s="563"/>
      <c r="FJ28" s="564"/>
      <c r="FK28" s="752" t="s">
        <v>437</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708</v>
      </c>
      <c r="GL28" s="413"/>
      <c r="GM28" s="413"/>
      <c r="GN28" s="413"/>
      <c r="GO28" s="530"/>
      <c r="GP28" s="751">
        <v>28</v>
      </c>
      <c r="GQ28" s="413" t="s">
        <v>707</v>
      </c>
      <c r="GR28" s="733"/>
      <c r="GS28" s="530"/>
      <c r="GT28" s="763"/>
      <c r="GU28" s="580" t="s">
        <v>780</v>
      </c>
      <c r="GV28" s="609"/>
      <c r="GW28" s="530"/>
      <c r="GX28" s="529"/>
      <c r="GY28" s="409"/>
      <c r="GZ28" s="615"/>
      <c r="HA28" s="530"/>
      <c r="HB28" s="530"/>
      <c r="HC28" s="530"/>
      <c r="HD28" s="530"/>
      <c r="HE28" s="415"/>
      <c r="HF28" s="415"/>
      <c r="HG28" s="415"/>
      <c r="HH28" s="415"/>
    </row>
    <row r="29" spans="1:218" ht="20.100000000000001" customHeight="1" thickBot="1">
      <c r="A29" s="552"/>
      <c r="B29" s="764" t="s">
        <v>439</v>
      </c>
      <c r="C29" s="765"/>
      <c r="D29" s="766">
        <v>15</v>
      </c>
      <c r="E29" s="767">
        <v>13.23</v>
      </c>
      <c r="F29" s="768" t="s">
        <v>436</v>
      </c>
      <c r="G29" s="769"/>
      <c r="H29" s="587"/>
      <c r="I29" s="770"/>
      <c r="J29" s="587"/>
      <c r="K29" s="770"/>
      <c r="L29" s="587"/>
      <c r="M29" s="770"/>
      <c r="N29" s="587"/>
      <c r="O29" s="770"/>
      <c r="P29" s="587"/>
      <c r="Q29" s="770"/>
      <c r="R29" s="587"/>
      <c r="S29" s="770"/>
      <c r="T29" s="587"/>
      <c r="U29" s="770"/>
      <c r="V29" s="587"/>
      <c r="W29" s="770">
        <v>1</v>
      </c>
      <c r="X29" s="587">
        <v>198</v>
      </c>
      <c r="Y29" s="770">
        <v>1</v>
      </c>
      <c r="Z29" s="587">
        <v>198</v>
      </c>
      <c r="AA29" s="770">
        <v>1</v>
      </c>
      <c r="AB29" s="587">
        <v>198</v>
      </c>
      <c r="AC29" s="770">
        <v>1</v>
      </c>
      <c r="AD29" s="587">
        <v>198</v>
      </c>
      <c r="AE29" s="770">
        <v>1</v>
      </c>
      <c r="AF29" s="587">
        <v>198</v>
      </c>
      <c r="AG29" s="770">
        <v>1</v>
      </c>
      <c r="AH29" s="587">
        <v>198</v>
      </c>
      <c r="AI29" s="770">
        <v>1</v>
      </c>
      <c r="AJ29" s="587">
        <v>198</v>
      </c>
      <c r="AK29" s="770">
        <v>1</v>
      </c>
      <c r="AL29" s="587">
        <v>198</v>
      </c>
      <c r="AM29" s="770">
        <v>1</v>
      </c>
      <c r="AN29" s="587">
        <v>198</v>
      </c>
      <c r="AO29" s="770">
        <v>1</v>
      </c>
      <c r="AP29" s="587">
        <v>198</v>
      </c>
      <c r="AQ29" s="770"/>
      <c r="AR29" s="587"/>
      <c r="AS29" s="770"/>
      <c r="AT29" s="587"/>
      <c r="AU29" s="770"/>
      <c r="AV29" s="587"/>
      <c r="AW29" s="770"/>
      <c r="AX29" s="587"/>
      <c r="AY29" s="770"/>
      <c r="AZ29" s="587"/>
      <c r="BA29" s="770"/>
      <c r="BB29" s="589"/>
      <c r="BC29" s="562"/>
      <c r="BD29" s="552"/>
      <c r="BE29" s="764" t="s">
        <v>439</v>
      </c>
      <c r="BF29" s="765"/>
      <c r="BG29" s="766">
        <v>15</v>
      </c>
      <c r="BH29" s="767">
        <v>13.23</v>
      </c>
      <c r="BI29" s="768" t="s">
        <v>436</v>
      </c>
      <c r="BJ29" s="769"/>
      <c r="BK29" s="587"/>
      <c r="BL29" s="770"/>
      <c r="BM29" s="587"/>
      <c r="BN29" s="770"/>
      <c r="BO29" s="587"/>
      <c r="BP29" s="770"/>
      <c r="BQ29" s="587"/>
      <c r="BR29" s="770"/>
      <c r="BS29" s="587"/>
      <c r="BT29" s="770"/>
      <c r="BU29" s="587"/>
      <c r="BV29" s="770"/>
      <c r="BW29" s="587"/>
      <c r="BX29" s="770"/>
      <c r="BY29" s="587"/>
      <c r="BZ29" s="770">
        <v>1</v>
      </c>
      <c r="CA29" s="587">
        <v>198</v>
      </c>
      <c r="CB29" s="770">
        <v>1</v>
      </c>
      <c r="CC29" s="587">
        <v>198</v>
      </c>
      <c r="CD29" s="770">
        <v>1</v>
      </c>
      <c r="CE29" s="587">
        <v>198</v>
      </c>
      <c r="CF29" s="770">
        <v>1</v>
      </c>
      <c r="CG29" s="587">
        <v>198</v>
      </c>
      <c r="CH29" s="770">
        <v>1</v>
      </c>
      <c r="CI29" s="587">
        <v>198</v>
      </c>
      <c r="CJ29" s="770">
        <v>1</v>
      </c>
      <c r="CK29" s="587">
        <v>198</v>
      </c>
      <c r="CL29" s="770">
        <v>1</v>
      </c>
      <c r="CM29" s="587">
        <v>198</v>
      </c>
      <c r="CN29" s="770">
        <v>1</v>
      </c>
      <c r="CO29" s="587">
        <v>198</v>
      </c>
      <c r="CP29" s="770">
        <v>1</v>
      </c>
      <c r="CQ29" s="587">
        <v>198</v>
      </c>
      <c r="CR29" s="770">
        <v>1</v>
      </c>
      <c r="CS29" s="587">
        <v>198</v>
      </c>
      <c r="CT29" s="770"/>
      <c r="CU29" s="587"/>
      <c r="CV29" s="770"/>
      <c r="CW29" s="587"/>
      <c r="CX29" s="770"/>
      <c r="CY29" s="587"/>
      <c r="CZ29" s="770"/>
      <c r="DA29" s="587"/>
      <c r="DB29" s="770"/>
      <c r="DC29" s="587"/>
      <c r="DD29" s="770"/>
      <c r="DE29" s="589"/>
      <c r="DF29" s="562"/>
      <c r="DG29" s="552"/>
      <c r="DH29" s="764" t="s">
        <v>438</v>
      </c>
      <c r="DI29" s="765"/>
      <c r="DJ29" s="766">
        <v>15</v>
      </c>
      <c r="DK29" s="767">
        <v>13.23</v>
      </c>
      <c r="DL29" s="768" t="s">
        <v>436</v>
      </c>
      <c r="DM29" s="769"/>
      <c r="DN29" s="587"/>
      <c r="DO29" s="770"/>
      <c r="DP29" s="587"/>
      <c r="DQ29" s="770"/>
      <c r="DR29" s="587"/>
      <c r="DS29" s="770"/>
      <c r="DT29" s="587"/>
      <c r="DU29" s="770"/>
      <c r="DV29" s="587"/>
      <c r="DW29" s="770"/>
      <c r="DX29" s="587"/>
      <c r="DY29" s="770"/>
      <c r="DZ29" s="587"/>
      <c r="EA29" s="770"/>
      <c r="EB29" s="587"/>
      <c r="EC29" s="770">
        <v>1</v>
      </c>
      <c r="ED29" s="587">
        <v>198</v>
      </c>
      <c r="EE29" s="770">
        <v>1</v>
      </c>
      <c r="EF29" s="587">
        <v>198</v>
      </c>
      <c r="EG29" s="770">
        <v>1</v>
      </c>
      <c r="EH29" s="587">
        <v>198</v>
      </c>
      <c r="EI29" s="770">
        <v>1</v>
      </c>
      <c r="EJ29" s="587">
        <v>198</v>
      </c>
      <c r="EK29" s="770">
        <v>1</v>
      </c>
      <c r="EL29" s="587">
        <v>198</v>
      </c>
      <c r="EM29" s="770">
        <v>1</v>
      </c>
      <c r="EN29" s="587">
        <v>198</v>
      </c>
      <c r="EO29" s="770">
        <v>1</v>
      </c>
      <c r="EP29" s="587">
        <v>198</v>
      </c>
      <c r="EQ29" s="770">
        <v>1</v>
      </c>
      <c r="ER29" s="587">
        <v>198</v>
      </c>
      <c r="ES29" s="770">
        <v>1</v>
      </c>
      <c r="ET29" s="587">
        <v>198</v>
      </c>
      <c r="EU29" s="770">
        <v>1</v>
      </c>
      <c r="EV29" s="587">
        <v>198</v>
      </c>
      <c r="EW29" s="770"/>
      <c r="EX29" s="587"/>
      <c r="EY29" s="770"/>
      <c r="EZ29" s="587"/>
      <c r="FA29" s="770"/>
      <c r="FB29" s="587"/>
      <c r="FC29" s="770"/>
      <c r="FD29" s="587"/>
      <c r="FE29" s="770"/>
      <c r="FF29" s="587"/>
      <c r="FG29" s="770"/>
      <c r="FH29" s="589"/>
      <c r="FI29" s="563"/>
      <c r="FJ29" s="564"/>
      <c r="FK29" s="764" t="s">
        <v>439</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552</v>
      </c>
      <c r="GL29" s="774"/>
      <c r="GM29" s="774"/>
      <c r="GN29" s="774"/>
      <c r="GO29" s="615"/>
      <c r="GP29" s="751">
        <v>-0.69999999999999929</v>
      </c>
      <c r="GQ29" s="413" t="s">
        <v>707</v>
      </c>
      <c r="GR29" s="775"/>
      <c r="GS29" s="530"/>
      <c r="GT29" s="763"/>
      <c r="GU29" s="580" t="s">
        <v>553</v>
      </c>
      <c r="GV29" s="609"/>
      <c r="GW29" s="530"/>
      <c r="GX29" s="529"/>
      <c r="GY29" s="409"/>
      <c r="GZ29" s="530"/>
      <c r="HA29" s="580"/>
      <c r="HB29" s="580"/>
      <c r="HC29" s="579"/>
      <c r="HD29" s="530"/>
      <c r="HE29" s="415"/>
      <c r="HF29" s="415"/>
    </row>
    <row r="30" spans="1:218" ht="20.100000000000001" customHeight="1">
      <c r="A30" s="552"/>
      <c r="B30" s="764" t="s">
        <v>441</v>
      </c>
      <c r="C30" s="766"/>
      <c r="D30" s="767">
        <v>0</v>
      </c>
      <c r="E30" s="776"/>
      <c r="F30" s="777"/>
      <c r="G30" s="769"/>
      <c r="H30" s="587"/>
      <c r="I30" s="770"/>
      <c r="J30" s="587"/>
      <c r="K30" s="770"/>
      <c r="L30" s="587"/>
      <c r="M30" s="770"/>
      <c r="N30" s="587"/>
      <c r="O30" s="770"/>
      <c r="P30" s="587"/>
      <c r="Q30" s="770"/>
      <c r="R30" s="587"/>
      <c r="S30" s="770"/>
      <c r="T30" s="587"/>
      <c r="U30" s="770"/>
      <c r="V30" s="587"/>
      <c r="W30" s="770"/>
      <c r="X30" s="587">
        <v>0</v>
      </c>
      <c r="Y30" s="770"/>
      <c r="Z30" s="587">
        <v>0</v>
      </c>
      <c r="AA30" s="770"/>
      <c r="AB30" s="587">
        <v>0</v>
      </c>
      <c r="AC30" s="770"/>
      <c r="AD30" s="587">
        <v>0</v>
      </c>
      <c r="AE30" s="770"/>
      <c r="AF30" s="587">
        <v>0</v>
      </c>
      <c r="AG30" s="770"/>
      <c r="AH30" s="587">
        <v>0</v>
      </c>
      <c r="AI30" s="770"/>
      <c r="AJ30" s="587">
        <v>0</v>
      </c>
      <c r="AK30" s="770"/>
      <c r="AL30" s="587">
        <v>0</v>
      </c>
      <c r="AM30" s="770"/>
      <c r="AN30" s="587">
        <v>0</v>
      </c>
      <c r="AO30" s="770"/>
      <c r="AP30" s="587">
        <v>0</v>
      </c>
      <c r="AQ30" s="770"/>
      <c r="AR30" s="587"/>
      <c r="AS30" s="770"/>
      <c r="AT30" s="587"/>
      <c r="AU30" s="770"/>
      <c r="AV30" s="587"/>
      <c r="AW30" s="770"/>
      <c r="AX30" s="587"/>
      <c r="AY30" s="770"/>
      <c r="AZ30" s="587"/>
      <c r="BA30" s="770"/>
      <c r="BB30" s="589"/>
      <c r="BC30" s="562"/>
      <c r="BD30" s="552"/>
      <c r="BE30" s="764" t="s">
        <v>441</v>
      </c>
      <c r="BF30" s="766">
        <v>0</v>
      </c>
      <c r="BG30" s="767">
        <v>0</v>
      </c>
      <c r="BH30" s="776">
        <v>0</v>
      </c>
      <c r="BI30" s="777"/>
      <c r="BJ30" s="769"/>
      <c r="BK30" s="587"/>
      <c r="BL30" s="770"/>
      <c r="BM30" s="587"/>
      <c r="BN30" s="770"/>
      <c r="BO30" s="587"/>
      <c r="BP30" s="770"/>
      <c r="BQ30" s="587"/>
      <c r="BR30" s="770"/>
      <c r="BS30" s="587"/>
      <c r="BT30" s="770"/>
      <c r="BU30" s="587"/>
      <c r="BV30" s="770"/>
      <c r="BW30" s="587"/>
      <c r="BX30" s="770"/>
      <c r="BY30" s="587"/>
      <c r="BZ30" s="770"/>
      <c r="CA30" s="587">
        <v>0</v>
      </c>
      <c r="CB30" s="770"/>
      <c r="CC30" s="587">
        <v>0</v>
      </c>
      <c r="CD30" s="770"/>
      <c r="CE30" s="587">
        <v>0</v>
      </c>
      <c r="CF30" s="770"/>
      <c r="CG30" s="587">
        <v>0</v>
      </c>
      <c r="CH30" s="770"/>
      <c r="CI30" s="587">
        <v>0</v>
      </c>
      <c r="CJ30" s="770"/>
      <c r="CK30" s="587">
        <v>0</v>
      </c>
      <c r="CL30" s="770"/>
      <c r="CM30" s="587">
        <v>0</v>
      </c>
      <c r="CN30" s="770"/>
      <c r="CO30" s="587">
        <v>0</v>
      </c>
      <c r="CP30" s="770"/>
      <c r="CQ30" s="587">
        <v>0</v>
      </c>
      <c r="CR30" s="770"/>
      <c r="CS30" s="587">
        <v>0</v>
      </c>
      <c r="CT30" s="770"/>
      <c r="CU30" s="587"/>
      <c r="CV30" s="770"/>
      <c r="CW30" s="587"/>
      <c r="CX30" s="770"/>
      <c r="CY30" s="587"/>
      <c r="CZ30" s="770"/>
      <c r="DA30" s="587"/>
      <c r="DB30" s="770"/>
      <c r="DC30" s="587"/>
      <c r="DD30" s="770"/>
      <c r="DE30" s="589"/>
      <c r="DF30" s="562"/>
      <c r="DG30" s="552"/>
      <c r="DH30" s="764" t="s">
        <v>441</v>
      </c>
      <c r="DI30" s="766">
        <v>0</v>
      </c>
      <c r="DJ30" s="767">
        <v>0</v>
      </c>
      <c r="DK30" s="776">
        <v>0</v>
      </c>
      <c r="DL30" s="777"/>
      <c r="DM30" s="769"/>
      <c r="DN30" s="587"/>
      <c r="DO30" s="770"/>
      <c r="DP30" s="587"/>
      <c r="DQ30" s="770"/>
      <c r="DR30" s="587"/>
      <c r="DS30" s="770"/>
      <c r="DT30" s="587"/>
      <c r="DU30" s="770"/>
      <c r="DV30" s="587"/>
      <c r="DW30" s="770"/>
      <c r="DX30" s="587"/>
      <c r="DY30" s="770"/>
      <c r="DZ30" s="587"/>
      <c r="EA30" s="770"/>
      <c r="EB30" s="587"/>
      <c r="EC30" s="770"/>
      <c r="ED30" s="587">
        <v>0</v>
      </c>
      <c r="EE30" s="770"/>
      <c r="EF30" s="587">
        <v>0</v>
      </c>
      <c r="EG30" s="770"/>
      <c r="EH30" s="587">
        <v>0</v>
      </c>
      <c r="EI30" s="770"/>
      <c r="EJ30" s="587">
        <v>0</v>
      </c>
      <c r="EK30" s="770"/>
      <c r="EL30" s="587">
        <v>0</v>
      </c>
      <c r="EM30" s="770"/>
      <c r="EN30" s="587">
        <v>0</v>
      </c>
      <c r="EO30" s="770"/>
      <c r="EP30" s="587">
        <v>0</v>
      </c>
      <c r="EQ30" s="770"/>
      <c r="ER30" s="587">
        <v>0</v>
      </c>
      <c r="ES30" s="770"/>
      <c r="ET30" s="587">
        <v>0</v>
      </c>
      <c r="EU30" s="770"/>
      <c r="EV30" s="587">
        <v>0</v>
      </c>
      <c r="EW30" s="770"/>
      <c r="EX30" s="587"/>
      <c r="EY30" s="770"/>
      <c r="EZ30" s="587"/>
      <c r="FA30" s="770"/>
      <c r="FB30" s="587"/>
      <c r="FC30" s="770"/>
      <c r="FD30" s="587"/>
      <c r="FE30" s="770"/>
      <c r="FF30" s="587"/>
      <c r="FG30" s="770"/>
      <c r="FH30" s="589"/>
      <c r="FI30" s="563"/>
      <c r="FJ30" s="564"/>
      <c r="FK30" s="764" t="s">
        <v>441</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554</v>
      </c>
      <c r="GL30" s="774"/>
      <c r="GM30" s="774"/>
      <c r="GN30" s="774"/>
      <c r="GO30" s="530"/>
      <c r="GP30" s="778">
        <v>-0.44</v>
      </c>
      <c r="GQ30" s="413"/>
      <c r="GR30" s="413"/>
      <c r="GS30" s="530"/>
      <c r="GT30" s="763"/>
      <c r="GU30" s="779" t="s">
        <v>384</v>
      </c>
      <c r="GV30" s="780"/>
      <c r="GW30" s="781" t="s">
        <v>782</v>
      </c>
      <c r="GX30" s="781"/>
      <c r="GY30" s="781"/>
      <c r="GZ30" s="781"/>
      <c r="HA30" s="782"/>
      <c r="HB30" s="783" t="s">
        <v>878</v>
      </c>
      <c r="HC30" s="579"/>
      <c r="HD30" s="562"/>
      <c r="HE30" s="415"/>
      <c r="HF30" s="415"/>
    </row>
    <row r="31" spans="1:218" ht="20.100000000000001" customHeight="1">
      <c r="A31" s="552"/>
      <c r="B31" s="784" t="s">
        <v>443</v>
      </c>
      <c r="C31" s="784"/>
      <c r="D31" s="785"/>
      <c r="E31" s="786"/>
      <c r="F31" s="787"/>
      <c r="G31" s="769"/>
      <c r="H31" s="587"/>
      <c r="I31" s="770"/>
      <c r="J31" s="587"/>
      <c r="K31" s="770"/>
      <c r="L31" s="587"/>
      <c r="M31" s="770"/>
      <c r="N31" s="587"/>
      <c r="O31" s="770"/>
      <c r="P31" s="587"/>
      <c r="Q31" s="770"/>
      <c r="R31" s="587"/>
      <c r="S31" s="770"/>
      <c r="T31" s="587"/>
      <c r="U31" s="770"/>
      <c r="V31" s="587"/>
      <c r="W31" s="770"/>
      <c r="X31" s="587">
        <v>0</v>
      </c>
      <c r="Y31" s="770"/>
      <c r="Z31" s="587">
        <v>0</v>
      </c>
      <c r="AA31" s="770"/>
      <c r="AB31" s="587">
        <v>0</v>
      </c>
      <c r="AC31" s="770"/>
      <c r="AD31" s="587">
        <v>0</v>
      </c>
      <c r="AE31" s="770"/>
      <c r="AF31" s="587">
        <v>0</v>
      </c>
      <c r="AG31" s="770"/>
      <c r="AH31" s="587">
        <v>0</v>
      </c>
      <c r="AI31" s="770"/>
      <c r="AJ31" s="587">
        <v>0</v>
      </c>
      <c r="AK31" s="770"/>
      <c r="AL31" s="587">
        <v>0</v>
      </c>
      <c r="AM31" s="770"/>
      <c r="AN31" s="587">
        <v>0</v>
      </c>
      <c r="AO31" s="770"/>
      <c r="AP31" s="587">
        <v>0</v>
      </c>
      <c r="AQ31" s="770"/>
      <c r="AR31" s="587"/>
      <c r="AS31" s="770"/>
      <c r="AT31" s="587"/>
      <c r="AU31" s="770"/>
      <c r="AV31" s="587"/>
      <c r="AW31" s="770"/>
      <c r="AX31" s="587"/>
      <c r="AY31" s="770"/>
      <c r="AZ31" s="587"/>
      <c r="BA31" s="770"/>
      <c r="BB31" s="589"/>
      <c r="BC31" s="562"/>
      <c r="BD31" s="552"/>
      <c r="BE31" s="784" t="s">
        <v>442</v>
      </c>
      <c r="BF31" s="784"/>
      <c r="BG31" s="785">
        <v>0</v>
      </c>
      <c r="BH31" s="786">
        <v>0</v>
      </c>
      <c r="BI31" s="787"/>
      <c r="BJ31" s="769"/>
      <c r="BK31" s="587"/>
      <c r="BL31" s="770"/>
      <c r="BM31" s="587"/>
      <c r="BN31" s="770"/>
      <c r="BO31" s="587"/>
      <c r="BP31" s="770"/>
      <c r="BQ31" s="587"/>
      <c r="BR31" s="770"/>
      <c r="BS31" s="587"/>
      <c r="BT31" s="770"/>
      <c r="BU31" s="587"/>
      <c r="BV31" s="770"/>
      <c r="BW31" s="587"/>
      <c r="BX31" s="770"/>
      <c r="BY31" s="587"/>
      <c r="BZ31" s="770"/>
      <c r="CA31" s="587">
        <v>0</v>
      </c>
      <c r="CB31" s="770"/>
      <c r="CC31" s="587">
        <v>0</v>
      </c>
      <c r="CD31" s="770"/>
      <c r="CE31" s="587">
        <v>0</v>
      </c>
      <c r="CF31" s="770"/>
      <c r="CG31" s="587">
        <v>0</v>
      </c>
      <c r="CH31" s="770"/>
      <c r="CI31" s="587">
        <v>0</v>
      </c>
      <c r="CJ31" s="770"/>
      <c r="CK31" s="587">
        <v>0</v>
      </c>
      <c r="CL31" s="770"/>
      <c r="CM31" s="587">
        <v>0</v>
      </c>
      <c r="CN31" s="770"/>
      <c r="CO31" s="587">
        <v>0</v>
      </c>
      <c r="CP31" s="770"/>
      <c r="CQ31" s="587">
        <v>0</v>
      </c>
      <c r="CR31" s="770"/>
      <c r="CS31" s="587">
        <v>0</v>
      </c>
      <c r="CT31" s="770"/>
      <c r="CU31" s="587"/>
      <c r="CV31" s="770"/>
      <c r="CW31" s="587"/>
      <c r="CX31" s="770"/>
      <c r="CY31" s="587"/>
      <c r="CZ31" s="770"/>
      <c r="DA31" s="587"/>
      <c r="DB31" s="770"/>
      <c r="DC31" s="587"/>
      <c r="DD31" s="770"/>
      <c r="DE31" s="589"/>
      <c r="DF31" s="562"/>
      <c r="DG31" s="552"/>
      <c r="DH31" s="784" t="s">
        <v>442</v>
      </c>
      <c r="DI31" s="784"/>
      <c r="DJ31" s="785">
        <v>0</v>
      </c>
      <c r="DK31" s="786">
        <v>0</v>
      </c>
      <c r="DL31" s="787"/>
      <c r="DM31" s="769"/>
      <c r="DN31" s="587"/>
      <c r="DO31" s="770"/>
      <c r="DP31" s="587"/>
      <c r="DQ31" s="770"/>
      <c r="DR31" s="587"/>
      <c r="DS31" s="770"/>
      <c r="DT31" s="587"/>
      <c r="DU31" s="770"/>
      <c r="DV31" s="587"/>
      <c r="DW31" s="770"/>
      <c r="DX31" s="587"/>
      <c r="DY31" s="770"/>
      <c r="DZ31" s="587"/>
      <c r="EA31" s="770"/>
      <c r="EB31" s="587"/>
      <c r="EC31" s="770"/>
      <c r="ED31" s="587">
        <v>0</v>
      </c>
      <c r="EE31" s="770"/>
      <c r="EF31" s="587">
        <v>0</v>
      </c>
      <c r="EG31" s="770"/>
      <c r="EH31" s="587">
        <v>0</v>
      </c>
      <c r="EI31" s="770"/>
      <c r="EJ31" s="587">
        <v>0</v>
      </c>
      <c r="EK31" s="770"/>
      <c r="EL31" s="587">
        <v>0</v>
      </c>
      <c r="EM31" s="770"/>
      <c r="EN31" s="587">
        <v>0</v>
      </c>
      <c r="EO31" s="770"/>
      <c r="EP31" s="587">
        <v>0</v>
      </c>
      <c r="EQ31" s="770"/>
      <c r="ER31" s="587">
        <v>0</v>
      </c>
      <c r="ES31" s="770"/>
      <c r="ET31" s="587">
        <v>0</v>
      </c>
      <c r="EU31" s="770"/>
      <c r="EV31" s="587">
        <v>0</v>
      </c>
      <c r="EW31" s="770"/>
      <c r="EX31" s="587"/>
      <c r="EY31" s="770"/>
      <c r="EZ31" s="587"/>
      <c r="FA31" s="770"/>
      <c r="FB31" s="587"/>
      <c r="FC31" s="770"/>
      <c r="FD31" s="587"/>
      <c r="FE31" s="770"/>
      <c r="FF31" s="587"/>
      <c r="FG31" s="770"/>
      <c r="FH31" s="589"/>
      <c r="FI31" s="563"/>
      <c r="FJ31" s="564"/>
      <c r="FK31" s="784" t="s">
        <v>442</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-0.44</v>
      </c>
      <c r="GQ31" s="413"/>
      <c r="GR31" s="413"/>
      <c r="GS31" s="580"/>
      <c r="GT31" s="763"/>
      <c r="GU31" s="779"/>
      <c r="GV31" s="780"/>
      <c r="GW31" s="789" t="s">
        <v>714</v>
      </c>
      <c r="GX31" s="790" t="s">
        <v>559</v>
      </c>
      <c r="GY31" s="791" t="s">
        <v>560</v>
      </c>
      <c r="GZ31" s="792" t="s">
        <v>717</v>
      </c>
      <c r="HA31" s="792" t="s">
        <v>699</v>
      </c>
      <c r="HB31" s="793"/>
      <c r="HC31" s="579"/>
      <c r="HD31" s="562"/>
      <c r="HE31" s="415"/>
      <c r="HF31" s="415"/>
    </row>
    <row r="32" spans="1:218" ht="20.100000000000001" customHeight="1">
      <c r="A32" s="552"/>
      <c r="B32" s="794" t="s">
        <v>669</v>
      </c>
      <c r="C32" s="795"/>
      <c r="D32" s="785"/>
      <c r="E32" s="796"/>
      <c r="F32" s="797"/>
      <c r="G32" s="798"/>
      <c r="H32" s="799"/>
      <c r="I32" s="800"/>
      <c r="J32" s="799"/>
      <c r="K32" s="800"/>
      <c r="L32" s="799"/>
      <c r="M32" s="800"/>
      <c r="N32" s="799"/>
      <c r="O32" s="800"/>
      <c r="P32" s="799"/>
      <c r="Q32" s="800"/>
      <c r="R32" s="799"/>
      <c r="S32" s="800"/>
      <c r="T32" s="799"/>
      <c r="U32" s="800"/>
      <c r="V32" s="799"/>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c r="AS32" s="800"/>
      <c r="AT32" s="799"/>
      <c r="AU32" s="800"/>
      <c r="AV32" s="799"/>
      <c r="AW32" s="800"/>
      <c r="AX32" s="799"/>
      <c r="AY32" s="800"/>
      <c r="AZ32" s="799"/>
      <c r="BA32" s="800"/>
      <c r="BB32" s="801"/>
      <c r="BC32" s="562"/>
      <c r="BD32" s="552"/>
      <c r="BE32" s="794" t="s">
        <v>444</v>
      </c>
      <c r="BF32" s="795"/>
      <c r="BG32" s="785">
        <v>0</v>
      </c>
      <c r="BH32" s="796">
        <v>0</v>
      </c>
      <c r="BI32" s="797"/>
      <c r="BJ32" s="798"/>
      <c r="BK32" s="799"/>
      <c r="BL32" s="800"/>
      <c r="BM32" s="799"/>
      <c r="BN32" s="800"/>
      <c r="BO32" s="799"/>
      <c r="BP32" s="800"/>
      <c r="BQ32" s="799"/>
      <c r="BR32" s="800"/>
      <c r="BS32" s="799"/>
      <c r="BT32" s="800"/>
      <c r="BU32" s="799"/>
      <c r="BV32" s="800"/>
      <c r="BW32" s="799"/>
      <c r="BX32" s="800"/>
      <c r="BY32" s="799"/>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c r="CV32" s="800"/>
      <c r="CW32" s="799"/>
      <c r="CX32" s="800"/>
      <c r="CY32" s="799"/>
      <c r="CZ32" s="800"/>
      <c r="DA32" s="799"/>
      <c r="DB32" s="800"/>
      <c r="DC32" s="799"/>
      <c r="DD32" s="800"/>
      <c r="DE32" s="801"/>
      <c r="DF32" s="562"/>
      <c r="DG32" s="552"/>
      <c r="DH32" s="794" t="s">
        <v>444</v>
      </c>
      <c r="DI32" s="795"/>
      <c r="DJ32" s="785">
        <v>0</v>
      </c>
      <c r="DK32" s="796">
        <v>0</v>
      </c>
      <c r="DL32" s="797"/>
      <c r="DM32" s="798"/>
      <c r="DN32" s="799"/>
      <c r="DO32" s="800"/>
      <c r="DP32" s="799"/>
      <c r="DQ32" s="800"/>
      <c r="DR32" s="799"/>
      <c r="DS32" s="800"/>
      <c r="DT32" s="799"/>
      <c r="DU32" s="800"/>
      <c r="DV32" s="799"/>
      <c r="DW32" s="800"/>
      <c r="DX32" s="799"/>
      <c r="DY32" s="800"/>
      <c r="DZ32" s="799"/>
      <c r="EA32" s="800"/>
      <c r="EB32" s="799"/>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c r="EY32" s="800"/>
      <c r="EZ32" s="799"/>
      <c r="FA32" s="800"/>
      <c r="FB32" s="799"/>
      <c r="FC32" s="800"/>
      <c r="FD32" s="799"/>
      <c r="FE32" s="800"/>
      <c r="FF32" s="799"/>
      <c r="FG32" s="800"/>
      <c r="FH32" s="801"/>
      <c r="FI32" s="563"/>
      <c r="FJ32" s="564"/>
      <c r="FK32" s="794" t="s">
        <v>669</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325</v>
      </c>
      <c r="E33" s="642"/>
      <c r="F33" s="642"/>
      <c r="G33" s="644"/>
      <c r="H33" s="645">
        <v>0</v>
      </c>
      <c r="I33" s="1291"/>
      <c r="J33" s="645">
        <v>0</v>
      </c>
      <c r="K33" s="1291"/>
      <c r="L33" s="645">
        <v>0</v>
      </c>
      <c r="M33" s="1291"/>
      <c r="N33" s="645">
        <v>0</v>
      </c>
      <c r="O33" s="1291"/>
      <c r="P33" s="645">
        <v>0</v>
      </c>
      <c r="Q33" s="1291"/>
      <c r="R33" s="645">
        <v>0</v>
      </c>
      <c r="S33" s="1291"/>
      <c r="T33" s="645">
        <v>0</v>
      </c>
      <c r="U33" s="1291"/>
      <c r="V33" s="645">
        <v>0</v>
      </c>
      <c r="W33" s="1291"/>
      <c r="X33" s="645">
        <v>286</v>
      </c>
      <c r="Y33" s="1291"/>
      <c r="Z33" s="645">
        <v>286</v>
      </c>
      <c r="AA33" s="1291"/>
      <c r="AB33" s="645">
        <v>286</v>
      </c>
      <c r="AC33" s="1291"/>
      <c r="AD33" s="645">
        <v>286</v>
      </c>
      <c r="AE33" s="1291"/>
      <c r="AF33" s="645">
        <v>286</v>
      </c>
      <c r="AG33" s="1291"/>
      <c r="AH33" s="645">
        <v>286</v>
      </c>
      <c r="AI33" s="1291"/>
      <c r="AJ33" s="645">
        <v>286</v>
      </c>
      <c r="AK33" s="1291"/>
      <c r="AL33" s="645">
        <v>286</v>
      </c>
      <c r="AM33" s="1291"/>
      <c r="AN33" s="645">
        <v>352</v>
      </c>
      <c r="AO33" s="1291"/>
      <c r="AP33" s="645">
        <v>352</v>
      </c>
      <c r="AQ33" s="1291"/>
      <c r="AR33" s="645">
        <v>0</v>
      </c>
      <c r="AS33" s="1291"/>
      <c r="AT33" s="645">
        <v>0</v>
      </c>
      <c r="AU33" s="1291"/>
      <c r="AV33" s="645">
        <v>0</v>
      </c>
      <c r="AW33" s="1291"/>
      <c r="AX33" s="645">
        <v>0</v>
      </c>
      <c r="AY33" s="1291"/>
      <c r="AZ33" s="645">
        <v>0</v>
      </c>
      <c r="BA33" s="1291"/>
      <c r="BB33" s="647">
        <v>0</v>
      </c>
      <c r="BC33" s="648"/>
      <c r="BD33" s="641"/>
      <c r="BE33" s="642"/>
      <c r="BF33" s="642"/>
      <c r="BG33" s="643" t="s">
        <v>325</v>
      </c>
      <c r="BH33" s="642"/>
      <c r="BI33" s="642"/>
      <c r="BJ33" s="644"/>
      <c r="BK33" s="645">
        <v>0</v>
      </c>
      <c r="BL33" s="1291"/>
      <c r="BM33" s="645">
        <v>0</v>
      </c>
      <c r="BN33" s="1291"/>
      <c r="BO33" s="645">
        <v>0</v>
      </c>
      <c r="BP33" s="1291"/>
      <c r="BQ33" s="645">
        <v>0</v>
      </c>
      <c r="BR33" s="1291"/>
      <c r="BS33" s="645">
        <v>0</v>
      </c>
      <c r="BT33" s="1291"/>
      <c r="BU33" s="645">
        <v>0</v>
      </c>
      <c r="BV33" s="1291"/>
      <c r="BW33" s="645">
        <v>0</v>
      </c>
      <c r="BX33" s="1291"/>
      <c r="BY33" s="645">
        <v>0</v>
      </c>
      <c r="BZ33" s="1291"/>
      <c r="CA33" s="645">
        <v>286</v>
      </c>
      <c r="CB33" s="1291"/>
      <c r="CC33" s="645">
        <v>286</v>
      </c>
      <c r="CD33" s="1291"/>
      <c r="CE33" s="645">
        <v>286</v>
      </c>
      <c r="CF33" s="1291"/>
      <c r="CG33" s="645">
        <v>286</v>
      </c>
      <c r="CH33" s="1291"/>
      <c r="CI33" s="645">
        <v>286</v>
      </c>
      <c r="CJ33" s="1291"/>
      <c r="CK33" s="645">
        <v>286</v>
      </c>
      <c r="CL33" s="1291"/>
      <c r="CM33" s="645">
        <v>286</v>
      </c>
      <c r="CN33" s="1291"/>
      <c r="CO33" s="645">
        <v>286</v>
      </c>
      <c r="CP33" s="1291"/>
      <c r="CQ33" s="645">
        <v>352</v>
      </c>
      <c r="CR33" s="1291"/>
      <c r="CS33" s="645">
        <v>352</v>
      </c>
      <c r="CT33" s="1291"/>
      <c r="CU33" s="645">
        <v>0</v>
      </c>
      <c r="CV33" s="1291"/>
      <c r="CW33" s="645">
        <v>0</v>
      </c>
      <c r="CX33" s="1291"/>
      <c r="CY33" s="645">
        <v>0</v>
      </c>
      <c r="CZ33" s="1291"/>
      <c r="DA33" s="645">
        <v>0</v>
      </c>
      <c r="DB33" s="1291"/>
      <c r="DC33" s="645">
        <v>0</v>
      </c>
      <c r="DD33" s="1291"/>
      <c r="DE33" s="647">
        <v>0</v>
      </c>
      <c r="DF33" s="648"/>
      <c r="DG33" s="641"/>
      <c r="DH33" s="642"/>
      <c r="DI33" s="642"/>
      <c r="DJ33" s="643" t="s">
        <v>325</v>
      </c>
      <c r="DK33" s="642"/>
      <c r="DL33" s="642"/>
      <c r="DM33" s="644"/>
      <c r="DN33" s="645">
        <v>0</v>
      </c>
      <c r="DO33" s="1291"/>
      <c r="DP33" s="645">
        <v>0</v>
      </c>
      <c r="DQ33" s="1291"/>
      <c r="DR33" s="645">
        <v>0</v>
      </c>
      <c r="DS33" s="1291"/>
      <c r="DT33" s="645">
        <v>0</v>
      </c>
      <c r="DU33" s="1291"/>
      <c r="DV33" s="645">
        <v>0</v>
      </c>
      <c r="DW33" s="1291"/>
      <c r="DX33" s="645">
        <v>0</v>
      </c>
      <c r="DY33" s="1291"/>
      <c r="DZ33" s="645">
        <v>0</v>
      </c>
      <c r="EA33" s="1291"/>
      <c r="EB33" s="645">
        <v>0</v>
      </c>
      <c r="EC33" s="1291"/>
      <c r="ED33" s="645">
        <v>286</v>
      </c>
      <c r="EE33" s="1291"/>
      <c r="EF33" s="645">
        <v>286</v>
      </c>
      <c r="EG33" s="1291"/>
      <c r="EH33" s="645">
        <v>286</v>
      </c>
      <c r="EI33" s="1291"/>
      <c r="EJ33" s="645">
        <v>286</v>
      </c>
      <c r="EK33" s="1291"/>
      <c r="EL33" s="645">
        <v>286</v>
      </c>
      <c r="EM33" s="1291"/>
      <c r="EN33" s="645">
        <v>286</v>
      </c>
      <c r="EO33" s="1291"/>
      <c r="EP33" s="645">
        <v>286</v>
      </c>
      <c r="EQ33" s="1291"/>
      <c r="ER33" s="645">
        <v>286</v>
      </c>
      <c r="ES33" s="1291"/>
      <c r="ET33" s="645">
        <v>352</v>
      </c>
      <c r="EU33" s="1291"/>
      <c r="EV33" s="645">
        <v>352</v>
      </c>
      <c r="EW33" s="1291"/>
      <c r="EX33" s="645">
        <v>0</v>
      </c>
      <c r="EY33" s="1291"/>
      <c r="EZ33" s="645">
        <v>0</v>
      </c>
      <c r="FA33" s="1291"/>
      <c r="FB33" s="645">
        <v>0</v>
      </c>
      <c r="FC33" s="1291"/>
      <c r="FD33" s="645">
        <v>0</v>
      </c>
      <c r="FE33" s="1291"/>
      <c r="FF33" s="645">
        <v>0</v>
      </c>
      <c r="FG33" s="1291"/>
      <c r="FH33" s="647">
        <v>0</v>
      </c>
      <c r="FI33" s="649"/>
      <c r="FJ33" s="564"/>
      <c r="FK33" s="642"/>
      <c r="FL33" s="642"/>
      <c r="FM33" s="643" t="s">
        <v>445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784</v>
      </c>
      <c r="GL33" s="579"/>
      <c r="GM33" s="530"/>
      <c r="GN33" s="579"/>
      <c r="GO33" s="530"/>
      <c r="GP33" s="530"/>
      <c r="GQ33" s="530"/>
      <c r="GR33" s="579"/>
      <c r="GS33" s="530"/>
      <c r="GT33" s="763"/>
      <c r="GU33" s="811">
        <v>205</v>
      </c>
      <c r="GV33" s="812"/>
      <c r="GW33" s="813">
        <v>0</v>
      </c>
      <c r="GX33" s="814">
        <v>20.580000000000002</v>
      </c>
      <c r="GY33" s="814">
        <v>25.990000000000002</v>
      </c>
      <c r="GZ33" s="814">
        <v>0</v>
      </c>
      <c r="HA33" s="814">
        <v>46.570000000000007</v>
      </c>
      <c r="HB33" s="815">
        <v>13.23</v>
      </c>
      <c r="HC33" s="413"/>
      <c r="HD33" s="648"/>
      <c r="HE33" s="415"/>
      <c r="HF33" s="415"/>
    </row>
    <row r="34" spans="1:219" ht="20.100000000000001" customHeight="1">
      <c r="A34" s="1293" t="s">
        <v>449</v>
      </c>
      <c r="B34" s="743"/>
      <c r="C34" s="817"/>
      <c r="D34" s="818"/>
      <c r="E34" s="817"/>
      <c r="F34" s="819"/>
      <c r="G34" s="740" t="s">
        <v>447</v>
      </c>
      <c r="H34" s="663" t="s">
        <v>428</v>
      </c>
      <c r="I34" s="741" t="s">
        <v>448</v>
      </c>
      <c r="J34" s="663" t="s">
        <v>430</v>
      </c>
      <c r="K34" s="742" t="s">
        <v>448</v>
      </c>
      <c r="L34" s="663" t="s">
        <v>428</v>
      </c>
      <c r="M34" s="742" t="s">
        <v>448</v>
      </c>
      <c r="N34" s="663" t="s">
        <v>430</v>
      </c>
      <c r="O34" s="742" t="s">
        <v>447</v>
      </c>
      <c r="P34" s="663" t="s">
        <v>428</v>
      </c>
      <c r="Q34" s="742" t="s">
        <v>448</v>
      </c>
      <c r="R34" s="663" t="s">
        <v>430</v>
      </c>
      <c r="S34" s="742" t="s">
        <v>448</v>
      </c>
      <c r="T34" s="663" t="s">
        <v>430</v>
      </c>
      <c r="U34" s="742" t="s">
        <v>448</v>
      </c>
      <c r="V34" s="663" t="s">
        <v>430</v>
      </c>
      <c r="W34" s="742" t="s">
        <v>447</v>
      </c>
      <c r="X34" s="663" t="s">
        <v>430</v>
      </c>
      <c r="Y34" s="742" t="s">
        <v>448</v>
      </c>
      <c r="Z34" s="663" t="s">
        <v>430</v>
      </c>
      <c r="AA34" s="742" t="s">
        <v>448</v>
      </c>
      <c r="AB34" s="663" t="s">
        <v>428</v>
      </c>
      <c r="AC34" s="742" t="s">
        <v>448</v>
      </c>
      <c r="AD34" s="663" t="s">
        <v>428</v>
      </c>
      <c r="AE34" s="742" t="s">
        <v>448</v>
      </c>
      <c r="AF34" s="663" t="s">
        <v>428</v>
      </c>
      <c r="AG34" s="742" t="s">
        <v>447</v>
      </c>
      <c r="AH34" s="663" t="s">
        <v>430</v>
      </c>
      <c r="AI34" s="742" t="s">
        <v>447</v>
      </c>
      <c r="AJ34" s="663" t="s">
        <v>428</v>
      </c>
      <c r="AK34" s="742" t="s">
        <v>448</v>
      </c>
      <c r="AL34" s="663" t="s">
        <v>428</v>
      </c>
      <c r="AM34" s="742" t="s">
        <v>448</v>
      </c>
      <c r="AN34" s="663" t="s">
        <v>430</v>
      </c>
      <c r="AO34" s="742" t="s">
        <v>448</v>
      </c>
      <c r="AP34" s="663" t="s">
        <v>430</v>
      </c>
      <c r="AQ34" s="742" t="s">
        <v>448</v>
      </c>
      <c r="AR34" s="663" t="s">
        <v>428</v>
      </c>
      <c r="AS34" s="742" t="s">
        <v>448</v>
      </c>
      <c r="AT34" s="663" t="s">
        <v>430</v>
      </c>
      <c r="AU34" s="742" t="s">
        <v>447</v>
      </c>
      <c r="AV34" s="663" t="s">
        <v>428</v>
      </c>
      <c r="AW34" s="742" t="s">
        <v>448</v>
      </c>
      <c r="AX34" s="663" t="s">
        <v>428</v>
      </c>
      <c r="AY34" s="742" t="s">
        <v>447</v>
      </c>
      <c r="AZ34" s="663" t="s">
        <v>430</v>
      </c>
      <c r="BA34" s="742" t="s">
        <v>447</v>
      </c>
      <c r="BB34" s="665" t="s">
        <v>428</v>
      </c>
      <c r="BC34" s="723"/>
      <c r="BD34" s="1293" t="s">
        <v>446</v>
      </c>
      <c r="BE34" s="820"/>
      <c r="BF34" s="821"/>
      <c r="BG34" s="822"/>
      <c r="BH34" s="821"/>
      <c r="BI34" s="823"/>
      <c r="BJ34" s="740" t="s">
        <v>448</v>
      </c>
      <c r="BK34" s="663" t="s">
        <v>428</v>
      </c>
      <c r="BL34" s="741" t="s">
        <v>448</v>
      </c>
      <c r="BM34" s="663" t="s">
        <v>430</v>
      </c>
      <c r="BN34" s="742" t="s">
        <v>447</v>
      </c>
      <c r="BO34" s="663" t="s">
        <v>430</v>
      </c>
      <c r="BP34" s="742" t="s">
        <v>448</v>
      </c>
      <c r="BQ34" s="663" t="s">
        <v>428</v>
      </c>
      <c r="BR34" s="742" t="s">
        <v>447</v>
      </c>
      <c r="BS34" s="663" t="s">
        <v>430</v>
      </c>
      <c r="BT34" s="742" t="s">
        <v>447</v>
      </c>
      <c r="BU34" s="663" t="s">
        <v>428</v>
      </c>
      <c r="BV34" s="742" t="s">
        <v>448</v>
      </c>
      <c r="BW34" s="663" t="s">
        <v>428</v>
      </c>
      <c r="BX34" s="742" t="s">
        <v>448</v>
      </c>
      <c r="BY34" s="663" t="s">
        <v>430</v>
      </c>
      <c r="BZ34" s="742" t="s">
        <v>447</v>
      </c>
      <c r="CA34" s="663" t="s">
        <v>428</v>
      </c>
      <c r="CB34" s="742" t="s">
        <v>447</v>
      </c>
      <c r="CC34" s="663" t="s">
        <v>428</v>
      </c>
      <c r="CD34" s="742" t="s">
        <v>447</v>
      </c>
      <c r="CE34" s="663" t="s">
        <v>428</v>
      </c>
      <c r="CF34" s="742" t="s">
        <v>447</v>
      </c>
      <c r="CG34" s="663" t="s">
        <v>430</v>
      </c>
      <c r="CH34" s="742" t="s">
        <v>448</v>
      </c>
      <c r="CI34" s="663" t="s">
        <v>428</v>
      </c>
      <c r="CJ34" s="742" t="s">
        <v>447</v>
      </c>
      <c r="CK34" s="663" t="s">
        <v>430</v>
      </c>
      <c r="CL34" s="742" t="s">
        <v>448</v>
      </c>
      <c r="CM34" s="663" t="s">
        <v>428</v>
      </c>
      <c r="CN34" s="742" t="s">
        <v>447</v>
      </c>
      <c r="CO34" s="663" t="s">
        <v>428</v>
      </c>
      <c r="CP34" s="742" t="s">
        <v>448</v>
      </c>
      <c r="CQ34" s="663" t="s">
        <v>428</v>
      </c>
      <c r="CR34" s="742" t="s">
        <v>447</v>
      </c>
      <c r="CS34" s="663" t="s">
        <v>428</v>
      </c>
      <c r="CT34" s="742" t="s">
        <v>447</v>
      </c>
      <c r="CU34" s="663" t="s">
        <v>428</v>
      </c>
      <c r="CV34" s="742" t="s">
        <v>448</v>
      </c>
      <c r="CW34" s="663" t="s">
        <v>430</v>
      </c>
      <c r="CX34" s="742" t="s">
        <v>447</v>
      </c>
      <c r="CY34" s="663" t="s">
        <v>428</v>
      </c>
      <c r="CZ34" s="742" t="s">
        <v>447</v>
      </c>
      <c r="DA34" s="663" t="s">
        <v>428</v>
      </c>
      <c r="DB34" s="742" t="s">
        <v>448</v>
      </c>
      <c r="DC34" s="663" t="s">
        <v>428</v>
      </c>
      <c r="DD34" s="742" t="s">
        <v>448</v>
      </c>
      <c r="DE34" s="665" t="s">
        <v>428</v>
      </c>
      <c r="DF34" s="723"/>
      <c r="DG34" s="1293" t="s">
        <v>449</v>
      </c>
      <c r="DH34" s="738"/>
      <c r="DI34" s="824"/>
      <c r="DJ34" s="825"/>
      <c r="DK34" s="824"/>
      <c r="DL34" s="826"/>
      <c r="DM34" s="740" t="s">
        <v>448</v>
      </c>
      <c r="DN34" s="663" t="s">
        <v>428</v>
      </c>
      <c r="DO34" s="741" t="s">
        <v>448</v>
      </c>
      <c r="DP34" s="663" t="s">
        <v>428</v>
      </c>
      <c r="DQ34" s="742" t="s">
        <v>447</v>
      </c>
      <c r="DR34" s="663" t="s">
        <v>428</v>
      </c>
      <c r="DS34" s="742" t="s">
        <v>448</v>
      </c>
      <c r="DT34" s="663" t="s">
        <v>428</v>
      </c>
      <c r="DU34" s="742" t="s">
        <v>447</v>
      </c>
      <c r="DV34" s="663" t="s">
        <v>430</v>
      </c>
      <c r="DW34" s="742" t="s">
        <v>447</v>
      </c>
      <c r="DX34" s="663" t="s">
        <v>428</v>
      </c>
      <c r="DY34" s="742" t="s">
        <v>448</v>
      </c>
      <c r="DZ34" s="663" t="s">
        <v>428</v>
      </c>
      <c r="EA34" s="742" t="s">
        <v>448</v>
      </c>
      <c r="EB34" s="663" t="s">
        <v>430</v>
      </c>
      <c r="EC34" s="742" t="s">
        <v>448</v>
      </c>
      <c r="ED34" s="663" t="s">
        <v>430</v>
      </c>
      <c r="EE34" s="742" t="s">
        <v>448</v>
      </c>
      <c r="EF34" s="663" t="s">
        <v>428</v>
      </c>
      <c r="EG34" s="742" t="s">
        <v>448</v>
      </c>
      <c r="EH34" s="663" t="s">
        <v>430</v>
      </c>
      <c r="EI34" s="742" t="s">
        <v>447</v>
      </c>
      <c r="EJ34" s="663" t="s">
        <v>428</v>
      </c>
      <c r="EK34" s="742" t="s">
        <v>448</v>
      </c>
      <c r="EL34" s="663" t="s">
        <v>428</v>
      </c>
      <c r="EM34" s="742" t="s">
        <v>447</v>
      </c>
      <c r="EN34" s="663" t="s">
        <v>430</v>
      </c>
      <c r="EO34" s="742" t="s">
        <v>447</v>
      </c>
      <c r="EP34" s="663" t="s">
        <v>428</v>
      </c>
      <c r="EQ34" s="742" t="s">
        <v>448</v>
      </c>
      <c r="ER34" s="663" t="s">
        <v>430</v>
      </c>
      <c r="ES34" s="742" t="s">
        <v>447</v>
      </c>
      <c r="ET34" s="663" t="s">
        <v>430</v>
      </c>
      <c r="EU34" s="742" t="s">
        <v>447</v>
      </c>
      <c r="EV34" s="663" t="s">
        <v>428</v>
      </c>
      <c r="EW34" s="742" t="s">
        <v>448</v>
      </c>
      <c r="EX34" s="663" t="s">
        <v>428</v>
      </c>
      <c r="EY34" s="742" t="s">
        <v>447</v>
      </c>
      <c r="EZ34" s="663" t="s">
        <v>430</v>
      </c>
      <c r="FA34" s="742" t="s">
        <v>448</v>
      </c>
      <c r="FB34" s="663" t="s">
        <v>430</v>
      </c>
      <c r="FC34" s="742" t="s">
        <v>448</v>
      </c>
      <c r="FD34" s="663" t="s">
        <v>430</v>
      </c>
      <c r="FE34" s="742" t="s">
        <v>448</v>
      </c>
      <c r="FF34" s="663" t="s">
        <v>430</v>
      </c>
      <c r="FG34" s="742" t="s">
        <v>447</v>
      </c>
      <c r="FH34" s="665" t="s">
        <v>428</v>
      </c>
      <c r="FI34" s="746"/>
      <c r="FJ34" s="827" t="s">
        <v>449</v>
      </c>
      <c r="FK34" s="738"/>
      <c r="FL34" s="824"/>
      <c r="FM34" s="825"/>
      <c r="FN34" s="824"/>
      <c r="FO34" s="826"/>
      <c r="FP34" s="747" t="s">
        <v>450</v>
      </c>
      <c r="FQ34" s="673" t="s">
        <v>448</v>
      </c>
      <c r="FR34" s="663" t="s">
        <v>451</v>
      </c>
      <c r="FS34" s="748" t="s">
        <v>433</v>
      </c>
      <c r="FT34" s="673" t="s">
        <v>448</v>
      </c>
      <c r="FU34" s="675" t="s">
        <v>451</v>
      </c>
      <c r="FV34" s="593"/>
      <c r="FW34" s="594"/>
      <c r="FX34" s="806"/>
      <c r="FY34" s="596"/>
      <c r="FZ34" s="807"/>
      <c r="GA34" s="598"/>
      <c r="GB34" s="808"/>
      <c r="GC34" s="600"/>
      <c r="GD34" s="808"/>
      <c r="GE34" s="601"/>
      <c r="GF34" s="749"/>
      <c r="GG34" s="750"/>
      <c r="GH34" s="750"/>
      <c r="GI34" s="750"/>
      <c r="GJ34" s="579"/>
      <c r="GK34" s="828" t="s">
        <v>836</v>
      </c>
      <c r="GL34" s="828"/>
      <c r="GM34" s="828"/>
      <c r="GN34" s="828"/>
      <c r="GO34" s="828"/>
      <c r="GP34" s="828"/>
      <c r="GQ34" s="615">
        <v>7</v>
      </c>
      <c r="GR34" s="579" t="s">
        <v>705</v>
      </c>
      <c r="GS34" s="580"/>
      <c r="GT34" s="763"/>
      <c r="GU34" s="829"/>
      <c r="GV34" s="830"/>
      <c r="GW34" s="831"/>
      <c r="GX34" s="633"/>
      <c r="GY34" s="633"/>
      <c r="GZ34" s="633"/>
      <c r="HA34" s="633"/>
      <c r="HB34" s="634"/>
      <c r="HC34" s="530"/>
      <c r="HD34" s="723"/>
      <c r="HE34" s="415"/>
      <c r="HF34" s="415"/>
    </row>
    <row r="35" spans="1:219" ht="20.100000000000001" customHeight="1">
      <c r="A35" s="832"/>
      <c r="B35" s="466" t="s">
        <v>452</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790</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453</v>
      </c>
      <c r="E36" s="642"/>
      <c r="F36" s="642"/>
      <c r="G36" s="845"/>
      <c r="H36" s="1294">
        <v>0</v>
      </c>
      <c r="I36" s="1295"/>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1296">
        <v>0</v>
      </c>
      <c r="BC36" s="648"/>
      <c r="BD36" s="832"/>
      <c r="BE36" s="642"/>
      <c r="BF36" s="642"/>
      <c r="BG36" s="643" t="s">
        <v>453</v>
      </c>
      <c r="BH36" s="642"/>
      <c r="BI36" s="642"/>
      <c r="BJ36" s="845"/>
      <c r="BK36" s="1294">
        <v>0</v>
      </c>
      <c r="BL36" s="1295"/>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1296">
        <v>0</v>
      </c>
      <c r="DF36" s="648"/>
      <c r="DG36" s="832"/>
      <c r="DH36" s="642"/>
      <c r="DI36" s="642"/>
      <c r="DJ36" s="643" t="s">
        <v>453</v>
      </c>
      <c r="DK36" s="642"/>
      <c r="DL36" s="642"/>
      <c r="DM36" s="845"/>
      <c r="DN36" s="1294">
        <v>0</v>
      </c>
      <c r="DO36" s="1295"/>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1296">
        <v>0</v>
      </c>
      <c r="FI36" s="649"/>
      <c r="FJ36" s="841"/>
      <c r="FK36" s="642"/>
      <c r="FL36" s="642"/>
      <c r="FM36" s="643" t="s">
        <v>327</v>
      </c>
      <c r="FN36" s="642"/>
      <c r="FO36" s="642"/>
      <c r="FP36" s="650"/>
      <c r="FQ36" s="1295"/>
      <c r="FR36" s="1294">
        <v>0</v>
      </c>
      <c r="FS36" s="1297"/>
      <c r="FT36" s="1295"/>
      <c r="FU36" s="1298">
        <v>0</v>
      </c>
      <c r="FV36" s="593"/>
      <c r="FW36" s="594"/>
      <c r="FX36" s="806"/>
      <c r="FY36" s="596"/>
      <c r="FZ36" s="807"/>
      <c r="GA36" s="598"/>
      <c r="GB36" s="808"/>
      <c r="GC36" s="600"/>
      <c r="GD36" s="808"/>
      <c r="GE36" s="601"/>
      <c r="GF36" s="654"/>
      <c r="GG36" s="655"/>
      <c r="GH36" s="655"/>
      <c r="GI36" s="655"/>
      <c r="GJ36" s="530"/>
      <c r="GK36" s="828" t="s">
        <v>567</v>
      </c>
      <c r="GL36" s="828"/>
      <c r="GM36" s="828"/>
      <c r="GN36" s="828"/>
      <c r="GO36" s="828"/>
      <c r="GP36" s="828"/>
      <c r="GQ36" s="615">
        <v>10</v>
      </c>
      <c r="GR36" s="579" t="s">
        <v>319</v>
      </c>
      <c r="GS36" s="530"/>
      <c r="GT36" s="763"/>
      <c r="GU36" s="829"/>
      <c r="GV36" s="830"/>
      <c r="GW36" s="831"/>
      <c r="GX36" s="633"/>
      <c r="GY36" s="633"/>
      <c r="GZ36" s="633"/>
      <c r="HA36" s="633"/>
      <c r="HB36" s="634"/>
      <c r="HC36" s="530"/>
      <c r="HD36" s="648"/>
      <c r="HE36" s="415"/>
      <c r="HF36" s="415"/>
    </row>
    <row r="37" spans="1:219" ht="24" customHeight="1">
      <c r="A37" s="853" t="s">
        <v>454</v>
      </c>
      <c r="B37" s="854"/>
      <c r="C37" s="855" t="s">
        <v>460</v>
      </c>
      <c r="D37" s="856"/>
      <c r="E37" s="857" t="s">
        <v>461</v>
      </c>
      <c r="F37" s="858"/>
      <c r="G37" s="662" t="s">
        <v>448</v>
      </c>
      <c r="H37" s="663" t="s">
        <v>457</v>
      </c>
      <c r="I37" s="664" t="s">
        <v>448</v>
      </c>
      <c r="J37" s="663" t="s">
        <v>458</v>
      </c>
      <c r="K37" s="664" t="s">
        <v>447</v>
      </c>
      <c r="L37" s="663" t="s">
        <v>458</v>
      </c>
      <c r="M37" s="664" t="s">
        <v>447</v>
      </c>
      <c r="N37" s="663" t="s">
        <v>459</v>
      </c>
      <c r="O37" s="664" t="s">
        <v>447</v>
      </c>
      <c r="P37" s="663" t="s">
        <v>459</v>
      </c>
      <c r="Q37" s="664" t="s">
        <v>447</v>
      </c>
      <c r="R37" s="663" t="s">
        <v>459</v>
      </c>
      <c r="S37" s="664" t="s">
        <v>447</v>
      </c>
      <c r="T37" s="663" t="s">
        <v>458</v>
      </c>
      <c r="U37" s="664" t="s">
        <v>448</v>
      </c>
      <c r="V37" s="663" t="s">
        <v>458</v>
      </c>
      <c r="W37" s="664" t="s">
        <v>448</v>
      </c>
      <c r="X37" s="663" t="s">
        <v>458</v>
      </c>
      <c r="Y37" s="664" t="s">
        <v>448</v>
      </c>
      <c r="Z37" s="663" t="s">
        <v>459</v>
      </c>
      <c r="AA37" s="664" t="s">
        <v>447</v>
      </c>
      <c r="AB37" s="663" t="s">
        <v>459</v>
      </c>
      <c r="AC37" s="664" t="s">
        <v>447</v>
      </c>
      <c r="AD37" s="663" t="s">
        <v>458</v>
      </c>
      <c r="AE37" s="664" t="s">
        <v>448</v>
      </c>
      <c r="AF37" s="663" t="s">
        <v>459</v>
      </c>
      <c r="AG37" s="664" t="s">
        <v>448</v>
      </c>
      <c r="AH37" s="663" t="s">
        <v>458</v>
      </c>
      <c r="AI37" s="664" t="s">
        <v>448</v>
      </c>
      <c r="AJ37" s="663" t="s">
        <v>459</v>
      </c>
      <c r="AK37" s="664" t="s">
        <v>447</v>
      </c>
      <c r="AL37" s="663" t="s">
        <v>458</v>
      </c>
      <c r="AM37" s="664" t="s">
        <v>448</v>
      </c>
      <c r="AN37" s="663" t="s">
        <v>458</v>
      </c>
      <c r="AO37" s="664" t="s">
        <v>448</v>
      </c>
      <c r="AP37" s="663" t="s">
        <v>459</v>
      </c>
      <c r="AQ37" s="664" t="s">
        <v>448</v>
      </c>
      <c r="AR37" s="663" t="s">
        <v>459</v>
      </c>
      <c r="AS37" s="664" t="s">
        <v>447</v>
      </c>
      <c r="AT37" s="663" t="s">
        <v>458</v>
      </c>
      <c r="AU37" s="664" t="s">
        <v>448</v>
      </c>
      <c r="AV37" s="663" t="s">
        <v>458</v>
      </c>
      <c r="AW37" s="664" t="s">
        <v>448</v>
      </c>
      <c r="AX37" s="663" t="s">
        <v>459</v>
      </c>
      <c r="AY37" s="664" t="s">
        <v>448</v>
      </c>
      <c r="AZ37" s="663" t="s">
        <v>458</v>
      </c>
      <c r="BA37" s="664" t="s">
        <v>448</v>
      </c>
      <c r="BB37" s="665" t="s">
        <v>458</v>
      </c>
      <c r="BC37" s="723"/>
      <c r="BD37" s="853" t="s">
        <v>454</v>
      </c>
      <c r="BE37" s="854"/>
      <c r="BF37" s="855" t="s">
        <v>460</v>
      </c>
      <c r="BG37" s="856"/>
      <c r="BH37" s="857" t="s">
        <v>461</v>
      </c>
      <c r="BI37" s="858"/>
      <c r="BJ37" s="662" t="s">
        <v>447</v>
      </c>
      <c r="BK37" s="663" t="s">
        <v>457</v>
      </c>
      <c r="BL37" s="664" t="s">
        <v>448</v>
      </c>
      <c r="BM37" s="663" t="s">
        <v>459</v>
      </c>
      <c r="BN37" s="664" t="s">
        <v>447</v>
      </c>
      <c r="BO37" s="663" t="s">
        <v>458</v>
      </c>
      <c r="BP37" s="664" t="s">
        <v>447</v>
      </c>
      <c r="BQ37" s="663" t="s">
        <v>458</v>
      </c>
      <c r="BR37" s="664" t="s">
        <v>447</v>
      </c>
      <c r="BS37" s="663" t="s">
        <v>459</v>
      </c>
      <c r="BT37" s="664" t="s">
        <v>448</v>
      </c>
      <c r="BU37" s="663" t="s">
        <v>458</v>
      </c>
      <c r="BV37" s="664" t="s">
        <v>448</v>
      </c>
      <c r="BW37" s="663" t="s">
        <v>458</v>
      </c>
      <c r="BX37" s="664" t="s">
        <v>448</v>
      </c>
      <c r="BY37" s="663" t="s">
        <v>458</v>
      </c>
      <c r="BZ37" s="664" t="s">
        <v>447</v>
      </c>
      <c r="CA37" s="663" t="s">
        <v>459</v>
      </c>
      <c r="CB37" s="664" t="s">
        <v>447</v>
      </c>
      <c r="CC37" s="663" t="s">
        <v>459</v>
      </c>
      <c r="CD37" s="664" t="s">
        <v>448</v>
      </c>
      <c r="CE37" s="663" t="s">
        <v>458</v>
      </c>
      <c r="CF37" s="664" t="s">
        <v>447</v>
      </c>
      <c r="CG37" s="663" t="s">
        <v>458</v>
      </c>
      <c r="CH37" s="664" t="s">
        <v>448</v>
      </c>
      <c r="CI37" s="663" t="s">
        <v>458</v>
      </c>
      <c r="CJ37" s="664" t="s">
        <v>447</v>
      </c>
      <c r="CK37" s="663" t="s">
        <v>459</v>
      </c>
      <c r="CL37" s="664" t="s">
        <v>448</v>
      </c>
      <c r="CM37" s="663" t="s">
        <v>458</v>
      </c>
      <c r="CN37" s="664" t="s">
        <v>448</v>
      </c>
      <c r="CO37" s="663" t="s">
        <v>458</v>
      </c>
      <c r="CP37" s="664" t="s">
        <v>447</v>
      </c>
      <c r="CQ37" s="663" t="s">
        <v>458</v>
      </c>
      <c r="CR37" s="664" t="s">
        <v>447</v>
      </c>
      <c r="CS37" s="663" t="s">
        <v>459</v>
      </c>
      <c r="CT37" s="664" t="s">
        <v>448</v>
      </c>
      <c r="CU37" s="663" t="s">
        <v>458</v>
      </c>
      <c r="CV37" s="664" t="s">
        <v>448</v>
      </c>
      <c r="CW37" s="663" t="s">
        <v>458</v>
      </c>
      <c r="CX37" s="664" t="s">
        <v>447</v>
      </c>
      <c r="CY37" s="663" t="s">
        <v>458</v>
      </c>
      <c r="CZ37" s="664" t="s">
        <v>448</v>
      </c>
      <c r="DA37" s="663" t="s">
        <v>458</v>
      </c>
      <c r="DB37" s="664" t="s">
        <v>448</v>
      </c>
      <c r="DC37" s="663" t="s">
        <v>458</v>
      </c>
      <c r="DD37" s="664" t="s">
        <v>448</v>
      </c>
      <c r="DE37" s="665" t="s">
        <v>459</v>
      </c>
      <c r="DF37" s="723"/>
      <c r="DG37" s="853" t="s">
        <v>454</v>
      </c>
      <c r="DH37" s="854"/>
      <c r="DI37" s="855" t="s">
        <v>460</v>
      </c>
      <c r="DJ37" s="856"/>
      <c r="DK37" s="857" t="s">
        <v>456</v>
      </c>
      <c r="DL37" s="858"/>
      <c r="DM37" s="662" t="s">
        <v>448</v>
      </c>
      <c r="DN37" s="663" t="s">
        <v>457</v>
      </c>
      <c r="DO37" s="664" t="s">
        <v>448</v>
      </c>
      <c r="DP37" s="663" t="s">
        <v>459</v>
      </c>
      <c r="DQ37" s="664" t="s">
        <v>448</v>
      </c>
      <c r="DR37" s="663" t="s">
        <v>459</v>
      </c>
      <c r="DS37" s="664" t="s">
        <v>448</v>
      </c>
      <c r="DT37" s="663" t="s">
        <v>458</v>
      </c>
      <c r="DU37" s="664" t="s">
        <v>448</v>
      </c>
      <c r="DV37" s="663" t="s">
        <v>458</v>
      </c>
      <c r="DW37" s="664" t="s">
        <v>448</v>
      </c>
      <c r="DX37" s="663" t="s">
        <v>458</v>
      </c>
      <c r="DY37" s="664" t="s">
        <v>448</v>
      </c>
      <c r="DZ37" s="663" t="s">
        <v>459</v>
      </c>
      <c r="EA37" s="664" t="s">
        <v>447</v>
      </c>
      <c r="EB37" s="663" t="s">
        <v>459</v>
      </c>
      <c r="EC37" s="664" t="s">
        <v>447</v>
      </c>
      <c r="ED37" s="663" t="s">
        <v>458</v>
      </c>
      <c r="EE37" s="664" t="s">
        <v>448</v>
      </c>
      <c r="EF37" s="663" t="s">
        <v>459</v>
      </c>
      <c r="EG37" s="664" t="s">
        <v>448</v>
      </c>
      <c r="EH37" s="663" t="s">
        <v>458</v>
      </c>
      <c r="EI37" s="664" t="s">
        <v>448</v>
      </c>
      <c r="EJ37" s="663" t="s">
        <v>459</v>
      </c>
      <c r="EK37" s="664" t="s">
        <v>447</v>
      </c>
      <c r="EL37" s="663" t="s">
        <v>458</v>
      </c>
      <c r="EM37" s="664" t="s">
        <v>448</v>
      </c>
      <c r="EN37" s="663" t="s">
        <v>458</v>
      </c>
      <c r="EO37" s="664" t="s">
        <v>448</v>
      </c>
      <c r="EP37" s="663" t="s">
        <v>459</v>
      </c>
      <c r="EQ37" s="664" t="s">
        <v>448</v>
      </c>
      <c r="ER37" s="663" t="s">
        <v>459</v>
      </c>
      <c r="ES37" s="664" t="s">
        <v>447</v>
      </c>
      <c r="ET37" s="663" t="s">
        <v>458</v>
      </c>
      <c r="EU37" s="664" t="s">
        <v>448</v>
      </c>
      <c r="EV37" s="663" t="s">
        <v>458</v>
      </c>
      <c r="EW37" s="664" t="s">
        <v>448</v>
      </c>
      <c r="EX37" s="663" t="s">
        <v>459</v>
      </c>
      <c r="EY37" s="664" t="s">
        <v>448</v>
      </c>
      <c r="EZ37" s="663" t="s">
        <v>458</v>
      </c>
      <c r="FA37" s="664" t="s">
        <v>448</v>
      </c>
      <c r="FB37" s="663" t="s">
        <v>458</v>
      </c>
      <c r="FC37" s="664" t="s">
        <v>448</v>
      </c>
      <c r="FD37" s="663" t="s">
        <v>458</v>
      </c>
      <c r="FE37" s="664" t="s">
        <v>447</v>
      </c>
      <c r="FF37" s="663" t="s">
        <v>458</v>
      </c>
      <c r="FG37" s="664" t="s">
        <v>448</v>
      </c>
      <c r="FH37" s="665" t="s">
        <v>459</v>
      </c>
      <c r="FI37" s="746"/>
      <c r="FJ37" s="827" t="s">
        <v>462</v>
      </c>
      <c r="FK37" s="854"/>
      <c r="FL37" s="855" t="s">
        <v>455</v>
      </c>
      <c r="FM37" s="856"/>
      <c r="FN37" s="857" t="s">
        <v>456</v>
      </c>
      <c r="FO37" s="858"/>
      <c r="FP37" s="672"/>
      <c r="FQ37" s="859" t="s">
        <v>463</v>
      </c>
      <c r="FR37" s="663" t="s">
        <v>458</v>
      </c>
      <c r="FS37" s="674"/>
      <c r="FT37" s="859" t="s">
        <v>463</v>
      </c>
      <c r="FU37" s="675" t="s">
        <v>458</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464</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c r="FM38" s="865"/>
      <c r="FN38" s="866">
        <v>0</v>
      </c>
      <c r="FO38" s="867"/>
      <c r="FP38" s="685"/>
      <c r="FQ38" s="686"/>
      <c r="FR38" s="559">
        <v>0</v>
      </c>
      <c r="FS38" s="687"/>
      <c r="FT38" s="686"/>
      <c r="FU38" s="567">
        <v>0</v>
      </c>
      <c r="FV38" s="593"/>
      <c r="FW38" s="594"/>
      <c r="FX38" s="806"/>
      <c r="FY38" s="596"/>
      <c r="FZ38" s="807"/>
      <c r="GA38" s="598"/>
      <c r="GB38" s="808"/>
      <c r="GC38" s="600"/>
      <c r="GD38" s="808"/>
      <c r="GE38" s="601"/>
      <c r="GF38" s="688"/>
      <c r="GG38" s="602"/>
      <c r="GH38" s="602"/>
      <c r="GI38" s="602"/>
      <c r="GJ38" s="580"/>
      <c r="GK38" s="413" t="s">
        <v>719</v>
      </c>
      <c r="GL38" s="409"/>
      <c r="GM38" s="413"/>
      <c r="GN38" s="409"/>
      <c r="GO38" s="413"/>
      <c r="GP38" s="413"/>
      <c r="GQ38" s="413"/>
      <c r="GR38" s="413"/>
      <c r="GS38" s="580"/>
      <c r="GT38" s="861"/>
      <c r="GU38" s="872" t="s">
        <v>699</v>
      </c>
      <c r="GV38" s="873"/>
      <c r="GW38" s="873"/>
      <c r="GX38" s="873"/>
      <c r="GY38" s="873"/>
      <c r="GZ38" s="874"/>
      <c r="HA38" s="633">
        <v>46.570000000000007</v>
      </c>
      <c r="HB38" s="875">
        <v>13.23</v>
      </c>
      <c r="HC38" s="530"/>
      <c r="HD38" s="530"/>
      <c r="HE38" s="387"/>
      <c r="HF38" s="387"/>
      <c r="HK38" s="415"/>
    </row>
    <row r="39" spans="1:219" ht="20.100000000000001" customHeight="1">
      <c r="A39" s="832"/>
      <c r="B39" s="876" t="s">
        <v>671</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409"/>
      <c r="GK39" s="885"/>
      <c r="GL39" s="886"/>
      <c r="GM39" s="887" t="s">
        <v>881</v>
      </c>
      <c r="GN39" s="886"/>
      <c r="GO39" s="887" t="s">
        <v>837</v>
      </c>
      <c r="GP39" s="886"/>
      <c r="GQ39" s="887" t="s">
        <v>572</v>
      </c>
      <c r="GR39" s="888"/>
      <c r="GS39" s="413"/>
      <c r="GT39" s="689"/>
      <c r="GU39" s="530" t="s">
        <v>786</v>
      </c>
      <c r="GV39" s="530"/>
      <c r="GW39" s="530"/>
      <c r="GX39" s="530"/>
      <c r="GY39" s="530"/>
      <c r="GZ39" s="530"/>
      <c r="HA39" s="690">
        <v>3.52</v>
      </c>
      <c r="HB39" s="579"/>
      <c r="HC39" s="530"/>
      <c r="HD39" s="562"/>
    </row>
    <row r="40" spans="1:219" ht="20.100000000000001" customHeight="1">
      <c r="A40" s="889"/>
      <c r="B40" s="642"/>
      <c r="C40" s="642"/>
      <c r="D40" s="643" t="s">
        <v>466</v>
      </c>
      <c r="E40" s="642"/>
      <c r="F40" s="642"/>
      <c r="G40" s="845"/>
      <c r="H40" s="1294">
        <v>0</v>
      </c>
      <c r="I40" s="1295"/>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1296">
        <v>0</v>
      </c>
      <c r="BC40" s="648"/>
      <c r="BD40" s="889"/>
      <c r="BE40" s="642"/>
      <c r="BF40" s="642"/>
      <c r="BG40" s="643" t="s">
        <v>329</v>
      </c>
      <c r="BH40" s="642"/>
      <c r="BI40" s="642"/>
      <c r="BJ40" s="845"/>
      <c r="BK40" s="1294">
        <v>0</v>
      </c>
      <c r="BL40" s="1295"/>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1296">
        <v>0</v>
      </c>
      <c r="DF40" s="648"/>
      <c r="DG40" s="889"/>
      <c r="DH40" s="642"/>
      <c r="DI40" s="642"/>
      <c r="DJ40" s="643" t="s">
        <v>329</v>
      </c>
      <c r="DK40" s="642"/>
      <c r="DL40" s="642"/>
      <c r="DM40" s="845"/>
      <c r="DN40" s="1294">
        <v>0</v>
      </c>
      <c r="DO40" s="1295"/>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1296">
        <v>0</v>
      </c>
      <c r="FI40" s="649"/>
      <c r="FJ40" s="841"/>
      <c r="FK40" s="642"/>
      <c r="FL40" s="642"/>
      <c r="FM40" s="643" t="s">
        <v>466</v>
      </c>
      <c r="FN40" s="642"/>
      <c r="FO40" s="642"/>
      <c r="FP40" s="650"/>
      <c r="FQ40" s="1295"/>
      <c r="FR40" s="1294">
        <v>0</v>
      </c>
      <c r="FS40" s="1297"/>
      <c r="FT40" s="1295"/>
      <c r="FU40" s="1298">
        <v>0</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610</v>
      </c>
      <c r="GV40" s="530"/>
      <c r="GW40" s="530"/>
      <c r="GX40" s="530"/>
      <c r="GY40" s="530"/>
      <c r="GZ40" s="530"/>
      <c r="HA40" s="894">
        <v>59.8</v>
      </c>
      <c r="HB40" s="413"/>
      <c r="HC40" s="530"/>
      <c r="HD40" s="580"/>
      <c r="HK40" s="415"/>
    </row>
    <row r="41" spans="1:219" ht="20.100000000000001" customHeight="1">
      <c r="A41" s="862" t="s">
        <v>467</v>
      </c>
      <c r="B41" s="738"/>
      <c r="C41" s="895"/>
      <c r="D41" s="895"/>
      <c r="E41" s="895"/>
      <c r="F41" s="896"/>
      <c r="G41" s="740"/>
      <c r="H41" s="663" t="s">
        <v>428</v>
      </c>
      <c r="I41" s="741"/>
      <c r="J41" s="663" t="s">
        <v>430</v>
      </c>
      <c r="K41" s="742"/>
      <c r="L41" s="663" t="s">
        <v>428</v>
      </c>
      <c r="M41" s="742"/>
      <c r="N41" s="663" t="s">
        <v>430</v>
      </c>
      <c r="O41" s="742"/>
      <c r="P41" s="663" t="s">
        <v>428</v>
      </c>
      <c r="Q41" s="742"/>
      <c r="R41" s="663" t="s">
        <v>428</v>
      </c>
      <c r="S41" s="742"/>
      <c r="T41" s="663" t="s">
        <v>430</v>
      </c>
      <c r="U41" s="742"/>
      <c r="V41" s="663" t="s">
        <v>428</v>
      </c>
      <c r="W41" s="742"/>
      <c r="X41" s="663" t="s">
        <v>428</v>
      </c>
      <c r="Y41" s="742" t="s">
        <v>448</v>
      </c>
      <c r="Z41" s="663" t="s">
        <v>428</v>
      </c>
      <c r="AA41" s="742" t="s">
        <v>448</v>
      </c>
      <c r="AB41" s="663" t="s">
        <v>428</v>
      </c>
      <c r="AC41" s="742"/>
      <c r="AD41" s="663" t="s">
        <v>428</v>
      </c>
      <c r="AE41" s="742"/>
      <c r="AF41" s="663" t="s">
        <v>430</v>
      </c>
      <c r="AG41" s="742"/>
      <c r="AH41" s="663" t="s">
        <v>428</v>
      </c>
      <c r="AI41" s="742"/>
      <c r="AJ41" s="663" t="s">
        <v>428</v>
      </c>
      <c r="AK41" s="742"/>
      <c r="AL41" s="663" t="s">
        <v>430</v>
      </c>
      <c r="AM41" s="742"/>
      <c r="AN41" s="663" t="s">
        <v>428</v>
      </c>
      <c r="AO41" s="742"/>
      <c r="AP41" s="663" t="s">
        <v>430</v>
      </c>
      <c r="AQ41" s="742"/>
      <c r="AR41" s="663" t="s">
        <v>428</v>
      </c>
      <c r="AS41" s="742"/>
      <c r="AT41" s="663" t="s">
        <v>428</v>
      </c>
      <c r="AU41" s="742"/>
      <c r="AV41" s="663" t="s">
        <v>430</v>
      </c>
      <c r="AW41" s="742"/>
      <c r="AX41" s="663" t="s">
        <v>428</v>
      </c>
      <c r="AY41" s="742"/>
      <c r="AZ41" s="663" t="s">
        <v>428</v>
      </c>
      <c r="BA41" s="742"/>
      <c r="BB41" s="665" t="s">
        <v>428</v>
      </c>
      <c r="BC41" s="723"/>
      <c r="BD41" s="862" t="s">
        <v>467</v>
      </c>
      <c r="BE41" s="738"/>
      <c r="BF41" s="895"/>
      <c r="BG41" s="895"/>
      <c r="BH41" s="895"/>
      <c r="BI41" s="896"/>
      <c r="BJ41" s="740"/>
      <c r="BK41" s="663" t="s">
        <v>428</v>
      </c>
      <c r="BL41" s="741"/>
      <c r="BM41" s="663" t="s">
        <v>428</v>
      </c>
      <c r="BN41" s="742"/>
      <c r="BO41" s="663" t="s">
        <v>430</v>
      </c>
      <c r="BP41" s="742"/>
      <c r="BQ41" s="663" t="s">
        <v>428</v>
      </c>
      <c r="BR41" s="742"/>
      <c r="BS41" s="663" t="s">
        <v>430</v>
      </c>
      <c r="BT41" s="742"/>
      <c r="BU41" s="663" t="s">
        <v>428</v>
      </c>
      <c r="BV41" s="742"/>
      <c r="BW41" s="663" t="s">
        <v>428</v>
      </c>
      <c r="BX41" s="742"/>
      <c r="BY41" s="663" t="s">
        <v>430</v>
      </c>
      <c r="BZ41" s="742"/>
      <c r="CA41" s="663" t="s">
        <v>428</v>
      </c>
      <c r="CB41" s="742" t="s">
        <v>447</v>
      </c>
      <c r="CC41" s="663" t="s">
        <v>428</v>
      </c>
      <c r="CD41" s="742" t="s">
        <v>448</v>
      </c>
      <c r="CE41" s="663" t="s">
        <v>430</v>
      </c>
      <c r="CF41" s="742"/>
      <c r="CG41" s="663" t="s">
        <v>428</v>
      </c>
      <c r="CH41" s="742"/>
      <c r="CI41" s="663" t="s">
        <v>430</v>
      </c>
      <c r="CJ41" s="742"/>
      <c r="CK41" s="663" t="s">
        <v>428</v>
      </c>
      <c r="CL41" s="742"/>
      <c r="CM41" s="663" t="s">
        <v>428</v>
      </c>
      <c r="CN41" s="742"/>
      <c r="CO41" s="663" t="s">
        <v>428</v>
      </c>
      <c r="CP41" s="742"/>
      <c r="CQ41" s="663" t="s">
        <v>430</v>
      </c>
      <c r="CR41" s="742"/>
      <c r="CS41" s="663" t="s">
        <v>428</v>
      </c>
      <c r="CT41" s="742"/>
      <c r="CU41" s="663" t="s">
        <v>430</v>
      </c>
      <c r="CV41" s="742"/>
      <c r="CW41" s="663" t="s">
        <v>428</v>
      </c>
      <c r="CX41" s="742"/>
      <c r="CY41" s="663" t="s">
        <v>428</v>
      </c>
      <c r="CZ41" s="742"/>
      <c r="DA41" s="663" t="s">
        <v>430</v>
      </c>
      <c r="DB41" s="742"/>
      <c r="DC41" s="663" t="s">
        <v>428</v>
      </c>
      <c r="DD41" s="742"/>
      <c r="DE41" s="665" t="s">
        <v>428</v>
      </c>
      <c r="DF41" s="723"/>
      <c r="DG41" s="862" t="s">
        <v>467</v>
      </c>
      <c r="DH41" s="738"/>
      <c r="DI41" s="895"/>
      <c r="DJ41" s="895"/>
      <c r="DK41" s="895"/>
      <c r="DL41" s="896"/>
      <c r="DM41" s="740"/>
      <c r="DN41" s="663" t="s">
        <v>430</v>
      </c>
      <c r="DO41" s="741"/>
      <c r="DP41" s="663" t="s">
        <v>428</v>
      </c>
      <c r="DQ41" s="742"/>
      <c r="DR41" s="663" t="s">
        <v>428</v>
      </c>
      <c r="DS41" s="742"/>
      <c r="DT41" s="663" t="s">
        <v>430</v>
      </c>
      <c r="DU41" s="742"/>
      <c r="DV41" s="663" t="s">
        <v>428</v>
      </c>
      <c r="DW41" s="742"/>
      <c r="DX41" s="663" t="s">
        <v>430</v>
      </c>
      <c r="DY41" s="742"/>
      <c r="DZ41" s="663" t="s">
        <v>428</v>
      </c>
      <c r="EA41" s="742"/>
      <c r="EB41" s="663" t="s">
        <v>428</v>
      </c>
      <c r="EC41" s="742"/>
      <c r="ED41" s="663" t="s">
        <v>430</v>
      </c>
      <c r="EE41" s="742" t="s">
        <v>447</v>
      </c>
      <c r="EF41" s="663" t="s">
        <v>430</v>
      </c>
      <c r="EG41" s="742" t="s">
        <v>448</v>
      </c>
      <c r="EH41" s="663" t="s">
        <v>430</v>
      </c>
      <c r="EI41" s="742"/>
      <c r="EJ41" s="663" t="s">
        <v>428</v>
      </c>
      <c r="EK41" s="742"/>
      <c r="EL41" s="663" t="s">
        <v>428</v>
      </c>
      <c r="EM41" s="742"/>
      <c r="EN41" s="663" t="s">
        <v>430</v>
      </c>
      <c r="EO41" s="742"/>
      <c r="EP41" s="663" t="s">
        <v>428</v>
      </c>
      <c r="EQ41" s="742"/>
      <c r="ER41" s="663" t="s">
        <v>428</v>
      </c>
      <c r="ES41" s="742"/>
      <c r="ET41" s="663" t="s">
        <v>428</v>
      </c>
      <c r="EU41" s="742"/>
      <c r="EV41" s="663" t="s">
        <v>430</v>
      </c>
      <c r="EW41" s="742"/>
      <c r="EX41" s="663" t="s">
        <v>428</v>
      </c>
      <c r="EY41" s="742"/>
      <c r="EZ41" s="663" t="s">
        <v>430</v>
      </c>
      <c r="FA41" s="742"/>
      <c r="FB41" s="663" t="s">
        <v>428</v>
      </c>
      <c r="FC41" s="742"/>
      <c r="FD41" s="663" t="s">
        <v>428</v>
      </c>
      <c r="FE41" s="742"/>
      <c r="FF41" s="663" t="s">
        <v>430</v>
      </c>
      <c r="FG41" s="742"/>
      <c r="FH41" s="665" t="s">
        <v>428</v>
      </c>
      <c r="FI41" s="746"/>
      <c r="FJ41" s="827" t="s">
        <v>467</v>
      </c>
      <c r="FK41" s="743"/>
      <c r="FL41" s="897"/>
      <c r="FM41" s="897"/>
      <c r="FN41" s="897"/>
      <c r="FO41" s="898"/>
      <c r="FP41" s="747"/>
      <c r="FQ41" s="673"/>
      <c r="FR41" s="663" t="s">
        <v>451</v>
      </c>
      <c r="FS41" s="748"/>
      <c r="FT41" s="673"/>
      <c r="FU41" s="675" t="s">
        <v>451</v>
      </c>
      <c r="FV41" s="593"/>
      <c r="FW41" s="594"/>
      <c r="FX41" s="806"/>
      <c r="FY41" s="596"/>
      <c r="FZ41" s="807"/>
      <c r="GA41" s="598"/>
      <c r="GB41" s="808"/>
      <c r="GC41" s="600"/>
      <c r="GD41" s="808"/>
      <c r="GE41" s="601"/>
      <c r="GF41" s="749"/>
      <c r="GG41" s="750"/>
      <c r="GH41" s="750"/>
      <c r="GI41" s="750"/>
      <c r="GJ41" s="580"/>
      <c r="GK41" s="899" t="s">
        <v>574</v>
      </c>
      <c r="GL41" s="900"/>
      <c r="GM41" s="901" t="s">
        <v>838</v>
      </c>
      <c r="GN41" s="901"/>
      <c r="GO41" s="901" t="s">
        <v>576</v>
      </c>
      <c r="GP41" s="901"/>
      <c r="GQ41" s="901"/>
      <c r="GR41" s="902"/>
      <c r="GS41" s="861"/>
      <c r="GT41" s="689"/>
      <c r="GU41" s="530" t="s">
        <v>928</v>
      </c>
      <c r="GV41" s="530"/>
      <c r="GW41" s="530"/>
      <c r="GX41" s="530"/>
      <c r="GY41" s="530"/>
      <c r="GZ41" s="530"/>
      <c r="HA41" s="894">
        <v>39.299999999999997</v>
      </c>
      <c r="HB41" s="413"/>
      <c r="HC41" s="530"/>
      <c r="HD41" s="409"/>
    </row>
    <row r="42" spans="1:219" ht="20.100000000000001" customHeight="1">
      <c r="A42" s="832"/>
      <c r="B42" s="903" t="s">
        <v>469</v>
      </c>
      <c r="C42" s="904"/>
      <c r="D42" s="904"/>
      <c r="E42" s="905"/>
      <c r="F42" s="906"/>
      <c r="G42" s="836"/>
      <c r="H42" s="837"/>
      <c r="I42" s="838"/>
      <c r="J42" s="799"/>
      <c r="K42" s="839"/>
      <c r="L42" s="799"/>
      <c r="M42" s="839"/>
      <c r="N42" s="799"/>
      <c r="O42" s="839"/>
      <c r="P42" s="799"/>
      <c r="Q42" s="839"/>
      <c r="R42" s="799"/>
      <c r="S42" s="839"/>
      <c r="T42" s="799"/>
      <c r="U42" s="839"/>
      <c r="V42" s="799"/>
      <c r="W42" s="839"/>
      <c r="X42" s="799">
        <v>225</v>
      </c>
      <c r="Y42" s="839"/>
      <c r="Z42" s="799">
        <v>148</v>
      </c>
      <c r="AA42" s="839"/>
      <c r="AB42" s="799">
        <v>144</v>
      </c>
      <c r="AC42" s="839"/>
      <c r="AD42" s="799">
        <v>140</v>
      </c>
      <c r="AE42" s="839"/>
      <c r="AF42" s="799">
        <v>136</v>
      </c>
      <c r="AG42" s="839"/>
      <c r="AH42" s="799">
        <v>132</v>
      </c>
      <c r="AI42" s="839"/>
      <c r="AJ42" s="799">
        <v>130</v>
      </c>
      <c r="AK42" s="839"/>
      <c r="AL42" s="799">
        <v>127</v>
      </c>
      <c r="AM42" s="839"/>
      <c r="AN42" s="799">
        <v>123</v>
      </c>
      <c r="AO42" s="839"/>
      <c r="AP42" s="799">
        <v>122</v>
      </c>
      <c r="AQ42" s="839"/>
      <c r="AR42" s="799"/>
      <c r="AS42" s="839"/>
      <c r="AT42" s="799"/>
      <c r="AU42" s="839"/>
      <c r="AV42" s="799"/>
      <c r="AW42" s="839"/>
      <c r="AX42" s="799"/>
      <c r="AY42" s="839"/>
      <c r="AZ42" s="799"/>
      <c r="BA42" s="839"/>
      <c r="BB42" s="840"/>
      <c r="BC42" s="562"/>
      <c r="BD42" s="832"/>
      <c r="BE42" s="907" t="s">
        <v>469</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225</v>
      </c>
      <c r="CB42" s="839"/>
      <c r="CC42" s="799">
        <v>148</v>
      </c>
      <c r="CD42" s="839"/>
      <c r="CE42" s="799">
        <v>144</v>
      </c>
      <c r="CF42" s="839"/>
      <c r="CG42" s="799">
        <v>140</v>
      </c>
      <c r="CH42" s="839"/>
      <c r="CI42" s="799">
        <v>136</v>
      </c>
      <c r="CJ42" s="839"/>
      <c r="CK42" s="799">
        <v>132</v>
      </c>
      <c r="CL42" s="839"/>
      <c r="CM42" s="799">
        <v>130</v>
      </c>
      <c r="CN42" s="839"/>
      <c r="CO42" s="799">
        <v>127</v>
      </c>
      <c r="CP42" s="839"/>
      <c r="CQ42" s="799">
        <v>123</v>
      </c>
      <c r="CR42" s="839"/>
      <c r="CS42" s="799">
        <v>122</v>
      </c>
      <c r="CT42" s="839"/>
      <c r="CU42" s="799"/>
      <c r="CV42" s="839"/>
      <c r="CW42" s="799"/>
      <c r="CX42" s="839"/>
      <c r="CY42" s="799"/>
      <c r="CZ42" s="839"/>
      <c r="DA42" s="799"/>
      <c r="DB42" s="839"/>
      <c r="DC42" s="799"/>
      <c r="DD42" s="839"/>
      <c r="DE42" s="840"/>
      <c r="DF42" s="562"/>
      <c r="DG42" s="832"/>
      <c r="DH42" s="907" t="s">
        <v>470</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225</v>
      </c>
      <c r="EE42" s="839"/>
      <c r="EF42" s="799">
        <v>148</v>
      </c>
      <c r="EG42" s="839"/>
      <c r="EH42" s="799">
        <v>144</v>
      </c>
      <c r="EI42" s="839"/>
      <c r="EJ42" s="799">
        <v>140</v>
      </c>
      <c r="EK42" s="839"/>
      <c r="EL42" s="799">
        <v>136</v>
      </c>
      <c r="EM42" s="839"/>
      <c r="EN42" s="799">
        <v>132</v>
      </c>
      <c r="EO42" s="839"/>
      <c r="EP42" s="799">
        <v>130</v>
      </c>
      <c r="EQ42" s="839"/>
      <c r="ER42" s="799">
        <v>127</v>
      </c>
      <c r="ES42" s="839"/>
      <c r="ET42" s="799">
        <v>123</v>
      </c>
      <c r="EU42" s="839"/>
      <c r="EV42" s="799">
        <v>122</v>
      </c>
      <c r="EW42" s="839"/>
      <c r="EX42" s="799"/>
      <c r="EY42" s="839"/>
      <c r="EZ42" s="799"/>
      <c r="FA42" s="839"/>
      <c r="FB42" s="799"/>
      <c r="FC42" s="839"/>
      <c r="FD42" s="799"/>
      <c r="FE42" s="839"/>
      <c r="FF42" s="799"/>
      <c r="FG42" s="839"/>
      <c r="FH42" s="840"/>
      <c r="FI42" s="563"/>
      <c r="FJ42" s="841"/>
      <c r="FK42" s="907" t="s">
        <v>470</v>
      </c>
      <c r="FL42" s="904"/>
      <c r="FM42" s="904"/>
      <c r="FN42" s="905"/>
      <c r="FO42" s="906"/>
      <c r="FP42" s="842"/>
      <c r="FQ42" s="838"/>
      <c r="FR42" s="837">
        <v>787</v>
      </c>
      <c r="FS42" s="843"/>
      <c r="FT42" s="838"/>
      <c r="FU42" s="805">
        <v>787</v>
      </c>
      <c r="FV42" s="593"/>
      <c r="FW42" s="594"/>
      <c r="FX42" s="806"/>
      <c r="FY42" s="596"/>
      <c r="FZ42" s="807"/>
      <c r="GA42" s="598"/>
      <c r="GB42" s="808"/>
      <c r="GC42" s="600"/>
      <c r="GD42" s="808"/>
      <c r="GE42" s="601"/>
      <c r="GF42" s="844"/>
      <c r="GG42" s="602"/>
      <c r="GH42" s="602"/>
      <c r="GI42" s="602"/>
      <c r="GJ42" s="409"/>
      <c r="GK42" s="908"/>
      <c r="GL42" s="909"/>
      <c r="GM42" s="910">
        <v>7</v>
      </c>
      <c r="GN42" s="910"/>
      <c r="GO42" s="910">
        <v>10</v>
      </c>
      <c r="GP42" s="910"/>
      <c r="GQ42" s="910">
        <v>17</v>
      </c>
      <c r="GR42" s="911"/>
      <c r="GS42" s="580"/>
      <c r="GT42" s="500"/>
      <c r="GU42" s="500"/>
      <c r="GV42" s="500"/>
      <c r="GW42" s="579"/>
      <c r="GX42" s="579"/>
      <c r="GY42" s="579"/>
      <c r="GZ42" s="578"/>
      <c r="HA42" s="500"/>
      <c r="HB42" s="500"/>
      <c r="HC42" s="530"/>
      <c r="HD42" s="530"/>
    </row>
    <row r="43" spans="1:219" ht="20.100000000000001" customHeight="1">
      <c r="A43" s="832"/>
      <c r="B43" s="912" t="s">
        <v>471</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471</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471</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471</v>
      </c>
      <c r="FL43" s="913"/>
      <c r="FM43" s="913"/>
      <c r="FN43" s="913"/>
      <c r="FO43" s="914"/>
      <c r="FP43" s="696"/>
      <c r="FQ43" s="697"/>
      <c r="FR43" s="587">
        <v>0</v>
      </c>
      <c r="FS43" s="698"/>
      <c r="FT43" s="697"/>
      <c r="FU43" s="592">
        <v>0</v>
      </c>
      <c r="FV43" s="918"/>
      <c r="FW43" s="919"/>
      <c r="FX43" s="920"/>
      <c r="FY43" s="921"/>
      <c r="FZ43" s="922"/>
      <c r="GA43" s="923"/>
      <c r="GB43" s="924"/>
      <c r="GC43" s="925"/>
      <c r="GD43" s="924"/>
      <c r="GE43" s="926"/>
      <c r="GF43" s="688"/>
      <c r="GG43" s="602"/>
      <c r="GH43" s="602"/>
      <c r="GI43" s="602"/>
      <c r="GJ43" s="927"/>
      <c r="GK43" s="928" t="s">
        <v>721</v>
      </c>
      <c r="GL43" s="929"/>
      <c r="GM43" s="930" t="s">
        <v>839</v>
      </c>
      <c r="GN43" s="930"/>
      <c r="GO43" s="930" t="s">
        <v>578</v>
      </c>
      <c r="GP43" s="930"/>
      <c r="GQ43" s="930"/>
      <c r="GR43" s="931"/>
      <c r="GS43" s="580"/>
      <c r="GT43" s="609"/>
      <c r="GU43" s="530" t="s">
        <v>545</v>
      </c>
      <c r="GV43" s="413"/>
      <c r="GW43" s="409"/>
      <c r="GX43" s="413"/>
      <c r="GY43" s="413"/>
      <c r="GZ43" s="413"/>
      <c r="HA43" s="409"/>
      <c r="HB43" s="413"/>
      <c r="HC43" s="932"/>
      <c r="HD43" s="415"/>
    </row>
    <row r="44" spans="1:219" ht="20.100000000000001" customHeight="1" thickBot="1">
      <c r="A44" s="933"/>
      <c r="B44" s="642"/>
      <c r="C44" s="642"/>
      <c r="D44" s="643" t="s">
        <v>672</v>
      </c>
      <c r="E44" s="642"/>
      <c r="F44" s="642"/>
      <c r="G44" s="845"/>
      <c r="H44" s="1294">
        <v>0</v>
      </c>
      <c r="I44" s="1295"/>
      <c r="J44" s="848">
        <v>0</v>
      </c>
      <c r="K44" s="849"/>
      <c r="L44" s="848">
        <v>0</v>
      </c>
      <c r="M44" s="849"/>
      <c r="N44" s="848">
        <v>0</v>
      </c>
      <c r="O44" s="849"/>
      <c r="P44" s="848">
        <v>0</v>
      </c>
      <c r="Q44" s="849"/>
      <c r="R44" s="848">
        <v>0</v>
      </c>
      <c r="S44" s="849"/>
      <c r="T44" s="848">
        <v>0</v>
      </c>
      <c r="U44" s="849"/>
      <c r="V44" s="848">
        <v>0</v>
      </c>
      <c r="W44" s="849"/>
      <c r="X44" s="848">
        <v>225</v>
      </c>
      <c r="Y44" s="849"/>
      <c r="Z44" s="848">
        <v>148</v>
      </c>
      <c r="AA44" s="849"/>
      <c r="AB44" s="848">
        <v>144</v>
      </c>
      <c r="AC44" s="849"/>
      <c r="AD44" s="848">
        <v>140</v>
      </c>
      <c r="AE44" s="849"/>
      <c r="AF44" s="848">
        <v>136</v>
      </c>
      <c r="AG44" s="849"/>
      <c r="AH44" s="848">
        <v>132</v>
      </c>
      <c r="AI44" s="849"/>
      <c r="AJ44" s="848">
        <v>130</v>
      </c>
      <c r="AK44" s="849"/>
      <c r="AL44" s="848">
        <v>127</v>
      </c>
      <c r="AM44" s="849"/>
      <c r="AN44" s="848">
        <v>123</v>
      </c>
      <c r="AO44" s="849"/>
      <c r="AP44" s="848">
        <v>122</v>
      </c>
      <c r="AQ44" s="849"/>
      <c r="AR44" s="848">
        <v>0</v>
      </c>
      <c r="AS44" s="849"/>
      <c r="AT44" s="848">
        <v>0</v>
      </c>
      <c r="AU44" s="849"/>
      <c r="AV44" s="848">
        <v>0</v>
      </c>
      <c r="AW44" s="849"/>
      <c r="AX44" s="848">
        <v>0</v>
      </c>
      <c r="AY44" s="849"/>
      <c r="AZ44" s="848">
        <v>0</v>
      </c>
      <c r="BA44" s="849"/>
      <c r="BB44" s="1296">
        <v>0</v>
      </c>
      <c r="BC44" s="648"/>
      <c r="BD44" s="933"/>
      <c r="BE44" s="642"/>
      <c r="BF44" s="642"/>
      <c r="BG44" s="643" t="s">
        <v>330</v>
      </c>
      <c r="BH44" s="642"/>
      <c r="BI44" s="642"/>
      <c r="BJ44" s="845"/>
      <c r="BK44" s="1294">
        <v>0</v>
      </c>
      <c r="BL44" s="1295"/>
      <c r="BM44" s="848">
        <v>0</v>
      </c>
      <c r="BN44" s="849"/>
      <c r="BO44" s="848">
        <v>0</v>
      </c>
      <c r="BP44" s="849"/>
      <c r="BQ44" s="848">
        <v>0</v>
      </c>
      <c r="BR44" s="849"/>
      <c r="BS44" s="848">
        <v>0</v>
      </c>
      <c r="BT44" s="849"/>
      <c r="BU44" s="848">
        <v>0</v>
      </c>
      <c r="BV44" s="849"/>
      <c r="BW44" s="848">
        <v>0</v>
      </c>
      <c r="BX44" s="849"/>
      <c r="BY44" s="848">
        <v>0</v>
      </c>
      <c r="BZ44" s="849"/>
      <c r="CA44" s="848">
        <v>225</v>
      </c>
      <c r="CB44" s="849"/>
      <c r="CC44" s="848">
        <v>148</v>
      </c>
      <c r="CD44" s="849"/>
      <c r="CE44" s="848">
        <v>144</v>
      </c>
      <c r="CF44" s="849"/>
      <c r="CG44" s="848">
        <v>140</v>
      </c>
      <c r="CH44" s="849"/>
      <c r="CI44" s="848">
        <v>136</v>
      </c>
      <c r="CJ44" s="849"/>
      <c r="CK44" s="848">
        <v>132</v>
      </c>
      <c r="CL44" s="849"/>
      <c r="CM44" s="848">
        <v>130</v>
      </c>
      <c r="CN44" s="849"/>
      <c r="CO44" s="848">
        <v>127</v>
      </c>
      <c r="CP44" s="849"/>
      <c r="CQ44" s="848">
        <v>123</v>
      </c>
      <c r="CR44" s="849"/>
      <c r="CS44" s="848">
        <v>122</v>
      </c>
      <c r="CT44" s="849"/>
      <c r="CU44" s="848">
        <v>0</v>
      </c>
      <c r="CV44" s="849"/>
      <c r="CW44" s="848">
        <v>0</v>
      </c>
      <c r="CX44" s="849"/>
      <c r="CY44" s="848">
        <v>0</v>
      </c>
      <c r="CZ44" s="849"/>
      <c r="DA44" s="848">
        <v>0</v>
      </c>
      <c r="DB44" s="849"/>
      <c r="DC44" s="848">
        <v>0</v>
      </c>
      <c r="DD44" s="849"/>
      <c r="DE44" s="1296">
        <v>0</v>
      </c>
      <c r="DF44" s="648"/>
      <c r="DG44" s="933"/>
      <c r="DH44" s="642"/>
      <c r="DI44" s="642"/>
      <c r="DJ44" s="643" t="s">
        <v>330</v>
      </c>
      <c r="DK44" s="642"/>
      <c r="DL44" s="642"/>
      <c r="DM44" s="845"/>
      <c r="DN44" s="1294">
        <v>0</v>
      </c>
      <c r="DO44" s="1295"/>
      <c r="DP44" s="848">
        <v>0</v>
      </c>
      <c r="DQ44" s="849"/>
      <c r="DR44" s="848">
        <v>0</v>
      </c>
      <c r="DS44" s="849"/>
      <c r="DT44" s="848">
        <v>0</v>
      </c>
      <c r="DU44" s="849"/>
      <c r="DV44" s="848">
        <v>0</v>
      </c>
      <c r="DW44" s="849"/>
      <c r="DX44" s="848">
        <v>0</v>
      </c>
      <c r="DY44" s="849"/>
      <c r="DZ44" s="848">
        <v>0</v>
      </c>
      <c r="EA44" s="849"/>
      <c r="EB44" s="848">
        <v>0</v>
      </c>
      <c r="EC44" s="849"/>
      <c r="ED44" s="848">
        <v>225</v>
      </c>
      <c r="EE44" s="849"/>
      <c r="EF44" s="848">
        <v>148</v>
      </c>
      <c r="EG44" s="849"/>
      <c r="EH44" s="848">
        <v>144</v>
      </c>
      <c r="EI44" s="849"/>
      <c r="EJ44" s="848">
        <v>140</v>
      </c>
      <c r="EK44" s="849"/>
      <c r="EL44" s="848">
        <v>136</v>
      </c>
      <c r="EM44" s="849"/>
      <c r="EN44" s="848">
        <v>132</v>
      </c>
      <c r="EO44" s="849"/>
      <c r="EP44" s="848">
        <v>130</v>
      </c>
      <c r="EQ44" s="849"/>
      <c r="ER44" s="848">
        <v>127</v>
      </c>
      <c r="ES44" s="849"/>
      <c r="ET44" s="848">
        <v>123</v>
      </c>
      <c r="EU44" s="849"/>
      <c r="EV44" s="848">
        <v>122</v>
      </c>
      <c r="EW44" s="849"/>
      <c r="EX44" s="848">
        <v>0</v>
      </c>
      <c r="EY44" s="849"/>
      <c r="EZ44" s="848">
        <v>0</v>
      </c>
      <c r="FA44" s="849"/>
      <c r="FB44" s="848">
        <v>0</v>
      </c>
      <c r="FC44" s="849"/>
      <c r="FD44" s="848">
        <v>0</v>
      </c>
      <c r="FE44" s="849"/>
      <c r="FF44" s="848">
        <v>0</v>
      </c>
      <c r="FG44" s="849"/>
      <c r="FH44" s="1296">
        <v>0</v>
      </c>
      <c r="FI44" s="649"/>
      <c r="FJ44" s="934"/>
      <c r="FK44" s="642"/>
      <c r="FL44" s="642"/>
      <c r="FM44" s="643" t="s">
        <v>672</v>
      </c>
      <c r="FN44" s="642"/>
      <c r="FO44" s="642"/>
      <c r="FP44" s="650"/>
      <c r="FQ44" s="1295"/>
      <c r="FR44" s="1294">
        <v>787</v>
      </c>
      <c r="FS44" s="1297"/>
      <c r="FT44" s="1295"/>
      <c r="FU44" s="1298">
        <v>787</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4.5999999999999996</v>
      </c>
      <c r="GN44" s="935"/>
      <c r="GO44" s="935">
        <v>7</v>
      </c>
      <c r="GP44" s="935"/>
      <c r="GQ44" s="910">
        <v>11.6</v>
      </c>
      <c r="GR44" s="911"/>
      <c r="GS44" s="936"/>
      <c r="GT44" s="937"/>
      <c r="GU44" s="530" t="s">
        <v>925</v>
      </c>
      <c r="GV44" s="615"/>
      <c r="GW44" s="615"/>
      <c r="GX44" s="615"/>
      <c r="GY44" s="413"/>
      <c r="GZ44" s="413"/>
      <c r="HA44" s="751">
        <v>1.5</v>
      </c>
      <c r="HB44" s="413" t="s">
        <v>550</v>
      </c>
      <c r="HC44" s="938"/>
      <c r="HD44" s="415"/>
    </row>
    <row r="45" spans="1:219" ht="20.100000000000001" customHeight="1" thickTop="1">
      <c r="A45" s="939" t="s">
        <v>476</v>
      </c>
      <c r="B45" s="940"/>
      <c r="C45" s="940"/>
      <c r="D45" s="940"/>
      <c r="E45" s="940"/>
      <c r="F45" s="941"/>
      <c r="G45" s="942"/>
      <c r="H45" s="943">
        <v>0</v>
      </c>
      <c r="I45" s="944"/>
      <c r="J45" s="943">
        <v>0</v>
      </c>
      <c r="K45" s="944"/>
      <c r="L45" s="943">
        <v>0</v>
      </c>
      <c r="M45" s="944"/>
      <c r="N45" s="943">
        <v>0</v>
      </c>
      <c r="O45" s="944"/>
      <c r="P45" s="943">
        <v>0</v>
      </c>
      <c r="Q45" s="944"/>
      <c r="R45" s="943">
        <v>0</v>
      </c>
      <c r="S45" s="944"/>
      <c r="T45" s="943">
        <v>0</v>
      </c>
      <c r="U45" s="944"/>
      <c r="V45" s="943">
        <v>0</v>
      </c>
      <c r="W45" s="944"/>
      <c r="X45" s="943">
        <v>738</v>
      </c>
      <c r="Y45" s="944"/>
      <c r="Z45" s="943">
        <v>729</v>
      </c>
      <c r="AA45" s="944"/>
      <c r="AB45" s="943">
        <v>775</v>
      </c>
      <c r="AC45" s="944"/>
      <c r="AD45" s="943">
        <v>788</v>
      </c>
      <c r="AE45" s="944"/>
      <c r="AF45" s="943">
        <v>787</v>
      </c>
      <c r="AG45" s="944"/>
      <c r="AH45" s="943">
        <v>776</v>
      </c>
      <c r="AI45" s="944"/>
      <c r="AJ45" s="943">
        <v>752</v>
      </c>
      <c r="AK45" s="944"/>
      <c r="AL45" s="943">
        <v>733</v>
      </c>
      <c r="AM45" s="944"/>
      <c r="AN45" s="943">
        <v>758</v>
      </c>
      <c r="AO45" s="944"/>
      <c r="AP45" s="943">
        <v>723</v>
      </c>
      <c r="AQ45" s="944"/>
      <c r="AR45" s="943">
        <v>0</v>
      </c>
      <c r="AS45" s="944"/>
      <c r="AT45" s="943">
        <v>0</v>
      </c>
      <c r="AU45" s="944"/>
      <c r="AV45" s="943">
        <v>0</v>
      </c>
      <c r="AW45" s="944"/>
      <c r="AX45" s="943">
        <v>0</v>
      </c>
      <c r="AY45" s="944"/>
      <c r="AZ45" s="943">
        <v>0</v>
      </c>
      <c r="BA45" s="944"/>
      <c r="BB45" s="945">
        <v>0</v>
      </c>
      <c r="BC45" s="648"/>
      <c r="BD45" s="939" t="s">
        <v>476</v>
      </c>
      <c r="BE45" s="940"/>
      <c r="BF45" s="940"/>
      <c r="BG45" s="940"/>
      <c r="BH45" s="940"/>
      <c r="BI45" s="941"/>
      <c r="BJ45" s="942"/>
      <c r="BK45" s="943">
        <v>0</v>
      </c>
      <c r="BL45" s="944"/>
      <c r="BM45" s="943">
        <v>0</v>
      </c>
      <c r="BN45" s="944"/>
      <c r="BO45" s="943">
        <v>0</v>
      </c>
      <c r="BP45" s="944"/>
      <c r="BQ45" s="943">
        <v>0</v>
      </c>
      <c r="BR45" s="944"/>
      <c r="BS45" s="943">
        <v>0</v>
      </c>
      <c r="BT45" s="944"/>
      <c r="BU45" s="943">
        <v>0</v>
      </c>
      <c r="BV45" s="944"/>
      <c r="BW45" s="943">
        <v>0</v>
      </c>
      <c r="BX45" s="944"/>
      <c r="BY45" s="943">
        <v>0</v>
      </c>
      <c r="BZ45" s="944"/>
      <c r="CA45" s="943">
        <v>805</v>
      </c>
      <c r="CB45" s="944"/>
      <c r="CC45" s="943">
        <v>794</v>
      </c>
      <c r="CD45" s="944"/>
      <c r="CE45" s="943">
        <v>831</v>
      </c>
      <c r="CF45" s="944"/>
      <c r="CG45" s="943">
        <v>827</v>
      </c>
      <c r="CH45" s="944"/>
      <c r="CI45" s="943">
        <v>802</v>
      </c>
      <c r="CJ45" s="944"/>
      <c r="CK45" s="943">
        <v>769</v>
      </c>
      <c r="CL45" s="944"/>
      <c r="CM45" s="943">
        <v>743</v>
      </c>
      <c r="CN45" s="944"/>
      <c r="CO45" s="943">
        <v>713</v>
      </c>
      <c r="CP45" s="944"/>
      <c r="CQ45" s="943">
        <v>753</v>
      </c>
      <c r="CR45" s="944"/>
      <c r="CS45" s="943">
        <v>713</v>
      </c>
      <c r="CT45" s="944"/>
      <c r="CU45" s="943">
        <v>0</v>
      </c>
      <c r="CV45" s="944"/>
      <c r="CW45" s="943">
        <v>0</v>
      </c>
      <c r="CX45" s="944"/>
      <c r="CY45" s="943">
        <v>0</v>
      </c>
      <c r="CZ45" s="944"/>
      <c r="DA45" s="943">
        <v>0</v>
      </c>
      <c r="DB45" s="944"/>
      <c r="DC45" s="943">
        <v>0</v>
      </c>
      <c r="DD45" s="944"/>
      <c r="DE45" s="945">
        <v>0</v>
      </c>
      <c r="DF45" s="648"/>
      <c r="DG45" s="939" t="s">
        <v>673</v>
      </c>
      <c r="DH45" s="940"/>
      <c r="DI45" s="940"/>
      <c r="DJ45" s="940"/>
      <c r="DK45" s="940"/>
      <c r="DL45" s="941"/>
      <c r="DM45" s="942"/>
      <c r="DN45" s="943">
        <v>0</v>
      </c>
      <c r="DO45" s="944"/>
      <c r="DP45" s="943">
        <v>0</v>
      </c>
      <c r="DQ45" s="944"/>
      <c r="DR45" s="943">
        <v>0</v>
      </c>
      <c r="DS45" s="944"/>
      <c r="DT45" s="943">
        <v>0</v>
      </c>
      <c r="DU45" s="944"/>
      <c r="DV45" s="943">
        <v>0</v>
      </c>
      <c r="DW45" s="944"/>
      <c r="DX45" s="943">
        <v>0</v>
      </c>
      <c r="DY45" s="944"/>
      <c r="DZ45" s="943">
        <v>0</v>
      </c>
      <c r="EA45" s="944"/>
      <c r="EB45" s="943">
        <v>0</v>
      </c>
      <c r="EC45" s="944"/>
      <c r="ED45" s="943">
        <v>703</v>
      </c>
      <c r="EE45" s="944"/>
      <c r="EF45" s="943">
        <v>705</v>
      </c>
      <c r="EG45" s="944"/>
      <c r="EH45" s="943">
        <v>747</v>
      </c>
      <c r="EI45" s="944"/>
      <c r="EJ45" s="943">
        <v>750</v>
      </c>
      <c r="EK45" s="944"/>
      <c r="EL45" s="943">
        <v>722</v>
      </c>
      <c r="EM45" s="944"/>
      <c r="EN45" s="943">
        <v>684</v>
      </c>
      <c r="EO45" s="944"/>
      <c r="EP45" s="943">
        <v>657</v>
      </c>
      <c r="EQ45" s="944"/>
      <c r="ER45" s="943">
        <v>634</v>
      </c>
      <c r="ES45" s="944"/>
      <c r="ET45" s="943">
        <v>658</v>
      </c>
      <c r="EU45" s="944"/>
      <c r="EV45" s="943">
        <v>613</v>
      </c>
      <c r="EW45" s="944"/>
      <c r="EX45" s="943">
        <v>0</v>
      </c>
      <c r="EY45" s="944"/>
      <c r="EZ45" s="943">
        <v>0</v>
      </c>
      <c r="FA45" s="944"/>
      <c r="FB45" s="943">
        <v>0</v>
      </c>
      <c r="FC45" s="944"/>
      <c r="FD45" s="943">
        <v>0</v>
      </c>
      <c r="FE45" s="944"/>
      <c r="FF45" s="943">
        <v>0</v>
      </c>
      <c r="FG45" s="944"/>
      <c r="FH45" s="945">
        <v>0</v>
      </c>
      <c r="FI45" s="648"/>
      <c r="FJ45" s="939" t="s">
        <v>476</v>
      </c>
      <c r="FK45" s="940"/>
      <c r="FL45" s="940"/>
      <c r="FM45" s="940"/>
      <c r="FN45" s="940"/>
      <c r="FO45" s="941"/>
      <c r="FP45" s="946"/>
      <c r="FQ45" s="947"/>
      <c r="FR45" s="943">
        <v>1577</v>
      </c>
      <c r="FS45" s="948"/>
      <c r="FT45" s="947"/>
      <c r="FU45" s="949">
        <v>1599</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724</v>
      </c>
      <c r="GV45" s="413"/>
      <c r="GW45" s="413"/>
      <c r="GX45" s="413"/>
      <c r="GY45" s="530"/>
      <c r="GZ45" s="733"/>
      <c r="HA45" s="751">
        <v>19</v>
      </c>
      <c r="HB45" s="413" t="s">
        <v>707</v>
      </c>
      <c r="HC45" s="938"/>
      <c r="HD45" s="415"/>
    </row>
    <row r="46" spans="1:219" ht="20.100000000000001" customHeight="1">
      <c r="A46" s="954" t="s">
        <v>336</v>
      </c>
      <c r="B46" s="955"/>
      <c r="C46" s="955"/>
      <c r="D46" s="955"/>
      <c r="E46" s="955"/>
      <c r="F46" s="956"/>
      <c r="G46" s="957" t="s">
        <v>477</v>
      </c>
      <c r="H46" s="958"/>
      <c r="I46" s="1287" t="s">
        <v>477</v>
      </c>
      <c r="J46" s="958"/>
      <c r="K46" s="1287" t="s">
        <v>477</v>
      </c>
      <c r="L46" s="958"/>
      <c r="M46" s="1287" t="s">
        <v>477</v>
      </c>
      <c r="N46" s="958"/>
      <c r="O46" s="1287" t="s">
        <v>477</v>
      </c>
      <c r="P46" s="958"/>
      <c r="Q46" s="1287" t="s">
        <v>477</v>
      </c>
      <c r="R46" s="958"/>
      <c r="S46" s="1287" t="s">
        <v>477</v>
      </c>
      <c r="T46" s="958"/>
      <c r="U46" s="1287" t="s">
        <v>477</v>
      </c>
      <c r="V46" s="958"/>
      <c r="W46" s="1287" t="s">
        <v>477</v>
      </c>
      <c r="X46" s="958"/>
      <c r="Y46" s="1287" t="s">
        <v>477</v>
      </c>
      <c r="Z46" s="958"/>
      <c r="AA46" s="1287" t="s">
        <v>477</v>
      </c>
      <c r="AB46" s="958"/>
      <c r="AC46" s="1287" t="s">
        <v>477</v>
      </c>
      <c r="AD46" s="958"/>
      <c r="AE46" s="1287" t="s">
        <v>477</v>
      </c>
      <c r="AF46" s="958"/>
      <c r="AG46" s="1287" t="s">
        <v>477</v>
      </c>
      <c r="AH46" s="958"/>
      <c r="AI46" s="1287" t="s">
        <v>477</v>
      </c>
      <c r="AJ46" s="958"/>
      <c r="AK46" s="1287" t="s">
        <v>477</v>
      </c>
      <c r="AL46" s="958"/>
      <c r="AM46" s="1287" t="s">
        <v>477</v>
      </c>
      <c r="AN46" s="958"/>
      <c r="AO46" s="1287" t="s">
        <v>477</v>
      </c>
      <c r="AP46" s="958"/>
      <c r="AQ46" s="1287" t="s">
        <v>477</v>
      </c>
      <c r="AR46" s="958"/>
      <c r="AS46" s="1287" t="s">
        <v>477</v>
      </c>
      <c r="AT46" s="958"/>
      <c r="AU46" s="1287" t="s">
        <v>477</v>
      </c>
      <c r="AV46" s="958"/>
      <c r="AW46" s="1287" t="s">
        <v>477</v>
      </c>
      <c r="AX46" s="958"/>
      <c r="AY46" s="1287" t="s">
        <v>477</v>
      </c>
      <c r="AZ46" s="960"/>
      <c r="BA46" s="961" t="s">
        <v>477</v>
      </c>
      <c r="BB46" s="962"/>
      <c r="BC46" s="963"/>
      <c r="BD46" s="954" t="s">
        <v>336</v>
      </c>
      <c r="BE46" s="955"/>
      <c r="BF46" s="955"/>
      <c r="BG46" s="955"/>
      <c r="BH46" s="955"/>
      <c r="BI46" s="956"/>
      <c r="BJ46" s="957" t="s">
        <v>477</v>
      </c>
      <c r="BK46" s="958"/>
      <c r="BL46" s="1287" t="s">
        <v>477</v>
      </c>
      <c r="BM46" s="958"/>
      <c r="BN46" s="1287" t="s">
        <v>477</v>
      </c>
      <c r="BO46" s="958"/>
      <c r="BP46" s="1287" t="s">
        <v>477</v>
      </c>
      <c r="BQ46" s="958"/>
      <c r="BR46" s="1287" t="s">
        <v>477</v>
      </c>
      <c r="BS46" s="958"/>
      <c r="BT46" s="1287" t="s">
        <v>477</v>
      </c>
      <c r="BU46" s="958"/>
      <c r="BV46" s="1287" t="s">
        <v>477</v>
      </c>
      <c r="BW46" s="958"/>
      <c r="BX46" s="1287" t="s">
        <v>477</v>
      </c>
      <c r="BY46" s="958"/>
      <c r="BZ46" s="1287" t="s">
        <v>477</v>
      </c>
      <c r="CA46" s="958"/>
      <c r="CB46" s="1287" t="s">
        <v>477</v>
      </c>
      <c r="CC46" s="958"/>
      <c r="CD46" s="1287" t="s">
        <v>477</v>
      </c>
      <c r="CE46" s="958"/>
      <c r="CF46" s="1287" t="s">
        <v>477</v>
      </c>
      <c r="CG46" s="958"/>
      <c r="CH46" s="1287" t="s">
        <v>477</v>
      </c>
      <c r="CI46" s="958"/>
      <c r="CJ46" s="1287" t="s">
        <v>477</v>
      </c>
      <c r="CK46" s="958"/>
      <c r="CL46" s="1287" t="s">
        <v>477</v>
      </c>
      <c r="CM46" s="958"/>
      <c r="CN46" s="1287" t="s">
        <v>477</v>
      </c>
      <c r="CO46" s="958"/>
      <c r="CP46" s="1287" t="s">
        <v>477</v>
      </c>
      <c r="CQ46" s="958"/>
      <c r="CR46" s="1287" t="s">
        <v>477</v>
      </c>
      <c r="CS46" s="958"/>
      <c r="CT46" s="1287" t="s">
        <v>477</v>
      </c>
      <c r="CU46" s="958"/>
      <c r="CV46" s="1287" t="s">
        <v>477</v>
      </c>
      <c r="CW46" s="958"/>
      <c r="CX46" s="1287" t="s">
        <v>477</v>
      </c>
      <c r="CY46" s="958"/>
      <c r="CZ46" s="1287" t="s">
        <v>477</v>
      </c>
      <c r="DA46" s="958"/>
      <c r="DB46" s="1287" t="s">
        <v>477</v>
      </c>
      <c r="DC46" s="960"/>
      <c r="DD46" s="961" t="s">
        <v>477</v>
      </c>
      <c r="DE46" s="962"/>
      <c r="DF46" s="963"/>
      <c r="DG46" s="954" t="s">
        <v>336</v>
      </c>
      <c r="DH46" s="955"/>
      <c r="DI46" s="955"/>
      <c r="DJ46" s="955"/>
      <c r="DK46" s="955"/>
      <c r="DL46" s="956"/>
      <c r="DM46" s="957" t="s">
        <v>477</v>
      </c>
      <c r="DN46" s="958"/>
      <c r="DO46" s="1287" t="s">
        <v>477</v>
      </c>
      <c r="DP46" s="958"/>
      <c r="DQ46" s="1287" t="s">
        <v>477</v>
      </c>
      <c r="DR46" s="958"/>
      <c r="DS46" s="1287" t="s">
        <v>477</v>
      </c>
      <c r="DT46" s="958"/>
      <c r="DU46" s="1287" t="s">
        <v>477</v>
      </c>
      <c r="DV46" s="958"/>
      <c r="DW46" s="1287" t="s">
        <v>477</v>
      </c>
      <c r="DX46" s="958"/>
      <c r="DY46" s="1287" t="s">
        <v>477</v>
      </c>
      <c r="DZ46" s="958"/>
      <c r="EA46" s="1287" t="s">
        <v>477</v>
      </c>
      <c r="EB46" s="958"/>
      <c r="EC46" s="1287" t="s">
        <v>477</v>
      </c>
      <c r="ED46" s="958"/>
      <c r="EE46" s="1287" t="s">
        <v>477</v>
      </c>
      <c r="EF46" s="958"/>
      <c r="EG46" s="1287" t="s">
        <v>477</v>
      </c>
      <c r="EH46" s="958"/>
      <c r="EI46" s="1287" t="s">
        <v>477</v>
      </c>
      <c r="EJ46" s="958"/>
      <c r="EK46" s="1287" t="s">
        <v>477</v>
      </c>
      <c r="EL46" s="958"/>
      <c r="EM46" s="1287" t="s">
        <v>477</v>
      </c>
      <c r="EN46" s="958"/>
      <c r="EO46" s="1287" t="s">
        <v>477</v>
      </c>
      <c r="EP46" s="958"/>
      <c r="EQ46" s="1287" t="s">
        <v>477</v>
      </c>
      <c r="ER46" s="958"/>
      <c r="ES46" s="1287" t="s">
        <v>477</v>
      </c>
      <c r="ET46" s="958"/>
      <c r="EU46" s="1287" t="s">
        <v>477</v>
      </c>
      <c r="EV46" s="958"/>
      <c r="EW46" s="1287" t="s">
        <v>477</v>
      </c>
      <c r="EX46" s="958"/>
      <c r="EY46" s="1287" t="s">
        <v>477</v>
      </c>
      <c r="EZ46" s="958"/>
      <c r="FA46" s="1287" t="s">
        <v>477</v>
      </c>
      <c r="FB46" s="958"/>
      <c r="FC46" s="1287" t="s">
        <v>477</v>
      </c>
      <c r="FD46" s="958"/>
      <c r="FE46" s="1287" t="s">
        <v>477</v>
      </c>
      <c r="FF46" s="960"/>
      <c r="FG46" s="961" t="s">
        <v>477</v>
      </c>
      <c r="FH46" s="962"/>
      <c r="FI46" s="963"/>
      <c r="FJ46" s="954" t="s">
        <v>675</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t="s">
        <v>584</v>
      </c>
      <c r="GL46" s="413"/>
      <c r="GM46" s="750"/>
      <c r="GN46" s="750"/>
      <c r="GO46" s="750"/>
      <c r="GP46" s="750"/>
      <c r="GQ46" s="750"/>
      <c r="GR46" s="861"/>
      <c r="GS46" s="580"/>
      <c r="GT46" s="763"/>
      <c r="GU46" s="774" t="s">
        <v>582</v>
      </c>
      <c r="GV46" s="774"/>
      <c r="GW46" s="774"/>
      <c r="GX46" s="774"/>
      <c r="GY46" s="615"/>
      <c r="GZ46" s="775"/>
      <c r="HA46" s="751">
        <v>17.5</v>
      </c>
      <c r="HB46" s="413" t="s">
        <v>550</v>
      </c>
      <c r="HC46" s="938"/>
      <c r="HD46" s="415"/>
    </row>
    <row r="47" spans="1:219" ht="20.100000000000001" customHeight="1" thickBot="1">
      <c r="A47" s="970" t="s">
        <v>337</v>
      </c>
      <c r="B47" s="971"/>
      <c r="C47" s="971"/>
      <c r="D47" s="972"/>
      <c r="E47" s="973"/>
      <c r="F47" s="973"/>
      <c r="G47" s="974"/>
      <c r="H47" s="975">
        <v>0</v>
      </c>
      <c r="I47" s="976"/>
      <c r="J47" s="975">
        <v>0</v>
      </c>
      <c r="K47" s="976"/>
      <c r="L47" s="975">
        <v>0</v>
      </c>
      <c r="M47" s="976"/>
      <c r="N47" s="975">
        <v>0</v>
      </c>
      <c r="O47" s="976"/>
      <c r="P47" s="975">
        <v>0</v>
      </c>
      <c r="Q47" s="976"/>
      <c r="R47" s="975">
        <v>0</v>
      </c>
      <c r="S47" s="976"/>
      <c r="T47" s="975">
        <v>0</v>
      </c>
      <c r="U47" s="976"/>
      <c r="V47" s="975">
        <v>0</v>
      </c>
      <c r="W47" s="976"/>
      <c r="X47" s="975">
        <v>775</v>
      </c>
      <c r="Y47" s="976"/>
      <c r="Z47" s="975">
        <v>765</v>
      </c>
      <c r="AA47" s="976"/>
      <c r="AB47" s="975">
        <v>814</v>
      </c>
      <c r="AC47" s="976"/>
      <c r="AD47" s="975">
        <v>827</v>
      </c>
      <c r="AE47" s="976"/>
      <c r="AF47" s="975">
        <v>826</v>
      </c>
      <c r="AG47" s="976"/>
      <c r="AH47" s="975">
        <v>815</v>
      </c>
      <c r="AI47" s="976"/>
      <c r="AJ47" s="975">
        <v>790</v>
      </c>
      <c r="AK47" s="976"/>
      <c r="AL47" s="975">
        <v>770</v>
      </c>
      <c r="AM47" s="976"/>
      <c r="AN47" s="975">
        <v>796</v>
      </c>
      <c r="AO47" s="976"/>
      <c r="AP47" s="975">
        <v>759</v>
      </c>
      <c r="AQ47" s="976"/>
      <c r="AR47" s="975">
        <v>0</v>
      </c>
      <c r="AS47" s="976"/>
      <c r="AT47" s="975">
        <v>0</v>
      </c>
      <c r="AU47" s="976"/>
      <c r="AV47" s="975">
        <v>0</v>
      </c>
      <c r="AW47" s="976"/>
      <c r="AX47" s="975">
        <v>0</v>
      </c>
      <c r="AY47" s="977"/>
      <c r="AZ47" s="978">
        <v>0</v>
      </c>
      <c r="BA47" s="979"/>
      <c r="BB47" s="980">
        <v>0</v>
      </c>
      <c r="BC47" s="981"/>
      <c r="BD47" s="970" t="s">
        <v>768</v>
      </c>
      <c r="BE47" s="971"/>
      <c r="BF47" s="971"/>
      <c r="BG47" s="972"/>
      <c r="BH47" s="973"/>
      <c r="BI47" s="973"/>
      <c r="BJ47" s="974"/>
      <c r="BK47" s="975">
        <v>0</v>
      </c>
      <c r="BL47" s="976"/>
      <c r="BM47" s="975">
        <v>0</v>
      </c>
      <c r="BN47" s="976"/>
      <c r="BO47" s="975">
        <v>0</v>
      </c>
      <c r="BP47" s="976"/>
      <c r="BQ47" s="975">
        <v>0</v>
      </c>
      <c r="BR47" s="976"/>
      <c r="BS47" s="975">
        <v>0</v>
      </c>
      <c r="BT47" s="976"/>
      <c r="BU47" s="975">
        <v>0</v>
      </c>
      <c r="BV47" s="976"/>
      <c r="BW47" s="975">
        <v>0</v>
      </c>
      <c r="BX47" s="976"/>
      <c r="BY47" s="975">
        <v>0</v>
      </c>
      <c r="BZ47" s="976"/>
      <c r="CA47" s="975">
        <v>845</v>
      </c>
      <c r="CB47" s="976"/>
      <c r="CC47" s="975">
        <v>834</v>
      </c>
      <c r="CD47" s="976"/>
      <c r="CE47" s="975">
        <v>873</v>
      </c>
      <c r="CF47" s="976"/>
      <c r="CG47" s="975">
        <v>868</v>
      </c>
      <c r="CH47" s="976"/>
      <c r="CI47" s="975">
        <v>842</v>
      </c>
      <c r="CJ47" s="976"/>
      <c r="CK47" s="975">
        <v>807</v>
      </c>
      <c r="CL47" s="976"/>
      <c r="CM47" s="975">
        <v>780</v>
      </c>
      <c r="CN47" s="976"/>
      <c r="CO47" s="975">
        <v>749</v>
      </c>
      <c r="CP47" s="976"/>
      <c r="CQ47" s="975">
        <v>791</v>
      </c>
      <c r="CR47" s="976"/>
      <c r="CS47" s="975">
        <v>749</v>
      </c>
      <c r="CT47" s="976"/>
      <c r="CU47" s="975">
        <v>0</v>
      </c>
      <c r="CV47" s="976"/>
      <c r="CW47" s="975">
        <v>0</v>
      </c>
      <c r="CX47" s="976"/>
      <c r="CY47" s="975">
        <v>0</v>
      </c>
      <c r="CZ47" s="976"/>
      <c r="DA47" s="975">
        <v>0</v>
      </c>
      <c r="DB47" s="977"/>
      <c r="DC47" s="978">
        <v>0</v>
      </c>
      <c r="DD47" s="979"/>
      <c r="DE47" s="980">
        <v>0</v>
      </c>
      <c r="DF47" s="981"/>
      <c r="DG47" s="970" t="s">
        <v>768</v>
      </c>
      <c r="DH47" s="971"/>
      <c r="DI47" s="971"/>
      <c r="DJ47" s="972"/>
      <c r="DK47" s="973"/>
      <c r="DL47" s="973"/>
      <c r="DM47" s="974"/>
      <c r="DN47" s="975">
        <v>0</v>
      </c>
      <c r="DO47" s="976"/>
      <c r="DP47" s="975">
        <v>0</v>
      </c>
      <c r="DQ47" s="976"/>
      <c r="DR47" s="975">
        <v>0</v>
      </c>
      <c r="DS47" s="976"/>
      <c r="DT47" s="975">
        <v>0</v>
      </c>
      <c r="DU47" s="976"/>
      <c r="DV47" s="975">
        <v>0</v>
      </c>
      <c r="DW47" s="976"/>
      <c r="DX47" s="975">
        <v>0</v>
      </c>
      <c r="DY47" s="976"/>
      <c r="DZ47" s="975">
        <v>0</v>
      </c>
      <c r="EA47" s="976"/>
      <c r="EB47" s="975">
        <v>0</v>
      </c>
      <c r="EC47" s="976"/>
      <c r="ED47" s="975">
        <v>738</v>
      </c>
      <c r="EE47" s="976"/>
      <c r="EF47" s="975">
        <v>740</v>
      </c>
      <c r="EG47" s="976"/>
      <c r="EH47" s="975">
        <v>784</v>
      </c>
      <c r="EI47" s="976"/>
      <c r="EJ47" s="975">
        <v>788</v>
      </c>
      <c r="EK47" s="976"/>
      <c r="EL47" s="975">
        <v>758</v>
      </c>
      <c r="EM47" s="976"/>
      <c r="EN47" s="975">
        <v>718</v>
      </c>
      <c r="EO47" s="976"/>
      <c r="EP47" s="975">
        <v>690</v>
      </c>
      <c r="EQ47" s="976"/>
      <c r="ER47" s="975">
        <v>666</v>
      </c>
      <c r="ES47" s="976"/>
      <c r="ET47" s="975">
        <v>691</v>
      </c>
      <c r="EU47" s="976"/>
      <c r="EV47" s="975">
        <v>644</v>
      </c>
      <c r="EW47" s="976"/>
      <c r="EX47" s="975">
        <v>0</v>
      </c>
      <c r="EY47" s="976"/>
      <c r="EZ47" s="975">
        <v>0</v>
      </c>
      <c r="FA47" s="976"/>
      <c r="FB47" s="975">
        <v>0</v>
      </c>
      <c r="FC47" s="976"/>
      <c r="FD47" s="975">
        <v>0</v>
      </c>
      <c r="FE47" s="977"/>
      <c r="FF47" s="978">
        <v>0</v>
      </c>
      <c r="FG47" s="979"/>
      <c r="FH47" s="980">
        <v>0</v>
      </c>
      <c r="FI47" s="981"/>
      <c r="FJ47" s="970" t="s">
        <v>337</v>
      </c>
      <c r="FK47" s="971"/>
      <c r="FL47" s="971"/>
      <c r="FM47" s="972"/>
      <c r="FN47" s="973"/>
      <c r="FO47" s="973"/>
      <c r="FP47" s="982"/>
      <c r="FQ47" s="983"/>
      <c r="FR47" s="975">
        <v>1577</v>
      </c>
      <c r="FS47" s="984"/>
      <c r="FT47" s="983"/>
      <c r="FU47" s="985">
        <v>1599</v>
      </c>
      <c r="FV47" s="986">
        <v>12</v>
      </c>
      <c r="FW47" s="975">
        <v>827</v>
      </c>
      <c r="FX47" s="987">
        <v>12</v>
      </c>
      <c r="FY47" s="975">
        <v>868</v>
      </c>
      <c r="FZ47" s="987">
        <v>12</v>
      </c>
      <c r="GA47" s="975">
        <v>788</v>
      </c>
      <c r="GB47" s="988" t="s">
        <v>366</v>
      </c>
      <c r="GC47" s="975">
        <v>827</v>
      </c>
      <c r="GD47" s="988" t="s">
        <v>815</v>
      </c>
      <c r="GE47" s="989">
        <v>1599</v>
      </c>
      <c r="GF47" s="688"/>
      <c r="GG47" s="990"/>
      <c r="GH47" s="990"/>
      <c r="GI47" s="990"/>
      <c r="GJ47" s="893"/>
      <c r="GK47" s="413" t="s">
        <v>840</v>
      </c>
      <c r="GL47" s="893"/>
      <c r="GM47" s="530"/>
      <c r="GN47" s="893"/>
      <c r="GO47" s="530"/>
      <c r="GP47" s="530"/>
      <c r="GQ47" s="530"/>
      <c r="GR47" s="893"/>
      <c r="GS47" s="530"/>
      <c r="GT47" s="763"/>
      <c r="GU47" s="774" t="s">
        <v>585</v>
      </c>
      <c r="GV47" s="774"/>
      <c r="GW47" s="774"/>
      <c r="GX47" s="774"/>
      <c r="GY47" s="530"/>
      <c r="GZ47" s="413"/>
      <c r="HA47" s="778">
        <v>-0.15</v>
      </c>
      <c r="HB47" s="413"/>
      <c r="HC47" s="981"/>
      <c r="HD47" s="415"/>
    </row>
    <row r="48" spans="1:219" ht="20.100000000000001" customHeight="1">
      <c r="A48" s="991" t="s">
        <v>676</v>
      </c>
      <c r="B48" s="992" t="s">
        <v>677</v>
      </c>
      <c r="C48" s="895"/>
      <c r="D48" s="825"/>
      <c r="E48" s="825"/>
      <c r="F48" s="826"/>
      <c r="G48" s="740" t="s">
        <v>678</v>
      </c>
      <c r="H48" s="663" t="s">
        <v>428</v>
      </c>
      <c r="I48" s="742" t="s">
        <v>678</v>
      </c>
      <c r="J48" s="993" t="s">
        <v>428</v>
      </c>
      <c r="K48" s="742" t="s">
        <v>484</v>
      </c>
      <c r="L48" s="993" t="s">
        <v>428</v>
      </c>
      <c r="M48" s="742" t="s">
        <v>678</v>
      </c>
      <c r="N48" s="993" t="s">
        <v>428</v>
      </c>
      <c r="O48" s="742" t="s">
        <v>484</v>
      </c>
      <c r="P48" s="993" t="s">
        <v>428</v>
      </c>
      <c r="Q48" s="742" t="s">
        <v>484</v>
      </c>
      <c r="R48" s="993" t="s">
        <v>430</v>
      </c>
      <c r="S48" s="742" t="s">
        <v>678</v>
      </c>
      <c r="T48" s="993" t="s">
        <v>428</v>
      </c>
      <c r="U48" s="742" t="s">
        <v>484</v>
      </c>
      <c r="V48" s="993" t="s">
        <v>428</v>
      </c>
      <c r="W48" s="742" t="s">
        <v>678</v>
      </c>
      <c r="X48" s="993" t="s">
        <v>430</v>
      </c>
      <c r="Y48" s="742" t="s">
        <v>678</v>
      </c>
      <c r="Z48" s="993" t="s">
        <v>430</v>
      </c>
      <c r="AA48" s="742" t="s">
        <v>484</v>
      </c>
      <c r="AB48" s="993" t="s">
        <v>428</v>
      </c>
      <c r="AC48" s="742" t="s">
        <v>678</v>
      </c>
      <c r="AD48" s="993" t="s">
        <v>428</v>
      </c>
      <c r="AE48" s="742" t="s">
        <v>484</v>
      </c>
      <c r="AF48" s="993" t="s">
        <v>428</v>
      </c>
      <c r="AG48" s="742" t="s">
        <v>484</v>
      </c>
      <c r="AH48" s="993" t="s">
        <v>430</v>
      </c>
      <c r="AI48" s="742" t="s">
        <v>678</v>
      </c>
      <c r="AJ48" s="993" t="s">
        <v>428</v>
      </c>
      <c r="AK48" s="742" t="s">
        <v>484</v>
      </c>
      <c r="AL48" s="993" t="s">
        <v>428</v>
      </c>
      <c r="AM48" s="742" t="s">
        <v>484</v>
      </c>
      <c r="AN48" s="993" t="s">
        <v>428</v>
      </c>
      <c r="AO48" s="742" t="s">
        <v>678</v>
      </c>
      <c r="AP48" s="993" t="s">
        <v>430</v>
      </c>
      <c r="AQ48" s="742" t="s">
        <v>678</v>
      </c>
      <c r="AR48" s="993" t="s">
        <v>428</v>
      </c>
      <c r="AS48" s="742" t="s">
        <v>678</v>
      </c>
      <c r="AT48" s="993" t="s">
        <v>430</v>
      </c>
      <c r="AU48" s="742" t="s">
        <v>678</v>
      </c>
      <c r="AV48" s="993" t="s">
        <v>428</v>
      </c>
      <c r="AW48" s="742" t="s">
        <v>678</v>
      </c>
      <c r="AX48" s="993" t="s">
        <v>430</v>
      </c>
      <c r="AY48" s="742" t="s">
        <v>484</v>
      </c>
      <c r="AZ48" s="994" t="s">
        <v>428</v>
      </c>
      <c r="BA48" s="995" t="s">
        <v>678</v>
      </c>
      <c r="BB48" s="996" t="s">
        <v>428</v>
      </c>
      <c r="BC48" s="932"/>
      <c r="BD48" s="991" t="s">
        <v>676</v>
      </c>
      <c r="BE48" s="992" t="s">
        <v>677</v>
      </c>
      <c r="BF48" s="895"/>
      <c r="BG48" s="825"/>
      <c r="BH48" s="825"/>
      <c r="BI48" s="826"/>
      <c r="BJ48" s="740" t="s">
        <v>484</v>
      </c>
      <c r="BK48" s="663" t="s">
        <v>430</v>
      </c>
      <c r="BL48" s="742" t="s">
        <v>484</v>
      </c>
      <c r="BM48" s="993" t="s">
        <v>430</v>
      </c>
      <c r="BN48" s="742" t="s">
        <v>484</v>
      </c>
      <c r="BO48" s="993" t="s">
        <v>430</v>
      </c>
      <c r="BP48" s="742" t="s">
        <v>484</v>
      </c>
      <c r="BQ48" s="993" t="s">
        <v>430</v>
      </c>
      <c r="BR48" s="742" t="s">
        <v>484</v>
      </c>
      <c r="BS48" s="993" t="s">
        <v>430</v>
      </c>
      <c r="BT48" s="742" t="s">
        <v>484</v>
      </c>
      <c r="BU48" s="993" t="s">
        <v>430</v>
      </c>
      <c r="BV48" s="742" t="s">
        <v>678</v>
      </c>
      <c r="BW48" s="993" t="s">
        <v>428</v>
      </c>
      <c r="BX48" s="742" t="s">
        <v>484</v>
      </c>
      <c r="BY48" s="993" t="s">
        <v>430</v>
      </c>
      <c r="BZ48" s="742" t="s">
        <v>678</v>
      </c>
      <c r="CA48" s="993" t="s">
        <v>430</v>
      </c>
      <c r="CB48" s="742" t="s">
        <v>484</v>
      </c>
      <c r="CC48" s="993" t="s">
        <v>430</v>
      </c>
      <c r="CD48" s="742" t="s">
        <v>484</v>
      </c>
      <c r="CE48" s="993" t="s">
        <v>430</v>
      </c>
      <c r="CF48" s="742" t="s">
        <v>484</v>
      </c>
      <c r="CG48" s="993" t="s">
        <v>428</v>
      </c>
      <c r="CH48" s="742" t="s">
        <v>484</v>
      </c>
      <c r="CI48" s="993" t="s">
        <v>428</v>
      </c>
      <c r="CJ48" s="742" t="s">
        <v>678</v>
      </c>
      <c r="CK48" s="993" t="s">
        <v>430</v>
      </c>
      <c r="CL48" s="742" t="s">
        <v>678</v>
      </c>
      <c r="CM48" s="993" t="s">
        <v>430</v>
      </c>
      <c r="CN48" s="742" t="s">
        <v>484</v>
      </c>
      <c r="CO48" s="993" t="s">
        <v>428</v>
      </c>
      <c r="CP48" s="742" t="s">
        <v>678</v>
      </c>
      <c r="CQ48" s="993" t="s">
        <v>428</v>
      </c>
      <c r="CR48" s="742" t="s">
        <v>484</v>
      </c>
      <c r="CS48" s="993" t="s">
        <v>428</v>
      </c>
      <c r="CT48" s="742" t="s">
        <v>484</v>
      </c>
      <c r="CU48" s="993" t="s">
        <v>430</v>
      </c>
      <c r="CV48" s="742" t="s">
        <v>678</v>
      </c>
      <c r="CW48" s="993" t="s">
        <v>428</v>
      </c>
      <c r="CX48" s="742" t="s">
        <v>484</v>
      </c>
      <c r="CY48" s="993" t="s">
        <v>428</v>
      </c>
      <c r="CZ48" s="742" t="s">
        <v>484</v>
      </c>
      <c r="DA48" s="993" t="s">
        <v>428</v>
      </c>
      <c r="DB48" s="742" t="s">
        <v>678</v>
      </c>
      <c r="DC48" s="994" t="s">
        <v>430</v>
      </c>
      <c r="DD48" s="995" t="s">
        <v>678</v>
      </c>
      <c r="DE48" s="996" t="s">
        <v>428</v>
      </c>
      <c r="DF48" s="932"/>
      <c r="DG48" s="991" t="s">
        <v>676</v>
      </c>
      <c r="DH48" s="992" t="s">
        <v>483</v>
      </c>
      <c r="DI48" s="895"/>
      <c r="DJ48" s="825"/>
      <c r="DK48" s="825"/>
      <c r="DL48" s="826"/>
      <c r="DM48" s="740" t="s">
        <v>484</v>
      </c>
      <c r="DN48" s="663" t="s">
        <v>428</v>
      </c>
      <c r="DO48" s="742" t="s">
        <v>678</v>
      </c>
      <c r="DP48" s="993" t="s">
        <v>430</v>
      </c>
      <c r="DQ48" s="742" t="s">
        <v>678</v>
      </c>
      <c r="DR48" s="993" t="s">
        <v>430</v>
      </c>
      <c r="DS48" s="742" t="s">
        <v>678</v>
      </c>
      <c r="DT48" s="993" t="s">
        <v>430</v>
      </c>
      <c r="DU48" s="742" t="s">
        <v>678</v>
      </c>
      <c r="DV48" s="993" t="s">
        <v>428</v>
      </c>
      <c r="DW48" s="742" t="s">
        <v>678</v>
      </c>
      <c r="DX48" s="993" t="s">
        <v>428</v>
      </c>
      <c r="DY48" s="742" t="s">
        <v>678</v>
      </c>
      <c r="DZ48" s="993" t="s">
        <v>428</v>
      </c>
      <c r="EA48" s="742" t="s">
        <v>484</v>
      </c>
      <c r="EB48" s="993" t="s">
        <v>430</v>
      </c>
      <c r="EC48" s="742" t="s">
        <v>678</v>
      </c>
      <c r="ED48" s="993" t="s">
        <v>430</v>
      </c>
      <c r="EE48" s="742" t="s">
        <v>484</v>
      </c>
      <c r="EF48" s="993" t="s">
        <v>430</v>
      </c>
      <c r="EG48" s="742" t="s">
        <v>678</v>
      </c>
      <c r="EH48" s="993" t="s">
        <v>428</v>
      </c>
      <c r="EI48" s="742" t="s">
        <v>484</v>
      </c>
      <c r="EJ48" s="993" t="s">
        <v>428</v>
      </c>
      <c r="EK48" s="742" t="s">
        <v>484</v>
      </c>
      <c r="EL48" s="993" t="s">
        <v>428</v>
      </c>
      <c r="EM48" s="742" t="s">
        <v>678</v>
      </c>
      <c r="EN48" s="993" t="s">
        <v>430</v>
      </c>
      <c r="EO48" s="742" t="s">
        <v>484</v>
      </c>
      <c r="EP48" s="993" t="s">
        <v>428</v>
      </c>
      <c r="EQ48" s="742" t="s">
        <v>484</v>
      </c>
      <c r="ER48" s="993" t="s">
        <v>430</v>
      </c>
      <c r="ES48" s="742" t="s">
        <v>678</v>
      </c>
      <c r="ET48" s="993" t="s">
        <v>428</v>
      </c>
      <c r="EU48" s="742" t="s">
        <v>484</v>
      </c>
      <c r="EV48" s="993" t="s">
        <v>428</v>
      </c>
      <c r="EW48" s="742" t="s">
        <v>678</v>
      </c>
      <c r="EX48" s="993" t="s">
        <v>430</v>
      </c>
      <c r="EY48" s="742" t="s">
        <v>678</v>
      </c>
      <c r="EZ48" s="993" t="s">
        <v>430</v>
      </c>
      <c r="FA48" s="742" t="s">
        <v>484</v>
      </c>
      <c r="FB48" s="993" t="s">
        <v>428</v>
      </c>
      <c r="FC48" s="742" t="s">
        <v>678</v>
      </c>
      <c r="FD48" s="993" t="s">
        <v>428</v>
      </c>
      <c r="FE48" s="742" t="s">
        <v>484</v>
      </c>
      <c r="FF48" s="994" t="s">
        <v>428</v>
      </c>
      <c r="FG48" s="995" t="s">
        <v>484</v>
      </c>
      <c r="FH48" s="996" t="s">
        <v>430</v>
      </c>
      <c r="FI48" s="932"/>
      <c r="FJ48" s="991" t="s">
        <v>676</v>
      </c>
      <c r="FK48" s="738" t="s">
        <v>677</v>
      </c>
      <c r="FL48" s="895"/>
      <c r="FM48" s="825"/>
      <c r="FN48" s="825"/>
      <c r="FO48" s="826"/>
      <c r="FP48" s="747" t="s">
        <v>433</v>
      </c>
      <c r="FQ48" s="673" t="s">
        <v>484</v>
      </c>
      <c r="FR48" s="663" t="s">
        <v>434</v>
      </c>
      <c r="FS48" s="997" t="s">
        <v>450</v>
      </c>
      <c r="FT48" s="673" t="s">
        <v>678</v>
      </c>
      <c r="FU48" s="998" t="s">
        <v>451</v>
      </c>
      <c r="FV48" s="999"/>
      <c r="FW48" s="993" t="s">
        <v>323</v>
      </c>
      <c r="FX48" s="997"/>
      <c r="FY48" s="993" t="s">
        <v>323</v>
      </c>
      <c r="FZ48" s="997"/>
      <c r="GA48" s="993" t="s">
        <v>323</v>
      </c>
      <c r="GB48" s="997"/>
      <c r="GC48" s="993" t="s">
        <v>323</v>
      </c>
      <c r="GD48" s="997"/>
      <c r="GE48" s="1000" t="s">
        <v>324</v>
      </c>
      <c r="GF48" s="688"/>
      <c r="GG48" s="655"/>
      <c r="GH48" s="655"/>
      <c r="GI48" s="655"/>
      <c r="GJ48" s="530"/>
      <c r="GK48" s="615" t="s">
        <v>841</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437</v>
      </c>
      <c r="C49" s="1002"/>
      <c r="D49" s="754">
        <v>66</v>
      </c>
      <c r="E49" s="755">
        <v>4</v>
      </c>
      <c r="F49" s="1003" t="s">
        <v>436</v>
      </c>
      <c r="G49" s="757"/>
      <c r="H49" s="559"/>
      <c r="I49" s="758"/>
      <c r="J49" s="559"/>
      <c r="K49" s="758"/>
      <c r="L49" s="559"/>
      <c r="M49" s="758"/>
      <c r="N49" s="559"/>
      <c r="O49" s="758"/>
      <c r="P49" s="559"/>
      <c r="Q49" s="758"/>
      <c r="R49" s="559"/>
      <c r="S49" s="758"/>
      <c r="T49" s="559"/>
      <c r="U49" s="758"/>
      <c r="V49" s="559"/>
      <c r="W49" s="758">
        <v>0.4</v>
      </c>
      <c r="X49" s="559">
        <v>106</v>
      </c>
      <c r="Y49" s="758">
        <v>0.4</v>
      </c>
      <c r="Z49" s="559">
        <v>106</v>
      </c>
      <c r="AA49" s="758">
        <v>0.4</v>
      </c>
      <c r="AB49" s="559">
        <v>106</v>
      </c>
      <c r="AC49" s="758">
        <v>0.4</v>
      </c>
      <c r="AD49" s="559">
        <v>106</v>
      </c>
      <c r="AE49" s="758">
        <v>0.4</v>
      </c>
      <c r="AF49" s="559">
        <v>106</v>
      </c>
      <c r="AG49" s="758">
        <v>0.4</v>
      </c>
      <c r="AH49" s="559">
        <v>106</v>
      </c>
      <c r="AI49" s="758">
        <v>0.4</v>
      </c>
      <c r="AJ49" s="559">
        <v>106</v>
      </c>
      <c r="AK49" s="758">
        <v>0.4</v>
      </c>
      <c r="AL49" s="559">
        <v>106</v>
      </c>
      <c r="AM49" s="758">
        <v>0.7</v>
      </c>
      <c r="AN49" s="559">
        <v>185</v>
      </c>
      <c r="AO49" s="758">
        <v>0.7</v>
      </c>
      <c r="AP49" s="559">
        <v>185</v>
      </c>
      <c r="AQ49" s="758"/>
      <c r="AR49" s="559"/>
      <c r="AS49" s="758"/>
      <c r="AT49" s="559"/>
      <c r="AU49" s="758"/>
      <c r="AV49" s="559"/>
      <c r="AW49" s="758"/>
      <c r="AX49" s="559"/>
      <c r="AY49" s="1004"/>
      <c r="AZ49" s="1005"/>
      <c r="BA49" s="1006"/>
      <c r="BB49" s="1007"/>
      <c r="BC49" s="938"/>
      <c r="BD49" s="1001"/>
      <c r="BE49" s="752" t="s">
        <v>435</v>
      </c>
      <c r="BF49" s="1002"/>
      <c r="BG49" s="754"/>
      <c r="BH49" s="755">
        <v>4</v>
      </c>
      <c r="BI49" s="1003" t="s">
        <v>436</v>
      </c>
      <c r="BJ49" s="757"/>
      <c r="BK49" s="559"/>
      <c r="BL49" s="758"/>
      <c r="BM49" s="559"/>
      <c r="BN49" s="758"/>
      <c r="BO49" s="559"/>
      <c r="BP49" s="758"/>
      <c r="BQ49" s="559"/>
      <c r="BR49" s="758"/>
      <c r="BS49" s="559"/>
      <c r="BT49" s="758"/>
      <c r="BU49" s="559"/>
      <c r="BV49" s="758"/>
      <c r="BW49" s="559"/>
      <c r="BX49" s="758"/>
      <c r="BY49" s="559"/>
      <c r="BZ49" s="758">
        <v>0.4</v>
      </c>
      <c r="CA49" s="559">
        <v>106</v>
      </c>
      <c r="CB49" s="758">
        <v>0.4</v>
      </c>
      <c r="CC49" s="559">
        <v>106</v>
      </c>
      <c r="CD49" s="758">
        <v>0.4</v>
      </c>
      <c r="CE49" s="559">
        <v>106</v>
      </c>
      <c r="CF49" s="758">
        <v>0.4</v>
      </c>
      <c r="CG49" s="559">
        <v>106</v>
      </c>
      <c r="CH49" s="758">
        <v>0.4</v>
      </c>
      <c r="CI49" s="559">
        <v>106</v>
      </c>
      <c r="CJ49" s="758">
        <v>0.4</v>
      </c>
      <c r="CK49" s="559">
        <v>106</v>
      </c>
      <c r="CL49" s="758">
        <v>0.4</v>
      </c>
      <c r="CM49" s="559">
        <v>106</v>
      </c>
      <c r="CN49" s="758">
        <v>0.4</v>
      </c>
      <c r="CO49" s="559">
        <v>106</v>
      </c>
      <c r="CP49" s="758">
        <v>0.7</v>
      </c>
      <c r="CQ49" s="559">
        <v>185</v>
      </c>
      <c r="CR49" s="758">
        <v>0.7</v>
      </c>
      <c r="CS49" s="559">
        <v>185</v>
      </c>
      <c r="CT49" s="758"/>
      <c r="CU49" s="559"/>
      <c r="CV49" s="758"/>
      <c r="CW49" s="559"/>
      <c r="CX49" s="758"/>
      <c r="CY49" s="559"/>
      <c r="CZ49" s="758"/>
      <c r="DA49" s="559"/>
      <c r="DB49" s="1004"/>
      <c r="DC49" s="1005"/>
      <c r="DD49" s="1006"/>
      <c r="DE49" s="1007"/>
      <c r="DF49" s="938"/>
      <c r="DG49" s="1001"/>
      <c r="DH49" s="752" t="s">
        <v>437</v>
      </c>
      <c r="DI49" s="1002"/>
      <c r="DJ49" s="754"/>
      <c r="DK49" s="755">
        <v>4</v>
      </c>
      <c r="DL49" s="1003" t="s">
        <v>436</v>
      </c>
      <c r="DM49" s="757"/>
      <c r="DN49" s="559"/>
      <c r="DO49" s="758"/>
      <c r="DP49" s="559"/>
      <c r="DQ49" s="758"/>
      <c r="DR49" s="559"/>
      <c r="DS49" s="758"/>
      <c r="DT49" s="559"/>
      <c r="DU49" s="758"/>
      <c r="DV49" s="559"/>
      <c r="DW49" s="758"/>
      <c r="DX49" s="559"/>
      <c r="DY49" s="758"/>
      <c r="DZ49" s="559"/>
      <c r="EA49" s="758"/>
      <c r="EB49" s="559"/>
      <c r="EC49" s="758">
        <v>0.4</v>
      </c>
      <c r="ED49" s="559">
        <v>106</v>
      </c>
      <c r="EE49" s="758">
        <v>0.4</v>
      </c>
      <c r="EF49" s="559">
        <v>106</v>
      </c>
      <c r="EG49" s="758">
        <v>0.4</v>
      </c>
      <c r="EH49" s="559">
        <v>106</v>
      </c>
      <c r="EI49" s="758">
        <v>0.4</v>
      </c>
      <c r="EJ49" s="559">
        <v>106</v>
      </c>
      <c r="EK49" s="758">
        <v>0.4</v>
      </c>
      <c r="EL49" s="559">
        <v>106</v>
      </c>
      <c r="EM49" s="758">
        <v>0.4</v>
      </c>
      <c r="EN49" s="559">
        <v>106</v>
      </c>
      <c r="EO49" s="758">
        <v>0.4</v>
      </c>
      <c r="EP49" s="559">
        <v>106</v>
      </c>
      <c r="EQ49" s="758">
        <v>0.4</v>
      </c>
      <c r="ER49" s="559">
        <v>106</v>
      </c>
      <c r="ES49" s="758">
        <v>0.7</v>
      </c>
      <c r="ET49" s="559">
        <v>185</v>
      </c>
      <c r="EU49" s="758">
        <v>0.7</v>
      </c>
      <c r="EV49" s="559">
        <v>185</v>
      </c>
      <c r="EW49" s="758"/>
      <c r="EX49" s="559"/>
      <c r="EY49" s="758"/>
      <c r="EZ49" s="559"/>
      <c r="FA49" s="758"/>
      <c r="FB49" s="559"/>
      <c r="FC49" s="758"/>
      <c r="FD49" s="559"/>
      <c r="FE49" s="1004"/>
      <c r="FF49" s="1005"/>
      <c r="FG49" s="1006"/>
      <c r="FH49" s="1007"/>
      <c r="FI49" s="938"/>
      <c r="FJ49" s="1001"/>
      <c r="FK49" s="752" t="s">
        <v>437</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842</v>
      </c>
      <c r="GL49" s="580"/>
      <c r="GM49" s="413"/>
      <c r="GN49" s="580"/>
      <c r="GO49" s="413"/>
      <c r="GP49" s="413"/>
      <c r="GQ49" s="413"/>
      <c r="GR49" s="580"/>
      <c r="GS49" s="530"/>
      <c r="GT49" s="861"/>
      <c r="GU49" s="530" t="s">
        <v>784</v>
      </c>
      <c r="GV49" s="615"/>
      <c r="GW49" s="530"/>
      <c r="GX49" s="615"/>
      <c r="GY49" s="530"/>
      <c r="GZ49" s="391"/>
      <c r="HA49" s="580"/>
      <c r="HB49" s="391"/>
      <c r="HC49" s="1017"/>
      <c r="HD49" s="415"/>
    </row>
    <row r="50" spans="1:212" ht="20.100000000000001" customHeight="1">
      <c r="A50" s="1001"/>
      <c r="B50" s="764" t="s">
        <v>446</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449</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446</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446</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843</v>
      </c>
      <c r="GL50" s="580"/>
      <c r="GM50" s="413"/>
      <c r="GN50" s="580"/>
      <c r="GO50" s="413"/>
      <c r="GP50" s="413"/>
      <c r="GQ50" s="413"/>
      <c r="GR50" s="580"/>
      <c r="GS50" s="953"/>
      <c r="GT50" s="937"/>
      <c r="GU50" s="580" t="s">
        <v>926</v>
      </c>
      <c r="GV50" s="580"/>
      <c r="GW50" s="580"/>
      <c r="GX50" s="580"/>
      <c r="GY50" s="615"/>
      <c r="GZ50" s="579"/>
      <c r="HA50" s="615">
        <v>30.8</v>
      </c>
      <c r="HB50" s="579" t="s">
        <v>319</v>
      </c>
      <c r="HC50" s="1038"/>
      <c r="HD50" s="415"/>
    </row>
    <row r="51" spans="1:212" ht="20.100000000000001" customHeight="1" thickBot="1">
      <c r="A51" s="1039"/>
      <c r="B51" s="466" t="s">
        <v>679</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506</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506</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506</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433</v>
      </c>
      <c r="GM51" s="1047" t="s">
        <v>590</v>
      </c>
      <c r="GN51" s="1048" t="s">
        <v>725</v>
      </c>
      <c r="GO51" s="1049" t="s">
        <v>788</v>
      </c>
      <c r="GP51" s="1049" t="s">
        <v>592</v>
      </c>
      <c r="GQ51" s="1050" t="s">
        <v>789</v>
      </c>
      <c r="GR51" s="733"/>
      <c r="GS51" s="953"/>
      <c r="GT51" s="763"/>
      <c r="GU51" s="580" t="s">
        <v>845</v>
      </c>
      <c r="GV51" s="580"/>
      <c r="GW51" s="580"/>
      <c r="GX51" s="580"/>
      <c r="GY51" s="413"/>
      <c r="GZ51" s="1051"/>
      <c r="HA51" s="615">
        <v>30.8</v>
      </c>
      <c r="HB51" s="579" t="s">
        <v>705</v>
      </c>
      <c r="HC51" s="1052"/>
      <c r="HD51" s="415"/>
    </row>
    <row r="52" spans="1:212" ht="20.100000000000001" customHeight="1" thickBot="1">
      <c r="A52" s="1053" t="s">
        <v>508</v>
      </c>
      <c r="B52" s="1054"/>
      <c r="C52" s="1055"/>
      <c r="D52" s="1055"/>
      <c r="E52" s="1056"/>
      <c r="F52" s="1055"/>
      <c r="G52" s="1057"/>
      <c r="H52" s="1058">
        <v>0</v>
      </c>
      <c r="I52" s="1059"/>
      <c r="J52" s="1058">
        <v>0</v>
      </c>
      <c r="K52" s="1059"/>
      <c r="L52" s="1058">
        <v>0</v>
      </c>
      <c r="M52" s="1059"/>
      <c r="N52" s="1058">
        <v>0</v>
      </c>
      <c r="O52" s="1059"/>
      <c r="P52" s="1058">
        <v>0</v>
      </c>
      <c r="Q52" s="1059"/>
      <c r="R52" s="1058">
        <v>0</v>
      </c>
      <c r="S52" s="1059"/>
      <c r="T52" s="1058">
        <v>0</v>
      </c>
      <c r="U52" s="1059"/>
      <c r="V52" s="1058">
        <v>0</v>
      </c>
      <c r="W52" s="1059"/>
      <c r="X52" s="1058">
        <v>106</v>
      </c>
      <c r="Y52" s="1059"/>
      <c r="Z52" s="1058">
        <v>106</v>
      </c>
      <c r="AA52" s="1059"/>
      <c r="AB52" s="1058">
        <v>106</v>
      </c>
      <c r="AC52" s="1059"/>
      <c r="AD52" s="1058">
        <v>106</v>
      </c>
      <c r="AE52" s="1059"/>
      <c r="AF52" s="1058">
        <v>106</v>
      </c>
      <c r="AG52" s="1059"/>
      <c r="AH52" s="1058">
        <v>106</v>
      </c>
      <c r="AI52" s="1059"/>
      <c r="AJ52" s="1058">
        <v>106</v>
      </c>
      <c r="AK52" s="1059"/>
      <c r="AL52" s="1058">
        <v>106</v>
      </c>
      <c r="AM52" s="1059"/>
      <c r="AN52" s="1058">
        <v>185</v>
      </c>
      <c r="AO52" s="1059"/>
      <c r="AP52" s="1058">
        <v>185</v>
      </c>
      <c r="AQ52" s="1059"/>
      <c r="AR52" s="1058">
        <v>0</v>
      </c>
      <c r="AS52" s="1059"/>
      <c r="AT52" s="1058">
        <v>0</v>
      </c>
      <c r="AU52" s="1059"/>
      <c r="AV52" s="1058">
        <v>0</v>
      </c>
      <c r="AW52" s="1059"/>
      <c r="AX52" s="1058">
        <v>0</v>
      </c>
      <c r="AY52" s="1060"/>
      <c r="AZ52" s="1061">
        <v>0</v>
      </c>
      <c r="BA52" s="1062"/>
      <c r="BB52" s="1063">
        <v>0</v>
      </c>
      <c r="BC52" s="981"/>
      <c r="BD52" s="1053" t="s">
        <v>680</v>
      </c>
      <c r="BE52" s="1054"/>
      <c r="BF52" s="1055"/>
      <c r="BG52" s="1055"/>
      <c r="BH52" s="1056"/>
      <c r="BI52" s="1055"/>
      <c r="BJ52" s="1057"/>
      <c r="BK52" s="1058">
        <v>0</v>
      </c>
      <c r="BL52" s="1059"/>
      <c r="BM52" s="1058">
        <v>0</v>
      </c>
      <c r="BN52" s="1059"/>
      <c r="BO52" s="1058">
        <v>0</v>
      </c>
      <c r="BP52" s="1059"/>
      <c r="BQ52" s="1058">
        <v>0</v>
      </c>
      <c r="BR52" s="1059"/>
      <c r="BS52" s="1058">
        <v>0</v>
      </c>
      <c r="BT52" s="1059"/>
      <c r="BU52" s="1058">
        <v>0</v>
      </c>
      <c r="BV52" s="1059"/>
      <c r="BW52" s="1058">
        <v>0</v>
      </c>
      <c r="BX52" s="1059"/>
      <c r="BY52" s="1058">
        <v>0</v>
      </c>
      <c r="BZ52" s="1059"/>
      <c r="CA52" s="1058">
        <v>106</v>
      </c>
      <c r="CB52" s="1059"/>
      <c r="CC52" s="1058">
        <v>106</v>
      </c>
      <c r="CD52" s="1059"/>
      <c r="CE52" s="1058">
        <v>106</v>
      </c>
      <c r="CF52" s="1059"/>
      <c r="CG52" s="1058">
        <v>106</v>
      </c>
      <c r="CH52" s="1059"/>
      <c r="CI52" s="1058">
        <v>106</v>
      </c>
      <c r="CJ52" s="1059"/>
      <c r="CK52" s="1058">
        <v>106</v>
      </c>
      <c r="CL52" s="1059"/>
      <c r="CM52" s="1058">
        <v>106</v>
      </c>
      <c r="CN52" s="1059"/>
      <c r="CO52" s="1058">
        <v>106</v>
      </c>
      <c r="CP52" s="1059"/>
      <c r="CQ52" s="1058">
        <v>185</v>
      </c>
      <c r="CR52" s="1059"/>
      <c r="CS52" s="1058">
        <v>185</v>
      </c>
      <c r="CT52" s="1059"/>
      <c r="CU52" s="1058">
        <v>0</v>
      </c>
      <c r="CV52" s="1059"/>
      <c r="CW52" s="1058">
        <v>0</v>
      </c>
      <c r="CX52" s="1059"/>
      <c r="CY52" s="1058">
        <v>0</v>
      </c>
      <c r="CZ52" s="1059"/>
      <c r="DA52" s="1058">
        <v>0</v>
      </c>
      <c r="DB52" s="1060"/>
      <c r="DC52" s="1061">
        <v>0</v>
      </c>
      <c r="DD52" s="1062"/>
      <c r="DE52" s="1063">
        <v>0</v>
      </c>
      <c r="DF52" s="981"/>
      <c r="DG52" s="1053" t="s">
        <v>508</v>
      </c>
      <c r="DH52" s="1054"/>
      <c r="DI52" s="1055"/>
      <c r="DJ52" s="1055"/>
      <c r="DK52" s="1056"/>
      <c r="DL52" s="1055"/>
      <c r="DM52" s="1057"/>
      <c r="DN52" s="1058">
        <v>0</v>
      </c>
      <c r="DO52" s="1059"/>
      <c r="DP52" s="1058">
        <v>0</v>
      </c>
      <c r="DQ52" s="1059"/>
      <c r="DR52" s="1058">
        <v>0</v>
      </c>
      <c r="DS52" s="1059"/>
      <c r="DT52" s="1058">
        <v>0</v>
      </c>
      <c r="DU52" s="1059"/>
      <c r="DV52" s="1058">
        <v>0</v>
      </c>
      <c r="DW52" s="1059"/>
      <c r="DX52" s="1058">
        <v>0</v>
      </c>
      <c r="DY52" s="1059"/>
      <c r="DZ52" s="1058">
        <v>0</v>
      </c>
      <c r="EA52" s="1059"/>
      <c r="EB52" s="1058">
        <v>0</v>
      </c>
      <c r="EC52" s="1059"/>
      <c r="ED52" s="1058">
        <v>106</v>
      </c>
      <c r="EE52" s="1059"/>
      <c r="EF52" s="1058">
        <v>106</v>
      </c>
      <c r="EG52" s="1059"/>
      <c r="EH52" s="1058">
        <v>106</v>
      </c>
      <c r="EI52" s="1059"/>
      <c r="EJ52" s="1058">
        <v>106</v>
      </c>
      <c r="EK52" s="1059"/>
      <c r="EL52" s="1058">
        <v>106</v>
      </c>
      <c r="EM52" s="1059"/>
      <c r="EN52" s="1058">
        <v>106</v>
      </c>
      <c r="EO52" s="1059"/>
      <c r="EP52" s="1058">
        <v>106</v>
      </c>
      <c r="EQ52" s="1059"/>
      <c r="ER52" s="1058">
        <v>106</v>
      </c>
      <c r="ES52" s="1059"/>
      <c r="ET52" s="1058">
        <v>185</v>
      </c>
      <c r="EU52" s="1059"/>
      <c r="EV52" s="1058">
        <v>185</v>
      </c>
      <c r="EW52" s="1059"/>
      <c r="EX52" s="1058">
        <v>0</v>
      </c>
      <c r="EY52" s="1059"/>
      <c r="EZ52" s="1058">
        <v>0</v>
      </c>
      <c r="FA52" s="1059"/>
      <c r="FB52" s="1058">
        <v>0</v>
      </c>
      <c r="FC52" s="1059"/>
      <c r="FD52" s="1058">
        <v>0</v>
      </c>
      <c r="FE52" s="1060"/>
      <c r="FF52" s="1061">
        <v>0</v>
      </c>
      <c r="FG52" s="1062"/>
      <c r="FH52" s="1063">
        <v>0</v>
      </c>
      <c r="FI52" s="981"/>
      <c r="FJ52" s="1053" t="s">
        <v>680</v>
      </c>
      <c r="FK52" s="1054"/>
      <c r="FL52" s="1055"/>
      <c r="FM52" s="1055"/>
      <c r="FN52" s="1056"/>
      <c r="FO52" s="1055"/>
      <c r="FP52" s="1064"/>
      <c r="FQ52" s="1065"/>
      <c r="FR52" s="1058">
        <v>0</v>
      </c>
      <c r="FS52" s="1066"/>
      <c r="FT52" s="1065"/>
      <c r="FU52" s="1067">
        <v>0</v>
      </c>
      <c r="FV52" s="1068">
        <v>12</v>
      </c>
      <c r="FW52" s="1069">
        <v>106</v>
      </c>
      <c r="FX52" s="1070">
        <v>12</v>
      </c>
      <c r="FY52" s="1069">
        <v>106</v>
      </c>
      <c r="FZ52" s="1070">
        <v>12</v>
      </c>
      <c r="GA52" s="1069">
        <v>106</v>
      </c>
      <c r="GB52" s="1071" t="s">
        <v>366</v>
      </c>
      <c r="GC52" s="1072">
        <v>106</v>
      </c>
      <c r="GD52" s="1071" t="s">
        <v>815</v>
      </c>
      <c r="GE52" s="1073">
        <v>0</v>
      </c>
      <c r="GF52" s="688"/>
      <c r="GG52" s="990"/>
      <c r="GH52" s="990"/>
      <c r="GI52" s="990"/>
      <c r="GJ52" s="936"/>
      <c r="GK52" s="733"/>
      <c r="GL52" s="1074"/>
      <c r="GM52" s="1075"/>
      <c r="GN52" s="1075"/>
      <c r="GO52" s="1076"/>
      <c r="GP52" s="1076"/>
      <c r="GQ52" s="1077"/>
      <c r="GR52" s="953"/>
      <c r="GS52" s="893"/>
      <c r="GT52" s="861"/>
      <c r="GU52" s="530" t="s">
        <v>566</v>
      </c>
      <c r="GV52" s="733"/>
      <c r="GW52" s="936"/>
      <c r="GX52" s="733"/>
      <c r="GY52" s="413"/>
      <c r="GZ52" s="1078"/>
      <c r="HA52" s="953"/>
      <c r="HB52" s="1078"/>
      <c r="HC52" s="562"/>
      <c r="HD52" s="415"/>
    </row>
    <row r="53" spans="1:212" ht="20.100000000000001" customHeight="1" thickTop="1">
      <c r="A53" s="1079" t="s">
        <v>344</v>
      </c>
      <c r="B53" s="1080"/>
      <c r="C53" s="1081"/>
      <c r="D53" s="1081"/>
      <c r="E53" s="1082"/>
      <c r="F53" s="1083"/>
      <c r="G53" s="1084"/>
      <c r="H53" s="1085">
        <v>0</v>
      </c>
      <c r="I53" s="1086"/>
      <c r="J53" s="1085">
        <v>0</v>
      </c>
      <c r="K53" s="1086"/>
      <c r="L53" s="1085">
        <v>0</v>
      </c>
      <c r="M53" s="1086"/>
      <c r="N53" s="1085">
        <v>0</v>
      </c>
      <c r="O53" s="1086"/>
      <c r="P53" s="1085">
        <v>0</v>
      </c>
      <c r="Q53" s="1086"/>
      <c r="R53" s="1085">
        <v>0</v>
      </c>
      <c r="S53" s="1086"/>
      <c r="T53" s="1085">
        <v>0</v>
      </c>
      <c r="U53" s="1086"/>
      <c r="V53" s="1085">
        <v>0</v>
      </c>
      <c r="W53" s="1086"/>
      <c r="X53" s="1085">
        <v>881</v>
      </c>
      <c r="Y53" s="1086"/>
      <c r="Z53" s="1085">
        <v>871</v>
      </c>
      <c r="AA53" s="1086"/>
      <c r="AB53" s="1085">
        <v>920</v>
      </c>
      <c r="AC53" s="1086"/>
      <c r="AD53" s="1085">
        <v>933</v>
      </c>
      <c r="AE53" s="1086"/>
      <c r="AF53" s="1085">
        <v>932</v>
      </c>
      <c r="AG53" s="1086"/>
      <c r="AH53" s="1085">
        <v>921</v>
      </c>
      <c r="AI53" s="1086"/>
      <c r="AJ53" s="1085">
        <v>896</v>
      </c>
      <c r="AK53" s="1086"/>
      <c r="AL53" s="1085">
        <v>876</v>
      </c>
      <c r="AM53" s="1086"/>
      <c r="AN53" s="1085">
        <v>981</v>
      </c>
      <c r="AO53" s="1086"/>
      <c r="AP53" s="1085">
        <v>944</v>
      </c>
      <c r="AQ53" s="1086"/>
      <c r="AR53" s="1085">
        <v>0</v>
      </c>
      <c r="AS53" s="1086"/>
      <c r="AT53" s="1085">
        <v>0</v>
      </c>
      <c r="AU53" s="1086"/>
      <c r="AV53" s="1085">
        <v>0</v>
      </c>
      <c r="AW53" s="1086"/>
      <c r="AX53" s="1085">
        <v>0</v>
      </c>
      <c r="AY53" s="1087"/>
      <c r="AZ53" s="1088">
        <v>0</v>
      </c>
      <c r="BA53" s="1089"/>
      <c r="BB53" s="1090">
        <v>0</v>
      </c>
      <c r="BC53" s="981"/>
      <c r="BD53" s="1079" t="s">
        <v>681</v>
      </c>
      <c r="BE53" s="1080"/>
      <c r="BF53" s="1081"/>
      <c r="BG53" s="1081"/>
      <c r="BH53" s="1082"/>
      <c r="BI53" s="1083"/>
      <c r="BJ53" s="1084"/>
      <c r="BK53" s="1085">
        <v>0</v>
      </c>
      <c r="BL53" s="1086"/>
      <c r="BM53" s="1085">
        <v>0</v>
      </c>
      <c r="BN53" s="1086"/>
      <c r="BO53" s="1085">
        <v>0</v>
      </c>
      <c r="BP53" s="1086"/>
      <c r="BQ53" s="1085">
        <v>0</v>
      </c>
      <c r="BR53" s="1086"/>
      <c r="BS53" s="1085">
        <v>0</v>
      </c>
      <c r="BT53" s="1086"/>
      <c r="BU53" s="1085">
        <v>0</v>
      </c>
      <c r="BV53" s="1086"/>
      <c r="BW53" s="1085">
        <v>0</v>
      </c>
      <c r="BX53" s="1086"/>
      <c r="BY53" s="1085">
        <v>0</v>
      </c>
      <c r="BZ53" s="1086"/>
      <c r="CA53" s="1085">
        <v>951</v>
      </c>
      <c r="CB53" s="1086"/>
      <c r="CC53" s="1085">
        <v>940</v>
      </c>
      <c r="CD53" s="1086"/>
      <c r="CE53" s="1085">
        <v>979</v>
      </c>
      <c r="CF53" s="1086"/>
      <c r="CG53" s="1085">
        <v>974</v>
      </c>
      <c r="CH53" s="1086"/>
      <c r="CI53" s="1085">
        <v>948</v>
      </c>
      <c r="CJ53" s="1086"/>
      <c r="CK53" s="1085">
        <v>913</v>
      </c>
      <c r="CL53" s="1086"/>
      <c r="CM53" s="1085">
        <v>886</v>
      </c>
      <c r="CN53" s="1086"/>
      <c r="CO53" s="1085">
        <v>855</v>
      </c>
      <c r="CP53" s="1086"/>
      <c r="CQ53" s="1085">
        <v>976</v>
      </c>
      <c r="CR53" s="1086"/>
      <c r="CS53" s="1085">
        <v>934</v>
      </c>
      <c r="CT53" s="1086"/>
      <c r="CU53" s="1085">
        <v>0</v>
      </c>
      <c r="CV53" s="1086"/>
      <c r="CW53" s="1085">
        <v>0</v>
      </c>
      <c r="CX53" s="1086"/>
      <c r="CY53" s="1085">
        <v>0</v>
      </c>
      <c r="CZ53" s="1086"/>
      <c r="DA53" s="1085">
        <v>0</v>
      </c>
      <c r="DB53" s="1087"/>
      <c r="DC53" s="1088">
        <v>0</v>
      </c>
      <c r="DD53" s="1089"/>
      <c r="DE53" s="1090">
        <v>0</v>
      </c>
      <c r="DF53" s="981"/>
      <c r="DG53" s="1079" t="s">
        <v>681</v>
      </c>
      <c r="DH53" s="1080"/>
      <c r="DI53" s="1081"/>
      <c r="DJ53" s="1081"/>
      <c r="DK53" s="1082"/>
      <c r="DL53" s="1083"/>
      <c r="DM53" s="1084"/>
      <c r="DN53" s="1085">
        <v>0</v>
      </c>
      <c r="DO53" s="1086"/>
      <c r="DP53" s="1085">
        <v>0</v>
      </c>
      <c r="DQ53" s="1086"/>
      <c r="DR53" s="1085">
        <v>0</v>
      </c>
      <c r="DS53" s="1086"/>
      <c r="DT53" s="1085">
        <v>0</v>
      </c>
      <c r="DU53" s="1086"/>
      <c r="DV53" s="1085">
        <v>0</v>
      </c>
      <c r="DW53" s="1086"/>
      <c r="DX53" s="1085">
        <v>0</v>
      </c>
      <c r="DY53" s="1086"/>
      <c r="DZ53" s="1085">
        <v>0</v>
      </c>
      <c r="EA53" s="1086"/>
      <c r="EB53" s="1085">
        <v>0</v>
      </c>
      <c r="EC53" s="1086"/>
      <c r="ED53" s="1085">
        <v>844</v>
      </c>
      <c r="EE53" s="1086"/>
      <c r="EF53" s="1085">
        <v>846</v>
      </c>
      <c r="EG53" s="1086"/>
      <c r="EH53" s="1085">
        <v>890</v>
      </c>
      <c r="EI53" s="1086"/>
      <c r="EJ53" s="1085">
        <v>894</v>
      </c>
      <c r="EK53" s="1086"/>
      <c r="EL53" s="1085">
        <v>864</v>
      </c>
      <c r="EM53" s="1086"/>
      <c r="EN53" s="1085">
        <v>824</v>
      </c>
      <c r="EO53" s="1086"/>
      <c r="EP53" s="1085">
        <v>796</v>
      </c>
      <c r="EQ53" s="1086"/>
      <c r="ER53" s="1085">
        <v>772</v>
      </c>
      <c r="ES53" s="1086"/>
      <c r="ET53" s="1085">
        <v>876</v>
      </c>
      <c r="EU53" s="1086"/>
      <c r="EV53" s="1085">
        <v>829</v>
      </c>
      <c r="EW53" s="1086"/>
      <c r="EX53" s="1085">
        <v>0</v>
      </c>
      <c r="EY53" s="1086"/>
      <c r="EZ53" s="1085">
        <v>0</v>
      </c>
      <c r="FA53" s="1086"/>
      <c r="FB53" s="1085">
        <v>0</v>
      </c>
      <c r="FC53" s="1086"/>
      <c r="FD53" s="1085">
        <v>0</v>
      </c>
      <c r="FE53" s="1087"/>
      <c r="FF53" s="1088">
        <v>0</v>
      </c>
      <c r="FG53" s="1089"/>
      <c r="FH53" s="1090">
        <v>0</v>
      </c>
      <c r="FI53" s="981"/>
      <c r="FJ53" s="1079" t="s">
        <v>344</v>
      </c>
      <c r="FK53" s="1080"/>
      <c r="FL53" s="1081"/>
      <c r="FM53" s="1081"/>
      <c r="FN53" s="1082"/>
      <c r="FO53" s="1083"/>
      <c r="FP53" s="1091"/>
      <c r="FQ53" s="1092"/>
      <c r="FR53" s="1085">
        <v>1577</v>
      </c>
      <c r="FS53" s="1093"/>
      <c r="FT53" s="1092"/>
      <c r="FU53" s="1094">
        <v>1599</v>
      </c>
      <c r="FV53" s="1095">
        <v>12</v>
      </c>
      <c r="FW53" s="1096">
        <v>933</v>
      </c>
      <c r="FX53" s="1097">
        <v>12</v>
      </c>
      <c r="FY53" s="1096">
        <v>974</v>
      </c>
      <c r="FZ53" s="1097">
        <v>12</v>
      </c>
      <c r="GA53" s="1096">
        <v>894</v>
      </c>
      <c r="GB53" s="1098" t="s">
        <v>366</v>
      </c>
      <c r="GC53" s="1096">
        <v>933</v>
      </c>
      <c r="GD53" s="1098" t="s">
        <v>815</v>
      </c>
      <c r="GE53" s="1099">
        <v>1599</v>
      </c>
      <c r="GF53" s="688"/>
      <c r="GG53" s="990"/>
      <c r="GH53" s="990"/>
      <c r="GI53" s="990"/>
      <c r="GJ53" s="953"/>
      <c r="GK53" s="413"/>
      <c r="GL53" s="1100">
        <v>10</v>
      </c>
      <c r="GM53" s="1101">
        <v>1</v>
      </c>
      <c r="GN53" s="1102">
        <v>0.92</v>
      </c>
      <c r="GO53" s="1103">
        <v>4.2</v>
      </c>
      <c r="GP53" s="1103">
        <v>7</v>
      </c>
      <c r="GQ53" s="1104">
        <v>11.2</v>
      </c>
      <c r="GR53" s="580"/>
      <c r="GS53" s="483"/>
      <c r="GT53" s="861"/>
      <c r="GU53" s="580" t="s">
        <v>927</v>
      </c>
      <c r="GV53" s="580"/>
      <c r="GW53" s="580"/>
      <c r="GX53" s="580"/>
      <c r="GY53" s="413"/>
      <c r="GZ53" s="409"/>
      <c r="HA53" s="615">
        <v>28.7</v>
      </c>
      <c r="HB53" s="579" t="s">
        <v>705</v>
      </c>
      <c r="HC53" s="799"/>
      <c r="HD53" s="415"/>
    </row>
    <row r="54" spans="1:212" ht="20.100000000000001" customHeight="1">
      <c r="A54" s="1105" t="s">
        <v>345</v>
      </c>
      <c r="B54" s="1106"/>
      <c r="C54" s="1107"/>
      <c r="D54" s="1108"/>
      <c r="E54" s="1109"/>
      <c r="F54" s="1110"/>
      <c r="G54" s="1111"/>
      <c r="H54" s="1112">
        <v>0</v>
      </c>
      <c r="I54" s="1113"/>
      <c r="J54" s="1112">
        <v>0</v>
      </c>
      <c r="K54" s="1113"/>
      <c r="L54" s="1112">
        <v>0</v>
      </c>
      <c r="M54" s="1113"/>
      <c r="N54" s="1112">
        <v>0</v>
      </c>
      <c r="O54" s="1113"/>
      <c r="P54" s="1112">
        <v>0</v>
      </c>
      <c r="Q54" s="1113"/>
      <c r="R54" s="1112">
        <v>0</v>
      </c>
      <c r="S54" s="1113"/>
      <c r="T54" s="1112">
        <v>0</v>
      </c>
      <c r="U54" s="1113"/>
      <c r="V54" s="1112">
        <v>0</v>
      </c>
      <c r="W54" s="1113"/>
      <c r="X54" s="1112">
        <v>66.599999999999994</v>
      </c>
      <c r="Y54" s="1113"/>
      <c r="Z54" s="1112">
        <v>65.8</v>
      </c>
      <c r="AA54" s="1113"/>
      <c r="AB54" s="1112">
        <v>69.5</v>
      </c>
      <c r="AC54" s="1113"/>
      <c r="AD54" s="1112">
        <v>70.5</v>
      </c>
      <c r="AE54" s="1113"/>
      <c r="AF54" s="1112">
        <v>70.400000000000006</v>
      </c>
      <c r="AG54" s="1113"/>
      <c r="AH54" s="1112">
        <v>69.599999999999994</v>
      </c>
      <c r="AI54" s="1113"/>
      <c r="AJ54" s="1112">
        <v>67.7</v>
      </c>
      <c r="AK54" s="1113"/>
      <c r="AL54" s="1112">
        <v>66.2</v>
      </c>
      <c r="AM54" s="1113"/>
      <c r="AN54" s="1112">
        <v>74.099999999999994</v>
      </c>
      <c r="AO54" s="1113"/>
      <c r="AP54" s="1112">
        <v>71.400000000000006</v>
      </c>
      <c r="AQ54" s="1113"/>
      <c r="AR54" s="1112">
        <v>0</v>
      </c>
      <c r="AS54" s="1113"/>
      <c r="AT54" s="1112">
        <v>0</v>
      </c>
      <c r="AU54" s="1113"/>
      <c r="AV54" s="1112">
        <v>0</v>
      </c>
      <c r="AW54" s="1113"/>
      <c r="AX54" s="1112">
        <v>0</v>
      </c>
      <c r="AY54" s="1113"/>
      <c r="AZ54" s="1112">
        <v>0</v>
      </c>
      <c r="BA54" s="1113"/>
      <c r="BB54" s="1114">
        <v>0</v>
      </c>
      <c r="BC54" s="1017"/>
      <c r="BD54" s="1105" t="s">
        <v>345</v>
      </c>
      <c r="BE54" s="1106"/>
      <c r="BF54" s="1107"/>
      <c r="BG54" s="1108"/>
      <c r="BH54" s="1109"/>
      <c r="BI54" s="1110"/>
      <c r="BJ54" s="1111"/>
      <c r="BK54" s="1112">
        <v>0</v>
      </c>
      <c r="BL54" s="1113"/>
      <c r="BM54" s="1112">
        <v>0</v>
      </c>
      <c r="BN54" s="1113"/>
      <c r="BO54" s="1112">
        <v>0</v>
      </c>
      <c r="BP54" s="1113"/>
      <c r="BQ54" s="1112">
        <v>0</v>
      </c>
      <c r="BR54" s="1113"/>
      <c r="BS54" s="1112">
        <v>0</v>
      </c>
      <c r="BT54" s="1113"/>
      <c r="BU54" s="1112">
        <v>0</v>
      </c>
      <c r="BV54" s="1113"/>
      <c r="BW54" s="1112">
        <v>0</v>
      </c>
      <c r="BX54" s="1113"/>
      <c r="BY54" s="1112">
        <v>0</v>
      </c>
      <c r="BZ54" s="1113"/>
      <c r="CA54" s="1112">
        <v>71.900000000000006</v>
      </c>
      <c r="CB54" s="1113"/>
      <c r="CC54" s="1112">
        <v>71.099999999999994</v>
      </c>
      <c r="CD54" s="1113"/>
      <c r="CE54" s="1112">
        <v>74</v>
      </c>
      <c r="CF54" s="1113"/>
      <c r="CG54" s="1112">
        <v>73.599999999999994</v>
      </c>
      <c r="CH54" s="1113"/>
      <c r="CI54" s="1112">
        <v>71.7</v>
      </c>
      <c r="CJ54" s="1113"/>
      <c r="CK54" s="1112">
        <v>69</v>
      </c>
      <c r="CL54" s="1113"/>
      <c r="CM54" s="1112">
        <v>67</v>
      </c>
      <c r="CN54" s="1113"/>
      <c r="CO54" s="1112">
        <v>64.599999999999994</v>
      </c>
      <c r="CP54" s="1113"/>
      <c r="CQ54" s="1112">
        <v>73.8</v>
      </c>
      <c r="CR54" s="1113"/>
      <c r="CS54" s="1112">
        <v>70.599999999999994</v>
      </c>
      <c r="CT54" s="1113"/>
      <c r="CU54" s="1112">
        <v>0</v>
      </c>
      <c r="CV54" s="1113"/>
      <c r="CW54" s="1112">
        <v>0</v>
      </c>
      <c r="CX54" s="1113"/>
      <c r="CY54" s="1112">
        <v>0</v>
      </c>
      <c r="CZ54" s="1113"/>
      <c r="DA54" s="1112">
        <v>0</v>
      </c>
      <c r="DB54" s="1113"/>
      <c r="DC54" s="1112">
        <v>0</v>
      </c>
      <c r="DD54" s="1113"/>
      <c r="DE54" s="1114">
        <v>0</v>
      </c>
      <c r="DF54" s="1017"/>
      <c r="DG54" s="1105" t="s">
        <v>345</v>
      </c>
      <c r="DH54" s="1106"/>
      <c r="DI54" s="1107"/>
      <c r="DJ54" s="1108"/>
      <c r="DK54" s="1109"/>
      <c r="DL54" s="1110"/>
      <c r="DM54" s="1111"/>
      <c r="DN54" s="1112">
        <v>0</v>
      </c>
      <c r="DO54" s="1113"/>
      <c r="DP54" s="1112">
        <v>0</v>
      </c>
      <c r="DQ54" s="1113"/>
      <c r="DR54" s="1112">
        <v>0</v>
      </c>
      <c r="DS54" s="1113"/>
      <c r="DT54" s="1112">
        <v>0</v>
      </c>
      <c r="DU54" s="1113"/>
      <c r="DV54" s="1112">
        <v>0</v>
      </c>
      <c r="DW54" s="1113"/>
      <c r="DX54" s="1112">
        <v>0</v>
      </c>
      <c r="DY54" s="1113"/>
      <c r="DZ54" s="1112">
        <v>0</v>
      </c>
      <c r="EA54" s="1113"/>
      <c r="EB54" s="1112">
        <v>0</v>
      </c>
      <c r="EC54" s="1113"/>
      <c r="ED54" s="1112">
        <v>63.8</v>
      </c>
      <c r="EE54" s="1113"/>
      <c r="EF54" s="1112">
        <v>63.9</v>
      </c>
      <c r="EG54" s="1113"/>
      <c r="EH54" s="1112">
        <v>67.3</v>
      </c>
      <c r="EI54" s="1113"/>
      <c r="EJ54" s="1112">
        <v>67.599999999999994</v>
      </c>
      <c r="EK54" s="1113"/>
      <c r="EL54" s="1112">
        <v>65.3</v>
      </c>
      <c r="EM54" s="1113"/>
      <c r="EN54" s="1112">
        <v>62.3</v>
      </c>
      <c r="EO54" s="1113"/>
      <c r="EP54" s="1112">
        <v>60.2</v>
      </c>
      <c r="EQ54" s="1113"/>
      <c r="ER54" s="1112">
        <v>58.4</v>
      </c>
      <c r="ES54" s="1113"/>
      <c r="ET54" s="1112">
        <v>66.2</v>
      </c>
      <c r="EU54" s="1113"/>
      <c r="EV54" s="1112">
        <v>62.7</v>
      </c>
      <c r="EW54" s="1113"/>
      <c r="EX54" s="1112">
        <v>0</v>
      </c>
      <c r="EY54" s="1113"/>
      <c r="EZ54" s="1112">
        <v>0</v>
      </c>
      <c r="FA54" s="1113"/>
      <c r="FB54" s="1112">
        <v>0</v>
      </c>
      <c r="FC54" s="1113"/>
      <c r="FD54" s="1112">
        <v>0</v>
      </c>
      <c r="FE54" s="1113"/>
      <c r="FF54" s="1112">
        <v>0</v>
      </c>
      <c r="FG54" s="1113"/>
      <c r="FH54" s="1114">
        <v>0</v>
      </c>
      <c r="FI54" s="1017"/>
      <c r="FJ54" s="1105" t="s">
        <v>682</v>
      </c>
      <c r="FK54" s="1106"/>
      <c r="FL54" s="1107"/>
      <c r="FM54" s="1108"/>
      <c r="FN54" s="1109"/>
      <c r="FO54" s="1110"/>
      <c r="FP54" s="1115"/>
      <c r="FQ54" s="1113"/>
      <c r="FR54" s="1112">
        <v>119.2</v>
      </c>
      <c r="FS54" s="1116"/>
      <c r="FT54" s="1113"/>
      <c r="FU54" s="1117">
        <v>120.9</v>
      </c>
      <c r="FV54" s="1116"/>
      <c r="FW54" s="1112">
        <f>IF(面積=0,0,ROUND(FW53/面積,1))</f>
        <v>70.5</v>
      </c>
      <c r="FX54" s="1116"/>
      <c r="FY54" s="1112">
        <f>IF(面積=0,0,ROUND(FY53/面積,1))</f>
        <v>73.599999999999994</v>
      </c>
      <c r="FZ54" s="1116"/>
      <c r="GA54" s="1112">
        <f>IF(面積=0,0,ROUND(GA53/面積,1))</f>
        <v>67.599999999999994</v>
      </c>
      <c r="GB54" s="1116"/>
      <c r="GC54" s="1112">
        <f>IF(面積=0,0,ROUND(GC53/面積,1))</f>
        <v>70.5</v>
      </c>
      <c r="GD54" s="1116"/>
      <c r="GE54" s="1114">
        <f>IF(面積=0,0,ROUND(GE53/面積,1))</f>
        <v>120.9</v>
      </c>
      <c r="GF54" s="688"/>
      <c r="GG54" s="937"/>
      <c r="GH54" s="937"/>
      <c r="GI54" s="937"/>
      <c r="GJ54" s="580"/>
      <c r="GK54" s="579"/>
      <c r="GL54" s="1100">
        <v>11</v>
      </c>
      <c r="GM54" s="1101">
        <v>2</v>
      </c>
      <c r="GN54" s="1102">
        <v>0.85</v>
      </c>
      <c r="GO54" s="1103">
        <v>3.9</v>
      </c>
      <c r="GP54" s="1103">
        <v>7</v>
      </c>
      <c r="GQ54" s="1104">
        <v>10.9</v>
      </c>
      <c r="GR54" s="530"/>
      <c r="GS54" s="580"/>
      <c r="GT54" s="861"/>
      <c r="GU54" s="1118" t="s">
        <v>728</v>
      </c>
      <c r="GV54" s="1118"/>
      <c r="GW54" s="1118"/>
      <c r="GX54" s="1118"/>
      <c r="GY54" s="775"/>
      <c r="GZ54" s="1119"/>
      <c r="HA54" s="1120">
        <v>59.5</v>
      </c>
      <c r="HB54" s="1121" t="s">
        <v>705</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3.6</v>
      </c>
      <c r="GP55" s="1103">
        <v>7</v>
      </c>
      <c r="GQ55" s="1104">
        <v>10.6</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759</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3.3</v>
      </c>
      <c r="GP56" s="1103">
        <v>7</v>
      </c>
      <c r="GQ56" s="1104">
        <v>10.3</v>
      </c>
      <c r="GR56" s="530"/>
      <c r="GS56" s="529"/>
      <c r="GT56" s="1303"/>
      <c r="GU56" s="578"/>
      <c r="GV56" s="579"/>
      <c r="GW56" s="578"/>
      <c r="GX56" s="579"/>
      <c r="GY56" s="579"/>
      <c r="GZ56" s="500"/>
      <c r="HA56" s="578"/>
      <c r="HB56" s="500"/>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3</v>
      </c>
      <c r="GP57" s="1103">
        <v>7</v>
      </c>
      <c r="GQ57" s="1104">
        <v>10</v>
      </c>
      <c r="GR57" s="953"/>
      <c r="GS57" s="529"/>
      <c r="GT57" s="1303"/>
      <c r="GU57" s="578"/>
      <c r="GV57" s="578"/>
      <c r="GW57" s="500"/>
      <c r="GX57" s="1306"/>
      <c r="GY57" s="579"/>
      <c r="GZ57" s="500"/>
      <c r="HA57" s="578"/>
      <c r="HB57" s="500"/>
      <c r="HC57" s="1052"/>
    </row>
    <row r="58" spans="1:212" ht="20.100000000000001" customHeight="1">
      <c r="A58" s="1163" t="s">
        <v>929</v>
      </c>
      <c r="B58" s="1164"/>
      <c r="C58" s="1164"/>
      <c r="D58" s="1164"/>
      <c r="E58" s="1165"/>
      <c r="F58" s="1166"/>
      <c r="G58" s="1167"/>
      <c r="H58" s="1168"/>
      <c r="I58" s="1169"/>
      <c r="J58" s="1168"/>
      <c r="K58" s="1169"/>
      <c r="L58" s="1168"/>
      <c r="M58" s="1169"/>
      <c r="N58" s="1168"/>
      <c r="O58" s="1169"/>
      <c r="P58" s="1168"/>
      <c r="Q58" s="1169"/>
      <c r="R58" s="1168"/>
      <c r="S58" s="1169"/>
      <c r="T58" s="1168"/>
      <c r="U58" s="1169"/>
      <c r="V58" s="1168"/>
      <c r="W58" s="1169"/>
      <c r="X58" s="1168">
        <v>120</v>
      </c>
      <c r="Y58" s="1169"/>
      <c r="Z58" s="1168">
        <v>120</v>
      </c>
      <c r="AA58" s="1169"/>
      <c r="AB58" s="1168">
        <v>120</v>
      </c>
      <c r="AC58" s="1169"/>
      <c r="AD58" s="1168">
        <v>120</v>
      </c>
      <c r="AE58" s="1169"/>
      <c r="AF58" s="1168">
        <v>120</v>
      </c>
      <c r="AG58" s="1169"/>
      <c r="AH58" s="1168">
        <v>120</v>
      </c>
      <c r="AI58" s="1169"/>
      <c r="AJ58" s="1168">
        <v>120</v>
      </c>
      <c r="AK58" s="1169"/>
      <c r="AL58" s="1168">
        <v>120</v>
      </c>
      <c r="AM58" s="1169"/>
      <c r="AN58" s="1168">
        <v>120</v>
      </c>
      <c r="AO58" s="1169"/>
      <c r="AP58" s="1168">
        <v>120</v>
      </c>
      <c r="AQ58" s="1169"/>
      <c r="AR58" s="1168"/>
      <c r="AS58" s="1169"/>
      <c r="AT58" s="1168"/>
      <c r="AU58" s="1169"/>
      <c r="AV58" s="1168"/>
      <c r="AW58" s="1169"/>
      <c r="AX58" s="1168"/>
      <c r="AY58" s="1169"/>
      <c r="AZ58" s="1168"/>
      <c r="BA58" s="1169"/>
      <c r="BB58" s="561"/>
      <c r="BC58" s="563"/>
      <c r="BD58" s="1163" t="s">
        <v>612</v>
      </c>
      <c r="BE58" s="1164"/>
      <c r="BF58" s="1164"/>
      <c r="BG58" s="1164"/>
      <c r="BH58" s="1165"/>
      <c r="BI58" s="1166"/>
      <c r="BJ58" s="1167"/>
      <c r="BK58" s="1168"/>
      <c r="BL58" s="1169"/>
      <c r="BM58" s="1168"/>
      <c r="BN58" s="1169"/>
      <c r="BO58" s="1168"/>
      <c r="BP58" s="1169"/>
      <c r="BQ58" s="1168"/>
      <c r="BR58" s="1169"/>
      <c r="BS58" s="1168"/>
      <c r="BT58" s="1169"/>
      <c r="BU58" s="1168"/>
      <c r="BV58" s="1169"/>
      <c r="BW58" s="1168"/>
      <c r="BX58" s="1169"/>
      <c r="BY58" s="1168"/>
      <c r="BZ58" s="1169"/>
      <c r="CA58" s="1168">
        <v>120</v>
      </c>
      <c r="CB58" s="1169"/>
      <c r="CC58" s="1168">
        <v>120</v>
      </c>
      <c r="CD58" s="1169"/>
      <c r="CE58" s="1168">
        <v>120</v>
      </c>
      <c r="CF58" s="1169"/>
      <c r="CG58" s="1168">
        <v>120</v>
      </c>
      <c r="CH58" s="1169"/>
      <c r="CI58" s="1168">
        <v>120</v>
      </c>
      <c r="CJ58" s="1169"/>
      <c r="CK58" s="1168">
        <v>120</v>
      </c>
      <c r="CL58" s="1169"/>
      <c r="CM58" s="1168">
        <v>120</v>
      </c>
      <c r="CN58" s="1169"/>
      <c r="CO58" s="1168">
        <v>120</v>
      </c>
      <c r="CP58" s="1169"/>
      <c r="CQ58" s="1168">
        <v>120</v>
      </c>
      <c r="CR58" s="1169"/>
      <c r="CS58" s="1168">
        <v>120</v>
      </c>
      <c r="CT58" s="1169"/>
      <c r="CU58" s="1168"/>
      <c r="CV58" s="1169"/>
      <c r="CW58" s="1168"/>
      <c r="CX58" s="1169"/>
      <c r="CY58" s="1168"/>
      <c r="CZ58" s="1169"/>
      <c r="DA58" s="1168"/>
      <c r="DB58" s="1169"/>
      <c r="DC58" s="1168"/>
      <c r="DD58" s="1169"/>
      <c r="DE58" s="561"/>
      <c r="DF58" s="562"/>
      <c r="DG58" s="1163" t="s">
        <v>737</v>
      </c>
      <c r="DH58" s="1164"/>
      <c r="DI58" s="1164"/>
      <c r="DJ58" s="1164"/>
      <c r="DK58" s="1165"/>
      <c r="DL58" s="1166"/>
      <c r="DM58" s="1167"/>
      <c r="DN58" s="1168"/>
      <c r="DO58" s="1169"/>
      <c r="DP58" s="1168"/>
      <c r="DQ58" s="1169"/>
      <c r="DR58" s="1168"/>
      <c r="DS58" s="1169"/>
      <c r="DT58" s="1168"/>
      <c r="DU58" s="1169"/>
      <c r="DV58" s="1168"/>
      <c r="DW58" s="1169"/>
      <c r="DX58" s="1168"/>
      <c r="DY58" s="1169"/>
      <c r="DZ58" s="1168"/>
      <c r="EA58" s="1169"/>
      <c r="EB58" s="1168"/>
      <c r="EC58" s="1169"/>
      <c r="ED58" s="1168">
        <v>120</v>
      </c>
      <c r="EE58" s="1169"/>
      <c r="EF58" s="1168">
        <v>120</v>
      </c>
      <c r="EG58" s="1169"/>
      <c r="EH58" s="1168">
        <v>120</v>
      </c>
      <c r="EI58" s="1169"/>
      <c r="EJ58" s="1168">
        <v>120</v>
      </c>
      <c r="EK58" s="1169"/>
      <c r="EL58" s="1168">
        <v>120</v>
      </c>
      <c r="EM58" s="1169"/>
      <c r="EN58" s="1168">
        <v>120</v>
      </c>
      <c r="EO58" s="1169"/>
      <c r="EP58" s="1168">
        <v>120</v>
      </c>
      <c r="EQ58" s="1169"/>
      <c r="ER58" s="1168">
        <v>120</v>
      </c>
      <c r="ES58" s="1169"/>
      <c r="ET58" s="1168">
        <v>120</v>
      </c>
      <c r="EU58" s="1169"/>
      <c r="EV58" s="1168">
        <v>120</v>
      </c>
      <c r="EW58" s="1169"/>
      <c r="EX58" s="1168"/>
      <c r="EY58" s="1169"/>
      <c r="EZ58" s="1168"/>
      <c r="FA58" s="1169"/>
      <c r="FB58" s="1168"/>
      <c r="FC58" s="1169"/>
      <c r="FD58" s="1168"/>
      <c r="FE58" s="1169"/>
      <c r="FF58" s="1168"/>
      <c r="FG58" s="1169"/>
      <c r="FH58" s="561"/>
      <c r="FI58" s="563"/>
      <c r="FJ58" s="1163" t="s">
        <v>737</v>
      </c>
      <c r="FK58" s="1164"/>
      <c r="FL58" s="1164"/>
      <c r="FM58" s="1164"/>
      <c r="FN58" s="1165"/>
      <c r="FO58" s="1166"/>
      <c r="FP58" s="1170"/>
      <c r="FQ58" s="1171"/>
      <c r="FR58" s="1168">
        <v>120</v>
      </c>
      <c r="FS58" s="1172"/>
      <c r="FT58" s="1171"/>
      <c r="FU58" s="1173">
        <v>120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2.8</v>
      </c>
      <c r="GP58" s="1103">
        <v>7</v>
      </c>
      <c r="GQ58" s="1104">
        <v>9.8000000000000007</v>
      </c>
      <c r="GR58" s="953"/>
      <c r="GS58" s="530"/>
      <c r="GT58" s="689"/>
      <c r="GU58" s="500"/>
      <c r="GV58" s="578"/>
      <c r="GW58" s="500"/>
      <c r="GX58" s="1306"/>
      <c r="GY58" s="1304"/>
      <c r="GZ58" s="579"/>
      <c r="HA58" s="578"/>
      <c r="HB58" s="500"/>
      <c r="HC58" s="562"/>
      <c r="HD58" s="1179"/>
    </row>
    <row r="59" spans="1:212" ht="20.100000000000001" customHeight="1">
      <c r="A59" s="1180" t="s">
        <v>738</v>
      </c>
      <c r="B59" s="1181"/>
      <c r="C59" s="1181"/>
      <c r="D59" s="1182" t="s">
        <v>615</v>
      </c>
      <c r="E59" s="1183"/>
      <c r="F59" s="1021"/>
      <c r="G59" s="1184">
        <v>0</v>
      </c>
      <c r="H59" s="585">
        <v>0</v>
      </c>
      <c r="I59" s="1185">
        <v>0</v>
      </c>
      <c r="J59" s="587">
        <v>0</v>
      </c>
      <c r="K59" s="1185">
        <v>0</v>
      </c>
      <c r="L59" s="587">
        <v>0</v>
      </c>
      <c r="M59" s="1185">
        <v>0</v>
      </c>
      <c r="N59" s="587">
        <v>0</v>
      </c>
      <c r="O59" s="1185">
        <v>0</v>
      </c>
      <c r="P59" s="587">
        <v>0</v>
      </c>
      <c r="Q59" s="1185">
        <v>0</v>
      </c>
      <c r="R59" s="587">
        <v>0</v>
      </c>
      <c r="S59" s="1185">
        <v>0</v>
      </c>
      <c r="T59" s="587">
        <v>0</v>
      </c>
      <c r="U59" s="1185">
        <v>0</v>
      </c>
      <c r="V59" s="587">
        <v>0</v>
      </c>
      <c r="W59" s="1185">
        <v>23.7</v>
      </c>
      <c r="X59" s="587">
        <v>948</v>
      </c>
      <c r="Y59" s="1185">
        <v>24.6</v>
      </c>
      <c r="Z59" s="587">
        <v>984</v>
      </c>
      <c r="AA59" s="1185">
        <v>24.9</v>
      </c>
      <c r="AB59" s="587">
        <v>996</v>
      </c>
      <c r="AC59" s="1185">
        <v>26.2</v>
      </c>
      <c r="AD59" s="587">
        <v>1048</v>
      </c>
      <c r="AE59" s="1185">
        <v>25.8</v>
      </c>
      <c r="AF59" s="587">
        <v>1032</v>
      </c>
      <c r="AG59" s="1185">
        <v>25.1</v>
      </c>
      <c r="AH59" s="587">
        <v>1004</v>
      </c>
      <c r="AI59" s="1185">
        <v>25.1</v>
      </c>
      <c r="AJ59" s="587">
        <v>1004</v>
      </c>
      <c r="AK59" s="1185">
        <v>24.8</v>
      </c>
      <c r="AL59" s="587">
        <v>992</v>
      </c>
      <c r="AM59" s="1185">
        <v>24.1</v>
      </c>
      <c r="AN59" s="587">
        <v>964</v>
      </c>
      <c r="AO59" s="1185">
        <v>23.4</v>
      </c>
      <c r="AP59" s="587">
        <v>936</v>
      </c>
      <c r="AQ59" s="1185">
        <v>0</v>
      </c>
      <c r="AR59" s="587">
        <v>0</v>
      </c>
      <c r="AS59" s="1185">
        <v>0</v>
      </c>
      <c r="AT59" s="587">
        <v>0</v>
      </c>
      <c r="AU59" s="1185">
        <v>0</v>
      </c>
      <c r="AV59" s="587">
        <v>0</v>
      </c>
      <c r="AW59" s="1185">
        <v>0</v>
      </c>
      <c r="AX59" s="587">
        <v>0</v>
      </c>
      <c r="AY59" s="1185">
        <v>0</v>
      </c>
      <c r="AZ59" s="587">
        <v>0</v>
      </c>
      <c r="BA59" s="1185">
        <v>0</v>
      </c>
      <c r="BB59" s="589">
        <v>0</v>
      </c>
      <c r="BC59" s="563"/>
      <c r="BD59" s="1180" t="s">
        <v>738</v>
      </c>
      <c r="BE59" s="1181"/>
      <c r="BF59" s="1181"/>
      <c r="BG59" s="1182" t="s">
        <v>615</v>
      </c>
      <c r="BH59" s="1183"/>
      <c r="BI59" s="1021"/>
      <c r="BJ59" s="1184">
        <v>0</v>
      </c>
      <c r="BK59" s="585">
        <v>0</v>
      </c>
      <c r="BL59" s="1185">
        <v>0</v>
      </c>
      <c r="BM59" s="587">
        <v>0</v>
      </c>
      <c r="BN59" s="1185">
        <v>0</v>
      </c>
      <c r="BO59" s="587">
        <v>0</v>
      </c>
      <c r="BP59" s="1185">
        <v>0</v>
      </c>
      <c r="BQ59" s="587">
        <v>0</v>
      </c>
      <c r="BR59" s="1185">
        <v>0</v>
      </c>
      <c r="BS59" s="587">
        <v>0</v>
      </c>
      <c r="BT59" s="1185">
        <v>0</v>
      </c>
      <c r="BU59" s="587">
        <v>0</v>
      </c>
      <c r="BV59" s="1185">
        <v>0</v>
      </c>
      <c r="BW59" s="587">
        <v>0</v>
      </c>
      <c r="BX59" s="1185">
        <v>0</v>
      </c>
      <c r="BY59" s="587">
        <v>0</v>
      </c>
      <c r="BZ59" s="1185">
        <v>18.600000000000001</v>
      </c>
      <c r="CA59" s="587">
        <v>744</v>
      </c>
      <c r="CB59" s="1185">
        <v>19.399999999999999</v>
      </c>
      <c r="CC59" s="587">
        <v>776</v>
      </c>
      <c r="CD59" s="1185">
        <v>20.3</v>
      </c>
      <c r="CE59" s="587">
        <v>812</v>
      </c>
      <c r="CF59" s="1185">
        <v>21</v>
      </c>
      <c r="CG59" s="587">
        <v>840</v>
      </c>
      <c r="CH59" s="1185">
        <v>21.4</v>
      </c>
      <c r="CI59" s="587">
        <v>856</v>
      </c>
      <c r="CJ59" s="1185">
        <v>20.7</v>
      </c>
      <c r="CK59" s="587">
        <v>828</v>
      </c>
      <c r="CL59" s="1185">
        <v>20.5</v>
      </c>
      <c r="CM59" s="587">
        <v>820</v>
      </c>
      <c r="CN59" s="1185">
        <v>20.3</v>
      </c>
      <c r="CO59" s="587">
        <v>812</v>
      </c>
      <c r="CP59" s="1185">
        <v>20.3</v>
      </c>
      <c r="CQ59" s="587">
        <v>812</v>
      </c>
      <c r="CR59" s="1185">
        <v>19.600000000000001</v>
      </c>
      <c r="CS59" s="587">
        <v>784</v>
      </c>
      <c r="CT59" s="1185">
        <v>0</v>
      </c>
      <c r="CU59" s="587">
        <v>0</v>
      </c>
      <c r="CV59" s="1185">
        <v>0</v>
      </c>
      <c r="CW59" s="587">
        <v>0</v>
      </c>
      <c r="CX59" s="1185">
        <v>0</v>
      </c>
      <c r="CY59" s="587">
        <v>0</v>
      </c>
      <c r="CZ59" s="1185">
        <v>0</v>
      </c>
      <c r="DA59" s="587">
        <v>0</v>
      </c>
      <c r="DB59" s="1185">
        <v>0</v>
      </c>
      <c r="DC59" s="587">
        <v>0</v>
      </c>
      <c r="DD59" s="1185">
        <v>0</v>
      </c>
      <c r="DE59" s="589">
        <v>0</v>
      </c>
      <c r="DF59" s="562"/>
      <c r="DG59" s="1180" t="s">
        <v>616</v>
      </c>
      <c r="DH59" s="1181"/>
      <c r="DI59" s="1181"/>
      <c r="DJ59" s="1182" t="s">
        <v>615</v>
      </c>
      <c r="DK59" s="1183"/>
      <c r="DL59" s="1021"/>
      <c r="DM59" s="1184">
        <v>0</v>
      </c>
      <c r="DN59" s="585">
        <v>0</v>
      </c>
      <c r="DO59" s="1185">
        <v>0</v>
      </c>
      <c r="DP59" s="587">
        <v>0</v>
      </c>
      <c r="DQ59" s="1185">
        <v>0</v>
      </c>
      <c r="DR59" s="587">
        <v>0</v>
      </c>
      <c r="DS59" s="1185">
        <v>0</v>
      </c>
      <c r="DT59" s="587">
        <v>0</v>
      </c>
      <c r="DU59" s="1185">
        <v>0</v>
      </c>
      <c r="DV59" s="587">
        <v>0</v>
      </c>
      <c r="DW59" s="1185">
        <v>0</v>
      </c>
      <c r="DX59" s="587">
        <v>0</v>
      </c>
      <c r="DY59" s="1185">
        <v>0</v>
      </c>
      <c r="DZ59" s="587">
        <v>0</v>
      </c>
      <c r="EA59" s="1185">
        <v>0</v>
      </c>
      <c r="EB59" s="587">
        <v>0</v>
      </c>
      <c r="EC59" s="1185">
        <v>9.8000000000000007</v>
      </c>
      <c r="ED59" s="587">
        <v>392</v>
      </c>
      <c r="EE59" s="1185">
        <v>10.9</v>
      </c>
      <c r="EF59" s="587">
        <v>436</v>
      </c>
      <c r="EG59" s="1185">
        <v>11</v>
      </c>
      <c r="EH59" s="587">
        <v>440</v>
      </c>
      <c r="EI59" s="1185">
        <v>11.4</v>
      </c>
      <c r="EJ59" s="587">
        <v>456</v>
      </c>
      <c r="EK59" s="1185">
        <v>11.1</v>
      </c>
      <c r="EL59" s="587">
        <v>444</v>
      </c>
      <c r="EM59" s="1185">
        <v>10.6</v>
      </c>
      <c r="EN59" s="587">
        <v>424</v>
      </c>
      <c r="EO59" s="1185">
        <v>10.4</v>
      </c>
      <c r="EP59" s="587">
        <v>416</v>
      </c>
      <c r="EQ59" s="1185">
        <v>10.5</v>
      </c>
      <c r="ER59" s="587">
        <v>420</v>
      </c>
      <c r="ES59" s="1185">
        <v>10</v>
      </c>
      <c r="ET59" s="587">
        <v>400</v>
      </c>
      <c r="EU59" s="1185">
        <v>10.5</v>
      </c>
      <c r="EV59" s="587">
        <v>420</v>
      </c>
      <c r="EW59" s="1185">
        <v>0</v>
      </c>
      <c r="EX59" s="587">
        <v>0</v>
      </c>
      <c r="EY59" s="1185">
        <v>0</v>
      </c>
      <c r="EZ59" s="587">
        <v>0</v>
      </c>
      <c r="FA59" s="1185">
        <v>0</v>
      </c>
      <c r="FB59" s="587">
        <v>0</v>
      </c>
      <c r="FC59" s="1185">
        <v>0</v>
      </c>
      <c r="FD59" s="587">
        <v>0</v>
      </c>
      <c r="FE59" s="1185">
        <v>0</v>
      </c>
      <c r="FF59" s="587">
        <v>0</v>
      </c>
      <c r="FG59" s="1185">
        <v>0</v>
      </c>
      <c r="FH59" s="589">
        <v>0</v>
      </c>
      <c r="FI59" s="563"/>
      <c r="FJ59" s="1180" t="s">
        <v>738</v>
      </c>
      <c r="FK59" s="1181"/>
      <c r="FL59" s="1181"/>
      <c r="FM59" s="1182" t="s">
        <v>615</v>
      </c>
      <c r="FN59" s="1183"/>
      <c r="FO59" s="1021"/>
      <c r="FP59" s="625">
        <v>9</v>
      </c>
      <c r="FQ59" s="1186">
        <v>5.7</v>
      </c>
      <c r="FR59" s="1187">
        <v>228</v>
      </c>
      <c r="FS59" s="1188">
        <v>9</v>
      </c>
      <c r="FT59" s="1186">
        <v>5.9</v>
      </c>
      <c r="FU59" s="1189">
        <v>236</v>
      </c>
      <c r="FV59" s="1190">
        <v>12</v>
      </c>
      <c r="FW59" s="1191">
        <v>1048</v>
      </c>
      <c r="FX59" s="1192">
        <v>12</v>
      </c>
      <c r="FY59" s="1191">
        <v>840</v>
      </c>
      <c r="FZ59" s="1192">
        <v>12</v>
      </c>
      <c r="GA59" s="1191">
        <v>456</v>
      </c>
      <c r="GB59" s="1192" t="s">
        <v>797</v>
      </c>
      <c r="GC59" s="1191">
        <v>1048</v>
      </c>
      <c r="GD59" s="1192" t="s">
        <v>909</v>
      </c>
      <c r="GE59" s="1193">
        <v>236</v>
      </c>
      <c r="GF59" s="688"/>
      <c r="GG59" s="1194"/>
      <c r="GH59" s="1194"/>
      <c r="GI59" s="1194"/>
      <c r="GJ59" s="893"/>
      <c r="GK59" s="409"/>
      <c r="GL59" s="1124">
        <v>16</v>
      </c>
      <c r="GM59" s="1125">
        <v>7</v>
      </c>
      <c r="GN59" s="1102">
        <v>0.56000000000000005</v>
      </c>
      <c r="GO59" s="1103">
        <v>2.6</v>
      </c>
      <c r="GP59" s="1103">
        <v>7</v>
      </c>
      <c r="GQ59" s="1104">
        <v>9.6</v>
      </c>
      <c r="GR59" s="893"/>
      <c r="GS59" s="391"/>
      <c r="GT59" s="1305"/>
      <c r="GU59" s="579"/>
      <c r="GV59" s="500"/>
      <c r="GW59" s="500"/>
      <c r="GX59" s="1306"/>
      <c r="GY59" s="1304"/>
      <c r="GZ59" s="579"/>
      <c r="HA59" s="578"/>
      <c r="HB59" s="500"/>
      <c r="HC59" s="1179"/>
      <c r="HD59" s="1195"/>
    </row>
    <row r="60" spans="1:212" ht="20.100000000000001" customHeight="1">
      <c r="A60" s="1180"/>
      <c r="B60" s="1181"/>
      <c r="C60" s="1181"/>
      <c r="D60" s="1196"/>
      <c r="E60" s="1196"/>
      <c r="F60" s="1197">
        <v>0</v>
      </c>
      <c r="G60" s="584"/>
      <c r="H60" s="585"/>
      <c r="I60" s="588"/>
      <c r="J60" s="587"/>
      <c r="K60" s="588"/>
      <c r="L60" s="587"/>
      <c r="M60" s="588"/>
      <c r="N60" s="587"/>
      <c r="O60" s="588"/>
      <c r="P60" s="587"/>
      <c r="Q60" s="588"/>
      <c r="R60" s="587"/>
      <c r="S60" s="588"/>
      <c r="T60" s="587"/>
      <c r="U60" s="588"/>
      <c r="V60" s="587"/>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c r="AS60" s="588"/>
      <c r="AT60" s="587"/>
      <c r="AU60" s="588"/>
      <c r="AV60" s="587"/>
      <c r="AW60" s="588"/>
      <c r="AX60" s="587"/>
      <c r="AY60" s="588"/>
      <c r="AZ60" s="587"/>
      <c r="BA60" s="588"/>
      <c r="BB60" s="589"/>
      <c r="BC60" s="563"/>
      <c r="BD60" s="1180"/>
      <c r="BE60" s="1181"/>
      <c r="BF60" s="1181"/>
      <c r="BG60" s="1196"/>
      <c r="BH60" s="1196"/>
      <c r="BI60" s="1197"/>
      <c r="BJ60" s="584"/>
      <c r="BK60" s="585"/>
      <c r="BL60" s="588"/>
      <c r="BM60" s="587"/>
      <c r="BN60" s="588"/>
      <c r="BO60" s="587"/>
      <c r="BP60" s="588"/>
      <c r="BQ60" s="587"/>
      <c r="BR60" s="588"/>
      <c r="BS60" s="587"/>
      <c r="BT60" s="588"/>
      <c r="BU60" s="587"/>
      <c r="BV60" s="588"/>
      <c r="BW60" s="587"/>
      <c r="BX60" s="588"/>
      <c r="BY60" s="587"/>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c r="CV60" s="588"/>
      <c r="CW60" s="587"/>
      <c r="CX60" s="588"/>
      <c r="CY60" s="587"/>
      <c r="CZ60" s="588"/>
      <c r="DA60" s="587"/>
      <c r="DB60" s="588"/>
      <c r="DC60" s="587"/>
      <c r="DD60" s="588"/>
      <c r="DE60" s="589"/>
      <c r="DF60" s="562"/>
      <c r="DG60" s="1180"/>
      <c r="DH60" s="1181"/>
      <c r="DI60" s="1181"/>
      <c r="DJ60" s="1196"/>
      <c r="DK60" s="1196"/>
      <c r="DL60" s="1197"/>
      <c r="DM60" s="584"/>
      <c r="DN60" s="585"/>
      <c r="DO60" s="588"/>
      <c r="DP60" s="587"/>
      <c r="DQ60" s="588"/>
      <c r="DR60" s="587"/>
      <c r="DS60" s="588"/>
      <c r="DT60" s="587"/>
      <c r="DU60" s="588"/>
      <c r="DV60" s="587"/>
      <c r="DW60" s="588"/>
      <c r="DX60" s="587"/>
      <c r="DY60" s="588"/>
      <c r="DZ60" s="587"/>
      <c r="EA60" s="588"/>
      <c r="EB60" s="587"/>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c r="EY60" s="588"/>
      <c r="EZ60" s="587"/>
      <c r="FA60" s="588"/>
      <c r="FB60" s="587"/>
      <c r="FC60" s="588"/>
      <c r="FD60" s="587"/>
      <c r="FE60" s="588"/>
      <c r="FF60" s="587"/>
      <c r="FG60" s="588"/>
      <c r="FH60" s="589"/>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2.2999999999999998</v>
      </c>
      <c r="GP60" s="1103">
        <v>7</v>
      </c>
      <c r="GQ60" s="1104">
        <v>9.3000000000000007</v>
      </c>
      <c r="GR60" s="391"/>
      <c r="GS60" s="483"/>
      <c r="GT60" s="1305"/>
      <c r="GU60" s="500"/>
      <c r="GV60" s="579"/>
      <c r="GW60" s="500"/>
      <c r="GX60" s="579"/>
      <c r="GY60" s="500"/>
      <c r="GZ60" s="500"/>
      <c r="HA60" s="578"/>
      <c r="HB60" s="500"/>
      <c r="HC60" s="1201"/>
      <c r="HD60" s="1038"/>
    </row>
    <row r="61" spans="1:212" ht="20.100000000000001" customHeight="1">
      <c r="A61" s="1202" t="s">
        <v>621</v>
      </c>
      <c r="B61" s="1203"/>
      <c r="C61" s="1203"/>
      <c r="D61" s="1203"/>
      <c r="E61" s="1203"/>
      <c r="F61" s="1204"/>
      <c r="G61" s="1205"/>
      <c r="H61" s="1206">
        <v>0</v>
      </c>
      <c r="I61" s="1207"/>
      <c r="J61" s="1208">
        <v>0</v>
      </c>
      <c r="K61" s="1207"/>
      <c r="L61" s="1208">
        <v>0</v>
      </c>
      <c r="M61" s="1207"/>
      <c r="N61" s="1208">
        <v>0</v>
      </c>
      <c r="O61" s="1207"/>
      <c r="P61" s="1208">
        <v>0</v>
      </c>
      <c r="Q61" s="1207"/>
      <c r="R61" s="1208">
        <v>0</v>
      </c>
      <c r="S61" s="1207"/>
      <c r="T61" s="1208">
        <v>0</v>
      </c>
      <c r="U61" s="1207"/>
      <c r="V61" s="1208">
        <v>0</v>
      </c>
      <c r="W61" s="1207"/>
      <c r="X61" s="1208">
        <v>1829</v>
      </c>
      <c r="Y61" s="1207"/>
      <c r="Z61" s="1208">
        <v>1855</v>
      </c>
      <c r="AA61" s="1207"/>
      <c r="AB61" s="1208">
        <v>1916</v>
      </c>
      <c r="AC61" s="1207"/>
      <c r="AD61" s="1208">
        <v>1981</v>
      </c>
      <c r="AE61" s="1207"/>
      <c r="AF61" s="1208">
        <v>1964</v>
      </c>
      <c r="AG61" s="1207"/>
      <c r="AH61" s="1208">
        <v>1925</v>
      </c>
      <c r="AI61" s="1207"/>
      <c r="AJ61" s="1208">
        <v>1900</v>
      </c>
      <c r="AK61" s="1207"/>
      <c r="AL61" s="1208">
        <v>1868</v>
      </c>
      <c r="AM61" s="1207"/>
      <c r="AN61" s="1208">
        <v>1945</v>
      </c>
      <c r="AO61" s="1207"/>
      <c r="AP61" s="1208">
        <v>1880</v>
      </c>
      <c r="AQ61" s="1207"/>
      <c r="AR61" s="1208">
        <v>0</v>
      </c>
      <c r="AS61" s="1207"/>
      <c r="AT61" s="1208">
        <v>0</v>
      </c>
      <c r="AU61" s="1207"/>
      <c r="AV61" s="1208">
        <v>0</v>
      </c>
      <c r="AW61" s="1207"/>
      <c r="AX61" s="1208">
        <v>0</v>
      </c>
      <c r="AY61" s="1207"/>
      <c r="AZ61" s="1208">
        <v>0</v>
      </c>
      <c r="BA61" s="1207"/>
      <c r="BB61" s="1209">
        <v>0</v>
      </c>
      <c r="BC61" s="563"/>
      <c r="BD61" s="1202" t="s">
        <v>621</v>
      </c>
      <c r="BE61" s="1203"/>
      <c r="BF61" s="1203"/>
      <c r="BG61" s="1203"/>
      <c r="BH61" s="1203"/>
      <c r="BI61" s="1204"/>
      <c r="BJ61" s="1205"/>
      <c r="BK61" s="1206">
        <v>0</v>
      </c>
      <c r="BL61" s="1207"/>
      <c r="BM61" s="1208">
        <v>0</v>
      </c>
      <c r="BN61" s="1207"/>
      <c r="BO61" s="1208">
        <v>0</v>
      </c>
      <c r="BP61" s="1207"/>
      <c r="BQ61" s="1208">
        <v>0</v>
      </c>
      <c r="BR61" s="1207"/>
      <c r="BS61" s="1208">
        <v>0</v>
      </c>
      <c r="BT61" s="1207"/>
      <c r="BU61" s="1208">
        <v>0</v>
      </c>
      <c r="BV61" s="1207"/>
      <c r="BW61" s="1208">
        <v>0</v>
      </c>
      <c r="BX61" s="1207"/>
      <c r="BY61" s="1208">
        <v>0</v>
      </c>
      <c r="BZ61" s="1207"/>
      <c r="CA61" s="1208">
        <v>1695</v>
      </c>
      <c r="CB61" s="1207"/>
      <c r="CC61" s="1208">
        <v>1716</v>
      </c>
      <c r="CD61" s="1207"/>
      <c r="CE61" s="1208">
        <v>1791</v>
      </c>
      <c r="CF61" s="1207"/>
      <c r="CG61" s="1208">
        <v>1814</v>
      </c>
      <c r="CH61" s="1207"/>
      <c r="CI61" s="1208">
        <v>1804</v>
      </c>
      <c r="CJ61" s="1207"/>
      <c r="CK61" s="1208">
        <v>1741</v>
      </c>
      <c r="CL61" s="1207"/>
      <c r="CM61" s="1208">
        <v>1706</v>
      </c>
      <c r="CN61" s="1207"/>
      <c r="CO61" s="1208">
        <v>1667</v>
      </c>
      <c r="CP61" s="1207"/>
      <c r="CQ61" s="1208">
        <v>1788</v>
      </c>
      <c r="CR61" s="1207"/>
      <c r="CS61" s="1208">
        <v>1718</v>
      </c>
      <c r="CT61" s="1207"/>
      <c r="CU61" s="1208">
        <v>0</v>
      </c>
      <c r="CV61" s="1207"/>
      <c r="CW61" s="1208">
        <v>0</v>
      </c>
      <c r="CX61" s="1207"/>
      <c r="CY61" s="1208">
        <v>0</v>
      </c>
      <c r="CZ61" s="1207"/>
      <c r="DA61" s="1208">
        <v>0</v>
      </c>
      <c r="DB61" s="1207"/>
      <c r="DC61" s="1208">
        <v>0</v>
      </c>
      <c r="DD61" s="1207"/>
      <c r="DE61" s="1209">
        <v>0</v>
      </c>
      <c r="DF61" s="562"/>
      <c r="DG61" s="1202" t="s">
        <v>740</v>
      </c>
      <c r="DH61" s="1203"/>
      <c r="DI61" s="1203"/>
      <c r="DJ61" s="1203"/>
      <c r="DK61" s="1203"/>
      <c r="DL61" s="1204"/>
      <c r="DM61" s="1205"/>
      <c r="DN61" s="1206">
        <v>0</v>
      </c>
      <c r="DO61" s="1207"/>
      <c r="DP61" s="1208">
        <v>0</v>
      </c>
      <c r="DQ61" s="1207"/>
      <c r="DR61" s="1208">
        <v>0</v>
      </c>
      <c r="DS61" s="1207"/>
      <c r="DT61" s="1208">
        <v>0</v>
      </c>
      <c r="DU61" s="1207"/>
      <c r="DV61" s="1208">
        <v>0</v>
      </c>
      <c r="DW61" s="1207"/>
      <c r="DX61" s="1208">
        <v>0</v>
      </c>
      <c r="DY61" s="1207"/>
      <c r="DZ61" s="1208">
        <v>0</v>
      </c>
      <c r="EA61" s="1207"/>
      <c r="EB61" s="1208">
        <v>0</v>
      </c>
      <c r="EC61" s="1207"/>
      <c r="ED61" s="1208">
        <v>1236</v>
      </c>
      <c r="EE61" s="1207"/>
      <c r="EF61" s="1208">
        <v>1282</v>
      </c>
      <c r="EG61" s="1207"/>
      <c r="EH61" s="1208">
        <v>1330</v>
      </c>
      <c r="EI61" s="1207"/>
      <c r="EJ61" s="1208">
        <v>1350</v>
      </c>
      <c r="EK61" s="1207"/>
      <c r="EL61" s="1208">
        <v>1308</v>
      </c>
      <c r="EM61" s="1207"/>
      <c r="EN61" s="1208">
        <v>1248</v>
      </c>
      <c r="EO61" s="1207"/>
      <c r="EP61" s="1208">
        <v>1212</v>
      </c>
      <c r="EQ61" s="1207"/>
      <c r="ER61" s="1208">
        <v>1192</v>
      </c>
      <c r="ES61" s="1207"/>
      <c r="ET61" s="1208">
        <v>1276</v>
      </c>
      <c r="EU61" s="1207"/>
      <c r="EV61" s="1208">
        <v>1249</v>
      </c>
      <c r="EW61" s="1207"/>
      <c r="EX61" s="1208">
        <v>0</v>
      </c>
      <c r="EY61" s="1207"/>
      <c r="EZ61" s="1208">
        <v>0</v>
      </c>
      <c r="FA61" s="1207"/>
      <c r="FB61" s="1208">
        <v>0</v>
      </c>
      <c r="FC61" s="1207"/>
      <c r="FD61" s="1208">
        <v>0</v>
      </c>
      <c r="FE61" s="1207"/>
      <c r="FF61" s="1208">
        <v>0</v>
      </c>
      <c r="FG61" s="1207"/>
      <c r="FH61" s="1209">
        <v>0</v>
      </c>
      <c r="FI61" s="563"/>
      <c r="FJ61" s="1202" t="s">
        <v>621</v>
      </c>
      <c r="FK61" s="1203"/>
      <c r="FL61" s="1203"/>
      <c r="FM61" s="1203"/>
      <c r="FN61" s="1203"/>
      <c r="FO61" s="1203"/>
      <c r="FP61" s="1210"/>
      <c r="FQ61" s="1211"/>
      <c r="FR61" s="1212">
        <v>1805</v>
      </c>
      <c r="FS61" s="1213"/>
      <c r="FT61" s="1211"/>
      <c r="FU61" s="1214">
        <v>1835</v>
      </c>
      <c r="FV61" s="1215">
        <v>12</v>
      </c>
      <c r="FW61" s="1216">
        <v>1981</v>
      </c>
      <c r="FX61" s="1217">
        <v>12</v>
      </c>
      <c r="FY61" s="1216">
        <v>1814</v>
      </c>
      <c r="FZ61" s="1217">
        <v>12</v>
      </c>
      <c r="GA61" s="1216">
        <v>1350</v>
      </c>
      <c r="GB61" s="1218" t="s">
        <v>622</v>
      </c>
      <c r="GC61" s="1216">
        <v>1981</v>
      </c>
      <c r="GD61" s="1218" t="s">
        <v>853</v>
      </c>
      <c r="GE61" s="1219">
        <v>1835</v>
      </c>
      <c r="GF61" s="688"/>
      <c r="GG61" s="483"/>
      <c r="GH61" s="483"/>
      <c r="GI61" s="483"/>
      <c r="GJ61" s="483"/>
      <c r="GK61" s="486"/>
      <c r="GL61" s="1124">
        <v>18</v>
      </c>
      <c r="GM61" s="1220">
        <v>9</v>
      </c>
      <c r="GN61" s="1102">
        <v>0.47</v>
      </c>
      <c r="GO61" s="1103">
        <v>2.2000000000000002</v>
      </c>
      <c r="GP61" s="1103">
        <v>7</v>
      </c>
      <c r="GQ61" s="1104">
        <v>9.1999999999999993</v>
      </c>
      <c r="GR61" s="483"/>
      <c r="GS61" s="580"/>
      <c r="GT61" s="1305"/>
      <c r="GU61" s="689"/>
      <c r="GV61" s="689"/>
      <c r="GW61" s="689"/>
      <c r="GX61" s="689"/>
      <c r="GY61" s="579"/>
      <c r="GZ61" s="500"/>
      <c r="HA61" s="579"/>
      <c r="HB61" s="500"/>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579"/>
      <c r="GU62" s="689"/>
      <c r="GV62" s="689"/>
      <c r="GW62" s="689"/>
      <c r="GX62" s="689"/>
      <c r="GY62" s="579"/>
      <c r="GZ62" s="500"/>
      <c r="HA62" s="579"/>
      <c r="HB62" s="500"/>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759</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303"/>
      <c r="GK63" s="1303"/>
      <c r="GL63" s="578"/>
      <c r="GM63" s="500"/>
      <c r="GN63" s="578"/>
      <c r="GO63" s="500"/>
      <c r="GP63" s="500"/>
      <c r="GQ63" s="500"/>
      <c r="GR63" s="578"/>
      <c r="GS63" s="530"/>
      <c r="GT63" s="579"/>
      <c r="GU63" s="578"/>
      <c r="GV63" s="500"/>
      <c r="GW63" s="578"/>
      <c r="GX63" s="500"/>
      <c r="GY63" s="500"/>
      <c r="GZ63" s="500"/>
      <c r="HA63" s="579"/>
      <c r="HB63" s="500"/>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00"/>
      <c r="GK64" s="500"/>
      <c r="GL64" s="578"/>
      <c r="GM64" s="500"/>
      <c r="GN64" s="578"/>
      <c r="GO64" s="500"/>
      <c r="GP64" s="500"/>
      <c r="GQ64" s="500"/>
      <c r="GR64" s="578"/>
      <c r="GS64" s="409"/>
      <c r="GT64" s="1305"/>
      <c r="GU64" s="578"/>
      <c r="GV64" s="500"/>
      <c r="GW64" s="578"/>
      <c r="GX64" s="500"/>
      <c r="GY64" s="500"/>
      <c r="GZ64" s="579"/>
      <c r="HA64" s="579"/>
      <c r="HB64" s="579"/>
      <c r="HC64" s="562"/>
    </row>
    <row r="65" spans="1:211" ht="20.100000000000001" customHeight="1">
      <c r="A65" s="1163"/>
      <c r="B65" s="1164"/>
      <c r="C65" s="1164"/>
      <c r="D65" s="1232"/>
      <c r="E65" s="1233"/>
      <c r="F65" s="1234"/>
      <c r="G65" s="1235"/>
      <c r="H65" s="1168"/>
      <c r="I65" s="1236"/>
      <c r="J65" s="1237"/>
      <c r="K65" s="1238"/>
      <c r="L65" s="1237"/>
      <c r="M65" s="1238"/>
      <c r="N65" s="1237"/>
      <c r="O65" s="1238"/>
      <c r="P65" s="1237"/>
      <c r="Q65" s="1238"/>
      <c r="R65" s="1237"/>
      <c r="S65" s="1238"/>
      <c r="T65" s="1237"/>
      <c r="U65" s="1238"/>
      <c r="V65" s="1237"/>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c r="AS65" s="1238"/>
      <c r="AT65" s="1237"/>
      <c r="AU65" s="1238"/>
      <c r="AV65" s="1237"/>
      <c r="AW65" s="1238"/>
      <c r="AX65" s="1237"/>
      <c r="AY65" s="1238"/>
      <c r="AZ65" s="1237"/>
      <c r="BA65" s="1238"/>
      <c r="BB65" s="561"/>
      <c r="BC65" s="563"/>
      <c r="BD65" s="1163"/>
      <c r="BE65" s="1164"/>
      <c r="BF65" s="1164"/>
      <c r="BG65" s="1232"/>
      <c r="BH65" s="1233"/>
      <c r="BI65" s="1234"/>
      <c r="BJ65" s="1235"/>
      <c r="BK65" s="1168"/>
      <c r="BL65" s="1236"/>
      <c r="BM65" s="1237"/>
      <c r="BN65" s="1238"/>
      <c r="BO65" s="1237"/>
      <c r="BP65" s="1238"/>
      <c r="BQ65" s="1237"/>
      <c r="BR65" s="1238"/>
      <c r="BS65" s="1237"/>
      <c r="BT65" s="1238"/>
      <c r="BU65" s="1237"/>
      <c r="BV65" s="1238"/>
      <c r="BW65" s="1237"/>
      <c r="BX65" s="1238"/>
      <c r="BY65" s="1237"/>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c r="CV65" s="1238"/>
      <c r="CW65" s="1237"/>
      <c r="CX65" s="1238"/>
      <c r="CY65" s="1237"/>
      <c r="CZ65" s="1238"/>
      <c r="DA65" s="1237"/>
      <c r="DB65" s="1238"/>
      <c r="DC65" s="1237"/>
      <c r="DD65" s="1238"/>
      <c r="DE65" s="561"/>
      <c r="DF65" s="562"/>
      <c r="DG65" s="1163"/>
      <c r="DH65" s="1164"/>
      <c r="DI65" s="1164"/>
      <c r="DJ65" s="1232"/>
      <c r="DK65" s="1233"/>
      <c r="DL65" s="1234"/>
      <c r="DM65" s="1235"/>
      <c r="DN65" s="1168"/>
      <c r="DO65" s="1236"/>
      <c r="DP65" s="1237"/>
      <c r="DQ65" s="1238"/>
      <c r="DR65" s="1237"/>
      <c r="DS65" s="1238"/>
      <c r="DT65" s="1237"/>
      <c r="DU65" s="1238"/>
      <c r="DV65" s="1237"/>
      <c r="DW65" s="1238"/>
      <c r="DX65" s="1237"/>
      <c r="DY65" s="1238"/>
      <c r="DZ65" s="1237"/>
      <c r="EA65" s="1238"/>
      <c r="EB65" s="1237"/>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c r="EY65" s="1238"/>
      <c r="EZ65" s="1237"/>
      <c r="FA65" s="1238"/>
      <c r="FB65" s="1237"/>
      <c r="FC65" s="1238"/>
      <c r="FD65" s="1237"/>
      <c r="FE65" s="1238"/>
      <c r="FF65" s="1237"/>
      <c r="FG65" s="1238"/>
      <c r="FH65" s="561"/>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391"/>
      <c r="GK65" s="529"/>
      <c r="GL65" s="529"/>
      <c r="GM65" s="529"/>
      <c r="GN65" s="529"/>
      <c r="GO65" s="529"/>
      <c r="GP65" s="529"/>
      <c r="GQ65" s="529"/>
      <c r="GR65" s="529"/>
      <c r="GS65" s="409"/>
      <c r="GT65" s="1305"/>
      <c r="GU65" s="500"/>
      <c r="GV65" s="500"/>
      <c r="GW65" s="500"/>
      <c r="GX65" s="500"/>
      <c r="GY65" s="500"/>
      <c r="GZ65" s="579"/>
      <c r="HA65" s="579"/>
      <c r="HB65" s="579"/>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798</v>
      </c>
      <c r="FK66" s="1203"/>
      <c r="FL66" s="1249"/>
      <c r="FM66" s="1250" t="s">
        <v>624</v>
      </c>
      <c r="FN66" s="1251"/>
      <c r="FO66" s="1204"/>
      <c r="FP66" s="1210">
        <v>9</v>
      </c>
      <c r="FQ66" s="1252">
        <v>0</v>
      </c>
      <c r="FR66" s="1253">
        <v>0</v>
      </c>
      <c r="FS66" s="1213">
        <v>9</v>
      </c>
      <c r="FT66" s="1252">
        <v>0</v>
      </c>
      <c r="FU66" s="1254">
        <v>0</v>
      </c>
      <c r="FV66" s="1255"/>
      <c r="FW66" s="1256"/>
      <c r="FX66" s="1256"/>
      <c r="FY66" s="1256"/>
      <c r="FZ66" s="1256"/>
      <c r="GA66" s="1256"/>
      <c r="GB66" s="1256"/>
      <c r="GC66" s="1257"/>
      <c r="GD66" s="1213"/>
      <c r="GE66" s="1258">
        <v>0</v>
      </c>
      <c r="GF66" s="688"/>
      <c r="GG66" s="391"/>
      <c r="GH66" s="391"/>
      <c r="GI66" s="391"/>
      <c r="GJ66" s="483"/>
      <c r="GK66" s="529"/>
      <c r="GL66" s="530"/>
      <c r="GM66" s="529"/>
      <c r="GN66" s="530"/>
      <c r="GO66" s="529"/>
      <c r="GP66" s="529"/>
      <c r="GQ66" s="529"/>
      <c r="GR66" s="530"/>
      <c r="GT66" s="1305"/>
      <c r="GU66" s="579"/>
      <c r="GV66" s="579"/>
      <c r="GW66" s="579"/>
      <c r="GX66" s="579"/>
      <c r="GY66" s="579"/>
      <c r="GZ66" s="500"/>
      <c r="HA66" s="500"/>
      <c r="HB66" s="500"/>
      <c r="HC66" s="406"/>
    </row>
    <row r="67" spans="1:211" ht="20.100000000000001" customHeight="1" thickBot="1">
      <c r="BC67" s="389"/>
      <c r="DF67" s="389"/>
      <c r="FI67" s="389"/>
      <c r="GD67" s="688"/>
      <c r="GE67" s="799"/>
      <c r="GF67" s="688"/>
      <c r="GG67" s="483"/>
      <c r="GH67" s="483"/>
      <c r="GI67" s="483"/>
      <c r="GJ67" s="391"/>
      <c r="GT67" s="689"/>
      <c r="GU67" s="500"/>
      <c r="GV67" s="500"/>
      <c r="GW67" s="500"/>
      <c r="GX67" s="500"/>
      <c r="GY67" s="500"/>
      <c r="GZ67" s="579"/>
      <c r="HA67" s="578"/>
      <c r="HB67" s="579"/>
      <c r="HC67" s="406"/>
    </row>
    <row r="68" spans="1:211" ht="20.100000000000001" customHeight="1">
      <c r="A68" s="1260" t="s">
        <v>360</v>
      </c>
      <c r="B68" s="1261"/>
      <c r="C68" s="1261"/>
      <c r="D68" s="1261"/>
      <c r="E68" s="825"/>
      <c r="F68" s="825"/>
      <c r="G68" s="1262"/>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f>$G68</f>
        <v>0</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f>$G68</f>
        <v>0</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579"/>
      <c r="GU68" s="1303"/>
      <c r="GV68" s="1303"/>
      <c r="GW68" s="1303"/>
      <c r="GX68" s="1303"/>
      <c r="GY68" s="1121"/>
      <c r="GZ68" s="1304"/>
      <c r="HA68" s="1304"/>
      <c r="HB68" s="1304"/>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19">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936</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9時-18時</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9時-18時</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825</v>
      </c>
      <c r="GZ1" s="376" t="s">
        <v>812</v>
      </c>
      <c r="HA1" s="376"/>
      <c r="HB1" s="379"/>
      <c r="HC1" s="1276" t="s">
        <v>769</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380</v>
      </c>
      <c r="B3" s="394">
        <v>208</v>
      </c>
      <c r="C3" s="395" t="s">
        <v>650</v>
      </c>
      <c r="D3" s="396" t="s">
        <v>939</v>
      </c>
      <c r="E3" s="396"/>
      <c r="F3" s="396"/>
      <c r="G3" s="396"/>
      <c r="H3" s="396"/>
      <c r="I3" s="396"/>
      <c r="J3" s="397"/>
      <c r="K3" s="398" t="s">
        <v>940</v>
      </c>
      <c r="L3" s="399"/>
      <c r="M3" s="398" t="s">
        <v>377</v>
      </c>
      <c r="N3" s="399"/>
      <c r="O3" s="400" t="s">
        <v>378</v>
      </c>
      <c r="P3" s="401"/>
      <c r="Q3" s="401"/>
      <c r="R3" s="401"/>
      <c r="S3" s="401"/>
      <c r="T3" s="401"/>
      <c r="U3" s="401"/>
      <c r="V3" s="402"/>
      <c r="W3" s="403" t="s">
        <v>379</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380</v>
      </c>
      <c r="BE3" s="394">
        <v>208</v>
      </c>
      <c r="BF3" s="395" t="s">
        <v>373</v>
      </c>
      <c r="BG3" s="407" t="s">
        <v>935</v>
      </c>
      <c r="BH3" s="407"/>
      <c r="BI3" s="407"/>
      <c r="BJ3" s="407"/>
      <c r="BK3" s="407"/>
      <c r="BL3" s="407"/>
      <c r="BM3" s="408"/>
      <c r="BN3" s="398" t="s">
        <v>376</v>
      </c>
      <c r="BO3" s="399"/>
      <c r="BP3" s="398" t="s">
        <v>377</v>
      </c>
      <c r="BQ3" s="399"/>
      <c r="BR3" s="400" t="s">
        <v>382</v>
      </c>
      <c r="BS3" s="401"/>
      <c r="BT3" s="401"/>
      <c r="BU3" s="401"/>
      <c r="BV3" s="401"/>
      <c r="BW3" s="401"/>
      <c r="BX3" s="401"/>
      <c r="BY3" s="402"/>
      <c r="BZ3" s="403" t="s">
        <v>379</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380</v>
      </c>
      <c r="DH3" s="394">
        <v>208</v>
      </c>
      <c r="DI3" s="395" t="s">
        <v>373</v>
      </c>
      <c r="DJ3" s="407" t="s">
        <v>935</v>
      </c>
      <c r="DK3" s="407"/>
      <c r="DL3" s="407"/>
      <c r="DM3" s="407"/>
      <c r="DN3" s="407"/>
      <c r="DO3" s="407"/>
      <c r="DP3" s="408"/>
      <c r="DQ3" s="398" t="s">
        <v>381</v>
      </c>
      <c r="DR3" s="399"/>
      <c r="DS3" s="398" t="s">
        <v>385</v>
      </c>
      <c r="DT3" s="399"/>
      <c r="DU3" s="400" t="s">
        <v>378</v>
      </c>
      <c r="DV3" s="401"/>
      <c r="DW3" s="401"/>
      <c r="DX3" s="401"/>
      <c r="DY3" s="401"/>
      <c r="DZ3" s="401"/>
      <c r="EA3" s="401"/>
      <c r="EB3" s="402"/>
      <c r="EC3" s="403" t="s">
        <v>383</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380</v>
      </c>
      <c r="FK3" s="394">
        <v>208</v>
      </c>
      <c r="FL3" s="395" t="s">
        <v>373</v>
      </c>
      <c r="FM3" s="407" t="s">
        <v>935</v>
      </c>
      <c r="FN3" s="407"/>
      <c r="FO3" s="407"/>
      <c r="FP3" s="407"/>
      <c r="FQ3" s="407"/>
      <c r="FR3" s="407"/>
      <c r="FS3" s="408"/>
      <c r="FT3" s="398" t="s">
        <v>376</v>
      </c>
      <c r="FU3" s="399"/>
      <c r="FV3" s="398" t="s">
        <v>377</v>
      </c>
      <c r="FW3" s="399"/>
      <c r="FX3" s="400" t="s">
        <v>1092</v>
      </c>
      <c r="FY3" s="401"/>
      <c r="FZ3" s="401"/>
      <c r="GA3" s="401"/>
      <c r="GB3" s="401"/>
      <c r="GC3" s="401"/>
      <c r="GD3" s="401"/>
      <c r="GE3" s="402"/>
      <c r="GF3" s="403" t="s">
        <v>383</v>
      </c>
      <c r="GG3" s="404"/>
      <c r="GH3" s="405"/>
      <c r="GI3" s="409"/>
      <c r="GJ3" s="410" t="s">
        <v>770</v>
      </c>
      <c r="GK3" s="411"/>
      <c r="GL3" s="411"/>
      <c r="GM3" s="411"/>
      <c r="GN3" s="411"/>
      <c r="GO3" s="411"/>
      <c r="GP3" s="411"/>
      <c r="GQ3" s="411"/>
      <c r="GR3" s="412"/>
      <c r="GS3" s="413"/>
      <c r="GT3" s="410" t="s">
        <v>771</v>
      </c>
      <c r="GU3" s="411"/>
      <c r="GV3" s="411"/>
      <c r="GW3" s="411"/>
      <c r="GX3" s="411"/>
      <c r="GY3" s="411"/>
      <c r="GZ3" s="411"/>
      <c r="HA3" s="411"/>
      <c r="HB3" s="412"/>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653</v>
      </c>
      <c r="P4" s="425"/>
      <c r="Q4" s="426" t="s">
        <v>391</v>
      </c>
      <c r="R4" s="425"/>
      <c r="S4" s="427" t="s">
        <v>389</v>
      </c>
      <c r="T4" s="428"/>
      <c r="U4" s="429" t="s">
        <v>393</v>
      </c>
      <c r="V4" s="430"/>
      <c r="W4" s="431" t="s">
        <v>822</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387</v>
      </c>
      <c r="BS4" s="425"/>
      <c r="BT4" s="426" t="s">
        <v>388</v>
      </c>
      <c r="BU4" s="425"/>
      <c r="BV4" s="427" t="s">
        <v>392</v>
      </c>
      <c r="BW4" s="428"/>
      <c r="BX4" s="429" t="s">
        <v>393</v>
      </c>
      <c r="BY4" s="430"/>
      <c r="BZ4" s="431" t="s">
        <v>822</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387</v>
      </c>
      <c r="DV4" s="425"/>
      <c r="DW4" s="426" t="s">
        <v>391</v>
      </c>
      <c r="DX4" s="425"/>
      <c r="DY4" s="427" t="s">
        <v>389</v>
      </c>
      <c r="DZ4" s="428"/>
      <c r="EA4" s="429" t="s">
        <v>393</v>
      </c>
      <c r="EB4" s="430"/>
      <c r="EC4" s="431" t="s">
        <v>822</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653</v>
      </c>
      <c r="FY4" s="425"/>
      <c r="FZ4" s="426" t="s">
        <v>388</v>
      </c>
      <c r="GA4" s="425"/>
      <c r="GB4" s="427" t="s">
        <v>389</v>
      </c>
      <c r="GC4" s="428"/>
      <c r="GD4" s="429" t="s">
        <v>393</v>
      </c>
      <c r="GE4" s="430"/>
      <c r="GF4" s="431" t="s">
        <v>811</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c r="MO4" s="392" t="s">
        <v>811</v>
      </c>
    </row>
    <row r="5" spans="1:353" ht="24.95" customHeight="1" thickBot="1">
      <c r="A5" s="438" t="s">
        <v>408</v>
      </c>
      <c r="B5" s="439">
        <v>2</v>
      </c>
      <c r="C5" s="440" t="s">
        <v>656</v>
      </c>
      <c r="D5" s="441">
        <v>53.34</v>
      </c>
      <c r="E5" s="442" t="s">
        <v>398</v>
      </c>
      <c r="F5" s="443">
        <v>2.8</v>
      </c>
      <c r="G5" s="444" t="s">
        <v>404</v>
      </c>
      <c r="H5" s="445"/>
      <c r="I5" s="446">
        <v>149.4</v>
      </c>
      <c r="J5" s="447"/>
      <c r="K5" s="448">
        <v>110</v>
      </c>
      <c r="L5" s="449"/>
      <c r="M5" s="448">
        <v>50</v>
      </c>
      <c r="N5" s="449"/>
      <c r="O5" s="450" t="s">
        <v>405</v>
      </c>
      <c r="P5" s="451"/>
      <c r="Q5" s="452" t="s">
        <v>409</v>
      </c>
      <c r="R5" s="453"/>
      <c r="S5" s="454" t="s">
        <v>406</v>
      </c>
      <c r="T5" s="455"/>
      <c r="U5" s="456" t="s">
        <v>403</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408</v>
      </c>
      <c r="BE5" s="439">
        <v>2</v>
      </c>
      <c r="BF5" s="440" t="s">
        <v>278</v>
      </c>
      <c r="BG5" s="441">
        <v>53.34</v>
      </c>
      <c r="BH5" s="442" t="s">
        <v>398</v>
      </c>
      <c r="BI5" s="443">
        <v>2.8</v>
      </c>
      <c r="BJ5" s="444" t="s">
        <v>404</v>
      </c>
      <c r="BK5" s="445"/>
      <c r="BL5" s="446">
        <v>149.4</v>
      </c>
      <c r="BM5" s="447"/>
      <c r="BN5" s="448">
        <v>110</v>
      </c>
      <c r="BO5" s="449"/>
      <c r="BP5" s="448">
        <v>50</v>
      </c>
      <c r="BQ5" s="449"/>
      <c r="BR5" s="450" t="s">
        <v>400</v>
      </c>
      <c r="BS5" s="451"/>
      <c r="BT5" s="452" t="s">
        <v>409</v>
      </c>
      <c r="BU5" s="453"/>
      <c r="BV5" s="454" t="s">
        <v>406</v>
      </c>
      <c r="BW5" s="455"/>
      <c r="BX5" s="456" t="s">
        <v>823</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395</v>
      </c>
      <c r="DH5" s="439">
        <v>2</v>
      </c>
      <c r="DI5" s="440" t="s">
        <v>278</v>
      </c>
      <c r="DJ5" s="441">
        <v>53.34</v>
      </c>
      <c r="DK5" s="442" t="s">
        <v>398</v>
      </c>
      <c r="DL5" s="443">
        <v>2.8</v>
      </c>
      <c r="DM5" s="444" t="s">
        <v>404</v>
      </c>
      <c r="DN5" s="445"/>
      <c r="DO5" s="446">
        <v>149.4</v>
      </c>
      <c r="DP5" s="447"/>
      <c r="DQ5" s="448">
        <v>110</v>
      </c>
      <c r="DR5" s="449"/>
      <c r="DS5" s="448">
        <v>50</v>
      </c>
      <c r="DT5" s="449"/>
      <c r="DU5" s="450" t="s">
        <v>405</v>
      </c>
      <c r="DV5" s="451"/>
      <c r="DW5" s="452" t="s">
        <v>409</v>
      </c>
      <c r="DX5" s="453"/>
      <c r="DY5" s="454" t="s">
        <v>402</v>
      </c>
      <c r="DZ5" s="455"/>
      <c r="EA5" s="456" t="s">
        <v>403</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408</v>
      </c>
      <c r="FK5" s="439">
        <v>2</v>
      </c>
      <c r="FL5" s="440" t="s">
        <v>278</v>
      </c>
      <c r="FM5" s="441">
        <v>53.34</v>
      </c>
      <c r="FN5" s="442" t="s">
        <v>398</v>
      </c>
      <c r="FO5" s="443">
        <v>2.8</v>
      </c>
      <c r="FP5" s="444" t="s">
        <v>399</v>
      </c>
      <c r="FQ5" s="445"/>
      <c r="FR5" s="446">
        <v>149.4</v>
      </c>
      <c r="FS5" s="447"/>
      <c r="FT5" s="448">
        <v>110</v>
      </c>
      <c r="FU5" s="449"/>
      <c r="FV5" s="448">
        <v>50</v>
      </c>
      <c r="FW5" s="449"/>
      <c r="FX5" s="1430" t="s">
        <v>1112</v>
      </c>
      <c r="FY5" s="451"/>
      <c r="FZ5" s="1431" t="s">
        <v>1089</v>
      </c>
      <c r="GA5" s="453"/>
      <c r="GB5" s="1432" t="s">
        <v>1113</v>
      </c>
      <c r="GC5" s="455"/>
      <c r="GD5" s="1433" t="s">
        <v>1114</v>
      </c>
      <c r="GE5" s="457"/>
      <c r="GF5" s="458"/>
      <c r="GG5" s="459"/>
      <c r="GH5" s="460"/>
      <c r="GI5" s="462"/>
      <c r="GJ5" s="409"/>
      <c r="GK5" s="463" t="s">
        <v>772</v>
      </c>
      <c r="GL5" s="463"/>
      <c r="GM5" s="463"/>
      <c r="GN5" s="409" t="s">
        <v>826</v>
      </c>
      <c r="GO5" s="464"/>
      <c r="GP5" s="464"/>
      <c r="GQ5" s="464"/>
      <c r="GR5" s="409"/>
      <c r="GS5" s="409"/>
      <c r="GT5" s="413"/>
      <c r="GU5" s="463" t="s">
        <v>519</v>
      </c>
      <c r="GV5" s="463"/>
      <c r="GW5" s="463"/>
      <c r="GX5" s="409" t="s">
        <v>827</v>
      </c>
      <c r="GY5" s="464"/>
      <c r="GZ5" s="464"/>
      <c r="HA5" s="464"/>
      <c r="HB5" s="409"/>
      <c r="HC5" s="465"/>
      <c r="HD5" s="437"/>
      <c r="HE5" s="437"/>
      <c r="HF5" s="504"/>
      <c r="HG5" s="386"/>
    </row>
    <row r="6" spans="1:353" ht="20.100000000000001" customHeight="1" thickBot="1">
      <c r="A6" s="466" t="s">
        <v>415</v>
      </c>
      <c r="B6" s="467"/>
      <c r="C6" s="468" t="s">
        <v>416</v>
      </c>
      <c r="D6" s="468"/>
      <c r="E6" s="468"/>
      <c r="F6" s="469">
        <v>0</v>
      </c>
      <c r="G6" s="469"/>
      <c r="H6" s="468" t="s">
        <v>417</v>
      </c>
      <c r="I6" s="468"/>
      <c r="J6" s="468"/>
      <c r="K6" s="468"/>
      <c r="L6" s="468"/>
      <c r="M6" s="470">
        <v>0</v>
      </c>
      <c r="N6" s="470"/>
      <c r="O6" s="471"/>
      <c r="P6" s="472"/>
      <c r="Q6" s="472" t="s">
        <v>665</v>
      </c>
      <c r="R6" s="473">
        <v>0</v>
      </c>
      <c r="S6" s="473"/>
      <c r="T6" s="474"/>
      <c r="U6" s="475" t="s">
        <v>419</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29</v>
      </c>
      <c r="BC6" s="479"/>
      <c r="BD6" s="466" t="s">
        <v>415</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875</v>
      </c>
      <c r="DF6" s="481"/>
      <c r="DG6" s="466" t="s">
        <v>415</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423</v>
      </c>
      <c r="FI6" s="481"/>
      <c r="FJ6" s="466" t="s">
        <v>903</v>
      </c>
      <c r="FK6" s="467"/>
      <c r="FL6" s="468" t="s">
        <v>416</v>
      </c>
      <c r="FM6" s="468"/>
      <c r="FN6" s="468"/>
      <c r="FO6" s="469">
        <v>0</v>
      </c>
      <c r="FP6" s="469"/>
      <c r="FQ6" s="468" t="s">
        <v>417</v>
      </c>
      <c r="FR6" s="468"/>
      <c r="FS6" s="468"/>
      <c r="FT6" s="468"/>
      <c r="FU6" s="468"/>
      <c r="FV6" s="470">
        <v>0</v>
      </c>
      <c r="FW6" s="470"/>
      <c r="FX6" s="471"/>
      <c r="FY6" s="472"/>
      <c r="FZ6" s="472" t="s">
        <v>667</v>
      </c>
      <c r="GA6" s="473">
        <v>0</v>
      </c>
      <c r="GB6" s="473"/>
      <c r="GC6" s="474"/>
      <c r="GD6" s="475" t="s">
        <v>426</v>
      </c>
      <c r="GE6" s="476">
        <v>0</v>
      </c>
      <c r="GF6" s="476"/>
      <c r="GG6" s="477"/>
      <c r="GH6" s="472"/>
      <c r="GI6" s="472"/>
      <c r="GJ6" s="483"/>
      <c r="GK6" s="484" t="s">
        <v>828</v>
      </c>
      <c r="GL6" s="484"/>
      <c r="GM6" s="484"/>
      <c r="GN6" s="485">
        <v>2</v>
      </c>
      <c r="GO6" s="486"/>
      <c r="GP6" s="486"/>
      <c r="GQ6" s="486"/>
      <c r="GR6" s="483"/>
      <c r="GS6" s="483"/>
      <c r="GT6" s="413"/>
      <c r="GU6" s="484" t="s">
        <v>773</v>
      </c>
      <c r="GV6" s="484"/>
      <c r="GW6" s="484"/>
      <c r="GX6" s="485">
        <v>2</v>
      </c>
      <c r="GY6" s="413"/>
      <c r="GZ6" s="413"/>
      <c r="HA6" s="486"/>
      <c r="HB6" s="486"/>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469</v>
      </c>
      <c r="GK8" s="528"/>
      <c r="GL8" s="529"/>
      <c r="GM8" s="530"/>
      <c r="GN8" s="529"/>
      <c r="GO8" s="530"/>
      <c r="GP8" s="529"/>
      <c r="GQ8" s="529"/>
      <c r="GR8" s="529"/>
      <c r="GS8" s="529"/>
      <c r="GT8" s="528" t="s">
        <v>470</v>
      </c>
      <c r="GU8" s="528"/>
      <c r="GV8" s="413"/>
      <c r="GW8" s="483"/>
      <c r="GX8" s="486"/>
      <c r="GY8" s="483"/>
      <c r="GZ8" s="486"/>
      <c r="HA8" s="530"/>
      <c r="HB8" s="530"/>
      <c r="HC8" s="530"/>
      <c r="HD8" s="437"/>
      <c r="HE8" s="437"/>
      <c r="HF8" s="1275"/>
      <c r="HG8" s="1275"/>
    </row>
    <row r="9" spans="1:353" ht="22.5" customHeight="1">
      <c r="A9" s="532" t="s">
        <v>289</v>
      </c>
      <c r="B9" s="533" t="s">
        <v>290</v>
      </c>
      <c r="C9" s="534" t="s">
        <v>291</v>
      </c>
      <c r="D9" s="534" t="s">
        <v>855</v>
      </c>
      <c r="E9" s="535" t="s">
        <v>856</v>
      </c>
      <c r="F9" s="536" t="s">
        <v>294</v>
      </c>
      <c r="G9" s="537" t="s">
        <v>857</v>
      </c>
      <c r="H9" s="538" t="s">
        <v>858</v>
      </c>
      <c r="I9" s="539" t="s">
        <v>297</v>
      </c>
      <c r="J9" s="538" t="s">
        <v>858</v>
      </c>
      <c r="K9" s="539" t="s">
        <v>297</v>
      </c>
      <c r="L9" s="538" t="s">
        <v>858</v>
      </c>
      <c r="M9" s="539" t="s">
        <v>297</v>
      </c>
      <c r="N9" s="538" t="s">
        <v>858</v>
      </c>
      <c r="O9" s="539" t="s">
        <v>297</v>
      </c>
      <c r="P9" s="538" t="s">
        <v>858</v>
      </c>
      <c r="Q9" s="539" t="s">
        <v>297</v>
      </c>
      <c r="R9" s="538" t="s">
        <v>858</v>
      </c>
      <c r="S9" s="539" t="s">
        <v>297</v>
      </c>
      <c r="T9" s="538" t="s">
        <v>858</v>
      </c>
      <c r="U9" s="539" t="s">
        <v>297</v>
      </c>
      <c r="V9" s="538" t="s">
        <v>858</v>
      </c>
      <c r="W9" s="539" t="s">
        <v>297</v>
      </c>
      <c r="X9" s="538" t="s">
        <v>858</v>
      </c>
      <c r="Y9" s="539" t="s">
        <v>297</v>
      </c>
      <c r="Z9" s="538" t="s">
        <v>858</v>
      </c>
      <c r="AA9" s="539" t="s">
        <v>297</v>
      </c>
      <c r="AB9" s="538" t="s">
        <v>858</v>
      </c>
      <c r="AC9" s="539" t="s">
        <v>297</v>
      </c>
      <c r="AD9" s="538" t="s">
        <v>858</v>
      </c>
      <c r="AE9" s="539" t="s">
        <v>297</v>
      </c>
      <c r="AF9" s="538" t="s">
        <v>858</v>
      </c>
      <c r="AG9" s="539" t="s">
        <v>297</v>
      </c>
      <c r="AH9" s="538" t="s">
        <v>858</v>
      </c>
      <c r="AI9" s="539" t="s">
        <v>297</v>
      </c>
      <c r="AJ9" s="538" t="s">
        <v>858</v>
      </c>
      <c r="AK9" s="539" t="s">
        <v>297</v>
      </c>
      <c r="AL9" s="538" t="s">
        <v>858</v>
      </c>
      <c r="AM9" s="539" t="s">
        <v>297</v>
      </c>
      <c r="AN9" s="538" t="s">
        <v>858</v>
      </c>
      <c r="AO9" s="539" t="s">
        <v>297</v>
      </c>
      <c r="AP9" s="538" t="s">
        <v>858</v>
      </c>
      <c r="AQ9" s="539" t="s">
        <v>297</v>
      </c>
      <c r="AR9" s="538" t="s">
        <v>858</v>
      </c>
      <c r="AS9" s="539" t="s">
        <v>297</v>
      </c>
      <c r="AT9" s="538" t="s">
        <v>858</v>
      </c>
      <c r="AU9" s="539" t="s">
        <v>297</v>
      </c>
      <c r="AV9" s="538" t="s">
        <v>858</v>
      </c>
      <c r="AW9" s="539" t="s">
        <v>297</v>
      </c>
      <c r="AX9" s="538" t="s">
        <v>858</v>
      </c>
      <c r="AY9" s="539" t="s">
        <v>297</v>
      </c>
      <c r="AZ9" s="538" t="s">
        <v>858</v>
      </c>
      <c r="BA9" s="539" t="s">
        <v>297</v>
      </c>
      <c r="BB9" s="540" t="s">
        <v>298</v>
      </c>
      <c r="BC9" s="503"/>
      <c r="BD9" s="532" t="s">
        <v>289</v>
      </c>
      <c r="BE9" s="533" t="s">
        <v>290</v>
      </c>
      <c r="BF9" s="534" t="s">
        <v>291</v>
      </c>
      <c r="BG9" s="534" t="s">
        <v>855</v>
      </c>
      <c r="BH9" s="535" t="s">
        <v>856</v>
      </c>
      <c r="BI9" s="536" t="s">
        <v>294</v>
      </c>
      <c r="BJ9" s="537" t="s">
        <v>857</v>
      </c>
      <c r="BK9" s="538" t="s">
        <v>858</v>
      </c>
      <c r="BL9" s="539" t="s">
        <v>297</v>
      </c>
      <c r="BM9" s="538" t="s">
        <v>858</v>
      </c>
      <c r="BN9" s="539" t="s">
        <v>297</v>
      </c>
      <c r="BO9" s="538" t="s">
        <v>858</v>
      </c>
      <c r="BP9" s="539" t="s">
        <v>297</v>
      </c>
      <c r="BQ9" s="538" t="s">
        <v>858</v>
      </c>
      <c r="BR9" s="539" t="s">
        <v>297</v>
      </c>
      <c r="BS9" s="538" t="s">
        <v>858</v>
      </c>
      <c r="BT9" s="539" t="s">
        <v>297</v>
      </c>
      <c r="BU9" s="538" t="s">
        <v>858</v>
      </c>
      <c r="BV9" s="539" t="s">
        <v>297</v>
      </c>
      <c r="BW9" s="538" t="s">
        <v>858</v>
      </c>
      <c r="BX9" s="539" t="s">
        <v>297</v>
      </c>
      <c r="BY9" s="538" t="s">
        <v>858</v>
      </c>
      <c r="BZ9" s="539" t="s">
        <v>297</v>
      </c>
      <c r="CA9" s="538" t="s">
        <v>858</v>
      </c>
      <c r="CB9" s="539" t="s">
        <v>297</v>
      </c>
      <c r="CC9" s="538" t="s">
        <v>858</v>
      </c>
      <c r="CD9" s="539" t="s">
        <v>297</v>
      </c>
      <c r="CE9" s="538" t="s">
        <v>858</v>
      </c>
      <c r="CF9" s="539" t="s">
        <v>297</v>
      </c>
      <c r="CG9" s="538" t="s">
        <v>858</v>
      </c>
      <c r="CH9" s="539" t="s">
        <v>297</v>
      </c>
      <c r="CI9" s="538" t="s">
        <v>858</v>
      </c>
      <c r="CJ9" s="539" t="s">
        <v>297</v>
      </c>
      <c r="CK9" s="538" t="s">
        <v>858</v>
      </c>
      <c r="CL9" s="539" t="s">
        <v>297</v>
      </c>
      <c r="CM9" s="538" t="s">
        <v>858</v>
      </c>
      <c r="CN9" s="539" t="s">
        <v>297</v>
      </c>
      <c r="CO9" s="538" t="s">
        <v>858</v>
      </c>
      <c r="CP9" s="539" t="s">
        <v>297</v>
      </c>
      <c r="CQ9" s="538" t="s">
        <v>858</v>
      </c>
      <c r="CR9" s="539" t="s">
        <v>297</v>
      </c>
      <c r="CS9" s="538" t="s">
        <v>858</v>
      </c>
      <c r="CT9" s="539" t="s">
        <v>297</v>
      </c>
      <c r="CU9" s="538" t="s">
        <v>858</v>
      </c>
      <c r="CV9" s="539" t="s">
        <v>297</v>
      </c>
      <c r="CW9" s="538" t="s">
        <v>858</v>
      </c>
      <c r="CX9" s="539" t="s">
        <v>297</v>
      </c>
      <c r="CY9" s="538" t="s">
        <v>858</v>
      </c>
      <c r="CZ9" s="539" t="s">
        <v>297</v>
      </c>
      <c r="DA9" s="538" t="s">
        <v>858</v>
      </c>
      <c r="DB9" s="539" t="s">
        <v>297</v>
      </c>
      <c r="DC9" s="538" t="s">
        <v>858</v>
      </c>
      <c r="DD9" s="539" t="s">
        <v>297</v>
      </c>
      <c r="DE9" s="540" t="s">
        <v>298</v>
      </c>
      <c r="DF9" s="503"/>
      <c r="DG9" s="532" t="s">
        <v>289</v>
      </c>
      <c r="DH9" s="533" t="s">
        <v>290</v>
      </c>
      <c r="DI9" s="534" t="s">
        <v>291</v>
      </c>
      <c r="DJ9" s="534" t="s">
        <v>855</v>
      </c>
      <c r="DK9" s="535" t="s">
        <v>856</v>
      </c>
      <c r="DL9" s="536" t="s">
        <v>294</v>
      </c>
      <c r="DM9" s="537" t="s">
        <v>857</v>
      </c>
      <c r="DN9" s="538" t="s">
        <v>858</v>
      </c>
      <c r="DO9" s="539" t="s">
        <v>297</v>
      </c>
      <c r="DP9" s="538" t="s">
        <v>858</v>
      </c>
      <c r="DQ9" s="539" t="s">
        <v>297</v>
      </c>
      <c r="DR9" s="538" t="s">
        <v>858</v>
      </c>
      <c r="DS9" s="539" t="s">
        <v>297</v>
      </c>
      <c r="DT9" s="538" t="s">
        <v>858</v>
      </c>
      <c r="DU9" s="539" t="s">
        <v>297</v>
      </c>
      <c r="DV9" s="538" t="s">
        <v>858</v>
      </c>
      <c r="DW9" s="539" t="s">
        <v>297</v>
      </c>
      <c r="DX9" s="538" t="s">
        <v>858</v>
      </c>
      <c r="DY9" s="539" t="s">
        <v>297</v>
      </c>
      <c r="DZ9" s="538" t="s">
        <v>858</v>
      </c>
      <c r="EA9" s="539" t="s">
        <v>297</v>
      </c>
      <c r="EB9" s="538" t="s">
        <v>858</v>
      </c>
      <c r="EC9" s="539" t="s">
        <v>297</v>
      </c>
      <c r="ED9" s="538" t="s">
        <v>858</v>
      </c>
      <c r="EE9" s="539" t="s">
        <v>297</v>
      </c>
      <c r="EF9" s="538" t="s">
        <v>858</v>
      </c>
      <c r="EG9" s="539" t="s">
        <v>297</v>
      </c>
      <c r="EH9" s="538" t="s">
        <v>858</v>
      </c>
      <c r="EI9" s="539" t="s">
        <v>297</v>
      </c>
      <c r="EJ9" s="538" t="s">
        <v>858</v>
      </c>
      <c r="EK9" s="539" t="s">
        <v>297</v>
      </c>
      <c r="EL9" s="538" t="s">
        <v>858</v>
      </c>
      <c r="EM9" s="539" t="s">
        <v>297</v>
      </c>
      <c r="EN9" s="538" t="s">
        <v>858</v>
      </c>
      <c r="EO9" s="539" t="s">
        <v>297</v>
      </c>
      <c r="EP9" s="538" t="s">
        <v>858</v>
      </c>
      <c r="EQ9" s="539" t="s">
        <v>297</v>
      </c>
      <c r="ER9" s="538" t="s">
        <v>858</v>
      </c>
      <c r="ES9" s="539" t="s">
        <v>297</v>
      </c>
      <c r="ET9" s="538" t="s">
        <v>858</v>
      </c>
      <c r="EU9" s="539" t="s">
        <v>297</v>
      </c>
      <c r="EV9" s="538" t="s">
        <v>858</v>
      </c>
      <c r="EW9" s="539" t="s">
        <v>297</v>
      </c>
      <c r="EX9" s="538" t="s">
        <v>858</v>
      </c>
      <c r="EY9" s="539" t="s">
        <v>297</v>
      </c>
      <c r="EZ9" s="538" t="s">
        <v>858</v>
      </c>
      <c r="FA9" s="539" t="s">
        <v>297</v>
      </c>
      <c r="FB9" s="538" t="s">
        <v>858</v>
      </c>
      <c r="FC9" s="539" t="s">
        <v>297</v>
      </c>
      <c r="FD9" s="538" t="s">
        <v>858</v>
      </c>
      <c r="FE9" s="539" t="s">
        <v>297</v>
      </c>
      <c r="FF9" s="538" t="s">
        <v>858</v>
      </c>
      <c r="FG9" s="539" t="s">
        <v>297</v>
      </c>
      <c r="FH9" s="540" t="s">
        <v>298</v>
      </c>
      <c r="FI9" s="541"/>
      <c r="FJ9" s="542" t="s">
        <v>289</v>
      </c>
      <c r="FK9" s="533" t="s">
        <v>290</v>
      </c>
      <c r="FL9" s="534" t="s">
        <v>291</v>
      </c>
      <c r="FM9" s="534" t="s">
        <v>855</v>
      </c>
      <c r="FN9" s="535" t="s">
        <v>856</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689</v>
      </c>
      <c r="GL9" s="529"/>
      <c r="GM9" s="530"/>
      <c r="GN9" s="529"/>
      <c r="GO9" s="549">
        <v>0.92</v>
      </c>
      <c r="GP9" s="529"/>
      <c r="GQ9" s="529"/>
      <c r="GR9" s="529"/>
      <c r="GS9" s="529"/>
      <c r="GT9" s="550"/>
      <c r="GU9" s="483" t="s">
        <v>524</v>
      </c>
      <c r="GV9" s="413"/>
      <c r="GW9" s="483"/>
      <c r="GX9" s="551">
        <v>1</v>
      </c>
      <c r="GY9" s="483"/>
      <c r="GZ9" s="486"/>
      <c r="HA9" s="530"/>
      <c r="HB9" s="530"/>
      <c r="HC9" s="530"/>
      <c r="HD9" s="437"/>
      <c r="HE9" s="437"/>
      <c r="HF9" s="1279"/>
      <c r="HG9" s="1279"/>
    </row>
    <row r="10" spans="1:353" ht="20.100000000000001" customHeight="1">
      <c r="A10" s="552"/>
      <c r="B10" s="553" t="s">
        <v>229</v>
      </c>
      <c r="C10" s="554" t="s">
        <v>70</v>
      </c>
      <c r="D10" s="555">
        <f>ROUND(5.4*0.85,2)</f>
        <v>4.59</v>
      </c>
      <c r="E10" s="553" t="s">
        <v>868</v>
      </c>
      <c r="F10" s="554" t="s">
        <v>188</v>
      </c>
      <c r="G10" s="556">
        <v>0</v>
      </c>
      <c r="H10" s="557">
        <f>ROUND(ROUND(5.4*0.85,2)*0.49*0,0)</f>
        <v>0</v>
      </c>
      <c r="I10" s="558">
        <v>0</v>
      </c>
      <c r="J10" s="559">
        <f>ROUND(ROUND(5.4*0.85,2)*0.49*0,0)</f>
        <v>0</v>
      </c>
      <c r="K10" s="560">
        <v>0</v>
      </c>
      <c r="L10" s="559">
        <f>ROUND(ROUND(5.4*0.85,2)*0.49*0,0)</f>
        <v>0</v>
      </c>
      <c r="M10" s="560">
        <v>0</v>
      </c>
      <c r="N10" s="559">
        <f>ROUND(ROUND(5.4*0.85,2)*0.49*0,0)</f>
        <v>0</v>
      </c>
      <c r="O10" s="560">
        <v>0</v>
      </c>
      <c r="P10" s="559">
        <f>ROUND(ROUND(5.4*0.85,2)*0.49*0,0)</f>
        <v>0</v>
      </c>
      <c r="Q10" s="560">
        <v>0</v>
      </c>
      <c r="R10" s="559">
        <f>ROUND(ROUND(5.4*0.85,2)*0.49*0,0)</f>
        <v>0</v>
      </c>
      <c r="S10" s="560">
        <v>0</v>
      </c>
      <c r="T10" s="559">
        <f>ROUND(ROUND(5.4*0.85,2)*0.49*0,0)</f>
        <v>0</v>
      </c>
      <c r="U10" s="560">
        <v>0</v>
      </c>
      <c r="V10" s="559">
        <f>ROUND(ROUND(5.4*0.85,2)*0.49*0,0)</f>
        <v>0</v>
      </c>
      <c r="W10" s="560">
        <v>116</v>
      </c>
      <c r="X10" s="559">
        <f>ROUND(ROUND(5.4*0.85,2)*0.49*116,0)</f>
        <v>261</v>
      </c>
      <c r="Y10" s="560">
        <v>130</v>
      </c>
      <c r="Z10" s="559">
        <f>ROUND(ROUND(5.4*0.85,2)*0.49*130,0)</f>
        <v>292</v>
      </c>
      <c r="AA10" s="560">
        <v>135</v>
      </c>
      <c r="AB10" s="559">
        <f>ROUND(ROUND(5.4*0.85,2)*0.49*135,0)</f>
        <v>304</v>
      </c>
      <c r="AC10" s="560">
        <v>136</v>
      </c>
      <c r="AD10" s="559">
        <f>ROUND(ROUND(5.4*0.85,2)*0.49*136,0)</f>
        <v>306</v>
      </c>
      <c r="AE10" s="560">
        <v>134</v>
      </c>
      <c r="AF10" s="559">
        <f>ROUND(ROUND(5.4*0.85,2)*0.49*134,0)</f>
        <v>301</v>
      </c>
      <c r="AG10" s="560">
        <v>125</v>
      </c>
      <c r="AH10" s="559">
        <f>ROUND(ROUND(5.4*0.85,2)*0.49*125,0)</f>
        <v>281</v>
      </c>
      <c r="AI10" s="560">
        <v>107</v>
      </c>
      <c r="AJ10" s="559">
        <f>ROUND(ROUND(5.4*0.85,2)*0.49*107,0)</f>
        <v>241</v>
      </c>
      <c r="AK10" s="560">
        <v>80</v>
      </c>
      <c r="AL10" s="559">
        <f>ROUND(ROUND(5.4*0.85,2)*0.49*80,0)</f>
        <v>180</v>
      </c>
      <c r="AM10" s="560">
        <v>50</v>
      </c>
      <c r="AN10" s="559">
        <f>ROUND(ROUND(5.4*0.85,2)*0.49*50,0)</f>
        <v>112</v>
      </c>
      <c r="AO10" s="560">
        <v>14</v>
      </c>
      <c r="AP10" s="559">
        <f>ROUND(ROUND(5.4*0.85,2)*0.49*14,0)</f>
        <v>31</v>
      </c>
      <c r="AQ10" s="560">
        <v>0</v>
      </c>
      <c r="AR10" s="559">
        <f>ROUND(ROUND(5.4*0.85,2)*0.49*0,0)</f>
        <v>0</v>
      </c>
      <c r="AS10" s="560">
        <v>0</v>
      </c>
      <c r="AT10" s="559">
        <f>ROUND(ROUND(5.4*0.85,2)*0.49*0,0)</f>
        <v>0</v>
      </c>
      <c r="AU10" s="560">
        <v>0</v>
      </c>
      <c r="AV10" s="559">
        <f>ROUND(ROUND(5.4*0.85,2)*0.49*0,0)</f>
        <v>0</v>
      </c>
      <c r="AW10" s="560">
        <v>0</v>
      </c>
      <c r="AX10" s="559">
        <f>ROUND(ROUND(5.4*0.85,2)*0.49*0,0)</f>
        <v>0</v>
      </c>
      <c r="AY10" s="560">
        <v>0</v>
      </c>
      <c r="AZ10" s="559">
        <f>ROUND(ROUND(5.4*0.85,2)*0.49*0,0)</f>
        <v>0</v>
      </c>
      <c r="BA10" s="560">
        <v>0</v>
      </c>
      <c r="BB10" s="561">
        <f>ROUND(ROUND(5.4*0.85,2)*0.49*0,0)</f>
        <v>0</v>
      </c>
      <c r="BC10" s="562"/>
      <c r="BD10" s="552"/>
      <c r="BE10" s="553"/>
      <c r="BF10" s="554"/>
      <c r="BG10" s="555"/>
      <c r="BH10" s="553"/>
      <c r="BI10" s="554"/>
      <c r="BJ10" s="556">
        <v>0</v>
      </c>
      <c r="BK10" s="557">
        <f>ROUND(ROUND(5.4*0.85,2)*0.49*0,0)</f>
        <v>0</v>
      </c>
      <c r="BL10" s="558">
        <v>0</v>
      </c>
      <c r="BM10" s="559">
        <f>ROUND(ROUND(5.4*0.85,2)*0.49*0,0)</f>
        <v>0</v>
      </c>
      <c r="BN10" s="560">
        <v>0</v>
      </c>
      <c r="BO10" s="559">
        <f>ROUND(ROUND(5.4*0.85,2)*0.49*0,0)</f>
        <v>0</v>
      </c>
      <c r="BP10" s="560">
        <v>0</v>
      </c>
      <c r="BQ10" s="559">
        <f>ROUND(ROUND(5.4*0.85,2)*0.49*0,0)</f>
        <v>0</v>
      </c>
      <c r="BR10" s="560">
        <v>0</v>
      </c>
      <c r="BS10" s="559">
        <f>ROUND(ROUND(5.4*0.85,2)*0.49*0,0)</f>
        <v>0</v>
      </c>
      <c r="BT10" s="560">
        <v>0</v>
      </c>
      <c r="BU10" s="559">
        <f>ROUND(ROUND(5.4*0.85,2)*0.49*0,0)</f>
        <v>0</v>
      </c>
      <c r="BV10" s="560">
        <v>0</v>
      </c>
      <c r="BW10" s="559">
        <f>ROUND(ROUND(5.4*0.85,2)*0.49*0,0)</f>
        <v>0</v>
      </c>
      <c r="BX10" s="560">
        <v>0</v>
      </c>
      <c r="BY10" s="559">
        <f>ROUND(ROUND(5.4*0.85,2)*0.49*0,0)</f>
        <v>0</v>
      </c>
      <c r="BZ10" s="560">
        <v>103</v>
      </c>
      <c r="CA10" s="559">
        <f>ROUND(ROUND(5.4*0.85,2)*0.49*103,0)</f>
        <v>232</v>
      </c>
      <c r="CB10" s="560">
        <v>110</v>
      </c>
      <c r="CC10" s="559">
        <f>ROUND(ROUND(5.4*0.85,2)*0.49*110,0)</f>
        <v>247</v>
      </c>
      <c r="CD10" s="560">
        <v>111</v>
      </c>
      <c r="CE10" s="559">
        <f>ROUND(ROUND(5.4*0.85,2)*0.49*111,0)</f>
        <v>250</v>
      </c>
      <c r="CF10" s="560">
        <v>110</v>
      </c>
      <c r="CG10" s="559">
        <f>ROUND(ROUND(5.4*0.85,2)*0.49*110,0)</f>
        <v>247</v>
      </c>
      <c r="CH10" s="560">
        <v>112</v>
      </c>
      <c r="CI10" s="559">
        <f>ROUND(ROUND(5.4*0.85,2)*0.49*112,0)</f>
        <v>252</v>
      </c>
      <c r="CJ10" s="560">
        <v>109</v>
      </c>
      <c r="CK10" s="559">
        <f>ROUND(ROUND(5.4*0.85,2)*0.49*109,0)</f>
        <v>245</v>
      </c>
      <c r="CL10" s="560">
        <v>98</v>
      </c>
      <c r="CM10" s="559">
        <f>ROUND(ROUND(5.4*0.85,2)*0.49*98,0)</f>
        <v>220</v>
      </c>
      <c r="CN10" s="560">
        <v>76</v>
      </c>
      <c r="CO10" s="559">
        <f>ROUND(ROUND(5.4*0.85,2)*0.49*76,0)</f>
        <v>171</v>
      </c>
      <c r="CP10" s="560">
        <v>51</v>
      </c>
      <c r="CQ10" s="559">
        <f>ROUND(ROUND(5.4*0.85,2)*0.49*51,0)</f>
        <v>115</v>
      </c>
      <c r="CR10" s="560">
        <v>21</v>
      </c>
      <c r="CS10" s="559">
        <f>ROUND(ROUND(5.4*0.85,2)*0.49*21,0)</f>
        <v>47</v>
      </c>
      <c r="CT10" s="560">
        <v>0</v>
      </c>
      <c r="CU10" s="559">
        <f>ROUND(ROUND(5.4*0.85,2)*0.49*0,0)</f>
        <v>0</v>
      </c>
      <c r="CV10" s="560">
        <v>0</v>
      </c>
      <c r="CW10" s="559">
        <f>ROUND(ROUND(5.4*0.85,2)*0.49*0,0)</f>
        <v>0</v>
      </c>
      <c r="CX10" s="560">
        <v>0</v>
      </c>
      <c r="CY10" s="559">
        <f>ROUND(ROUND(5.4*0.85,2)*0.49*0,0)</f>
        <v>0</v>
      </c>
      <c r="CZ10" s="560">
        <v>0</v>
      </c>
      <c r="DA10" s="559">
        <f>ROUND(ROUND(5.4*0.85,2)*0.49*0,0)</f>
        <v>0</v>
      </c>
      <c r="DB10" s="560">
        <v>0</v>
      </c>
      <c r="DC10" s="559">
        <f>ROUND(ROUND(5.4*0.85,2)*0.49*0,0)</f>
        <v>0</v>
      </c>
      <c r="DD10" s="560">
        <v>0</v>
      </c>
      <c r="DE10" s="561">
        <f>ROUND(ROUND(5.4*0.85,2)*0.49*0,0)</f>
        <v>0</v>
      </c>
      <c r="DF10" s="562"/>
      <c r="DG10" s="552"/>
      <c r="DH10" s="553"/>
      <c r="DI10" s="554"/>
      <c r="DJ10" s="555"/>
      <c r="DK10" s="553"/>
      <c r="DL10" s="554"/>
      <c r="DM10" s="556">
        <v>0</v>
      </c>
      <c r="DN10" s="557">
        <f>ROUND(ROUND(5.4*0.85,2)*0.49*0,0)</f>
        <v>0</v>
      </c>
      <c r="DO10" s="558">
        <v>0</v>
      </c>
      <c r="DP10" s="559">
        <f>ROUND(ROUND(5.4*0.85,2)*0.49*0,0)</f>
        <v>0</v>
      </c>
      <c r="DQ10" s="560">
        <v>0</v>
      </c>
      <c r="DR10" s="559">
        <f>ROUND(ROUND(5.4*0.85,2)*0.49*0,0)</f>
        <v>0</v>
      </c>
      <c r="DS10" s="560">
        <v>0</v>
      </c>
      <c r="DT10" s="559">
        <f>ROUND(ROUND(5.4*0.85,2)*0.49*0,0)</f>
        <v>0</v>
      </c>
      <c r="DU10" s="560">
        <v>0</v>
      </c>
      <c r="DV10" s="559">
        <f>ROUND(ROUND(5.4*0.85,2)*0.49*0,0)</f>
        <v>0</v>
      </c>
      <c r="DW10" s="560">
        <v>0</v>
      </c>
      <c r="DX10" s="559">
        <f>ROUND(ROUND(5.4*0.85,2)*0.49*0,0)</f>
        <v>0</v>
      </c>
      <c r="DY10" s="560">
        <v>0</v>
      </c>
      <c r="DZ10" s="559">
        <f>ROUND(ROUND(5.4*0.85,2)*0.49*0,0)</f>
        <v>0</v>
      </c>
      <c r="EA10" s="560">
        <v>0</v>
      </c>
      <c r="EB10" s="559">
        <f>ROUND(ROUND(5.4*0.85,2)*0.49*0,0)</f>
        <v>0</v>
      </c>
      <c r="EC10" s="560">
        <v>149</v>
      </c>
      <c r="ED10" s="559">
        <f>ROUND(ROUND(5.4*0.85,2)*0.49*149,0)</f>
        <v>335</v>
      </c>
      <c r="EE10" s="560">
        <v>97</v>
      </c>
      <c r="EF10" s="559">
        <f>ROUND(ROUND(5.4*0.85,2)*0.49*97,0)</f>
        <v>218</v>
      </c>
      <c r="EG10" s="560">
        <v>101</v>
      </c>
      <c r="EH10" s="559">
        <f>ROUND(ROUND(5.4*0.85,2)*0.49*101,0)</f>
        <v>227</v>
      </c>
      <c r="EI10" s="560">
        <v>101</v>
      </c>
      <c r="EJ10" s="559">
        <f>ROUND(ROUND(5.4*0.85,2)*0.49*101,0)</f>
        <v>227</v>
      </c>
      <c r="EK10" s="560">
        <v>98</v>
      </c>
      <c r="EL10" s="559">
        <f>ROUND(ROUND(5.4*0.85,2)*0.49*98,0)</f>
        <v>220</v>
      </c>
      <c r="EM10" s="560">
        <v>91</v>
      </c>
      <c r="EN10" s="559">
        <f>ROUND(ROUND(5.4*0.85,2)*0.49*91,0)</f>
        <v>205</v>
      </c>
      <c r="EO10" s="560">
        <v>78</v>
      </c>
      <c r="EP10" s="559">
        <f>ROUND(ROUND(5.4*0.85,2)*0.49*78,0)</f>
        <v>175</v>
      </c>
      <c r="EQ10" s="560">
        <v>55</v>
      </c>
      <c r="ER10" s="559">
        <f>ROUND(ROUND(5.4*0.85,2)*0.49*55,0)</f>
        <v>124</v>
      </c>
      <c r="ES10" s="560">
        <v>24</v>
      </c>
      <c r="ET10" s="559">
        <f>ROUND(ROUND(5.4*0.85,2)*0.49*24,0)</f>
        <v>54</v>
      </c>
      <c r="EU10" s="560">
        <v>3</v>
      </c>
      <c r="EV10" s="559">
        <f>ROUND(ROUND(5.4*0.85,2)*0.49*3,0)</f>
        <v>7</v>
      </c>
      <c r="EW10" s="560">
        <v>0</v>
      </c>
      <c r="EX10" s="559">
        <f>ROUND(ROUND(5.4*0.85,2)*0.49*0,0)</f>
        <v>0</v>
      </c>
      <c r="EY10" s="560">
        <v>0</v>
      </c>
      <c r="EZ10" s="559">
        <f>ROUND(ROUND(5.4*0.85,2)*0.49*0,0)</f>
        <v>0</v>
      </c>
      <c r="FA10" s="560">
        <v>0</v>
      </c>
      <c r="FB10" s="559">
        <f>ROUND(ROUND(5.4*0.85,2)*0.49*0,0)</f>
        <v>0</v>
      </c>
      <c r="FC10" s="560">
        <v>0</v>
      </c>
      <c r="FD10" s="559">
        <f>ROUND(ROUND(5.4*0.85,2)*0.49*0,0)</f>
        <v>0</v>
      </c>
      <c r="FE10" s="560">
        <v>0</v>
      </c>
      <c r="FF10" s="559">
        <f>ROUND(ROUND(5.4*0.85,2)*0.49*0,0)</f>
        <v>0</v>
      </c>
      <c r="FG10" s="560">
        <v>0</v>
      </c>
      <c r="FH10" s="561">
        <f>ROUND(ROUND(5.4*0.85,2)*0.49*0,0)</f>
        <v>0</v>
      </c>
      <c r="FI10" s="563"/>
      <c r="FJ10" s="564"/>
      <c r="FK10" s="553"/>
      <c r="FL10" s="554"/>
      <c r="FM10" s="555"/>
      <c r="FN10" s="553"/>
      <c r="FO10" s="554"/>
      <c r="FP10" s="565"/>
      <c r="FQ10" s="558"/>
      <c r="FR10" s="557" t="s">
        <v>859</v>
      </c>
      <c r="FS10" s="566"/>
      <c r="FT10" s="558"/>
      <c r="FU10" s="567" t="s">
        <v>859</v>
      </c>
      <c r="FV10" s="568" t="s">
        <v>301</v>
      </c>
      <c r="FW10" s="1299"/>
      <c r="FX10" s="1281" t="s">
        <v>302</v>
      </c>
      <c r="FY10" s="1300"/>
      <c r="FZ10" s="1283" t="s">
        <v>303</v>
      </c>
      <c r="GA10" s="1301"/>
      <c r="GB10" s="1285" t="s">
        <v>937</v>
      </c>
      <c r="GC10" s="1302"/>
      <c r="GD10" s="576" t="s">
        <v>938</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629</v>
      </c>
      <c r="FS11" s="591"/>
      <c r="FT11" s="586"/>
      <c r="FU11" s="592" t="s">
        <v>859</v>
      </c>
      <c r="FV11" s="593"/>
      <c r="FW11" s="594"/>
      <c r="FX11" s="595"/>
      <c r="FY11" s="596"/>
      <c r="FZ11" s="597"/>
      <c r="GA11" s="598"/>
      <c r="GB11" s="599"/>
      <c r="GC11" s="600"/>
      <c r="GD11" s="599"/>
      <c r="GE11" s="601"/>
      <c r="GF11" s="499"/>
      <c r="GG11" s="602"/>
      <c r="GH11" s="602"/>
      <c r="GI11" s="602"/>
      <c r="GJ11" s="529"/>
      <c r="GK11" s="580" t="s">
        <v>525</v>
      </c>
      <c r="GL11" s="413"/>
      <c r="GM11" s="483"/>
      <c r="GN11" s="486"/>
      <c r="GO11" s="483"/>
      <c r="GP11" s="413"/>
      <c r="GQ11" s="529"/>
      <c r="GR11" s="529"/>
      <c r="GS11" s="529"/>
      <c r="GT11" s="548"/>
      <c r="GU11" s="580" t="s">
        <v>830</v>
      </c>
      <c r="GV11" s="413"/>
      <c r="GW11" s="483"/>
      <c r="GX11" s="486"/>
      <c r="GY11" s="483"/>
      <c r="GZ11" s="413"/>
      <c r="HA11" s="530"/>
      <c r="HB11" s="530"/>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629</v>
      </c>
      <c r="FS12" s="591"/>
      <c r="FT12" s="586"/>
      <c r="FU12" s="592" t="s">
        <v>859</v>
      </c>
      <c r="FV12" s="593"/>
      <c r="FW12" s="594"/>
      <c r="FX12" s="595"/>
      <c r="FY12" s="596"/>
      <c r="FZ12" s="597"/>
      <c r="GA12" s="598"/>
      <c r="GB12" s="599"/>
      <c r="GC12" s="600"/>
      <c r="GD12" s="599"/>
      <c r="GE12" s="601"/>
      <c r="GF12" s="499"/>
      <c r="GG12" s="602"/>
      <c r="GH12" s="602"/>
      <c r="GI12" s="602"/>
      <c r="GJ12" s="413"/>
      <c r="GK12" s="603" t="s">
        <v>384</v>
      </c>
      <c r="GL12" s="604"/>
      <c r="GM12" s="605" t="s">
        <v>774</v>
      </c>
      <c r="GN12" s="606" t="s">
        <v>831</v>
      </c>
      <c r="GO12" s="607" t="s">
        <v>529</v>
      </c>
      <c r="GP12" s="608" t="s">
        <v>530</v>
      </c>
      <c r="GQ12" s="607" t="s">
        <v>531</v>
      </c>
      <c r="GR12" s="607" t="s">
        <v>532</v>
      </c>
      <c r="GS12" s="609"/>
      <c r="GT12" s="548"/>
      <c r="GU12" s="603" t="s">
        <v>380</v>
      </c>
      <c r="GV12" s="604"/>
      <c r="GW12" s="605" t="s">
        <v>774</v>
      </c>
      <c r="GX12" s="610" t="s">
        <v>695</v>
      </c>
      <c r="GY12" s="611"/>
      <c r="GZ12" s="612" t="s">
        <v>832</v>
      </c>
      <c r="HA12" s="613" t="s">
        <v>696</v>
      </c>
      <c r="HB12" s="614"/>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859</v>
      </c>
      <c r="FS13" s="626"/>
      <c r="FT13" s="621"/>
      <c r="FU13" s="627" t="s">
        <v>630</v>
      </c>
      <c r="FV13" s="593"/>
      <c r="FW13" s="594"/>
      <c r="FX13" s="595"/>
      <c r="FY13" s="596"/>
      <c r="FZ13" s="597"/>
      <c r="GA13" s="598"/>
      <c r="GB13" s="599"/>
      <c r="GC13" s="600"/>
      <c r="GD13" s="599"/>
      <c r="GE13" s="601"/>
      <c r="GF13" s="499"/>
      <c r="GG13" s="602"/>
      <c r="GH13" s="602"/>
      <c r="GI13" s="602"/>
      <c r="GJ13" s="413"/>
      <c r="GK13" s="628">
        <v>208</v>
      </c>
      <c r="GL13" s="629"/>
      <c r="GM13" s="630" t="s">
        <v>941</v>
      </c>
      <c r="GN13" s="631">
        <v>5.4</v>
      </c>
      <c r="GO13" s="632">
        <v>1.8</v>
      </c>
      <c r="GP13" s="632">
        <v>1</v>
      </c>
      <c r="GQ13" s="633">
        <v>9.7200000000000006</v>
      </c>
      <c r="GR13" s="634">
        <v>5.4</v>
      </c>
      <c r="GS13" s="578"/>
      <c r="GT13" s="413"/>
      <c r="GU13" s="628">
        <v>208</v>
      </c>
      <c r="GV13" s="629"/>
      <c r="GW13" s="635" t="s">
        <v>942</v>
      </c>
      <c r="GX13" s="636">
        <v>5.4</v>
      </c>
      <c r="GY13" s="637"/>
      <c r="GZ13" s="638">
        <v>0.3</v>
      </c>
      <c r="HA13" s="639">
        <v>1.62</v>
      </c>
      <c r="HB13" s="640"/>
      <c r="HC13" s="530"/>
      <c r="HD13" s="799"/>
      <c r="HE13" s="437"/>
      <c r="HF13" s="386"/>
      <c r="HG13" s="386"/>
    </row>
    <row r="14" spans="1:353" ht="20.100000000000001" customHeight="1">
      <c r="A14" s="641"/>
      <c r="B14" s="642"/>
      <c r="C14" s="642"/>
      <c r="D14" s="643" t="s">
        <v>930</v>
      </c>
      <c r="E14" s="642"/>
      <c r="F14" s="642"/>
      <c r="G14" s="644"/>
      <c r="H14" s="645">
        <f>SUM(H10:H13)</f>
        <v>0</v>
      </c>
      <c r="I14" s="735"/>
      <c r="J14" s="645">
        <f>SUM(J10:J13)</f>
        <v>0</v>
      </c>
      <c r="K14" s="735"/>
      <c r="L14" s="645">
        <f>SUM(L10:L13)</f>
        <v>0</v>
      </c>
      <c r="M14" s="735"/>
      <c r="N14" s="645">
        <f>SUM(N10:N13)</f>
        <v>0</v>
      </c>
      <c r="O14" s="735"/>
      <c r="P14" s="645">
        <f>SUM(P10:P13)</f>
        <v>0</v>
      </c>
      <c r="Q14" s="735"/>
      <c r="R14" s="645">
        <f>SUM(R10:R13)</f>
        <v>0</v>
      </c>
      <c r="S14" s="735"/>
      <c r="T14" s="645">
        <f>SUM(T10:T13)</f>
        <v>0</v>
      </c>
      <c r="U14" s="735"/>
      <c r="V14" s="645">
        <f>SUM(V10:V13)</f>
        <v>0</v>
      </c>
      <c r="W14" s="735"/>
      <c r="X14" s="645">
        <f>SUM(X10:X13)</f>
        <v>261</v>
      </c>
      <c r="Y14" s="735"/>
      <c r="Z14" s="645">
        <f>SUM(Z10:Z13)</f>
        <v>292</v>
      </c>
      <c r="AA14" s="735"/>
      <c r="AB14" s="645">
        <f>SUM(AB10:AB13)</f>
        <v>304</v>
      </c>
      <c r="AC14" s="735"/>
      <c r="AD14" s="645">
        <f>SUM(AD10:AD13)</f>
        <v>306</v>
      </c>
      <c r="AE14" s="735"/>
      <c r="AF14" s="645">
        <f>SUM(AF10:AF13)</f>
        <v>301</v>
      </c>
      <c r="AG14" s="735"/>
      <c r="AH14" s="645">
        <f>SUM(AH10:AH13)</f>
        <v>281</v>
      </c>
      <c r="AI14" s="735"/>
      <c r="AJ14" s="645">
        <f>SUM(AJ10:AJ13)</f>
        <v>241</v>
      </c>
      <c r="AK14" s="735"/>
      <c r="AL14" s="645">
        <f>SUM(AL10:AL13)</f>
        <v>180</v>
      </c>
      <c r="AM14" s="735"/>
      <c r="AN14" s="645">
        <f>SUM(AN10:AN13)</f>
        <v>112</v>
      </c>
      <c r="AO14" s="735"/>
      <c r="AP14" s="645">
        <f>SUM(AP10:AP13)</f>
        <v>31</v>
      </c>
      <c r="AQ14" s="735"/>
      <c r="AR14" s="645">
        <f>SUM(AR10:AR13)</f>
        <v>0</v>
      </c>
      <c r="AS14" s="735"/>
      <c r="AT14" s="645">
        <f>SUM(AT10:AT13)</f>
        <v>0</v>
      </c>
      <c r="AU14" s="735"/>
      <c r="AV14" s="645">
        <f>SUM(AV10:AV13)</f>
        <v>0</v>
      </c>
      <c r="AW14" s="735"/>
      <c r="AX14" s="645">
        <f>SUM(AX10:AX13)</f>
        <v>0</v>
      </c>
      <c r="AY14" s="735"/>
      <c r="AZ14" s="645">
        <f>SUM(AZ10:AZ13)</f>
        <v>0</v>
      </c>
      <c r="BA14" s="735"/>
      <c r="BB14" s="647">
        <f>SUM(BB10:BB13)</f>
        <v>0</v>
      </c>
      <c r="BC14" s="648"/>
      <c r="BD14" s="641"/>
      <c r="BE14" s="642"/>
      <c r="BF14" s="642"/>
      <c r="BG14" s="643" t="s">
        <v>930</v>
      </c>
      <c r="BH14" s="642"/>
      <c r="BI14" s="642"/>
      <c r="BJ14" s="644"/>
      <c r="BK14" s="645">
        <f>SUM(BK10:BK13)</f>
        <v>0</v>
      </c>
      <c r="BL14" s="735"/>
      <c r="BM14" s="645">
        <f>SUM(BM10:BM13)</f>
        <v>0</v>
      </c>
      <c r="BN14" s="735"/>
      <c r="BO14" s="645">
        <f>SUM(BO10:BO13)</f>
        <v>0</v>
      </c>
      <c r="BP14" s="735"/>
      <c r="BQ14" s="645">
        <f>SUM(BQ10:BQ13)</f>
        <v>0</v>
      </c>
      <c r="BR14" s="735"/>
      <c r="BS14" s="645">
        <f>SUM(BS10:BS13)</f>
        <v>0</v>
      </c>
      <c r="BT14" s="735"/>
      <c r="BU14" s="645">
        <f>SUM(BU10:BU13)</f>
        <v>0</v>
      </c>
      <c r="BV14" s="735"/>
      <c r="BW14" s="645">
        <f>SUM(BW10:BW13)</f>
        <v>0</v>
      </c>
      <c r="BX14" s="735"/>
      <c r="BY14" s="645">
        <f>SUM(BY10:BY13)</f>
        <v>0</v>
      </c>
      <c r="BZ14" s="735"/>
      <c r="CA14" s="645">
        <f>SUM(CA10:CA13)</f>
        <v>232</v>
      </c>
      <c r="CB14" s="735"/>
      <c r="CC14" s="645">
        <f>SUM(CC10:CC13)</f>
        <v>247</v>
      </c>
      <c r="CD14" s="735"/>
      <c r="CE14" s="645">
        <f>SUM(CE10:CE13)</f>
        <v>250</v>
      </c>
      <c r="CF14" s="735"/>
      <c r="CG14" s="645">
        <f>SUM(CG10:CG13)</f>
        <v>247</v>
      </c>
      <c r="CH14" s="735"/>
      <c r="CI14" s="645">
        <f>SUM(CI10:CI13)</f>
        <v>252</v>
      </c>
      <c r="CJ14" s="735"/>
      <c r="CK14" s="645">
        <f>SUM(CK10:CK13)</f>
        <v>245</v>
      </c>
      <c r="CL14" s="735"/>
      <c r="CM14" s="645">
        <f>SUM(CM10:CM13)</f>
        <v>220</v>
      </c>
      <c r="CN14" s="735"/>
      <c r="CO14" s="645">
        <f>SUM(CO10:CO13)</f>
        <v>171</v>
      </c>
      <c r="CP14" s="735"/>
      <c r="CQ14" s="645">
        <f>SUM(CQ10:CQ13)</f>
        <v>115</v>
      </c>
      <c r="CR14" s="735"/>
      <c r="CS14" s="645">
        <f>SUM(CS10:CS13)</f>
        <v>47</v>
      </c>
      <c r="CT14" s="735"/>
      <c r="CU14" s="645">
        <f>SUM(CU10:CU13)</f>
        <v>0</v>
      </c>
      <c r="CV14" s="735"/>
      <c r="CW14" s="645">
        <f>SUM(CW10:CW13)</f>
        <v>0</v>
      </c>
      <c r="CX14" s="735"/>
      <c r="CY14" s="645">
        <f>SUM(CY10:CY13)</f>
        <v>0</v>
      </c>
      <c r="CZ14" s="735"/>
      <c r="DA14" s="645">
        <f>SUM(DA10:DA13)</f>
        <v>0</v>
      </c>
      <c r="DB14" s="735"/>
      <c r="DC14" s="645">
        <f>SUM(DC10:DC13)</f>
        <v>0</v>
      </c>
      <c r="DD14" s="735"/>
      <c r="DE14" s="647">
        <f>SUM(DE10:DE13)</f>
        <v>0</v>
      </c>
      <c r="DF14" s="648"/>
      <c r="DG14" s="641"/>
      <c r="DH14" s="642"/>
      <c r="DI14" s="642"/>
      <c r="DJ14" s="643" t="s">
        <v>931</v>
      </c>
      <c r="DK14" s="642"/>
      <c r="DL14" s="642"/>
      <c r="DM14" s="644"/>
      <c r="DN14" s="645">
        <f>SUM(DN10:DN13)</f>
        <v>0</v>
      </c>
      <c r="DO14" s="735"/>
      <c r="DP14" s="645">
        <f>SUM(DP10:DP13)</f>
        <v>0</v>
      </c>
      <c r="DQ14" s="735"/>
      <c r="DR14" s="645">
        <f>SUM(DR10:DR13)</f>
        <v>0</v>
      </c>
      <c r="DS14" s="735"/>
      <c r="DT14" s="645">
        <f>SUM(DT10:DT13)</f>
        <v>0</v>
      </c>
      <c r="DU14" s="735"/>
      <c r="DV14" s="645">
        <f>SUM(DV10:DV13)</f>
        <v>0</v>
      </c>
      <c r="DW14" s="735"/>
      <c r="DX14" s="645">
        <f>SUM(DX10:DX13)</f>
        <v>0</v>
      </c>
      <c r="DY14" s="735"/>
      <c r="DZ14" s="645">
        <f>SUM(DZ10:DZ13)</f>
        <v>0</v>
      </c>
      <c r="EA14" s="735"/>
      <c r="EB14" s="645">
        <f>SUM(EB10:EB13)</f>
        <v>0</v>
      </c>
      <c r="EC14" s="735"/>
      <c r="ED14" s="645">
        <f>SUM(ED10:ED13)</f>
        <v>335</v>
      </c>
      <c r="EE14" s="735"/>
      <c r="EF14" s="645">
        <f>SUM(EF10:EF13)</f>
        <v>218</v>
      </c>
      <c r="EG14" s="735"/>
      <c r="EH14" s="645">
        <f>SUM(EH10:EH13)</f>
        <v>227</v>
      </c>
      <c r="EI14" s="735"/>
      <c r="EJ14" s="645">
        <f>SUM(EJ10:EJ13)</f>
        <v>227</v>
      </c>
      <c r="EK14" s="735"/>
      <c r="EL14" s="645">
        <f>SUM(EL10:EL13)</f>
        <v>220</v>
      </c>
      <c r="EM14" s="735"/>
      <c r="EN14" s="645">
        <f>SUM(EN10:EN13)</f>
        <v>205</v>
      </c>
      <c r="EO14" s="735"/>
      <c r="EP14" s="645">
        <f>SUM(EP10:EP13)</f>
        <v>175</v>
      </c>
      <c r="EQ14" s="735"/>
      <c r="ER14" s="645">
        <f>SUM(ER10:ER13)</f>
        <v>124</v>
      </c>
      <c r="ES14" s="735"/>
      <c r="ET14" s="645">
        <f>SUM(ET10:ET13)</f>
        <v>54</v>
      </c>
      <c r="EU14" s="735"/>
      <c r="EV14" s="645">
        <f>SUM(EV10:EV13)</f>
        <v>7</v>
      </c>
      <c r="EW14" s="735"/>
      <c r="EX14" s="645">
        <f>SUM(EX10:EX13)</f>
        <v>0</v>
      </c>
      <c r="EY14" s="735"/>
      <c r="EZ14" s="645">
        <f>SUM(EZ10:EZ13)</f>
        <v>0</v>
      </c>
      <c r="FA14" s="735"/>
      <c r="FB14" s="645">
        <f>SUM(FB10:FB13)</f>
        <v>0</v>
      </c>
      <c r="FC14" s="735"/>
      <c r="FD14" s="645">
        <f>SUM(FD10:FD13)</f>
        <v>0</v>
      </c>
      <c r="FE14" s="735"/>
      <c r="FF14" s="645">
        <f>SUM(FF10:FF13)</f>
        <v>0</v>
      </c>
      <c r="FG14" s="735"/>
      <c r="FH14" s="647">
        <f>SUM(FH10:FH13)</f>
        <v>0</v>
      </c>
      <c r="FI14" s="649"/>
      <c r="FJ14" s="564"/>
      <c r="FK14" s="642"/>
      <c r="FL14" s="642"/>
      <c r="FM14" s="643" t="s">
        <v>930</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c r="GV14" s="629"/>
      <c r="GW14" s="635"/>
      <c r="GX14" s="636"/>
      <c r="GY14" s="637"/>
      <c r="GZ14" s="638"/>
      <c r="HA14" s="639">
        <v>0</v>
      </c>
      <c r="HB14" s="640"/>
      <c r="HC14" s="530"/>
      <c r="HD14" s="1278"/>
      <c r="HE14" s="415"/>
      <c r="HF14" s="415"/>
      <c r="HG14" s="415"/>
    </row>
    <row r="15" spans="1:353" ht="24" customHeight="1">
      <c r="A15" s="532" t="s">
        <v>307</v>
      </c>
      <c r="B15" s="658" t="s">
        <v>290</v>
      </c>
      <c r="C15" s="659" t="s">
        <v>291</v>
      </c>
      <c r="D15" s="660" t="s">
        <v>639</v>
      </c>
      <c r="E15" s="660" t="s">
        <v>309</v>
      </c>
      <c r="F15" s="661" t="s">
        <v>310</v>
      </c>
      <c r="G15" s="662" t="s">
        <v>634</v>
      </c>
      <c r="H15" s="663" t="s">
        <v>861</v>
      </c>
      <c r="I15" s="664" t="s">
        <v>313</v>
      </c>
      <c r="J15" s="663" t="s">
        <v>635</v>
      </c>
      <c r="K15" s="664" t="s">
        <v>313</v>
      </c>
      <c r="L15" s="663" t="s">
        <v>861</v>
      </c>
      <c r="M15" s="664" t="s">
        <v>313</v>
      </c>
      <c r="N15" s="663" t="s">
        <v>635</v>
      </c>
      <c r="O15" s="664" t="s">
        <v>313</v>
      </c>
      <c r="P15" s="663" t="s">
        <v>861</v>
      </c>
      <c r="Q15" s="664" t="s">
        <v>313</v>
      </c>
      <c r="R15" s="663" t="s">
        <v>861</v>
      </c>
      <c r="S15" s="664" t="s">
        <v>313</v>
      </c>
      <c r="T15" s="663" t="s">
        <v>635</v>
      </c>
      <c r="U15" s="664" t="s">
        <v>313</v>
      </c>
      <c r="V15" s="663" t="s">
        <v>635</v>
      </c>
      <c r="W15" s="664" t="s">
        <v>313</v>
      </c>
      <c r="X15" s="663" t="s">
        <v>861</v>
      </c>
      <c r="Y15" s="664" t="s">
        <v>313</v>
      </c>
      <c r="Z15" s="663" t="s">
        <v>637</v>
      </c>
      <c r="AA15" s="664" t="s">
        <v>313</v>
      </c>
      <c r="AB15" s="663" t="s">
        <v>861</v>
      </c>
      <c r="AC15" s="664" t="s">
        <v>313</v>
      </c>
      <c r="AD15" s="663" t="s">
        <v>635</v>
      </c>
      <c r="AE15" s="664" t="s">
        <v>313</v>
      </c>
      <c r="AF15" s="663" t="s">
        <v>932</v>
      </c>
      <c r="AG15" s="664" t="s">
        <v>313</v>
      </c>
      <c r="AH15" s="663" t="s">
        <v>637</v>
      </c>
      <c r="AI15" s="664" t="s">
        <v>313</v>
      </c>
      <c r="AJ15" s="663" t="s">
        <v>635</v>
      </c>
      <c r="AK15" s="664" t="s">
        <v>313</v>
      </c>
      <c r="AL15" s="663" t="s">
        <v>861</v>
      </c>
      <c r="AM15" s="664" t="s">
        <v>313</v>
      </c>
      <c r="AN15" s="663" t="s">
        <v>932</v>
      </c>
      <c r="AO15" s="664" t="s">
        <v>313</v>
      </c>
      <c r="AP15" s="663" t="s">
        <v>637</v>
      </c>
      <c r="AQ15" s="664" t="s">
        <v>313</v>
      </c>
      <c r="AR15" s="663" t="s">
        <v>635</v>
      </c>
      <c r="AS15" s="664" t="s">
        <v>313</v>
      </c>
      <c r="AT15" s="663" t="s">
        <v>861</v>
      </c>
      <c r="AU15" s="664" t="s">
        <v>313</v>
      </c>
      <c r="AV15" s="663" t="s">
        <v>635</v>
      </c>
      <c r="AW15" s="664" t="s">
        <v>313</v>
      </c>
      <c r="AX15" s="663" t="s">
        <v>637</v>
      </c>
      <c r="AY15" s="664" t="s">
        <v>313</v>
      </c>
      <c r="AZ15" s="663" t="s">
        <v>861</v>
      </c>
      <c r="BA15" s="664" t="s">
        <v>313</v>
      </c>
      <c r="BB15" s="665" t="s">
        <v>316</v>
      </c>
      <c r="BC15" s="666"/>
      <c r="BD15" s="532" t="s">
        <v>307</v>
      </c>
      <c r="BE15" s="658" t="s">
        <v>290</v>
      </c>
      <c r="BF15" s="659" t="s">
        <v>291</v>
      </c>
      <c r="BG15" s="660" t="s">
        <v>633</v>
      </c>
      <c r="BH15" s="660" t="s">
        <v>309</v>
      </c>
      <c r="BI15" s="661" t="s">
        <v>310</v>
      </c>
      <c r="BJ15" s="662" t="s">
        <v>634</v>
      </c>
      <c r="BK15" s="663" t="s">
        <v>861</v>
      </c>
      <c r="BL15" s="664" t="s">
        <v>313</v>
      </c>
      <c r="BM15" s="663" t="s">
        <v>635</v>
      </c>
      <c r="BN15" s="664" t="s">
        <v>313</v>
      </c>
      <c r="BO15" s="663" t="s">
        <v>635</v>
      </c>
      <c r="BP15" s="664" t="s">
        <v>313</v>
      </c>
      <c r="BQ15" s="663" t="s">
        <v>635</v>
      </c>
      <c r="BR15" s="664" t="s">
        <v>313</v>
      </c>
      <c r="BS15" s="663" t="s">
        <v>861</v>
      </c>
      <c r="BT15" s="664" t="s">
        <v>313</v>
      </c>
      <c r="BU15" s="663" t="s">
        <v>637</v>
      </c>
      <c r="BV15" s="664" t="s">
        <v>313</v>
      </c>
      <c r="BW15" s="663" t="s">
        <v>932</v>
      </c>
      <c r="BX15" s="664" t="s">
        <v>313</v>
      </c>
      <c r="BY15" s="663" t="s">
        <v>861</v>
      </c>
      <c r="BZ15" s="664" t="s">
        <v>313</v>
      </c>
      <c r="CA15" s="663" t="s">
        <v>635</v>
      </c>
      <c r="CB15" s="664" t="s">
        <v>313</v>
      </c>
      <c r="CC15" s="663" t="s">
        <v>861</v>
      </c>
      <c r="CD15" s="664" t="s">
        <v>313</v>
      </c>
      <c r="CE15" s="663" t="s">
        <v>861</v>
      </c>
      <c r="CF15" s="664" t="s">
        <v>313</v>
      </c>
      <c r="CG15" s="663" t="s">
        <v>861</v>
      </c>
      <c r="CH15" s="664" t="s">
        <v>313</v>
      </c>
      <c r="CI15" s="663" t="s">
        <v>635</v>
      </c>
      <c r="CJ15" s="664" t="s">
        <v>313</v>
      </c>
      <c r="CK15" s="663" t="s">
        <v>637</v>
      </c>
      <c r="CL15" s="664" t="s">
        <v>313</v>
      </c>
      <c r="CM15" s="663" t="s">
        <v>861</v>
      </c>
      <c r="CN15" s="664" t="s">
        <v>313</v>
      </c>
      <c r="CO15" s="663" t="s">
        <v>635</v>
      </c>
      <c r="CP15" s="664" t="s">
        <v>313</v>
      </c>
      <c r="CQ15" s="663" t="s">
        <v>861</v>
      </c>
      <c r="CR15" s="664" t="s">
        <v>313</v>
      </c>
      <c r="CS15" s="663" t="s">
        <v>861</v>
      </c>
      <c r="CT15" s="664" t="s">
        <v>313</v>
      </c>
      <c r="CU15" s="663" t="s">
        <v>637</v>
      </c>
      <c r="CV15" s="664" t="s">
        <v>313</v>
      </c>
      <c r="CW15" s="663" t="s">
        <v>635</v>
      </c>
      <c r="CX15" s="664" t="s">
        <v>313</v>
      </c>
      <c r="CY15" s="663" t="s">
        <v>861</v>
      </c>
      <c r="CZ15" s="664" t="s">
        <v>313</v>
      </c>
      <c r="DA15" s="663" t="s">
        <v>861</v>
      </c>
      <c r="DB15" s="664" t="s">
        <v>313</v>
      </c>
      <c r="DC15" s="663" t="s">
        <v>861</v>
      </c>
      <c r="DD15" s="664" t="s">
        <v>313</v>
      </c>
      <c r="DE15" s="665" t="s">
        <v>316</v>
      </c>
      <c r="DF15" s="666"/>
      <c r="DG15" s="532" t="s">
        <v>307</v>
      </c>
      <c r="DH15" s="667" t="s">
        <v>290</v>
      </c>
      <c r="DI15" s="668" t="s">
        <v>291</v>
      </c>
      <c r="DJ15" s="669" t="s">
        <v>855</v>
      </c>
      <c r="DK15" s="669" t="s">
        <v>309</v>
      </c>
      <c r="DL15" s="670" t="s">
        <v>310</v>
      </c>
      <c r="DM15" s="662" t="s">
        <v>933</v>
      </c>
      <c r="DN15" s="663" t="s">
        <v>861</v>
      </c>
      <c r="DO15" s="664" t="s">
        <v>313</v>
      </c>
      <c r="DP15" s="663" t="s">
        <v>861</v>
      </c>
      <c r="DQ15" s="664" t="s">
        <v>313</v>
      </c>
      <c r="DR15" s="663" t="s">
        <v>635</v>
      </c>
      <c r="DS15" s="664" t="s">
        <v>313</v>
      </c>
      <c r="DT15" s="663" t="s">
        <v>861</v>
      </c>
      <c r="DU15" s="664" t="s">
        <v>313</v>
      </c>
      <c r="DV15" s="663" t="s">
        <v>635</v>
      </c>
      <c r="DW15" s="664" t="s">
        <v>313</v>
      </c>
      <c r="DX15" s="663" t="s">
        <v>861</v>
      </c>
      <c r="DY15" s="664" t="s">
        <v>313</v>
      </c>
      <c r="DZ15" s="663" t="s">
        <v>861</v>
      </c>
      <c r="EA15" s="664" t="s">
        <v>313</v>
      </c>
      <c r="EB15" s="663" t="s">
        <v>635</v>
      </c>
      <c r="EC15" s="664" t="s">
        <v>313</v>
      </c>
      <c r="ED15" s="663" t="s">
        <v>635</v>
      </c>
      <c r="EE15" s="664" t="s">
        <v>313</v>
      </c>
      <c r="EF15" s="663" t="s">
        <v>861</v>
      </c>
      <c r="EG15" s="664" t="s">
        <v>313</v>
      </c>
      <c r="EH15" s="663" t="s">
        <v>637</v>
      </c>
      <c r="EI15" s="664" t="s">
        <v>313</v>
      </c>
      <c r="EJ15" s="663" t="s">
        <v>861</v>
      </c>
      <c r="EK15" s="664" t="s">
        <v>313</v>
      </c>
      <c r="EL15" s="663" t="s">
        <v>635</v>
      </c>
      <c r="EM15" s="664" t="s">
        <v>313</v>
      </c>
      <c r="EN15" s="663" t="s">
        <v>932</v>
      </c>
      <c r="EO15" s="664" t="s">
        <v>313</v>
      </c>
      <c r="EP15" s="663" t="s">
        <v>637</v>
      </c>
      <c r="EQ15" s="664" t="s">
        <v>313</v>
      </c>
      <c r="ER15" s="663" t="s">
        <v>635</v>
      </c>
      <c r="ES15" s="664" t="s">
        <v>313</v>
      </c>
      <c r="ET15" s="663" t="s">
        <v>861</v>
      </c>
      <c r="EU15" s="664" t="s">
        <v>313</v>
      </c>
      <c r="EV15" s="663" t="s">
        <v>932</v>
      </c>
      <c r="EW15" s="664" t="s">
        <v>313</v>
      </c>
      <c r="EX15" s="663" t="s">
        <v>637</v>
      </c>
      <c r="EY15" s="664" t="s">
        <v>313</v>
      </c>
      <c r="EZ15" s="663" t="s">
        <v>635</v>
      </c>
      <c r="FA15" s="664" t="s">
        <v>313</v>
      </c>
      <c r="FB15" s="663" t="s">
        <v>861</v>
      </c>
      <c r="FC15" s="664" t="s">
        <v>313</v>
      </c>
      <c r="FD15" s="663" t="s">
        <v>635</v>
      </c>
      <c r="FE15" s="664" t="s">
        <v>313</v>
      </c>
      <c r="FF15" s="663" t="s">
        <v>637</v>
      </c>
      <c r="FG15" s="664" t="s">
        <v>313</v>
      </c>
      <c r="FH15" s="665" t="s">
        <v>316</v>
      </c>
      <c r="FI15" s="671"/>
      <c r="FJ15" s="542" t="s">
        <v>307</v>
      </c>
      <c r="FK15" s="658" t="s">
        <v>290</v>
      </c>
      <c r="FL15" s="659" t="s">
        <v>291</v>
      </c>
      <c r="FM15" s="660" t="s">
        <v>633</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353" ht="20.100000000000001" customHeight="1">
      <c r="A16" s="552"/>
      <c r="B16" s="554" t="s">
        <v>219</v>
      </c>
      <c r="C16" s="679" t="s">
        <v>68</v>
      </c>
      <c r="D16" s="555">
        <v>36.75</v>
      </c>
      <c r="E16" s="680">
        <v>0.64</v>
      </c>
      <c r="F16" s="681"/>
      <c r="G16" s="682">
        <v>0</v>
      </c>
      <c r="H16" s="559">
        <f>ROUND(36.75*0.64*0,0)</f>
        <v>0</v>
      </c>
      <c r="I16" s="683">
        <v>0</v>
      </c>
      <c r="J16" s="559">
        <f>ROUND(36.75*0.64*0,0)</f>
        <v>0</v>
      </c>
      <c r="K16" s="683">
        <v>0</v>
      </c>
      <c r="L16" s="559">
        <f>ROUND(36.75*0.64*0,0)</f>
        <v>0</v>
      </c>
      <c r="M16" s="683">
        <v>0</v>
      </c>
      <c r="N16" s="559">
        <f>ROUND(36.75*0.64*0,0)</f>
        <v>0</v>
      </c>
      <c r="O16" s="683">
        <v>0</v>
      </c>
      <c r="P16" s="559">
        <f>ROUND(36.75*0.64*0,0)</f>
        <v>0</v>
      </c>
      <c r="Q16" s="683">
        <v>0</v>
      </c>
      <c r="R16" s="559">
        <f>ROUND(36.75*0.64*0,0)</f>
        <v>0</v>
      </c>
      <c r="S16" s="683">
        <v>0</v>
      </c>
      <c r="T16" s="559">
        <f>ROUND(36.75*0.64*0,0)</f>
        <v>0</v>
      </c>
      <c r="U16" s="683">
        <v>0</v>
      </c>
      <c r="V16" s="559">
        <f>ROUND(36.75*0.64*0,0)</f>
        <v>0</v>
      </c>
      <c r="W16" s="683">
        <v>5.0999999999999996</v>
      </c>
      <c r="X16" s="559">
        <f>ROUND(36.75*0.64*5.1,0)</f>
        <v>120</v>
      </c>
      <c r="Y16" s="683">
        <v>6.4</v>
      </c>
      <c r="Z16" s="559">
        <f>ROUND(36.75*0.64*6.4,0)</f>
        <v>151</v>
      </c>
      <c r="AA16" s="683">
        <v>7.6</v>
      </c>
      <c r="AB16" s="559">
        <f>ROUND(36.75*0.64*7.6,0)</f>
        <v>179</v>
      </c>
      <c r="AC16" s="683">
        <v>8.6</v>
      </c>
      <c r="AD16" s="559">
        <f>ROUND(36.75*0.64*8.6,0)</f>
        <v>202</v>
      </c>
      <c r="AE16" s="683">
        <v>9.4</v>
      </c>
      <c r="AF16" s="559">
        <f>ROUND(36.75*0.64*9.4,0)</f>
        <v>221</v>
      </c>
      <c r="AG16" s="683">
        <v>10</v>
      </c>
      <c r="AH16" s="559">
        <f>ROUND(36.75*0.64*10,0)</f>
        <v>235</v>
      </c>
      <c r="AI16" s="683">
        <v>10.1</v>
      </c>
      <c r="AJ16" s="559">
        <f>ROUND(36.75*0.64*10.1,0)</f>
        <v>238</v>
      </c>
      <c r="AK16" s="683">
        <v>9.8000000000000007</v>
      </c>
      <c r="AL16" s="559">
        <f>ROUND(36.75*0.64*9.8,0)</f>
        <v>230</v>
      </c>
      <c r="AM16" s="683">
        <v>9.1</v>
      </c>
      <c r="AN16" s="559">
        <f>ROUND(36.75*0.64*9.1,0)</f>
        <v>214</v>
      </c>
      <c r="AO16" s="683">
        <v>7.8</v>
      </c>
      <c r="AP16" s="559">
        <f>ROUND(36.75*0.64*7.8,0)</f>
        <v>183</v>
      </c>
      <c r="AQ16" s="683">
        <v>0</v>
      </c>
      <c r="AR16" s="559">
        <f>ROUND(36.75*0.64*0,0)</f>
        <v>0</v>
      </c>
      <c r="AS16" s="683">
        <v>0</v>
      </c>
      <c r="AT16" s="559">
        <f>ROUND(36.75*0.64*0,0)</f>
        <v>0</v>
      </c>
      <c r="AU16" s="683">
        <v>0</v>
      </c>
      <c r="AV16" s="559">
        <f>ROUND(36.75*0.64*0,0)</f>
        <v>0</v>
      </c>
      <c r="AW16" s="683">
        <v>0</v>
      </c>
      <c r="AX16" s="559">
        <f>ROUND(36.75*0.64*0,0)</f>
        <v>0</v>
      </c>
      <c r="AY16" s="683">
        <v>0</v>
      </c>
      <c r="AZ16" s="559">
        <f>ROUND(36.75*0.64*0,0)</f>
        <v>0</v>
      </c>
      <c r="BA16" s="683">
        <v>0</v>
      </c>
      <c r="BB16" s="684">
        <f>ROUND(36.75*0.64*0,0)</f>
        <v>0</v>
      </c>
      <c r="BC16" s="562"/>
      <c r="BD16" s="552"/>
      <c r="BE16" s="554" t="s">
        <v>219</v>
      </c>
      <c r="BF16" s="679" t="s">
        <v>68</v>
      </c>
      <c r="BG16" s="555">
        <v>36.75</v>
      </c>
      <c r="BH16" s="680">
        <v>0.64</v>
      </c>
      <c r="BI16" s="681"/>
      <c r="BJ16" s="682">
        <v>0</v>
      </c>
      <c r="BK16" s="559">
        <f>ROUND(36.75*0.64*0,0)</f>
        <v>0</v>
      </c>
      <c r="BL16" s="683">
        <v>0</v>
      </c>
      <c r="BM16" s="559">
        <f>ROUND(36.75*0.64*0,0)</f>
        <v>0</v>
      </c>
      <c r="BN16" s="683">
        <v>0</v>
      </c>
      <c r="BO16" s="559">
        <f>ROUND(36.75*0.64*0,0)</f>
        <v>0</v>
      </c>
      <c r="BP16" s="683">
        <v>0</v>
      </c>
      <c r="BQ16" s="559">
        <f>ROUND(36.75*0.64*0,0)</f>
        <v>0</v>
      </c>
      <c r="BR16" s="683">
        <v>0</v>
      </c>
      <c r="BS16" s="559">
        <f>ROUND(36.75*0.64*0,0)</f>
        <v>0</v>
      </c>
      <c r="BT16" s="683">
        <v>0</v>
      </c>
      <c r="BU16" s="559">
        <f>ROUND(36.75*0.64*0,0)</f>
        <v>0</v>
      </c>
      <c r="BV16" s="683">
        <v>0</v>
      </c>
      <c r="BW16" s="559">
        <f>ROUND(36.75*0.64*0,0)</f>
        <v>0</v>
      </c>
      <c r="BX16" s="683">
        <v>0</v>
      </c>
      <c r="BY16" s="559">
        <f>ROUND(36.75*0.64*0,0)</f>
        <v>0</v>
      </c>
      <c r="BZ16" s="683">
        <v>6.9</v>
      </c>
      <c r="CA16" s="559">
        <f>ROUND(36.75*0.64*6.9,0)</f>
        <v>162</v>
      </c>
      <c r="CB16" s="683">
        <v>7.6</v>
      </c>
      <c r="CC16" s="559">
        <f>ROUND(36.75*0.64*7.6,0)</f>
        <v>179</v>
      </c>
      <c r="CD16" s="683">
        <v>7.9</v>
      </c>
      <c r="CE16" s="559">
        <f>ROUND(36.75*0.64*7.9,0)</f>
        <v>186</v>
      </c>
      <c r="CF16" s="683">
        <v>8.4</v>
      </c>
      <c r="CG16" s="559">
        <f>ROUND(36.75*0.64*8.4,0)</f>
        <v>198</v>
      </c>
      <c r="CH16" s="683">
        <v>8.8000000000000007</v>
      </c>
      <c r="CI16" s="559">
        <f>ROUND(36.75*0.64*8.8,0)</f>
        <v>207</v>
      </c>
      <c r="CJ16" s="683">
        <v>9.1999999999999993</v>
      </c>
      <c r="CK16" s="559">
        <f>ROUND(36.75*0.64*9.2,0)</f>
        <v>216</v>
      </c>
      <c r="CL16" s="683">
        <v>9.1999999999999993</v>
      </c>
      <c r="CM16" s="559">
        <f>ROUND(36.75*0.64*9.2,0)</f>
        <v>216</v>
      </c>
      <c r="CN16" s="683">
        <v>9</v>
      </c>
      <c r="CO16" s="559">
        <f>ROUND(36.75*0.64*9,0)</f>
        <v>212</v>
      </c>
      <c r="CP16" s="683">
        <v>8.3000000000000007</v>
      </c>
      <c r="CQ16" s="559">
        <f>ROUND(36.75*0.64*8.3,0)</f>
        <v>195</v>
      </c>
      <c r="CR16" s="683">
        <v>7.4</v>
      </c>
      <c r="CS16" s="559">
        <f>ROUND(36.75*0.64*7.4,0)</f>
        <v>174</v>
      </c>
      <c r="CT16" s="683">
        <v>0</v>
      </c>
      <c r="CU16" s="559">
        <f>ROUND(36.75*0.64*0,0)</f>
        <v>0</v>
      </c>
      <c r="CV16" s="683">
        <v>0</v>
      </c>
      <c r="CW16" s="559">
        <f>ROUND(36.75*0.64*0,0)</f>
        <v>0</v>
      </c>
      <c r="CX16" s="683">
        <v>0</v>
      </c>
      <c r="CY16" s="559">
        <f>ROUND(36.75*0.64*0,0)</f>
        <v>0</v>
      </c>
      <c r="CZ16" s="683">
        <v>0</v>
      </c>
      <c r="DA16" s="559">
        <f>ROUND(36.75*0.64*0,0)</f>
        <v>0</v>
      </c>
      <c r="DB16" s="683">
        <v>0</v>
      </c>
      <c r="DC16" s="559">
        <f>ROUND(36.75*0.64*0,0)</f>
        <v>0</v>
      </c>
      <c r="DD16" s="683">
        <v>0</v>
      </c>
      <c r="DE16" s="684">
        <f>ROUND(36.75*0.64*0,0)</f>
        <v>0</v>
      </c>
      <c r="DF16" s="562"/>
      <c r="DG16" s="552"/>
      <c r="DH16" s="554" t="s">
        <v>219</v>
      </c>
      <c r="DI16" s="679" t="s">
        <v>68</v>
      </c>
      <c r="DJ16" s="555">
        <v>36.75</v>
      </c>
      <c r="DK16" s="680">
        <v>0.64</v>
      </c>
      <c r="DL16" s="681"/>
      <c r="DM16" s="682">
        <v>0</v>
      </c>
      <c r="DN16" s="559">
        <f>ROUND(36.75*0.64*0,0)</f>
        <v>0</v>
      </c>
      <c r="DO16" s="683">
        <v>0</v>
      </c>
      <c r="DP16" s="559">
        <f>ROUND(36.75*0.64*0,0)</f>
        <v>0</v>
      </c>
      <c r="DQ16" s="683">
        <v>0</v>
      </c>
      <c r="DR16" s="559">
        <f>ROUND(36.75*0.64*0,0)</f>
        <v>0</v>
      </c>
      <c r="DS16" s="683">
        <v>0</v>
      </c>
      <c r="DT16" s="559">
        <f>ROUND(36.75*0.64*0,0)</f>
        <v>0</v>
      </c>
      <c r="DU16" s="683">
        <v>0</v>
      </c>
      <c r="DV16" s="559">
        <f>ROUND(36.75*0.64*0,0)</f>
        <v>0</v>
      </c>
      <c r="DW16" s="683">
        <v>0</v>
      </c>
      <c r="DX16" s="559">
        <f>ROUND(36.75*0.64*0,0)</f>
        <v>0</v>
      </c>
      <c r="DY16" s="683">
        <v>0</v>
      </c>
      <c r="DZ16" s="559">
        <f>ROUND(36.75*0.64*0,0)</f>
        <v>0</v>
      </c>
      <c r="EA16" s="683">
        <v>0</v>
      </c>
      <c r="EB16" s="559">
        <f>ROUND(36.75*0.64*0,0)</f>
        <v>0</v>
      </c>
      <c r="EC16" s="683">
        <v>1.1000000000000001</v>
      </c>
      <c r="ED16" s="559">
        <f>ROUND(36.75*0.64*1.1,0)</f>
        <v>26</v>
      </c>
      <c r="EE16" s="683">
        <v>2.2000000000000002</v>
      </c>
      <c r="EF16" s="559">
        <f>ROUND(36.75*0.64*2.2,0)</f>
        <v>52</v>
      </c>
      <c r="EG16" s="683">
        <v>3.6</v>
      </c>
      <c r="EH16" s="559">
        <f>ROUND(36.75*0.64*3.6,0)</f>
        <v>85</v>
      </c>
      <c r="EI16" s="683">
        <v>4.7</v>
      </c>
      <c r="EJ16" s="559">
        <f>ROUND(36.75*0.64*4.7,0)</f>
        <v>111</v>
      </c>
      <c r="EK16" s="683">
        <v>5.7</v>
      </c>
      <c r="EL16" s="559">
        <f>ROUND(36.75*0.64*5.7,0)</f>
        <v>134</v>
      </c>
      <c r="EM16" s="683">
        <v>6.4</v>
      </c>
      <c r="EN16" s="559">
        <f>ROUND(36.75*0.64*6.4,0)</f>
        <v>151</v>
      </c>
      <c r="EO16" s="683">
        <v>6.5</v>
      </c>
      <c r="EP16" s="559">
        <f>ROUND(36.75*0.64*6.5,0)</f>
        <v>153</v>
      </c>
      <c r="EQ16" s="683">
        <v>6.3</v>
      </c>
      <c r="ER16" s="559">
        <f>ROUND(36.75*0.64*6.3,0)</f>
        <v>148</v>
      </c>
      <c r="ES16" s="683">
        <v>5.6</v>
      </c>
      <c r="ET16" s="559">
        <f>ROUND(36.75*0.64*5.6,0)</f>
        <v>132</v>
      </c>
      <c r="EU16" s="683">
        <v>4.5</v>
      </c>
      <c r="EV16" s="559">
        <f>ROUND(36.75*0.64*4.5,0)</f>
        <v>106</v>
      </c>
      <c r="EW16" s="683">
        <v>0</v>
      </c>
      <c r="EX16" s="559">
        <f>ROUND(36.75*0.64*0,0)</f>
        <v>0</v>
      </c>
      <c r="EY16" s="683">
        <v>0</v>
      </c>
      <c r="EZ16" s="559">
        <f>ROUND(36.75*0.64*0,0)</f>
        <v>0</v>
      </c>
      <c r="FA16" s="683">
        <v>0</v>
      </c>
      <c r="FB16" s="559">
        <f>ROUND(36.75*0.64*0,0)</f>
        <v>0</v>
      </c>
      <c r="FC16" s="683">
        <v>0</v>
      </c>
      <c r="FD16" s="559">
        <f>ROUND(36.75*0.64*0,0)</f>
        <v>0</v>
      </c>
      <c r="FE16" s="683">
        <v>0</v>
      </c>
      <c r="FF16" s="559">
        <f>ROUND(36.75*0.64*0,0)</f>
        <v>0</v>
      </c>
      <c r="FG16" s="683">
        <v>0</v>
      </c>
      <c r="FH16" s="684">
        <f>ROUND(36.75*0.64*0,0)</f>
        <v>0</v>
      </c>
      <c r="FI16" s="563"/>
      <c r="FJ16" s="564"/>
      <c r="FK16" s="554" t="s">
        <v>219</v>
      </c>
      <c r="FL16" s="679" t="s">
        <v>68</v>
      </c>
      <c r="FM16" s="555">
        <v>36.75</v>
      </c>
      <c r="FN16" s="680">
        <v>0.64</v>
      </c>
      <c r="FO16" s="681"/>
      <c r="FP16" s="685">
        <v>9</v>
      </c>
      <c r="FQ16" s="686">
        <v>17</v>
      </c>
      <c r="FR16" s="559">
        <f>ROUND(36.75*0.64*17,0)</f>
        <v>400</v>
      </c>
      <c r="FS16" s="687">
        <v>9</v>
      </c>
      <c r="FT16" s="686">
        <v>17.5</v>
      </c>
      <c r="FU16" s="567">
        <f>ROUND(36.75*0.64*17.5,0)</f>
        <v>412</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219</v>
      </c>
      <c r="C17" s="691" t="s">
        <v>70</v>
      </c>
      <c r="D17" s="583">
        <v>21.06</v>
      </c>
      <c r="E17" s="692">
        <v>0.64</v>
      </c>
      <c r="F17" s="693"/>
      <c r="G17" s="694">
        <v>0</v>
      </c>
      <c r="H17" s="587">
        <f>ROUND(21.06*0.64*0,0)</f>
        <v>0</v>
      </c>
      <c r="I17" s="695">
        <v>0</v>
      </c>
      <c r="J17" s="587">
        <f>ROUND(21.06*0.64*0,0)</f>
        <v>0</v>
      </c>
      <c r="K17" s="695">
        <v>0</v>
      </c>
      <c r="L17" s="587">
        <f>ROUND(21.06*0.64*0,0)</f>
        <v>0</v>
      </c>
      <c r="M17" s="695">
        <v>0</v>
      </c>
      <c r="N17" s="587">
        <f>ROUND(21.06*0.64*0,0)</f>
        <v>0</v>
      </c>
      <c r="O17" s="695">
        <v>0</v>
      </c>
      <c r="P17" s="587">
        <f>ROUND(21.06*0.64*0,0)</f>
        <v>0</v>
      </c>
      <c r="Q17" s="695">
        <v>0</v>
      </c>
      <c r="R17" s="587">
        <f>ROUND(21.06*0.64*0,0)</f>
        <v>0</v>
      </c>
      <c r="S17" s="695">
        <v>0</v>
      </c>
      <c r="T17" s="587">
        <f>ROUND(21.06*0.64*0,0)</f>
        <v>0</v>
      </c>
      <c r="U17" s="695">
        <v>0</v>
      </c>
      <c r="V17" s="587">
        <f>ROUND(21.06*0.64*0,0)</f>
        <v>0</v>
      </c>
      <c r="W17" s="695">
        <v>8.5</v>
      </c>
      <c r="X17" s="587">
        <f>ROUND(21.06*0.64*8.5,0)</f>
        <v>115</v>
      </c>
      <c r="Y17" s="695">
        <v>11.2</v>
      </c>
      <c r="Z17" s="587">
        <f>ROUND(21.06*0.64*11.2,0)</f>
        <v>151</v>
      </c>
      <c r="AA17" s="695">
        <v>13</v>
      </c>
      <c r="AB17" s="587">
        <f>ROUND(21.06*0.64*13,0)</f>
        <v>175</v>
      </c>
      <c r="AC17" s="695">
        <v>13.5</v>
      </c>
      <c r="AD17" s="587">
        <f>ROUND(21.06*0.64*13.5,0)</f>
        <v>182</v>
      </c>
      <c r="AE17" s="695">
        <v>12.9</v>
      </c>
      <c r="AF17" s="587">
        <f>ROUND(21.06*0.64*12.9,0)</f>
        <v>174</v>
      </c>
      <c r="AG17" s="695">
        <v>12.2</v>
      </c>
      <c r="AH17" s="587">
        <f>ROUND(21.06*0.64*12.2,0)</f>
        <v>164</v>
      </c>
      <c r="AI17" s="695">
        <v>11.5</v>
      </c>
      <c r="AJ17" s="587">
        <f>ROUND(21.06*0.64*11.5,0)</f>
        <v>155</v>
      </c>
      <c r="AK17" s="695">
        <v>10.7</v>
      </c>
      <c r="AL17" s="587">
        <f>ROUND(21.06*0.64*10.7,0)</f>
        <v>144</v>
      </c>
      <c r="AM17" s="695">
        <v>9.6</v>
      </c>
      <c r="AN17" s="587">
        <f>ROUND(21.06*0.64*9.6,0)</f>
        <v>129</v>
      </c>
      <c r="AO17" s="695">
        <v>8.1999999999999993</v>
      </c>
      <c r="AP17" s="587">
        <f>ROUND(21.06*0.64*8.2,0)</f>
        <v>111</v>
      </c>
      <c r="AQ17" s="695">
        <v>0</v>
      </c>
      <c r="AR17" s="587">
        <f>ROUND(21.06*0.64*0,0)</f>
        <v>0</v>
      </c>
      <c r="AS17" s="695">
        <v>0</v>
      </c>
      <c r="AT17" s="587">
        <f>ROUND(21.06*0.64*0,0)</f>
        <v>0</v>
      </c>
      <c r="AU17" s="695">
        <v>0</v>
      </c>
      <c r="AV17" s="587">
        <f>ROUND(21.06*0.64*0,0)</f>
        <v>0</v>
      </c>
      <c r="AW17" s="695">
        <v>0</v>
      </c>
      <c r="AX17" s="587">
        <f>ROUND(21.06*0.64*0,0)</f>
        <v>0</v>
      </c>
      <c r="AY17" s="695">
        <v>0</v>
      </c>
      <c r="AZ17" s="587">
        <f>ROUND(21.06*0.64*0,0)</f>
        <v>0</v>
      </c>
      <c r="BA17" s="695">
        <v>0</v>
      </c>
      <c r="BB17" s="589">
        <f>ROUND(21.06*0.64*0,0)</f>
        <v>0</v>
      </c>
      <c r="BC17" s="562"/>
      <c r="BD17" s="552"/>
      <c r="BE17" s="582" t="s">
        <v>219</v>
      </c>
      <c r="BF17" s="691" t="s">
        <v>70</v>
      </c>
      <c r="BG17" s="583">
        <v>21.06</v>
      </c>
      <c r="BH17" s="692">
        <v>0.64</v>
      </c>
      <c r="BI17" s="693"/>
      <c r="BJ17" s="694">
        <v>0</v>
      </c>
      <c r="BK17" s="587">
        <f>ROUND(21.06*0.64*0,0)</f>
        <v>0</v>
      </c>
      <c r="BL17" s="695">
        <v>0</v>
      </c>
      <c r="BM17" s="587">
        <f>ROUND(21.06*0.64*0,0)</f>
        <v>0</v>
      </c>
      <c r="BN17" s="695">
        <v>0</v>
      </c>
      <c r="BO17" s="587">
        <f>ROUND(21.06*0.64*0,0)</f>
        <v>0</v>
      </c>
      <c r="BP17" s="695">
        <v>0</v>
      </c>
      <c r="BQ17" s="587">
        <f>ROUND(21.06*0.64*0,0)</f>
        <v>0</v>
      </c>
      <c r="BR17" s="695">
        <v>0</v>
      </c>
      <c r="BS17" s="587">
        <f>ROUND(21.06*0.64*0,0)</f>
        <v>0</v>
      </c>
      <c r="BT17" s="695">
        <v>0</v>
      </c>
      <c r="BU17" s="587">
        <f>ROUND(21.06*0.64*0,0)</f>
        <v>0</v>
      </c>
      <c r="BV17" s="695">
        <v>0</v>
      </c>
      <c r="BW17" s="587">
        <f>ROUND(21.06*0.64*0,0)</f>
        <v>0</v>
      </c>
      <c r="BX17" s="695">
        <v>0</v>
      </c>
      <c r="BY17" s="587">
        <f>ROUND(21.06*0.64*0,0)</f>
        <v>0</v>
      </c>
      <c r="BZ17" s="695">
        <v>13.6</v>
      </c>
      <c r="CA17" s="587">
        <f>ROUND(21.06*0.64*13.6,0)</f>
        <v>183</v>
      </c>
      <c r="CB17" s="695">
        <v>16.5</v>
      </c>
      <c r="CC17" s="587">
        <f>ROUND(21.06*0.64*16.5,0)</f>
        <v>222</v>
      </c>
      <c r="CD17" s="695">
        <v>17.5</v>
      </c>
      <c r="CE17" s="587">
        <f>ROUND(21.06*0.64*17.5,0)</f>
        <v>236</v>
      </c>
      <c r="CF17" s="695">
        <v>16.8</v>
      </c>
      <c r="CG17" s="587">
        <f>ROUND(21.06*0.64*16.8,0)</f>
        <v>226</v>
      </c>
      <c r="CH17" s="695">
        <v>14.8</v>
      </c>
      <c r="CI17" s="587">
        <f>ROUND(21.06*0.64*14.8,0)</f>
        <v>199</v>
      </c>
      <c r="CJ17" s="695">
        <v>12.9</v>
      </c>
      <c r="CK17" s="587">
        <f>ROUND(21.06*0.64*12.9,0)</f>
        <v>174</v>
      </c>
      <c r="CL17" s="695">
        <v>11.6</v>
      </c>
      <c r="CM17" s="587">
        <f>ROUND(21.06*0.64*11.6,0)</f>
        <v>156</v>
      </c>
      <c r="CN17" s="695">
        <v>10.4</v>
      </c>
      <c r="CO17" s="587">
        <f>ROUND(21.06*0.64*10.4,0)</f>
        <v>140</v>
      </c>
      <c r="CP17" s="695">
        <v>9.1999999999999993</v>
      </c>
      <c r="CQ17" s="587">
        <f>ROUND(21.06*0.64*9.2,0)</f>
        <v>124</v>
      </c>
      <c r="CR17" s="695">
        <v>7.9</v>
      </c>
      <c r="CS17" s="587">
        <f>ROUND(21.06*0.64*7.9,0)</f>
        <v>106</v>
      </c>
      <c r="CT17" s="695">
        <v>0</v>
      </c>
      <c r="CU17" s="587">
        <f>ROUND(21.06*0.64*0,0)</f>
        <v>0</v>
      </c>
      <c r="CV17" s="695">
        <v>0</v>
      </c>
      <c r="CW17" s="587">
        <f>ROUND(21.06*0.64*0,0)</f>
        <v>0</v>
      </c>
      <c r="CX17" s="695">
        <v>0</v>
      </c>
      <c r="CY17" s="587">
        <f>ROUND(21.06*0.64*0,0)</f>
        <v>0</v>
      </c>
      <c r="CZ17" s="695">
        <v>0</v>
      </c>
      <c r="DA17" s="587">
        <f>ROUND(21.06*0.64*0,0)</f>
        <v>0</v>
      </c>
      <c r="DB17" s="695">
        <v>0</v>
      </c>
      <c r="DC17" s="587">
        <f>ROUND(21.06*0.64*0,0)</f>
        <v>0</v>
      </c>
      <c r="DD17" s="695">
        <v>0</v>
      </c>
      <c r="DE17" s="589">
        <f>ROUND(21.06*0.64*0,0)</f>
        <v>0</v>
      </c>
      <c r="DF17" s="562"/>
      <c r="DG17" s="552"/>
      <c r="DH17" s="582" t="s">
        <v>219</v>
      </c>
      <c r="DI17" s="691" t="s">
        <v>70</v>
      </c>
      <c r="DJ17" s="583">
        <v>21.06</v>
      </c>
      <c r="DK17" s="692">
        <v>0.64</v>
      </c>
      <c r="DL17" s="693"/>
      <c r="DM17" s="694">
        <v>0</v>
      </c>
      <c r="DN17" s="587">
        <f>ROUND(21.06*0.64*0,0)</f>
        <v>0</v>
      </c>
      <c r="DO17" s="695">
        <v>0</v>
      </c>
      <c r="DP17" s="587">
        <f>ROUND(21.06*0.64*0,0)</f>
        <v>0</v>
      </c>
      <c r="DQ17" s="695">
        <v>0</v>
      </c>
      <c r="DR17" s="587">
        <f>ROUND(21.06*0.64*0,0)</f>
        <v>0</v>
      </c>
      <c r="DS17" s="695">
        <v>0</v>
      </c>
      <c r="DT17" s="587">
        <f>ROUND(21.06*0.64*0,0)</f>
        <v>0</v>
      </c>
      <c r="DU17" s="695">
        <v>0</v>
      </c>
      <c r="DV17" s="587">
        <f>ROUND(21.06*0.64*0,0)</f>
        <v>0</v>
      </c>
      <c r="DW17" s="695">
        <v>0</v>
      </c>
      <c r="DX17" s="587">
        <f>ROUND(21.06*0.64*0,0)</f>
        <v>0</v>
      </c>
      <c r="DY17" s="695">
        <v>0</v>
      </c>
      <c r="DZ17" s="587">
        <f>ROUND(21.06*0.64*0,0)</f>
        <v>0</v>
      </c>
      <c r="EA17" s="695">
        <v>0</v>
      </c>
      <c r="EB17" s="587">
        <f>ROUND(21.06*0.64*0,0)</f>
        <v>0</v>
      </c>
      <c r="EC17" s="695">
        <v>11.4</v>
      </c>
      <c r="ED17" s="587">
        <f>ROUND(21.06*0.64*11.4,0)</f>
        <v>154</v>
      </c>
      <c r="EE17" s="695">
        <v>14.6</v>
      </c>
      <c r="EF17" s="587">
        <f>ROUND(21.06*0.64*14.6,0)</f>
        <v>197</v>
      </c>
      <c r="EG17" s="695">
        <v>16</v>
      </c>
      <c r="EH17" s="587">
        <f>ROUND(21.06*0.64*16,0)</f>
        <v>216</v>
      </c>
      <c r="EI17" s="695">
        <v>15.4</v>
      </c>
      <c r="EJ17" s="587">
        <f>ROUND(21.06*0.64*15.4,0)</f>
        <v>208</v>
      </c>
      <c r="EK17" s="695">
        <v>13.3</v>
      </c>
      <c r="EL17" s="587">
        <f>ROUND(21.06*0.64*13.3,0)</f>
        <v>179</v>
      </c>
      <c r="EM17" s="695">
        <v>11.2</v>
      </c>
      <c r="EN17" s="587">
        <f>ROUND(21.06*0.64*11.2,0)</f>
        <v>151</v>
      </c>
      <c r="EO17" s="695">
        <v>9.6</v>
      </c>
      <c r="EP17" s="587">
        <f>ROUND(21.06*0.64*9.6,0)</f>
        <v>129</v>
      </c>
      <c r="EQ17" s="695">
        <v>8.1999999999999993</v>
      </c>
      <c r="ER17" s="587">
        <f>ROUND(21.06*0.64*8.2,0)</f>
        <v>111</v>
      </c>
      <c r="ES17" s="695">
        <v>6.8</v>
      </c>
      <c r="ET17" s="587">
        <f>ROUND(21.06*0.64*6.8,0)</f>
        <v>92</v>
      </c>
      <c r="EU17" s="695">
        <v>5.2</v>
      </c>
      <c r="EV17" s="587">
        <f>ROUND(21.06*0.64*5.2,0)</f>
        <v>70</v>
      </c>
      <c r="EW17" s="695">
        <v>0</v>
      </c>
      <c r="EX17" s="587">
        <f>ROUND(21.06*0.64*0,0)</f>
        <v>0</v>
      </c>
      <c r="EY17" s="695">
        <v>0</v>
      </c>
      <c r="EZ17" s="587">
        <f>ROUND(21.06*0.64*0,0)</f>
        <v>0</v>
      </c>
      <c r="FA17" s="695">
        <v>0</v>
      </c>
      <c r="FB17" s="587">
        <f>ROUND(21.06*0.64*0,0)</f>
        <v>0</v>
      </c>
      <c r="FC17" s="695">
        <v>0</v>
      </c>
      <c r="FD17" s="587">
        <f>ROUND(21.06*0.64*0,0)</f>
        <v>0</v>
      </c>
      <c r="FE17" s="695">
        <v>0</v>
      </c>
      <c r="FF17" s="587">
        <f>ROUND(21.06*0.64*0,0)</f>
        <v>0</v>
      </c>
      <c r="FG17" s="695">
        <v>0</v>
      </c>
      <c r="FH17" s="589">
        <f>ROUND(21.06*0.64*0,0)</f>
        <v>0</v>
      </c>
      <c r="FI17" s="563"/>
      <c r="FJ17" s="564"/>
      <c r="FK17" s="582" t="s">
        <v>219</v>
      </c>
      <c r="FL17" s="691" t="s">
        <v>70</v>
      </c>
      <c r="FM17" s="583">
        <v>21.06</v>
      </c>
      <c r="FN17" s="692">
        <v>0.64</v>
      </c>
      <c r="FO17" s="693"/>
      <c r="FP17" s="696">
        <v>9</v>
      </c>
      <c r="FQ17" s="697">
        <v>17</v>
      </c>
      <c r="FR17" s="587">
        <f>ROUND(21.06*0.64*17,0)</f>
        <v>229</v>
      </c>
      <c r="FS17" s="698">
        <v>9</v>
      </c>
      <c r="FT17" s="697">
        <v>17.5</v>
      </c>
      <c r="FU17" s="592">
        <f>ROUND(21.06*0.64*17.5,0)</f>
        <v>236</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229</v>
      </c>
      <c r="C18" s="691" t="s">
        <v>70</v>
      </c>
      <c r="D18" s="583">
        <v>5.4</v>
      </c>
      <c r="E18" s="692" t="s">
        <v>867</v>
      </c>
      <c r="F18" s="693"/>
      <c r="G18" s="694">
        <v>0</v>
      </c>
      <c r="H18" s="587">
        <f>ROUND(5.4*4.2*0,0)</f>
        <v>0</v>
      </c>
      <c r="I18" s="695">
        <v>0</v>
      </c>
      <c r="J18" s="587">
        <f>ROUND(5.4*4.2*0,0)</f>
        <v>0</v>
      </c>
      <c r="K18" s="695">
        <v>0</v>
      </c>
      <c r="L18" s="587">
        <f>ROUND(5.4*4.2*0,0)</f>
        <v>0</v>
      </c>
      <c r="M18" s="695">
        <v>0</v>
      </c>
      <c r="N18" s="587">
        <f>ROUND(5.4*4.2*0,0)</f>
        <v>0</v>
      </c>
      <c r="O18" s="695">
        <v>0</v>
      </c>
      <c r="P18" s="587">
        <f>ROUND(5.4*4.2*0,0)</f>
        <v>0</v>
      </c>
      <c r="Q18" s="695">
        <v>0</v>
      </c>
      <c r="R18" s="587">
        <f>ROUND(5.4*4.2*0,0)</f>
        <v>0</v>
      </c>
      <c r="S18" s="695">
        <v>0</v>
      </c>
      <c r="T18" s="587">
        <f>ROUND(5.4*4.2*0,0)</f>
        <v>0</v>
      </c>
      <c r="U18" s="695">
        <v>0</v>
      </c>
      <c r="V18" s="587">
        <f>ROUND(5.4*4.2*0,0)</f>
        <v>0</v>
      </c>
      <c r="W18" s="695">
        <v>3.3</v>
      </c>
      <c r="X18" s="587">
        <f>ROUND(5.4*4.2*3.3,0)</f>
        <v>75</v>
      </c>
      <c r="Y18" s="695">
        <v>4.5</v>
      </c>
      <c r="Z18" s="587">
        <f>ROUND(5.4*4.2*4.5,0)</f>
        <v>102</v>
      </c>
      <c r="AA18" s="695">
        <v>5.2</v>
      </c>
      <c r="AB18" s="587">
        <f>ROUND(5.4*4.2*5.2,0)</f>
        <v>118</v>
      </c>
      <c r="AC18" s="695">
        <v>5.7</v>
      </c>
      <c r="AD18" s="587">
        <f>ROUND(5.4*4.2*5.7,0)</f>
        <v>129</v>
      </c>
      <c r="AE18" s="695">
        <v>5.9</v>
      </c>
      <c r="AF18" s="587">
        <f>ROUND(5.4*4.2*5.9,0)</f>
        <v>134</v>
      </c>
      <c r="AG18" s="695">
        <v>5.9</v>
      </c>
      <c r="AH18" s="587">
        <f>ROUND(5.4*4.2*5.9,0)</f>
        <v>134</v>
      </c>
      <c r="AI18" s="695">
        <v>5.4</v>
      </c>
      <c r="AJ18" s="587">
        <f>ROUND(5.4*4.2*5.4,0)</f>
        <v>122</v>
      </c>
      <c r="AK18" s="695">
        <v>4.9000000000000004</v>
      </c>
      <c r="AL18" s="587">
        <f>ROUND(5.4*4.2*4.9,0)</f>
        <v>111</v>
      </c>
      <c r="AM18" s="695">
        <v>4</v>
      </c>
      <c r="AN18" s="587">
        <f>ROUND(5.4*4.2*4,0)</f>
        <v>91</v>
      </c>
      <c r="AO18" s="695">
        <v>3.3</v>
      </c>
      <c r="AP18" s="587">
        <f>ROUND(5.4*4.2*3.3,0)</f>
        <v>75</v>
      </c>
      <c r="AQ18" s="695">
        <v>0</v>
      </c>
      <c r="AR18" s="587">
        <f>ROUND(5.4*4.2*0,0)</f>
        <v>0</v>
      </c>
      <c r="AS18" s="695">
        <v>0</v>
      </c>
      <c r="AT18" s="587">
        <f>ROUND(5.4*4.2*0,0)</f>
        <v>0</v>
      </c>
      <c r="AU18" s="695">
        <v>0</v>
      </c>
      <c r="AV18" s="587">
        <f>ROUND(5.4*4.2*0,0)</f>
        <v>0</v>
      </c>
      <c r="AW18" s="695">
        <v>0</v>
      </c>
      <c r="AX18" s="587">
        <f>ROUND(5.4*4.2*0,0)</f>
        <v>0</v>
      </c>
      <c r="AY18" s="695">
        <v>0</v>
      </c>
      <c r="AZ18" s="587">
        <f>ROUND(5.4*4.2*0,0)</f>
        <v>0</v>
      </c>
      <c r="BA18" s="695">
        <v>0</v>
      </c>
      <c r="BB18" s="589">
        <f>ROUND(5.4*4.2*0,0)</f>
        <v>0</v>
      </c>
      <c r="BC18" s="562"/>
      <c r="BD18" s="552"/>
      <c r="BE18" s="700" t="s">
        <v>229</v>
      </c>
      <c r="BF18" s="691" t="s">
        <v>70</v>
      </c>
      <c r="BG18" s="583">
        <v>5.4</v>
      </c>
      <c r="BH18" s="692" t="s">
        <v>867</v>
      </c>
      <c r="BI18" s="693"/>
      <c r="BJ18" s="694">
        <v>0</v>
      </c>
      <c r="BK18" s="587">
        <f>ROUND(5.4*4.2*0,0)</f>
        <v>0</v>
      </c>
      <c r="BL18" s="695">
        <v>0</v>
      </c>
      <c r="BM18" s="587">
        <f>ROUND(5.4*4.2*0,0)</f>
        <v>0</v>
      </c>
      <c r="BN18" s="695">
        <v>0</v>
      </c>
      <c r="BO18" s="587">
        <f>ROUND(5.4*4.2*0,0)</f>
        <v>0</v>
      </c>
      <c r="BP18" s="695">
        <v>0</v>
      </c>
      <c r="BQ18" s="587">
        <f>ROUND(5.4*4.2*0,0)</f>
        <v>0</v>
      </c>
      <c r="BR18" s="695">
        <v>0</v>
      </c>
      <c r="BS18" s="587">
        <f>ROUND(5.4*4.2*0,0)</f>
        <v>0</v>
      </c>
      <c r="BT18" s="695">
        <v>0</v>
      </c>
      <c r="BU18" s="587">
        <f>ROUND(5.4*4.2*0,0)</f>
        <v>0</v>
      </c>
      <c r="BV18" s="695">
        <v>0</v>
      </c>
      <c r="BW18" s="587">
        <f>ROUND(5.4*4.2*0,0)</f>
        <v>0</v>
      </c>
      <c r="BX18" s="695">
        <v>0</v>
      </c>
      <c r="BY18" s="587">
        <f>ROUND(5.4*4.2*0,0)</f>
        <v>0</v>
      </c>
      <c r="BZ18" s="695">
        <v>3.1</v>
      </c>
      <c r="CA18" s="587">
        <f>ROUND(5.4*4.2*3.1,0)</f>
        <v>70</v>
      </c>
      <c r="CB18" s="695">
        <v>4.0999999999999996</v>
      </c>
      <c r="CC18" s="587">
        <f>ROUND(5.4*4.2*4.1,0)</f>
        <v>93</v>
      </c>
      <c r="CD18" s="695">
        <v>5</v>
      </c>
      <c r="CE18" s="587">
        <f>ROUND(5.4*4.2*5,0)</f>
        <v>113</v>
      </c>
      <c r="CF18" s="695">
        <v>5.4</v>
      </c>
      <c r="CG18" s="587">
        <f>ROUND(5.4*4.2*5.4,0)</f>
        <v>122</v>
      </c>
      <c r="CH18" s="695">
        <v>5.6</v>
      </c>
      <c r="CI18" s="587">
        <f>ROUND(5.4*4.2*5.6,0)</f>
        <v>127</v>
      </c>
      <c r="CJ18" s="695">
        <v>5.4</v>
      </c>
      <c r="CK18" s="587">
        <f>ROUND(5.4*4.2*5.4,0)</f>
        <v>122</v>
      </c>
      <c r="CL18" s="695">
        <v>4.9000000000000004</v>
      </c>
      <c r="CM18" s="587">
        <f>ROUND(5.4*4.2*4.9,0)</f>
        <v>111</v>
      </c>
      <c r="CN18" s="695">
        <v>4.5</v>
      </c>
      <c r="CO18" s="587">
        <f>ROUND(5.4*4.2*4.5,0)</f>
        <v>102</v>
      </c>
      <c r="CP18" s="695">
        <v>4</v>
      </c>
      <c r="CQ18" s="587">
        <f>ROUND(5.4*4.2*4,0)</f>
        <v>91</v>
      </c>
      <c r="CR18" s="695">
        <v>3.1</v>
      </c>
      <c r="CS18" s="587">
        <f>ROUND(5.4*4.2*3.1,0)</f>
        <v>70</v>
      </c>
      <c r="CT18" s="695">
        <v>0</v>
      </c>
      <c r="CU18" s="587">
        <f>ROUND(5.4*4.2*0,0)</f>
        <v>0</v>
      </c>
      <c r="CV18" s="695">
        <v>0</v>
      </c>
      <c r="CW18" s="587">
        <f>ROUND(5.4*4.2*0,0)</f>
        <v>0</v>
      </c>
      <c r="CX18" s="695">
        <v>0</v>
      </c>
      <c r="CY18" s="587">
        <f>ROUND(5.4*4.2*0,0)</f>
        <v>0</v>
      </c>
      <c r="CZ18" s="695">
        <v>0</v>
      </c>
      <c r="DA18" s="587">
        <f>ROUND(5.4*4.2*0,0)</f>
        <v>0</v>
      </c>
      <c r="DB18" s="695">
        <v>0</v>
      </c>
      <c r="DC18" s="587">
        <f>ROUND(5.4*4.2*0,0)</f>
        <v>0</v>
      </c>
      <c r="DD18" s="695">
        <v>0</v>
      </c>
      <c r="DE18" s="589">
        <f>ROUND(5.4*4.2*0,0)</f>
        <v>0</v>
      </c>
      <c r="DF18" s="562"/>
      <c r="DG18" s="552"/>
      <c r="DH18" s="700" t="s">
        <v>229</v>
      </c>
      <c r="DI18" s="691" t="s">
        <v>70</v>
      </c>
      <c r="DJ18" s="583">
        <v>5.4</v>
      </c>
      <c r="DK18" s="692" t="s">
        <v>867</v>
      </c>
      <c r="DL18" s="693"/>
      <c r="DM18" s="694">
        <v>0</v>
      </c>
      <c r="DN18" s="587">
        <f>ROUND(5.4*4.2*0,0)</f>
        <v>0</v>
      </c>
      <c r="DO18" s="695">
        <v>0</v>
      </c>
      <c r="DP18" s="587">
        <f>ROUND(5.4*4.2*0,0)</f>
        <v>0</v>
      </c>
      <c r="DQ18" s="695">
        <v>0</v>
      </c>
      <c r="DR18" s="587">
        <f>ROUND(5.4*4.2*0,0)</f>
        <v>0</v>
      </c>
      <c r="DS18" s="695">
        <v>0</v>
      </c>
      <c r="DT18" s="587">
        <f>ROUND(5.4*4.2*0,0)</f>
        <v>0</v>
      </c>
      <c r="DU18" s="695">
        <v>0</v>
      </c>
      <c r="DV18" s="587">
        <f>ROUND(5.4*4.2*0,0)</f>
        <v>0</v>
      </c>
      <c r="DW18" s="695">
        <v>0</v>
      </c>
      <c r="DX18" s="587">
        <f>ROUND(5.4*4.2*0,0)</f>
        <v>0</v>
      </c>
      <c r="DY18" s="695">
        <v>0</v>
      </c>
      <c r="DZ18" s="587">
        <f>ROUND(5.4*4.2*0,0)</f>
        <v>0</v>
      </c>
      <c r="EA18" s="695">
        <v>0</v>
      </c>
      <c r="EB18" s="587">
        <f>ROUND(5.4*4.2*0,0)</f>
        <v>0</v>
      </c>
      <c r="EC18" s="695">
        <v>0.80000000000000104</v>
      </c>
      <c r="ED18" s="587">
        <f>ROUND(5.4*4.2*0.800000000000001,0)</f>
        <v>18</v>
      </c>
      <c r="EE18" s="695">
        <v>2.1</v>
      </c>
      <c r="EF18" s="587">
        <f>ROUND(5.4*4.2*2.1,0)</f>
        <v>48</v>
      </c>
      <c r="EG18" s="695">
        <v>2.9</v>
      </c>
      <c r="EH18" s="587">
        <f>ROUND(5.4*4.2*2.9,0)</f>
        <v>66</v>
      </c>
      <c r="EI18" s="695">
        <v>3.6</v>
      </c>
      <c r="EJ18" s="587">
        <f>ROUND(5.4*4.2*3.6,0)</f>
        <v>82</v>
      </c>
      <c r="EK18" s="695">
        <v>3.8</v>
      </c>
      <c r="EL18" s="587">
        <f>ROUND(5.4*4.2*3.8,0)</f>
        <v>86</v>
      </c>
      <c r="EM18" s="695">
        <v>3.5</v>
      </c>
      <c r="EN18" s="587">
        <f>ROUND(5.4*4.2*3.5,0)</f>
        <v>79</v>
      </c>
      <c r="EO18" s="695">
        <v>3.1</v>
      </c>
      <c r="EP18" s="587">
        <f>ROUND(5.4*4.2*3.1,0)</f>
        <v>70</v>
      </c>
      <c r="EQ18" s="695">
        <v>2.7</v>
      </c>
      <c r="ER18" s="587">
        <f>ROUND(5.4*4.2*2.7,0)</f>
        <v>61</v>
      </c>
      <c r="ES18" s="695">
        <v>1.7</v>
      </c>
      <c r="ET18" s="587">
        <f>ROUND(5.4*4.2*1.7,0)</f>
        <v>39</v>
      </c>
      <c r="EU18" s="695">
        <v>0.69999999999999896</v>
      </c>
      <c r="EV18" s="587">
        <f>ROUND(5.4*4.2*0.699999999999999,0)</f>
        <v>16</v>
      </c>
      <c r="EW18" s="695">
        <v>0</v>
      </c>
      <c r="EX18" s="587">
        <f>ROUND(5.4*4.2*0,0)</f>
        <v>0</v>
      </c>
      <c r="EY18" s="695">
        <v>0</v>
      </c>
      <c r="EZ18" s="587">
        <f>ROUND(5.4*4.2*0,0)</f>
        <v>0</v>
      </c>
      <c r="FA18" s="695">
        <v>0</v>
      </c>
      <c r="FB18" s="587">
        <f>ROUND(5.4*4.2*0,0)</f>
        <v>0</v>
      </c>
      <c r="FC18" s="695">
        <v>0</v>
      </c>
      <c r="FD18" s="587">
        <f>ROUND(5.4*4.2*0,0)</f>
        <v>0</v>
      </c>
      <c r="FE18" s="695">
        <v>0</v>
      </c>
      <c r="FF18" s="587">
        <f>ROUND(5.4*4.2*0,0)</f>
        <v>0</v>
      </c>
      <c r="FG18" s="695">
        <v>0</v>
      </c>
      <c r="FH18" s="589">
        <f>ROUND(5.4*4.2*0,0)</f>
        <v>0</v>
      </c>
      <c r="FI18" s="563"/>
      <c r="FJ18" s="564"/>
      <c r="FK18" s="700" t="s">
        <v>229</v>
      </c>
      <c r="FL18" s="691" t="s">
        <v>70</v>
      </c>
      <c r="FM18" s="583">
        <v>5.4</v>
      </c>
      <c r="FN18" s="692" t="s">
        <v>867</v>
      </c>
      <c r="FO18" s="693"/>
      <c r="FP18" s="696">
        <v>9</v>
      </c>
      <c r="FQ18" s="697">
        <v>17</v>
      </c>
      <c r="FR18" s="587">
        <f>ROUND(5.4*4.2*17,0)</f>
        <v>386</v>
      </c>
      <c r="FS18" s="698">
        <v>9</v>
      </c>
      <c r="FT18" s="697">
        <v>17.5</v>
      </c>
      <c r="FU18" s="592">
        <f>ROUND(5.4*4.2*17.5,0)</f>
        <v>397</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t="s">
        <v>250</v>
      </c>
      <c r="C19" s="691"/>
      <c r="D19" s="583">
        <v>10.92</v>
      </c>
      <c r="E19" s="692">
        <v>2.35</v>
      </c>
      <c r="F19" s="693"/>
      <c r="G19" s="694">
        <v>0</v>
      </c>
      <c r="H19" s="587">
        <f>ROUND(10.92*2.35*0,0)</f>
        <v>0</v>
      </c>
      <c r="I19" s="695">
        <v>0</v>
      </c>
      <c r="J19" s="587">
        <f>ROUND(10.92*2.35*0,0)</f>
        <v>0</v>
      </c>
      <c r="K19" s="695">
        <v>0</v>
      </c>
      <c r="L19" s="587">
        <f>ROUND(10.92*2.35*0,0)</f>
        <v>0</v>
      </c>
      <c r="M19" s="695">
        <v>0</v>
      </c>
      <c r="N19" s="587">
        <f>ROUND(10.92*2.35*0,0)</f>
        <v>0</v>
      </c>
      <c r="O19" s="695">
        <v>0</v>
      </c>
      <c r="P19" s="587">
        <f>ROUND(10.92*2.35*0,0)</f>
        <v>0</v>
      </c>
      <c r="Q19" s="695">
        <v>0</v>
      </c>
      <c r="R19" s="587">
        <f>ROUND(10.92*2.35*0,0)</f>
        <v>0</v>
      </c>
      <c r="S19" s="695">
        <v>0</v>
      </c>
      <c r="T19" s="587">
        <f>ROUND(10.92*2.35*0,0)</f>
        <v>0</v>
      </c>
      <c r="U19" s="695">
        <v>0</v>
      </c>
      <c r="V19" s="587">
        <f>ROUND(10.92*2.35*0,0)</f>
        <v>0</v>
      </c>
      <c r="W19" s="695">
        <v>1.7</v>
      </c>
      <c r="X19" s="587">
        <f>ROUND(10.92*2.35*1.7,0)</f>
        <v>44</v>
      </c>
      <c r="Y19" s="695">
        <v>2.2000000000000002</v>
      </c>
      <c r="Z19" s="587">
        <f>ROUND(10.92*2.35*2.2,0)</f>
        <v>56</v>
      </c>
      <c r="AA19" s="695">
        <v>2.6</v>
      </c>
      <c r="AB19" s="587">
        <f>ROUND(10.92*2.35*2.6,0)</f>
        <v>67</v>
      </c>
      <c r="AC19" s="695">
        <v>2.9</v>
      </c>
      <c r="AD19" s="587">
        <f>ROUND(10.92*2.35*2.9,0)</f>
        <v>74</v>
      </c>
      <c r="AE19" s="695">
        <v>2.9</v>
      </c>
      <c r="AF19" s="587">
        <f>ROUND(10.92*2.35*2.9,0)</f>
        <v>74</v>
      </c>
      <c r="AG19" s="695">
        <v>2.9</v>
      </c>
      <c r="AH19" s="587">
        <f>ROUND(10.92*2.35*2.9,0)</f>
        <v>74</v>
      </c>
      <c r="AI19" s="695">
        <v>2.7</v>
      </c>
      <c r="AJ19" s="587">
        <f>ROUND(10.92*2.35*2.7,0)</f>
        <v>69</v>
      </c>
      <c r="AK19" s="695">
        <v>2.4</v>
      </c>
      <c r="AL19" s="587">
        <f>ROUND(10.92*2.35*2.4,0)</f>
        <v>62</v>
      </c>
      <c r="AM19" s="695">
        <v>2</v>
      </c>
      <c r="AN19" s="587">
        <f>ROUND(10.92*2.35*2,0)</f>
        <v>51</v>
      </c>
      <c r="AO19" s="695">
        <v>1.7</v>
      </c>
      <c r="AP19" s="587">
        <f>ROUND(10.92*2.35*1.7,0)</f>
        <v>44</v>
      </c>
      <c r="AQ19" s="695">
        <v>0</v>
      </c>
      <c r="AR19" s="587">
        <f>ROUND(10.92*2.35*0,0)</f>
        <v>0</v>
      </c>
      <c r="AS19" s="695">
        <v>0</v>
      </c>
      <c r="AT19" s="587">
        <f>ROUND(10.92*2.35*0,0)</f>
        <v>0</v>
      </c>
      <c r="AU19" s="695">
        <v>0</v>
      </c>
      <c r="AV19" s="587">
        <f>ROUND(10.92*2.35*0,0)</f>
        <v>0</v>
      </c>
      <c r="AW19" s="695">
        <v>0</v>
      </c>
      <c r="AX19" s="587">
        <f>ROUND(10.92*2.35*0,0)</f>
        <v>0</v>
      </c>
      <c r="AY19" s="695">
        <v>0</v>
      </c>
      <c r="AZ19" s="587">
        <f>ROUND(10.92*2.35*0,0)</f>
        <v>0</v>
      </c>
      <c r="BA19" s="695">
        <v>0</v>
      </c>
      <c r="BB19" s="589">
        <f>ROUND(10.92*2.35*0,0)</f>
        <v>0</v>
      </c>
      <c r="BC19" s="562"/>
      <c r="BD19" s="552"/>
      <c r="BE19" s="700" t="s">
        <v>250</v>
      </c>
      <c r="BF19" s="691"/>
      <c r="BG19" s="583">
        <v>10.92</v>
      </c>
      <c r="BH19" s="692">
        <v>2.35</v>
      </c>
      <c r="BI19" s="693"/>
      <c r="BJ19" s="694">
        <v>0</v>
      </c>
      <c r="BK19" s="587">
        <f>ROUND(10.92*2.35*0,0)</f>
        <v>0</v>
      </c>
      <c r="BL19" s="695">
        <v>0</v>
      </c>
      <c r="BM19" s="587">
        <f>ROUND(10.92*2.35*0,0)</f>
        <v>0</v>
      </c>
      <c r="BN19" s="695">
        <v>0</v>
      </c>
      <c r="BO19" s="587">
        <f>ROUND(10.92*2.35*0,0)</f>
        <v>0</v>
      </c>
      <c r="BP19" s="695">
        <v>0</v>
      </c>
      <c r="BQ19" s="587">
        <f>ROUND(10.92*2.35*0,0)</f>
        <v>0</v>
      </c>
      <c r="BR19" s="695">
        <v>0</v>
      </c>
      <c r="BS19" s="587">
        <f>ROUND(10.92*2.35*0,0)</f>
        <v>0</v>
      </c>
      <c r="BT19" s="695">
        <v>0</v>
      </c>
      <c r="BU19" s="587">
        <f>ROUND(10.92*2.35*0,0)</f>
        <v>0</v>
      </c>
      <c r="BV19" s="695">
        <v>0</v>
      </c>
      <c r="BW19" s="587">
        <f>ROUND(10.92*2.35*0,0)</f>
        <v>0</v>
      </c>
      <c r="BX19" s="695">
        <v>0</v>
      </c>
      <c r="BY19" s="587">
        <f>ROUND(10.92*2.35*0,0)</f>
        <v>0</v>
      </c>
      <c r="BZ19" s="695">
        <v>1.6</v>
      </c>
      <c r="CA19" s="587">
        <f>ROUND(10.92*2.35*1.6,0)</f>
        <v>41</v>
      </c>
      <c r="CB19" s="695">
        <v>2.1</v>
      </c>
      <c r="CC19" s="587">
        <f>ROUND(10.92*2.35*2.1,0)</f>
        <v>54</v>
      </c>
      <c r="CD19" s="695">
        <v>2.5</v>
      </c>
      <c r="CE19" s="587">
        <f>ROUND(10.92*2.35*2.5,0)</f>
        <v>64</v>
      </c>
      <c r="CF19" s="695">
        <v>2.7</v>
      </c>
      <c r="CG19" s="587">
        <f>ROUND(10.92*2.35*2.7,0)</f>
        <v>69</v>
      </c>
      <c r="CH19" s="695">
        <v>2.8</v>
      </c>
      <c r="CI19" s="587">
        <f>ROUND(10.92*2.35*2.8,0)</f>
        <v>72</v>
      </c>
      <c r="CJ19" s="695">
        <v>2.7</v>
      </c>
      <c r="CK19" s="587">
        <f>ROUND(10.92*2.35*2.7,0)</f>
        <v>69</v>
      </c>
      <c r="CL19" s="695">
        <v>2.4</v>
      </c>
      <c r="CM19" s="587">
        <f>ROUND(10.92*2.35*2.4,0)</f>
        <v>62</v>
      </c>
      <c r="CN19" s="695">
        <v>2.2000000000000002</v>
      </c>
      <c r="CO19" s="587">
        <f>ROUND(10.92*2.35*2.2,0)</f>
        <v>56</v>
      </c>
      <c r="CP19" s="695">
        <v>2</v>
      </c>
      <c r="CQ19" s="587">
        <f>ROUND(10.92*2.35*2,0)</f>
        <v>51</v>
      </c>
      <c r="CR19" s="695">
        <v>1.6</v>
      </c>
      <c r="CS19" s="587">
        <f>ROUND(10.92*2.35*1.6,0)</f>
        <v>41</v>
      </c>
      <c r="CT19" s="695">
        <v>0</v>
      </c>
      <c r="CU19" s="587">
        <f>ROUND(10.92*2.35*0,0)</f>
        <v>0</v>
      </c>
      <c r="CV19" s="695">
        <v>0</v>
      </c>
      <c r="CW19" s="587">
        <f>ROUND(10.92*2.35*0,0)</f>
        <v>0</v>
      </c>
      <c r="CX19" s="695">
        <v>0</v>
      </c>
      <c r="CY19" s="587">
        <f>ROUND(10.92*2.35*0,0)</f>
        <v>0</v>
      </c>
      <c r="CZ19" s="695">
        <v>0</v>
      </c>
      <c r="DA19" s="587">
        <f>ROUND(10.92*2.35*0,0)</f>
        <v>0</v>
      </c>
      <c r="DB19" s="695">
        <v>0</v>
      </c>
      <c r="DC19" s="587">
        <f>ROUND(10.92*2.35*0,0)</f>
        <v>0</v>
      </c>
      <c r="DD19" s="695">
        <v>0</v>
      </c>
      <c r="DE19" s="589">
        <f>ROUND(10.92*2.35*0,0)</f>
        <v>0</v>
      </c>
      <c r="DF19" s="562"/>
      <c r="DG19" s="552"/>
      <c r="DH19" s="700" t="s">
        <v>250</v>
      </c>
      <c r="DI19" s="691"/>
      <c r="DJ19" s="583">
        <v>10.92</v>
      </c>
      <c r="DK19" s="692">
        <v>2.35</v>
      </c>
      <c r="DL19" s="693"/>
      <c r="DM19" s="694">
        <v>0</v>
      </c>
      <c r="DN19" s="587">
        <f>ROUND(10.92*2.35*0,0)</f>
        <v>0</v>
      </c>
      <c r="DO19" s="695">
        <v>0</v>
      </c>
      <c r="DP19" s="587">
        <f>ROUND(10.92*2.35*0,0)</f>
        <v>0</v>
      </c>
      <c r="DQ19" s="695">
        <v>0</v>
      </c>
      <c r="DR19" s="587">
        <f>ROUND(10.92*2.35*0,0)</f>
        <v>0</v>
      </c>
      <c r="DS19" s="695">
        <v>0</v>
      </c>
      <c r="DT19" s="587">
        <f>ROUND(10.92*2.35*0,0)</f>
        <v>0</v>
      </c>
      <c r="DU19" s="695">
        <v>0</v>
      </c>
      <c r="DV19" s="587">
        <f>ROUND(10.92*2.35*0,0)</f>
        <v>0</v>
      </c>
      <c r="DW19" s="695">
        <v>0</v>
      </c>
      <c r="DX19" s="587">
        <f>ROUND(10.92*2.35*0,0)</f>
        <v>0</v>
      </c>
      <c r="DY19" s="695">
        <v>0</v>
      </c>
      <c r="DZ19" s="587">
        <f>ROUND(10.92*2.35*0,0)</f>
        <v>0</v>
      </c>
      <c r="EA19" s="695">
        <v>0</v>
      </c>
      <c r="EB19" s="587">
        <f>ROUND(10.92*2.35*0,0)</f>
        <v>0</v>
      </c>
      <c r="EC19" s="695">
        <v>0.4</v>
      </c>
      <c r="ED19" s="587">
        <f>ROUND(10.92*2.35*0.4,0)</f>
        <v>10</v>
      </c>
      <c r="EE19" s="695">
        <v>1.1000000000000001</v>
      </c>
      <c r="EF19" s="587">
        <f>ROUND(10.92*2.35*1.1,0)</f>
        <v>28</v>
      </c>
      <c r="EG19" s="695">
        <v>1.4</v>
      </c>
      <c r="EH19" s="587">
        <f>ROUND(10.92*2.35*1.4,0)</f>
        <v>36</v>
      </c>
      <c r="EI19" s="695">
        <v>1.8</v>
      </c>
      <c r="EJ19" s="587">
        <f>ROUND(10.92*2.35*1.8,0)</f>
        <v>46</v>
      </c>
      <c r="EK19" s="695">
        <v>1.9</v>
      </c>
      <c r="EL19" s="587">
        <f>ROUND(10.92*2.35*1.9,0)</f>
        <v>49</v>
      </c>
      <c r="EM19" s="695">
        <v>1.8</v>
      </c>
      <c r="EN19" s="587">
        <f>ROUND(10.92*2.35*1.8,0)</f>
        <v>46</v>
      </c>
      <c r="EO19" s="695">
        <v>1.6</v>
      </c>
      <c r="EP19" s="587">
        <f>ROUND(10.92*2.35*1.6,0)</f>
        <v>41</v>
      </c>
      <c r="EQ19" s="695">
        <v>1.3</v>
      </c>
      <c r="ER19" s="587">
        <f>ROUND(10.92*2.35*1.3,0)</f>
        <v>33</v>
      </c>
      <c r="ES19" s="695">
        <v>0.8</v>
      </c>
      <c r="ET19" s="587">
        <f>ROUND(10.92*2.35*0.8,0)</f>
        <v>21</v>
      </c>
      <c r="EU19" s="695">
        <v>0.3</v>
      </c>
      <c r="EV19" s="587">
        <f>ROUND(10.92*2.35*0.3,0)</f>
        <v>8</v>
      </c>
      <c r="EW19" s="695">
        <v>0</v>
      </c>
      <c r="EX19" s="587">
        <f>ROUND(10.92*2.35*0,0)</f>
        <v>0</v>
      </c>
      <c r="EY19" s="695">
        <v>0</v>
      </c>
      <c r="EZ19" s="587">
        <f>ROUND(10.92*2.35*0,0)</f>
        <v>0</v>
      </c>
      <c r="FA19" s="695">
        <v>0</v>
      </c>
      <c r="FB19" s="587">
        <f>ROUND(10.92*2.35*0,0)</f>
        <v>0</v>
      </c>
      <c r="FC19" s="695">
        <v>0</v>
      </c>
      <c r="FD19" s="587">
        <f>ROUND(10.92*2.35*0,0)</f>
        <v>0</v>
      </c>
      <c r="FE19" s="695">
        <v>0</v>
      </c>
      <c r="FF19" s="587">
        <f>ROUND(10.92*2.35*0,0)</f>
        <v>0</v>
      </c>
      <c r="FG19" s="695">
        <v>0</v>
      </c>
      <c r="FH19" s="589">
        <f>ROUND(10.92*2.35*0,0)</f>
        <v>0</v>
      </c>
      <c r="FI19" s="563"/>
      <c r="FJ19" s="564"/>
      <c r="FK19" s="700" t="s">
        <v>250</v>
      </c>
      <c r="FL19" s="691"/>
      <c r="FM19" s="583">
        <v>10.92</v>
      </c>
      <c r="FN19" s="692">
        <v>2.35</v>
      </c>
      <c r="FO19" s="693"/>
      <c r="FP19" s="696">
        <v>9</v>
      </c>
      <c r="FQ19" s="697">
        <v>8.5</v>
      </c>
      <c r="FR19" s="587">
        <f>ROUND(10.92*2.35*8.5,0)</f>
        <v>218</v>
      </c>
      <c r="FS19" s="698">
        <v>9</v>
      </c>
      <c r="FT19" s="697">
        <v>8.8000000000000007</v>
      </c>
      <c r="FU19" s="592">
        <f>ROUND(10.92*2.35*8.8,0)</f>
        <v>226</v>
      </c>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t="s">
        <v>250</v>
      </c>
      <c r="C20" s="691"/>
      <c r="D20" s="583">
        <v>28.42</v>
      </c>
      <c r="E20" s="692">
        <v>2.35</v>
      </c>
      <c r="F20" s="693"/>
      <c r="G20" s="694">
        <v>0</v>
      </c>
      <c r="H20" s="587">
        <f>ROUND(28.42*2.35*0,0)</f>
        <v>0</v>
      </c>
      <c r="I20" s="695">
        <v>0</v>
      </c>
      <c r="J20" s="587">
        <f>ROUND(28.42*2.35*0,0)</f>
        <v>0</v>
      </c>
      <c r="K20" s="695">
        <v>0</v>
      </c>
      <c r="L20" s="587">
        <f>ROUND(28.42*2.35*0,0)</f>
        <v>0</v>
      </c>
      <c r="M20" s="695">
        <v>0</v>
      </c>
      <c r="N20" s="587">
        <f>ROUND(28.42*2.35*0,0)</f>
        <v>0</v>
      </c>
      <c r="O20" s="695">
        <v>0</v>
      </c>
      <c r="P20" s="587">
        <f>ROUND(28.42*2.35*0,0)</f>
        <v>0</v>
      </c>
      <c r="Q20" s="695">
        <v>0</v>
      </c>
      <c r="R20" s="587">
        <f>ROUND(28.42*2.35*0,0)</f>
        <v>0</v>
      </c>
      <c r="S20" s="695">
        <v>0</v>
      </c>
      <c r="T20" s="587">
        <f>ROUND(28.42*2.35*0,0)</f>
        <v>0</v>
      </c>
      <c r="U20" s="695">
        <v>0</v>
      </c>
      <c r="V20" s="587">
        <f>ROUND(28.42*2.35*0,0)</f>
        <v>0</v>
      </c>
      <c r="W20" s="695">
        <v>1</v>
      </c>
      <c r="X20" s="587">
        <f>ROUND(28.42*2.35*1,0)</f>
        <v>67</v>
      </c>
      <c r="Y20" s="695">
        <v>1.3</v>
      </c>
      <c r="Z20" s="587">
        <f>ROUND(28.42*2.35*1.3,0)</f>
        <v>87</v>
      </c>
      <c r="AA20" s="695">
        <v>1.6</v>
      </c>
      <c r="AB20" s="587">
        <f>ROUND(28.42*2.35*1.6,0)</f>
        <v>107</v>
      </c>
      <c r="AC20" s="695">
        <v>1.7</v>
      </c>
      <c r="AD20" s="587">
        <f>ROUND(28.42*2.35*1.7,0)</f>
        <v>114</v>
      </c>
      <c r="AE20" s="695">
        <v>1.8</v>
      </c>
      <c r="AF20" s="587">
        <f>ROUND(28.42*2.35*1.8,0)</f>
        <v>120</v>
      </c>
      <c r="AG20" s="695">
        <v>1.8</v>
      </c>
      <c r="AH20" s="587">
        <f>ROUND(28.42*2.35*1.8,0)</f>
        <v>120</v>
      </c>
      <c r="AI20" s="695">
        <v>1.6</v>
      </c>
      <c r="AJ20" s="587">
        <f>ROUND(28.42*2.35*1.6,0)</f>
        <v>107</v>
      </c>
      <c r="AK20" s="695">
        <v>1.5</v>
      </c>
      <c r="AL20" s="587">
        <f>ROUND(28.42*2.35*1.5,0)</f>
        <v>100</v>
      </c>
      <c r="AM20" s="695">
        <v>1.2</v>
      </c>
      <c r="AN20" s="587">
        <f>ROUND(28.42*2.35*1.2,0)</f>
        <v>80</v>
      </c>
      <c r="AO20" s="695">
        <v>1</v>
      </c>
      <c r="AP20" s="587">
        <f>ROUND(28.42*2.35*1,0)</f>
        <v>67</v>
      </c>
      <c r="AQ20" s="695">
        <v>0</v>
      </c>
      <c r="AR20" s="587">
        <f>ROUND(28.42*2.35*0,0)</f>
        <v>0</v>
      </c>
      <c r="AS20" s="695">
        <v>0</v>
      </c>
      <c r="AT20" s="587">
        <f>ROUND(28.42*2.35*0,0)</f>
        <v>0</v>
      </c>
      <c r="AU20" s="695">
        <v>0</v>
      </c>
      <c r="AV20" s="587">
        <f>ROUND(28.42*2.35*0,0)</f>
        <v>0</v>
      </c>
      <c r="AW20" s="695">
        <v>0</v>
      </c>
      <c r="AX20" s="587">
        <f>ROUND(28.42*2.35*0,0)</f>
        <v>0</v>
      </c>
      <c r="AY20" s="695">
        <v>0</v>
      </c>
      <c r="AZ20" s="587">
        <f>ROUND(28.42*2.35*0,0)</f>
        <v>0</v>
      </c>
      <c r="BA20" s="695">
        <v>0</v>
      </c>
      <c r="BB20" s="589">
        <f>ROUND(28.42*2.35*0,0)</f>
        <v>0</v>
      </c>
      <c r="BC20" s="562"/>
      <c r="BD20" s="552"/>
      <c r="BE20" s="700" t="s">
        <v>250</v>
      </c>
      <c r="BF20" s="691"/>
      <c r="BG20" s="583">
        <v>28.42</v>
      </c>
      <c r="BH20" s="692">
        <v>2.35</v>
      </c>
      <c r="BI20" s="693"/>
      <c r="BJ20" s="694">
        <v>0</v>
      </c>
      <c r="BK20" s="587">
        <f>ROUND(28.42*2.35*0,0)</f>
        <v>0</v>
      </c>
      <c r="BL20" s="695">
        <v>0</v>
      </c>
      <c r="BM20" s="587">
        <f>ROUND(28.42*2.35*0,0)</f>
        <v>0</v>
      </c>
      <c r="BN20" s="695">
        <v>0</v>
      </c>
      <c r="BO20" s="587">
        <f>ROUND(28.42*2.35*0,0)</f>
        <v>0</v>
      </c>
      <c r="BP20" s="695">
        <v>0</v>
      </c>
      <c r="BQ20" s="587">
        <f>ROUND(28.42*2.35*0,0)</f>
        <v>0</v>
      </c>
      <c r="BR20" s="695">
        <v>0</v>
      </c>
      <c r="BS20" s="587">
        <f>ROUND(28.42*2.35*0,0)</f>
        <v>0</v>
      </c>
      <c r="BT20" s="695">
        <v>0</v>
      </c>
      <c r="BU20" s="587">
        <f>ROUND(28.42*2.35*0,0)</f>
        <v>0</v>
      </c>
      <c r="BV20" s="695">
        <v>0</v>
      </c>
      <c r="BW20" s="587">
        <f>ROUND(28.42*2.35*0,0)</f>
        <v>0</v>
      </c>
      <c r="BX20" s="695">
        <v>0</v>
      </c>
      <c r="BY20" s="587">
        <f>ROUND(28.42*2.35*0,0)</f>
        <v>0</v>
      </c>
      <c r="BZ20" s="695">
        <v>0.9</v>
      </c>
      <c r="CA20" s="587">
        <f>ROUND(28.42*2.35*0.9,0)</f>
        <v>60</v>
      </c>
      <c r="CB20" s="695">
        <v>1.2</v>
      </c>
      <c r="CC20" s="587">
        <f>ROUND(28.42*2.35*1.2,0)</f>
        <v>80</v>
      </c>
      <c r="CD20" s="695">
        <v>1.5</v>
      </c>
      <c r="CE20" s="587">
        <f>ROUND(28.42*2.35*1.5,0)</f>
        <v>100</v>
      </c>
      <c r="CF20" s="695">
        <v>1.6</v>
      </c>
      <c r="CG20" s="587">
        <f>ROUND(28.42*2.35*1.6,0)</f>
        <v>107</v>
      </c>
      <c r="CH20" s="695">
        <v>1.7</v>
      </c>
      <c r="CI20" s="587">
        <f>ROUND(28.42*2.35*1.7,0)</f>
        <v>114</v>
      </c>
      <c r="CJ20" s="695">
        <v>1.6</v>
      </c>
      <c r="CK20" s="587">
        <f>ROUND(28.42*2.35*1.6,0)</f>
        <v>107</v>
      </c>
      <c r="CL20" s="695">
        <v>1.5</v>
      </c>
      <c r="CM20" s="587">
        <f>ROUND(28.42*2.35*1.5,0)</f>
        <v>100</v>
      </c>
      <c r="CN20" s="695">
        <v>1.3</v>
      </c>
      <c r="CO20" s="587">
        <f>ROUND(28.42*2.35*1.3,0)</f>
        <v>87</v>
      </c>
      <c r="CP20" s="695">
        <v>1.2</v>
      </c>
      <c r="CQ20" s="587">
        <f>ROUND(28.42*2.35*1.2,0)</f>
        <v>80</v>
      </c>
      <c r="CR20" s="695">
        <v>0.9</v>
      </c>
      <c r="CS20" s="587">
        <f>ROUND(28.42*2.35*0.9,0)</f>
        <v>60</v>
      </c>
      <c r="CT20" s="695">
        <v>0</v>
      </c>
      <c r="CU20" s="587">
        <f>ROUND(28.42*2.35*0,0)</f>
        <v>0</v>
      </c>
      <c r="CV20" s="695">
        <v>0</v>
      </c>
      <c r="CW20" s="587">
        <f>ROUND(28.42*2.35*0,0)</f>
        <v>0</v>
      </c>
      <c r="CX20" s="695">
        <v>0</v>
      </c>
      <c r="CY20" s="587">
        <f>ROUND(28.42*2.35*0,0)</f>
        <v>0</v>
      </c>
      <c r="CZ20" s="695">
        <v>0</v>
      </c>
      <c r="DA20" s="587">
        <f>ROUND(28.42*2.35*0,0)</f>
        <v>0</v>
      </c>
      <c r="DB20" s="695">
        <v>0</v>
      </c>
      <c r="DC20" s="587">
        <f>ROUND(28.42*2.35*0,0)</f>
        <v>0</v>
      </c>
      <c r="DD20" s="695">
        <v>0</v>
      </c>
      <c r="DE20" s="589">
        <f>ROUND(28.42*2.35*0,0)</f>
        <v>0</v>
      </c>
      <c r="DF20" s="562"/>
      <c r="DG20" s="552"/>
      <c r="DH20" s="700" t="s">
        <v>250</v>
      </c>
      <c r="DI20" s="691"/>
      <c r="DJ20" s="583">
        <v>28.42</v>
      </c>
      <c r="DK20" s="692">
        <v>2.35</v>
      </c>
      <c r="DL20" s="693"/>
      <c r="DM20" s="694">
        <v>0</v>
      </c>
      <c r="DN20" s="587">
        <f>ROUND(28.42*2.35*0,0)</f>
        <v>0</v>
      </c>
      <c r="DO20" s="695">
        <v>0</v>
      </c>
      <c r="DP20" s="587">
        <f>ROUND(28.42*2.35*0,0)</f>
        <v>0</v>
      </c>
      <c r="DQ20" s="695">
        <v>0</v>
      </c>
      <c r="DR20" s="587">
        <f>ROUND(28.42*2.35*0,0)</f>
        <v>0</v>
      </c>
      <c r="DS20" s="695">
        <v>0</v>
      </c>
      <c r="DT20" s="587">
        <f>ROUND(28.42*2.35*0,0)</f>
        <v>0</v>
      </c>
      <c r="DU20" s="695">
        <v>0</v>
      </c>
      <c r="DV20" s="587">
        <f>ROUND(28.42*2.35*0,0)</f>
        <v>0</v>
      </c>
      <c r="DW20" s="695">
        <v>0</v>
      </c>
      <c r="DX20" s="587">
        <f>ROUND(28.42*2.35*0,0)</f>
        <v>0</v>
      </c>
      <c r="DY20" s="695">
        <v>0</v>
      </c>
      <c r="DZ20" s="587">
        <f>ROUND(28.42*2.35*0,0)</f>
        <v>0</v>
      </c>
      <c r="EA20" s="695">
        <v>0</v>
      </c>
      <c r="EB20" s="587">
        <f>ROUND(28.42*2.35*0,0)</f>
        <v>0</v>
      </c>
      <c r="EC20" s="695">
        <v>0.2</v>
      </c>
      <c r="ED20" s="587">
        <f>ROUND(28.42*2.35*0.2,0)</f>
        <v>13</v>
      </c>
      <c r="EE20" s="695">
        <v>0.6</v>
      </c>
      <c r="EF20" s="587">
        <f>ROUND(28.42*2.35*0.6,0)</f>
        <v>40</v>
      </c>
      <c r="EG20" s="695">
        <v>0.9</v>
      </c>
      <c r="EH20" s="587">
        <f>ROUND(28.42*2.35*0.9,0)</f>
        <v>60</v>
      </c>
      <c r="EI20" s="695">
        <v>1.1000000000000001</v>
      </c>
      <c r="EJ20" s="587">
        <f>ROUND(28.42*2.35*1.1,0)</f>
        <v>73</v>
      </c>
      <c r="EK20" s="695">
        <v>1.1000000000000001</v>
      </c>
      <c r="EL20" s="587">
        <f>ROUND(28.42*2.35*1.1,0)</f>
        <v>73</v>
      </c>
      <c r="EM20" s="695">
        <v>1</v>
      </c>
      <c r="EN20" s="587">
        <f>ROUND(28.42*2.35*1,0)</f>
        <v>67</v>
      </c>
      <c r="EO20" s="695">
        <v>0.9</v>
      </c>
      <c r="EP20" s="587">
        <f>ROUND(28.42*2.35*0.9,0)</f>
        <v>60</v>
      </c>
      <c r="EQ20" s="695">
        <v>0.8</v>
      </c>
      <c r="ER20" s="587">
        <f>ROUND(28.42*2.35*0.8,0)</f>
        <v>53</v>
      </c>
      <c r="ES20" s="695">
        <v>0.5</v>
      </c>
      <c r="ET20" s="587">
        <f>ROUND(28.42*2.35*0.5,0)</f>
        <v>33</v>
      </c>
      <c r="EU20" s="695">
        <v>0.2</v>
      </c>
      <c r="EV20" s="587">
        <f>ROUND(28.42*2.35*0.2,0)</f>
        <v>13</v>
      </c>
      <c r="EW20" s="695">
        <v>0</v>
      </c>
      <c r="EX20" s="587">
        <f>ROUND(28.42*2.35*0,0)</f>
        <v>0</v>
      </c>
      <c r="EY20" s="695">
        <v>0</v>
      </c>
      <c r="EZ20" s="587">
        <f>ROUND(28.42*2.35*0,0)</f>
        <v>0</v>
      </c>
      <c r="FA20" s="695">
        <v>0</v>
      </c>
      <c r="FB20" s="587">
        <f>ROUND(28.42*2.35*0,0)</f>
        <v>0</v>
      </c>
      <c r="FC20" s="695">
        <v>0</v>
      </c>
      <c r="FD20" s="587">
        <f>ROUND(28.42*2.35*0,0)</f>
        <v>0</v>
      </c>
      <c r="FE20" s="695">
        <v>0</v>
      </c>
      <c r="FF20" s="587">
        <f>ROUND(28.42*2.35*0,0)</f>
        <v>0</v>
      </c>
      <c r="FG20" s="695">
        <v>0</v>
      </c>
      <c r="FH20" s="589">
        <f>ROUND(28.42*2.35*0,0)</f>
        <v>0</v>
      </c>
      <c r="FI20" s="563"/>
      <c r="FJ20" s="564"/>
      <c r="FK20" s="700" t="s">
        <v>250</v>
      </c>
      <c r="FL20" s="691"/>
      <c r="FM20" s="583">
        <v>28.42</v>
      </c>
      <c r="FN20" s="692">
        <v>2.35</v>
      </c>
      <c r="FO20" s="693"/>
      <c r="FP20" s="696">
        <v>9</v>
      </c>
      <c r="FQ20" s="697">
        <v>5.0999999999999996</v>
      </c>
      <c r="FR20" s="587">
        <f>ROUND(28.42*2.35*5.1,0)</f>
        <v>341</v>
      </c>
      <c r="FS20" s="698">
        <v>9</v>
      </c>
      <c r="FT20" s="697">
        <v>5.2</v>
      </c>
      <c r="FU20" s="592">
        <f>ROUND(28.42*2.35*5.2,0)</f>
        <v>347</v>
      </c>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t="s">
        <v>250</v>
      </c>
      <c r="C21" s="691"/>
      <c r="D21" s="583">
        <v>10.64</v>
      </c>
      <c r="E21" s="692">
        <v>2.35</v>
      </c>
      <c r="F21" s="693"/>
      <c r="G21" s="694">
        <v>0</v>
      </c>
      <c r="H21" s="587">
        <f>ROUND(10.64*2.35*0,0)</f>
        <v>0</v>
      </c>
      <c r="I21" s="695">
        <v>0</v>
      </c>
      <c r="J21" s="587">
        <f>ROUND(10.64*2.35*0,0)</f>
        <v>0</v>
      </c>
      <c r="K21" s="695">
        <v>0</v>
      </c>
      <c r="L21" s="587">
        <f>ROUND(10.64*2.35*0,0)</f>
        <v>0</v>
      </c>
      <c r="M21" s="695">
        <v>0</v>
      </c>
      <c r="N21" s="587">
        <f>ROUND(10.64*2.35*0,0)</f>
        <v>0</v>
      </c>
      <c r="O21" s="695">
        <v>0</v>
      </c>
      <c r="P21" s="587">
        <f>ROUND(10.64*2.35*0,0)</f>
        <v>0</v>
      </c>
      <c r="Q21" s="695">
        <v>0</v>
      </c>
      <c r="R21" s="587">
        <f>ROUND(10.64*2.35*0,0)</f>
        <v>0</v>
      </c>
      <c r="S21" s="695">
        <v>0</v>
      </c>
      <c r="T21" s="587">
        <f>ROUND(10.64*2.35*0,0)</f>
        <v>0</v>
      </c>
      <c r="U21" s="695">
        <v>0</v>
      </c>
      <c r="V21" s="587">
        <f>ROUND(10.64*2.35*0,0)</f>
        <v>0</v>
      </c>
      <c r="W21" s="695">
        <v>1</v>
      </c>
      <c r="X21" s="587">
        <f>ROUND(10.64*2.35*1,0)</f>
        <v>25</v>
      </c>
      <c r="Y21" s="695">
        <v>1.3</v>
      </c>
      <c r="Z21" s="587">
        <f>ROUND(10.64*2.35*1.3,0)</f>
        <v>33</v>
      </c>
      <c r="AA21" s="695">
        <v>1.6</v>
      </c>
      <c r="AB21" s="587">
        <f>ROUND(10.64*2.35*1.6,0)</f>
        <v>40</v>
      </c>
      <c r="AC21" s="695">
        <v>1.7</v>
      </c>
      <c r="AD21" s="587">
        <f>ROUND(10.64*2.35*1.7,0)</f>
        <v>43</v>
      </c>
      <c r="AE21" s="695">
        <v>1.8</v>
      </c>
      <c r="AF21" s="587">
        <f>ROUND(10.64*2.35*1.8,0)</f>
        <v>45</v>
      </c>
      <c r="AG21" s="695">
        <v>1.8</v>
      </c>
      <c r="AH21" s="587">
        <f>ROUND(10.64*2.35*1.8,0)</f>
        <v>45</v>
      </c>
      <c r="AI21" s="695">
        <v>1.6</v>
      </c>
      <c r="AJ21" s="587">
        <f>ROUND(10.64*2.35*1.6,0)</f>
        <v>40</v>
      </c>
      <c r="AK21" s="695">
        <v>1.5</v>
      </c>
      <c r="AL21" s="587">
        <f>ROUND(10.64*2.35*1.5,0)</f>
        <v>38</v>
      </c>
      <c r="AM21" s="695">
        <v>1.2</v>
      </c>
      <c r="AN21" s="587">
        <f>ROUND(10.64*2.35*1.2,0)</f>
        <v>30</v>
      </c>
      <c r="AO21" s="695">
        <v>1</v>
      </c>
      <c r="AP21" s="587">
        <f>ROUND(10.64*2.35*1,0)</f>
        <v>25</v>
      </c>
      <c r="AQ21" s="695">
        <v>0</v>
      </c>
      <c r="AR21" s="587">
        <f>ROUND(10.64*2.35*0,0)</f>
        <v>0</v>
      </c>
      <c r="AS21" s="695">
        <v>0</v>
      </c>
      <c r="AT21" s="587">
        <f>ROUND(10.64*2.35*0,0)</f>
        <v>0</v>
      </c>
      <c r="AU21" s="695">
        <v>0</v>
      </c>
      <c r="AV21" s="587">
        <f>ROUND(10.64*2.35*0,0)</f>
        <v>0</v>
      </c>
      <c r="AW21" s="695">
        <v>0</v>
      </c>
      <c r="AX21" s="587">
        <f>ROUND(10.64*2.35*0,0)</f>
        <v>0</v>
      </c>
      <c r="AY21" s="695">
        <v>0</v>
      </c>
      <c r="AZ21" s="587">
        <f>ROUND(10.64*2.35*0,0)</f>
        <v>0</v>
      </c>
      <c r="BA21" s="695">
        <v>0</v>
      </c>
      <c r="BB21" s="589">
        <f>ROUND(10.64*2.35*0,0)</f>
        <v>0</v>
      </c>
      <c r="BC21" s="562"/>
      <c r="BD21" s="552"/>
      <c r="BE21" s="700" t="s">
        <v>250</v>
      </c>
      <c r="BF21" s="691"/>
      <c r="BG21" s="583">
        <v>10.64</v>
      </c>
      <c r="BH21" s="692">
        <v>2.35</v>
      </c>
      <c r="BI21" s="693"/>
      <c r="BJ21" s="694">
        <v>0</v>
      </c>
      <c r="BK21" s="587">
        <f>ROUND(10.64*2.35*0,0)</f>
        <v>0</v>
      </c>
      <c r="BL21" s="695">
        <v>0</v>
      </c>
      <c r="BM21" s="587">
        <f>ROUND(10.64*2.35*0,0)</f>
        <v>0</v>
      </c>
      <c r="BN21" s="695">
        <v>0</v>
      </c>
      <c r="BO21" s="587">
        <f>ROUND(10.64*2.35*0,0)</f>
        <v>0</v>
      </c>
      <c r="BP21" s="695">
        <v>0</v>
      </c>
      <c r="BQ21" s="587">
        <f>ROUND(10.64*2.35*0,0)</f>
        <v>0</v>
      </c>
      <c r="BR21" s="695">
        <v>0</v>
      </c>
      <c r="BS21" s="587">
        <f>ROUND(10.64*2.35*0,0)</f>
        <v>0</v>
      </c>
      <c r="BT21" s="695">
        <v>0</v>
      </c>
      <c r="BU21" s="587">
        <f>ROUND(10.64*2.35*0,0)</f>
        <v>0</v>
      </c>
      <c r="BV21" s="695">
        <v>0</v>
      </c>
      <c r="BW21" s="587">
        <f>ROUND(10.64*2.35*0,0)</f>
        <v>0</v>
      </c>
      <c r="BX21" s="695">
        <v>0</v>
      </c>
      <c r="BY21" s="587">
        <f>ROUND(10.64*2.35*0,0)</f>
        <v>0</v>
      </c>
      <c r="BZ21" s="695">
        <v>0.9</v>
      </c>
      <c r="CA21" s="587">
        <f>ROUND(10.64*2.35*0.9,0)</f>
        <v>23</v>
      </c>
      <c r="CB21" s="695">
        <v>1.2</v>
      </c>
      <c r="CC21" s="587">
        <f>ROUND(10.64*2.35*1.2,0)</f>
        <v>30</v>
      </c>
      <c r="CD21" s="695">
        <v>1.5</v>
      </c>
      <c r="CE21" s="587">
        <f>ROUND(10.64*2.35*1.5,0)</f>
        <v>38</v>
      </c>
      <c r="CF21" s="695">
        <v>1.6</v>
      </c>
      <c r="CG21" s="587">
        <f>ROUND(10.64*2.35*1.6,0)</f>
        <v>40</v>
      </c>
      <c r="CH21" s="695">
        <v>1.7</v>
      </c>
      <c r="CI21" s="587">
        <f>ROUND(10.64*2.35*1.7,0)</f>
        <v>43</v>
      </c>
      <c r="CJ21" s="695">
        <v>1.6</v>
      </c>
      <c r="CK21" s="587">
        <f>ROUND(10.64*2.35*1.6,0)</f>
        <v>40</v>
      </c>
      <c r="CL21" s="695">
        <v>1.5</v>
      </c>
      <c r="CM21" s="587">
        <f>ROUND(10.64*2.35*1.5,0)</f>
        <v>38</v>
      </c>
      <c r="CN21" s="695">
        <v>1.3</v>
      </c>
      <c r="CO21" s="587">
        <f>ROUND(10.64*2.35*1.3,0)</f>
        <v>33</v>
      </c>
      <c r="CP21" s="695">
        <v>1.2</v>
      </c>
      <c r="CQ21" s="587">
        <f>ROUND(10.64*2.35*1.2,0)</f>
        <v>30</v>
      </c>
      <c r="CR21" s="695">
        <v>0.9</v>
      </c>
      <c r="CS21" s="587">
        <f>ROUND(10.64*2.35*0.9,0)</f>
        <v>23</v>
      </c>
      <c r="CT21" s="695">
        <v>0</v>
      </c>
      <c r="CU21" s="587">
        <f>ROUND(10.64*2.35*0,0)</f>
        <v>0</v>
      </c>
      <c r="CV21" s="695">
        <v>0</v>
      </c>
      <c r="CW21" s="587">
        <f>ROUND(10.64*2.35*0,0)</f>
        <v>0</v>
      </c>
      <c r="CX21" s="695">
        <v>0</v>
      </c>
      <c r="CY21" s="587">
        <f>ROUND(10.64*2.35*0,0)</f>
        <v>0</v>
      </c>
      <c r="CZ21" s="695">
        <v>0</v>
      </c>
      <c r="DA21" s="587">
        <f>ROUND(10.64*2.35*0,0)</f>
        <v>0</v>
      </c>
      <c r="DB21" s="695">
        <v>0</v>
      </c>
      <c r="DC21" s="587">
        <f>ROUND(10.64*2.35*0,0)</f>
        <v>0</v>
      </c>
      <c r="DD21" s="695">
        <v>0</v>
      </c>
      <c r="DE21" s="589">
        <f>ROUND(10.64*2.35*0,0)</f>
        <v>0</v>
      </c>
      <c r="DF21" s="562"/>
      <c r="DG21" s="552"/>
      <c r="DH21" s="700" t="s">
        <v>250</v>
      </c>
      <c r="DI21" s="691"/>
      <c r="DJ21" s="583">
        <v>10.64</v>
      </c>
      <c r="DK21" s="692">
        <v>2.35</v>
      </c>
      <c r="DL21" s="693"/>
      <c r="DM21" s="694">
        <v>0</v>
      </c>
      <c r="DN21" s="587">
        <f>ROUND(10.64*2.35*0,0)</f>
        <v>0</v>
      </c>
      <c r="DO21" s="695">
        <v>0</v>
      </c>
      <c r="DP21" s="587">
        <f>ROUND(10.64*2.35*0,0)</f>
        <v>0</v>
      </c>
      <c r="DQ21" s="695">
        <v>0</v>
      </c>
      <c r="DR21" s="587">
        <f>ROUND(10.64*2.35*0,0)</f>
        <v>0</v>
      </c>
      <c r="DS21" s="695">
        <v>0</v>
      </c>
      <c r="DT21" s="587">
        <f>ROUND(10.64*2.35*0,0)</f>
        <v>0</v>
      </c>
      <c r="DU21" s="695">
        <v>0</v>
      </c>
      <c r="DV21" s="587">
        <f>ROUND(10.64*2.35*0,0)</f>
        <v>0</v>
      </c>
      <c r="DW21" s="695">
        <v>0</v>
      </c>
      <c r="DX21" s="587">
        <f>ROUND(10.64*2.35*0,0)</f>
        <v>0</v>
      </c>
      <c r="DY21" s="695">
        <v>0</v>
      </c>
      <c r="DZ21" s="587">
        <f>ROUND(10.64*2.35*0,0)</f>
        <v>0</v>
      </c>
      <c r="EA21" s="695">
        <v>0</v>
      </c>
      <c r="EB21" s="587">
        <f>ROUND(10.64*2.35*0,0)</f>
        <v>0</v>
      </c>
      <c r="EC21" s="695">
        <v>0.2</v>
      </c>
      <c r="ED21" s="587">
        <f>ROUND(10.64*2.35*0.2,0)</f>
        <v>5</v>
      </c>
      <c r="EE21" s="695">
        <v>0.6</v>
      </c>
      <c r="EF21" s="587">
        <f>ROUND(10.64*2.35*0.6,0)</f>
        <v>15</v>
      </c>
      <c r="EG21" s="695">
        <v>0.9</v>
      </c>
      <c r="EH21" s="587">
        <f>ROUND(10.64*2.35*0.9,0)</f>
        <v>23</v>
      </c>
      <c r="EI21" s="695">
        <v>1.1000000000000001</v>
      </c>
      <c r="EJ21" s="587">
        <f>ROUND(10.64*2.35*1.1,0)</f>
        <v>28</v>
      </c>
      <c r="EK21" s="695">
        <v>1.1000000000000001</v>
      </c>
      <c r="EL21" s="587">
        <f>ROUND(10.64*2.35*1.1,0)</f>
        <v>28</v>
      </c>
      <c r="EM21" s="695">
        <v>1</v>
      </c>
      <c r="EN21" s="587">
        <f>ROUND(10.64*2.35*1,0)</f>
        <v>25</v>
      </c>
      <c r="EO21" s="695">
        <v>0.9</v>
      </c>
      <c r="EP21" s="587">
        <f>ROUND(10.64*2.35*0.9,0)</f>
        <v>23</v>
      </c>
      <c r="EQ21" s="695">
        <v>0.8</v>
      </c>
      <c r="ER21" s="587">
        <f>ROUND(10.64*2.35*0.8,0)</f>
        <v>20</v>
      </c>
      <c r="ES21" s="695">
        <v>0.5</v>
      </c>
      <c r="ET21" s="587">
        <f>ROUND(10.64*2.35*0.5,0)</f>
        <v>13</v>
      </c>
      <c r="EU21" s="695">
        <v>0.2</v>
      </c>
      <c r="EV21" s="587">
        <f>ROUND(10.64*2.35*0.2,0)</f>
        <v>5</v>
      </c>
      <c r="EW21" s="695">
        <v>0</v>
      </c>
      <c r="EX21" s="587">
        <f>ROUND(10.64*2.35*0,0)</f>
        <v>0</v>
      </c>
      <c r="EY21" s="695">
        <v>0</v>
      </c>
      <c r="EZ21" s="587">
        <f>ROUND(10.64*2.35*0,0)</f>
        <v>0</v>
      </c>
      <c r="FA21" s="695">
        <v>0</v>
      </c>
      <c r="FB21" s="587">
        <f>ROUND(10.64*2.35*0,0)</f>
        <v>0</v>
      </c>
      <c r="FC21" s="695">
        <v>0</v>
      </c>
      <c r="FD21" s="587">
        <f>ROUND(10.64*2.35*0,0)</f>
        <v>0</v>
      </c>
      <c r="FE21" s="695">
        <v>0</v>
      </c>
      <c r="FF21" s="587">
        <f>ROUND(10.64*2.35*0,0)</f>
        <v>0</v>
      </c>
      <c r="FG21" s="695">
        <v>0</v>
      </c>
      <c r="FH21" s="589">
        <f>ROUND(10.64*2.35*0,0)</f>
        <v>0</v>
      </c>
      <c r="FI21" s="563"/>
      <c r="FJ21" s="564"/>
      <c r="FK21" s="700" t="s">
        <v>250</v>
      </c>
      <c r="FL21" s="691"/>
      <c r="FM21" s="583">
        <v>10.64</v>
      </c>
      <c r="FN21" s="692">
        <v>2.35</v>
      </c>
      <c r="FO21" s="693"/>
      <c r="FP21" s="696">
        <v>9</v>
      </c>
      <c r="FQ21" s="697">
        <v>5.0999999999999996</v>
      </c>
      <c r="FR21" s="587">
        <f>ROUND(10.64*2.35*5.1,0)</f>
        <v>128</v>
      </c>
      <c r="FS21" s="698">
        <v>9</v>
      </c>
      <c r="FT21" s="697">
        <v>5.2</v>
      </c>
      <c r="FU21" s="592">
        <f>ROUND(10.64*2.35*5.2,0)</f>
        <v>130</v>
      </c>
      <c r="FV21" s="593"/>
      <c r="FW21" s="594"/>
      <c r="FX21" s="595"/>
      <c r="FY21" s="596"/>
      <c r="FZ21" s="597"/>
      <c r="GA21" s="598"/>
      <c r="GB21" s="599"/>
      <c r="GC21" s="600"/>
      <c r="GD21" s="599"/>
      <c r="GE21" s="601"/>
      <c r="GF21" s="688"/>
      <c r="GG21" s="602"/>
      <c r="GH21" s="602"/>
      <c r="GI21" s="602"/>
      <c r="GJ21" s="409"/>
      <c r="GK21" s="701" t="s">
        <v>536</v>
      </c>
      <c r="GL21" s="702"/>
      <c r="GM21" s="703"/>
      <c r="GN21" s="638">
        <v>5.4</v>
      </c>
      <c r="GO21" s="704"/>
      <c r="GP21" s="705"/>
      <c r="GQ21" s="633">
        <v>9.7200000000000006</v>
      </c>
      <c r="GR21" s="634">
        <v>5.4</v>
      </c>
      <c r="GS21" s="578"/>
      <c r="GT21" s="677"/>
      <c r="GU21" s="701" t="s">
        <v>699</v>
      </c>
      <c r="GV21" s="702"/>
      <c r="GW21" s="703"/>
      <c r="GX21" s="706">
        <v>5.4</v>
      </c>
      <c r="GY21" s="707"/>
      <c r="GZ21" s="704"/>
      <c r="HA21" s="708">
        <v>1.62</v>
      </c>
      <c r="HB21" s="709"/>
      <c r="HC21" s="710"/>
      <c r="HD21" s="562"/>
      <c r="HE21" s="615"/>
      <c r="HF21" s="615"/>
      <c r="HG21" s="415"/>
    </row>
    <row r="22" spans="1:218" ht="20.100000000000001" customHeight="1">
      <c r="A22" s="552"/>
      <c r="B22" s="700" t="s">
        <v>238</v>
      </c>
      <c r="C22" s="691"/>
      <c r="D22" s="583">
        <v>53.34</v>
      </c>
      <c r="E22" s="692">
        <v>0.47</v>
      </c>
      <c r="F22" s="693"/>
      <c r="G22" s="694">
        <v>0</v>
      </c>
      <c r="H22" s="587">
        <f>ROUND(53.34*0.47*0,0)</f>
        <v>0</v>
      </c>
      <c r="I22" s="695">
        <v>0</v>
      </c>
      <c r="J22" s="587">
        <f>ROUND(53.34*0.47*0,0)</f>
        <v>0</v>
      </c>
      <c r="K22" s="695">
        <v>0</v>
      </c>
      <c r="L22" s="587">
        <f>ROUND(53.34*0.47*0,0)</f>
        <v>0</v>
      </c>
      <c r="M22" s="695">
        <v>0</v>
      </c>
      <c r="N22" s="587">
        <f>ROUND(53.34*0.47*0,0)</f>
        <v>0</v>
      </c>
      <c r="O22" s="695">
        <v>0</v>
      </c>
      <c r="P22" s="587">
        <f>ROUND(53.34*0.47*0,0)</f>
        <v>0</v>
      </c>
      <c r="Q22" s="695">
        <v>0</v>
      </c>
      <c r="R22" s="587">
        <f>ROUND(53.34*0.47*0,0)</f>
        <v>0</v>
      </c>
      <c r="S22" s="695">
        <v>0</v>
      </c>
      <c r="T22" s="587">
        <f>ROUND(53.34*0.47*0,0)</f>
        <v>0</v>
      </c>
      <c r="U22" s="695">
        <v>0</v>
      </c>
      <c r="V22" s="587">
        <f>ROUND(53.34*0.47*0,0)</f>
        <v>0</v>
      </c>
      <c r="W22" s="695">
        <v>3.3</v>
      </c>
      <c r="X22" s="587">
        <f>ROUND(53.34*0.47*3.3,0)</f>
        <v>83</v>
      </c>
      <c r="Y22" s="695">
        <v>3.2</v>
      </c>
      <c r="Z22" s="587">
        <f>ROUND(53.34*0.47*3.2,0)</f>
        <v>80</v>
      </c>
      <c r="AA22" s="695">
        <v>3.2</v>
      </c>
      <c r="AB22" s="587">
        <f>ROUND(53.34*0.47*3.2,0)</f>
        <v>80</v>
      </c>
      <c r="AC22" s="695">
        <v>3.3</v>
      </c>
      <c r="AD22" s="587">
        <f>ROUND(53.34*0.47*3.3,0)</f>
        <v>83</v>
      </c>
      <c r="AE22" s="695">
        <v>3.7</v>
      </c>
      <c r="AF22" s="587">
        <f>ROUND(53.34*0.47*3.7,0)</f>
        <v>93</v>
      </c>
      <c r="AG22" s="695">
        <v>4.3</v>
      </c>
      <c r="AH22" s="587">
        <f>ROUND(53.34*0.47*4.3,0)</f>
        <v>108</v>
      </c>
      <c r="AI22" s="695">
        <v>5</v>
      </c>
      <c r="AJ22" s="587">
        <f>ROUND(53.34*0.47*5,0)</f>
        <v>125</v>
      </c>
      <c r="AK22" s="695">
        <v>5.8</v>
      </c>
      <c r="AL22" s="587">
        <f>ROUND(53.34*0.47*5.8,0)</f>
        <v>145</v>
      </c>
      <c r="AM22" s="695">
        <v>6.6</v>
      </c>
      <c r="AN22" s="587">
        <f>ROUND(53.34*0.47*6.6,0)</f>
        <v>165</v>
      </c>
      <c r="AO22" s="695">
        <v>7.4</v>
      </c>
      <c r="AP22" s="587">
        <f>ROUND(53.34*0.47*7.4,0)</f>
        <v>186</v>
      </c>
      <c r="AQ22" s="695">
        <v>0</v>
      </c>
      <c r="AR22" s="587">
        <f>ROUND(53.34*0.47*0,0)</f>
        <v>0</v>
      </c>
      <c r="AS22" s="695">
        <v>0</v>
      </c>
      <c r="AT22" s="587">
        <f>ROUND(53.34*0.47*0,0)</f>
        <v>0</v>
      </c>
      <c r="AU22" s="695">
        <v>0</v>
      </c>
      <c r="AV22" s="587">
        <f>ROUND(53.34*0.47*0,0)</f>
        <v>0</v>
      </c>
      <c r="AW22" s="695">
        <v>0</v>
      </c>
      <c r="AX22" s="587">
        <f>ROUND(53.34*0.47*0,0)</f>
        <v>0</v>
      </c>
      <c r="AY22" s="695">
        <v>0</v>
      </c>
      <c r="AZ22" s="587">
        <f>ROUND(53.34*0.47*0,0)</f>
        <v>0</v>
      </c>
      <c r="BA22" s="695">
        <v>0</v>
      </c>
      <c r="BB22" s="589">
        <f>ROUND(53.34*0.47*0,0)</f>
        <v>0</v>
      </c>
      <c r="BC22" s="562"/>
      <c r="BD22" s="552"/>
      <c r="BE22" s="700" t="s">
        <v>238</v>
      </c>
      <c r="BF22" s="691"/>
      <c r="BG22" s="583">
        <v>53.34</v>
      </c>
      <c r="BH22" s="692">
        <v>0.47</v>
      </c>
      <c r="BI22" s="693"/>
      <c r="BJ22" s="694">
        <v>0</v>
      </c>
      <c r="BK22" s="587">
        <f>ROUND(53.34*0.47*0,0)</f>
        <v>0</v>
      </c>
      <c r="BL22" s="695">
        <v>0</v>
      </c>
      <c r="BM22" s="587">
        <f>ROUND(53.34*0.47*0,0)</f>
        <v>0</v>
      </c>
      <c r="BN22" s="695">
        <v>0</v>
      </c>
      <c r="BO22" s="587">
        <f>ROUND(53.34*0.47*0,0)</f>
        <v>0</v>
      </c>
      <c r="BP22" s="695">
        <v>0</v>
      </c>
      <c r="BQ22" s="587">
        <f>ROUND(53.34*0.47*0,0)</f>
        <v>0</v>
      </c>
      <c r="BR22" s="695">
        <v>0</v>
      </c>
      <c r="BS22" s="587">
        <f>ROUND(53.34*0.47*0,0)</f>
        <v>0</v>
      </c>
      <c r="BT22" s="695">
        <v>0</v>
      </c>
      <c r="BU22" s="587">
        <f>ROUND(53.34*0.47*0,0)</f>
        <v>0</v>
      </c>
      <c r="BV22" s="695">
        <v>0</v>
      </c>
      <c r="BW22" s="587">
        <f>ROUND(53.34*0.47*0,0)</f>
        <v>0</v>
      </c>
      <c r="BX22" s="695">
        <v>0</v>
      </c>
      <c r="BY22" s="587">
        <f>ROUND(53.34*0.47*0,0)</f>
        <v>0</v>
      </c>
      <c r="BZ22" s="695">
        <v>3.2</v>
      </c>
      <c r="CA22" s="587">
        <f>ROUND(53.34*0.47*3.2,0)</f>
        <v>80</v>
      </c>
      <c r="CB22" s="695">
        <v>3</v>
      </c>
      <c r="CC22" s="587">
        <f>ROUND(53.34*0.47*3,0)</f>
        <v>75</v>
      </c>
      <c r="CD22" s="695">
        <v>3</v>
      </c>
      <c r="CE22" s="587">
        <f>ROUND(53.34*0.47*3,0)</f>
        <v>75</v>
      </c>
      <c r="CF22" s="695">
        <v>3.1</v>
      </c>
      <c r="CG22" s="587">
        <f>ROUND(53.34*0.47*3.1,0)</f>
        <v>78</v>
      </c>
      <c r="CH22" s="695">
        <v>3.4</v>
      </c>
      <c r="CI22" s="587">
        <f>ROUND(53.34*0.47*3.4,0)</f>
        <v>85</v>
      </c>
      <c r="CJ22" s="695">
        <v>4</v>
      </c>
      <c r="CK22" s="587">
        <f>ROUND(53.34*0.47*4,0)</f>
        <v>100</v>
      </c>
      <c r="CL22" s="695">
        <v>4.8</v>
      </c>
      <c r="CM22" s="587">
        <f>ROUND(53.34*0.47*4.8,0)</f>
        <v>120</v>
      </c>
      <c r="CN22" s="695">
        <v>5.8</v>
      </c>
      <c r="CO22" s="587">
        <f>ROUND(53.34*0.47*5.8,0)</f>
        <v>145</v>
      </c>
      <c r="CP22" s="695">
        <v>6.7</v>
      </c>
      <c r="CQ22" s="587">
        <f>ROUND(53.34*0.47*6.7,0)</f>
        <v>168</v>
      </c>
      <c r="CR22" s="695">
        <v>7.6</v>
      </c>
      <c r="CS22" s="587">
        <f>ROUND(53.34*0.47*7.6,0)</f>
        <v>191</v>
      </c>
      <c r="CT22" s="695">
        <v>0</v>
      </c>
      <c r="CU22" s="587">
        <f>ROUND(53.34*0.47*0,0)</f>
        <v>0</v>
      </c>
      <c r="CV22" s="695">
        <v>0</v>
      </c>
      <c r="CW22" s="587">
        <f>ROUND(53.34*0.47*0,0)</f>
        <v>0</v>
      </c>
      <c r="CX22" s="695">
        <v>0</v>
      </c>
      <c r="CY22" s="587">
        <f>ROUND(53.34*0.47*0,0)</f>
        <v>0</v>
      </c>
      <c r="CZ22" s="695">
        <v>0</v>
      </c>
      <c r="DA22" s="587">
        <f>ROUND(53.34*0.47*0,0)</f>
        <v>0</v>
      </c>
      <c r="DB22" s="695">
        <v>0</v>
      </c>
      <c r="DC22" s="587">
        <f>ROUND(53.34*0.47*0,0)</f>
        <v>0</v>
      </c>
      <c r="DD22" s="695">
        <v>0</v>
      </c>
      <c r="DE22" s="589">
        <f>ROUND(53.34*0.47*0,0)</f>
        <v>0</v>
      </c>
      <c r="DF22" s="562"/>
      <c r="DG22" s="552"/>
      <c r="DH22" s="700" t="s">
        <v>238</v>
      </c>
      <c r="DI22" s="691"/>
      <c r="DJ22" s="583">
        <v>53.34</v>
      </c>
      <c r="DK22" s="692">
        <v>0.47</v>
      </c>
      <c r="DL22" s="693"/>
      <c r="DM22" s="694">
        <v>0</v>
      </c>
      <c r="DN22" s="587">
        <f>ROUND(53.34*0.47*0,0)</f>
        <v>0</v>
      </c>
      <c r="DO22" s="695">
        <v>0</v>
      </c>
      <c r="DP22" s="587">
        <f>ROUND(53.34*0.47*0,0)</f>
        <v>0</v>
      </c>
      <c r="DQ22" s="695">
        <v>0</v>
      </c>
      <c r="DR22" s="587">
        <f>ROUND(53.34*0.47*0,0)</f>
        <v>0</v>
      </c>
      <c r="DS22" s="695">
        <v>0</v>
      </c>
      <c r="DT22" s="587">
        <f>ROUND(53.34*0.47*0,0)</f>
        <v>0</v>
      </c>
      <c r="DU22" s="695">
        <v>0</v>
      </c>
      <c r="DV22" s="587">
        <f>ROUND(53.34*0.47*0,0)</f>
        <v>0</v>
      </c>
      <c r="DW22" s="695">
        <v>0</v>
      </c>
      <c r="DX22" s="587">
        <f>ROUND(53.34*0.47*0,0)</f>
        <v>0</v>
      </c>
      <c r="DY22" s="695">
        <v>0</v>
      </c>
      <c r="DZ22" s="587">
        <f>ROUND(53.34*0.47*0,0)</f>
        <v>0</v>
      </c>
      <c r="EA22" s="695">
        <v>0</v>
      </c>
      <c r="EB22" s="587">
        <f>ROUND(53.34*0.47*0,0)</f>
        <v>0</v>
      </c>
      <c r="EC22" s="695">
        <v>1.8</v>
      </c>
      <c r="ED22" s="587">
        <f>ROUND(53.34*0.47*1.8,0)</f>
        <v>45</v>
      </c>
      <c r="EE22" s="695">
        <v>1.5</v>
      </c>
      <c r="EF22" s="587">
        <f>ROUND(53.34*0.47*1.5,0)</f>
        <v>38</v>
      </c>
      <c r="EG22" s="695">
        <v>1.4</v>
      </c>
      <c r="EH22" s="587">
        <f>ROUND(53.34*0.47*1.4,0)</f>
        <v>35</v>
      </c>
      <c r="EI22" s="695">
        <v>1.6</v>
      </c>
      <c r="EJ22" s="587">
        <f>ROUND(53.34*0.47*1.6,0)</f>
        <v>40</v>
      </c>
      <c r="EK22" s="695">
        <v>2.1</v>
      </c>
      <c r="EL22" s="587">
        <f>ROUND(53.34*0.47*2.1,0)</f>
        <v>53</v>
      </c>
      <c r="EM22" s="695">
        <v>2.9</v>
      </c>
      <c r="EN22" s="587">
        <f>ROUND(53.34*0.47*2.9,0)</f>
        <v>73</v>
      </c>
      <c r="EO22" s="695">
        <v>4</v>
      </c>
      <c r="EP22" s="587">
        <f>ROUND(53.34*0.47*4,0)</f>
        <v>100</v>
      </c>
      <c r="EQ22" s="695">
        <v>5.3</v>
      </c>
      <c r="ER22" s="587">
        <f>ROUND(53.34*0.47*5.3,0)</f>
        <v>133</v>
      </c>
      <c r="ES22" s="695">
        <v>6.5</v>
      </c>
      <c r="ET22" s="587">
        <f>ROUND(53.34*0.47*6.5,0)</f>
        <v>163</v>
      </c>
      <c r="EU22" s="695">
        <v>7.6</v>
      </c>
      <c r="EV22" s="587">
        <f>ROUND(53.34*0.47*7.6,0)</f>
        <v>191</v>
      </c>
      <c r="EW22" s="695">
        <v>0</v>
      </c>
      <c r="EX22" s="587">
        <f>ROUND(53.34*0.47*0,0)</f>
        <v>0</v>
      </c>
      <c r="EY22" s="695">
        <v>0</v>
      </c>
      <c r="EZ22" s="587">
        <f>ROUND(53.34*0.47*0,0)</f>
        <v>0</v>
      </c>
      <c r="FA22" s="695">
        <v>0</v>
      </c>
      <c r="FB22" s="587">
        <f>ROUND(53.34*0.47*0,0)</f>
        <v>0</v>
      </c>
      <c r="FC22" s="695">
        <v>0</v>
      </c>
      <c r="FD22" s="587">
        <f>ROUND(53.34*0.47*0,0)</f>
        <v>0</v>
      </c>
      <c r="FE22" s="695">
        <v>0</v>
      </c>
      <c r="FF22" s="587">
        <f>ROUND(53.34*0.47*0,0)</f>
        <v>0</v>
      </c>
      <c r="FG22" s="695">
        <v>0</v>
      </c>
      <c r="FH22" s="589">
        <f>ROUND(53.34*0.47*0,0)</f>
        <v>0</v>
      </c>
      <c r="FI22" s="563"/>
      <c r="FJ22" s="564"/>
      <c r="FK22" s="700" t="s">
        <v>238</v>
      </c>
      <c r="FL22" s="691"/>
      <c r="FM22" s="583">
        <v>53.34</v>
      </c>
      <c r="FN22" s="692">
        <v>0.47</v>
      </c>
      <c r="FO22" s="693"/>
      <c r="FP22" s="696">
        <v>9</v>
      </c>
      <c r="FQ22" s="697">
        <v>17</v>
      </c>
      <c r="FR22" s="587">
        <f>ROUND(53.34*0.47*17,0)</f>
        <v>426</v>
      </c>
      <c r="FS22" s="698">
        <v>9</v>
      </c>
      <c r="FT22" s="697">
        <v>17.5</v>
      </c>
      <c r="FU22" s="592">
        <f>ROUND(53.34*0.47*17.5,0)</f>
        <v>439</v>
      </c>
      <c r="FV22" s="593"/>
      <c r="FW22" s="594"/>
      <c r="FX22" s="595"/>
      <c r="FY22" s="596"/>
      <c r="FZ22" s="597"/>
      <c r="GA22" s="598"/>
      <c r="GB22" s="599"/>
      <c r="GC22" s="600"/>
      <c r="GD22" s="599"/>
      <c r="GE22" s="601"/>
      <c r="GF22" s="688"/>
      <c r="GG22" s="602"/>
      <c r="GH22" s="602"/>
      <c r="GI22" s="602"/>
      <c r="GJ22" s="530"/>
      <c r="GK22" s="711" t="s">
        <v>539</v>
      </c>
      <c r="GL22" s="712"/>
      <c r="GM22" s="712"/>
      <c r="GN22" s="713"/>
      <c r="GO22" s="633">
        <v>1.8</v>
      </c>
      <c r="GP22" s="633">
        <v>1</v>
      </c>
      <c r="GQ22" s="714"/>
      <c r="GR22" s="715"/>
      <c r="GS22" s="578"/>
      <c r="GT22" s="677"/>
      <c r="GU22" s="711" t="s">
        <v>539</v>
      </c>
      <c r="GV22" s="712"/>
      <c r="GW22" s="712"/>
      <c r="GX22" s="712"/>
      <c r="GY22" s="713"/>
      <c r="GZ22" s="633">
        <v>0.3</v>
      </c>
      <c r="HA22" s="716"/>
      <c r="HB22" s="717"/>
      <c r="HC22" s="413"/>
      <c r="HD22" s="562"/>
      <c r="HE22" s="415"/>
      <c r="HF22" s="415"/>
      <c r="HG22" s="415"/>
    </row>
    <row r="23" spans="1:218" ht="20.100000000000001" customHeight="1">
      <c r="A23" s="552"/>
      <c r="B23" s="700" t="s">
        <v>255</v>
      </c>
      <c r="C23" s="691"/>
      <c r="D23" s="583">
        <v>5.36</v>
      </c>
      <c r="E23" s="692">
        <v>2.08</v>
      </c>
      <c r="F23" s="693"/>
      <c r="G23" s="694">
        <v>0</v>
      </c>
      <c r="H23" s="587">
        <f>ROUND(5.36*2.08*0,0)</f>
        <v>0</v>
      </c>
      <c r="I23" s="695">
        <v>0</v>
      </c>
      <c r="J23" s="587">
        <f>ROUND(5.36*2.08*0,0)</f>
        <v>0</v>
      </c>
      <c r="K23" s="695">
        <v>0</v>
      </c>
      <c r="L23" s="587">
        <f>ROUND(5.36*2.08*0,0)</f>
        <v>0</v>
      </c>
      <c r="M23" s="695">
        <v>0</v>
      </c>
      <c r="N23" s="587">
        <f>ROUND(5.36*2.08*0,0)</f>
        <v>0</v>
      </c>
      <c r="O23" s="695">
        <v>0</v>
      </c>
      <c r="P23" s="587">
        <f>ROUND(5.36*2.08*0,0)</f>
        <v>0</v>
      </c>
      <c r="Q23" s="695">
        <v>0</v>
      </c>
      <c r="R23" s="587">
        <f>ROUND(5.36*2.08*0,0)</f>
        <v>0</v>
      </c>
      <c r="S23" s="695">
        <v>0</v>
      </c>
      <c r="T23" s="587">
        <f>ROUND(5.36*2.08*0,0)</f>
        <v>0</v>
      </c>
      <c r="U23" s="695">
        <v>0</v>
      </c>
      <c r="V23" s="587">
        <f>ROUND(5.36*2.08*0,0)</f>
        <v>0</v>
      </c>
      <c r="W23" s="695">
        <v>3.3</v>
      </c>
      <c r="X23" s="587">
        <f>ROUND(5.36*2.08*3.3,0)</f>
        <v>37</v>
      </c>
      <c r="Y23" s="695">
        <v>4.5</v>
      </c>
      <c r="Z23" s="587">
        <f>ROUND(5.36*2.08*4.5,0)</f>
        <v>50</v>
      </c>
      <c r="AA23" s="695">
        <v>5.2</v>
      </c>
      <c r="AB23" s="587">
        <f>ROUND(5.36*2.08*5.2,0)</f>
        <v>58</v>
      </c>
      <c r="AC23" s="695">
        <v>5.7</v>
      </c>
      <c r="AD23" s="587">
        <f>ROUND(5.36*2.08*5.7,0)</f>
        <v>64</v>
      </c>
      <c r="AE23" s="695">
        <v>5.9</v>
      </c>
      <c r="AF23" s="587">
        <f>ROUND(5.36*2.08*5.9,0)</f>
        <v>66</v>
      </c>
      <c r="AG23" s="695">
        <v>5.9</v>
      </c>
      <c r="AH23" s="587">
        <f>ROUND(5.36*2.08*5.9,0)</f>
        <v>66</v>
      </c>
      <c r="AI23" s="695">
        <v>5.4</v>
      </c>
      <c r="AJ23" s="587">
        <f>ROUND(5.36*2.08*5.4,0)</f>
        <v>60</v>
      </c>
      <c r="AK23" s="695">
        <v>4.9000000000000004</v>
      </c>
      <c r="AL23" s="587">
        <f>ROUND(5.36*2.08*4.9,0)</f>
        <v>55</v>
      </c>
      <c r="AM23" s="695">
        <v>4</v>
      </c>
      <c r="AN23" s="587">
        <f>ROUND(5.36*2.08*4,0)</f>
        <v>45</v>
      </c>
      <c r="AO23" s="695">
        <v>3.3</v>
      </c>
      <c r="AP23" s="587">
        <f>ROUND(5.36*2.08*3.3,0)</f>
        <v>37</v>
      </c>
      <c r="AQ23" s="695">
        <v>0</v>
      </c>
      <c r="AR23" s="587">
        <f>ROUND(5.36*2.08*0,0)</f>
        <v>0</v>
      </c>
      <c r="AS23" s="695">
        <v>0</v>
      </c>
      <c r="AT23" s="587">
        <f>ROUND(5.36*2.08*0,0)</f>
        <v>0</v>
      </c>
      <c r="AU23" s="695">
        <v>0</v>
      </c>
      <c r="AV23" s="587">
        <f>ROUND(5.36*2.08*0,0)</f>
        <v>0</v>
      </c>
      <c r="AW23" s="695">
        <v>0</v>
      </c>
      <c r="AX23" s="587">
        <f>ROUND(5.36*2.08*0,0)</f>
        <v>0</v>
      </c>
      <c r="AY23" s="695">
        <v>0</v>
      </c>
      <c r="AZ23" s="587">
        <f>ROUND(5.36*2.08*0,0)</f>
        <v>0</v>
      </c>
      <c r="BA23" s="695">
        <v>0</v>
      </c>
      <c r="BB23" s="589">
        <f>ROUND(5.36*2.08*0,0)</f>
        <v>0</v>
      </c>
      <c r="BC23" s="562"/>
      <c r="BD23" s="552"/>
      <c r="BE23" s="700" t="s">
        <v>255</v>
      </c>
      <c r="BF23" s="691"/>
      <c r="BG23" s="583">
        <v>5.36</v>
      </c>
      <c r="BH23" s="692">
        <v>2.08</v>
      </c>
      <c r="BI23" s="693"/>
      <c r="BJ23" s="694">
        <v>0</v>
      </c>
      <c r="BK23" s="587">
        <f>ROUND(5.36*2.08*0,0)</f>
        <v>0</v>
      </c>
      <c r="BL23" s="695">
        <v>0</v>
      </c>
      <c r="BM23" s="587">
        <f>ROUND(5.36*2.08*0,0)</f>
        <v>0</v>
      </c>
      <c r="BN23" s="695">
        <v>0</v>
      </c>
      <c r="BO23" s="587">
        <f>ROUND(5.36*2.08*0,0)</f>
        <v>0</v>
      </c>
      <c r="BP23" s="695">
        <v>0</v>
      </c>
      <c r="BQ23" s="587">
        <f>ROUND(5.36*2.08*0,0)</f>
        <v>0</v>
      </c>
      <c r="BR23" s="695">
        <v>0</v>
      </c>
      <c r="BS23" s="587">
        <f>ROUND(5.36*2.08*0,0)</f>
        <v>0</v>
      </c>
      <c r="BT23" s="695">
        <v>0</v>
      </c>
      <c r="BU23" s="587">
        <f>ROUND(5.36*2.08*0,0)</f>
        <v>0</v>
      </c>
      <c r="BV23" s="695">
        <v>0</v>
      </c>
      <c r="BW23" s="587">
        <f>ROUND(5.36*2.08*0,0)</f>
        <v>0</v>
      </c>
      <c r="BX23" s="695">
        <v>0</v>
      </c>
      <c r="BY23" s="587">
        <f>ROUND(5.36*2.08*0,0)</f>
        <v>0</v>
      </c>
      <c r="BZ23" s="695">
        <v>3.1</v>
      </c>
      <c r="CA23" s="587">
        <f>ROUND(5.36*2.08*3.1,0)</f>
        <v>35</v>
      </c>
      <c r="CB23" s="695">
        <v>4.0999999999999996</v>
      </c>
      <c r="CC23" s="587">
        <f>ROUND(5.36*2.08*4.1,0)</f>
        <v>46</v>
      </c>
      <c r="CD23" s="695">
        <v>5</v>
      </c>
      <c r="CE23" s="587">
        <f>ROUND(5.36*2.08*5,0)</f>
        <v>56</v>
      </c>
      <c r="CF23" s="695">
        <v>5.4</v>
      </c>
      <c r="CG23" s="587">
        <f>ROUND(5.36*2.08*5.4,0)</f>
        <v>60</v>
      </c>
      <c r="CH23" s="695">
        <v>5.6</v>
      </c>
      <c r="CI23" s="587">
        <f>ROUND(5.36*2.08*5.6,0)</f>
        <v>62</v>
      </c>
      <c r="CJ23" s="695">
        <v>5.4</v>
      </c>
      <c r="CK23" s="587">
        <f>ROUND(5.36*2.08*5.4,0)</f>
        <v>60</v>
      </c>
      <c r="CL23" s="695">
        <v>4.9000000000000004</v>
      </c>
      <c r="CM23" s="587">
        <f>ROUND(5.36*2.08*4.9,0)</f>
        <v>55</v>
      </c>
      <c r="CN23" s="695">
        <v>4.5</v>
      </c>
      <c r="CO23" s="587">
        <f>ROUND(5.36*2.08*4.5,0)</f>
        <v>50</v>
      </c>
      <c r="CP23" s="695">
        <v>4</v>
      </c>
      <c r="CQ23" s="587">
        <f>ROUND(5.36*2.08*4,0)</f>
        <v>45</v>
      </c>
      <c r="CR23" s="695">
        <v>3.1</v>
      </c>
      <c r="CS23" s="587">
        <f>ROUND(5.36*2.08*3.1,0)</f>
        <v>35</v>
      </c>
      <c r="CT23" s="695">
        <v>0</v>
      </c>
      <c r="CU23" s="587">
        <f>ROUND(5.36*2.08*0,0)</f>
        <v>0</v>
      </c>
      <c r="CV23" s="695">
        <v>0</v>
      </c>
      <c r="CW23" s="587">
        <f>ROUND(5.36*2.08*0,0)</f>
        <v>0</v>
      </c>
      <c r="CX23" s="695">
        <v>0</v>
      </c>
      <c r="CY23" s="587">
        <f>ROUND(5.36*2.08*0,0)</f>
        <v>0</v>
      </c>
      <c r="CZ23" s="695">
        <v>0</v>
      </c>
      <c r="DA23" s="587">
        <f>ROUND(5.36*2.08*0,0)</f>
        <v>0</v>
      </c>
      <c r="DB23" s="695">
        <v>0</v>
      </c>
      <c r="DC23" s="587">
        <f>ROUND(5.36*2.08*0,0)</f>
        <v>0</v>
      </c>
      <c r="DD23" s="695">
        <v>0</v>
      </c>
      <c r="DE23" s="589">
        <f>ROUND(5.36*2.08*0,0)</f>
        <v>0</v>
      </c>
      <c r="DF23" s="562"/>
      <c r="DG23" s="552"/>
      <c r="DH23" s="700" t="s">
        <v>255</v>
      </c>
      <c r="DI23" s="691"/>
      <c r="DJ23" s="583">
        <v>5.36</v>
      </c>
      <c r="DK23" s="692">
        <v>2.08</v>
      </c>
      <c r="DL23" s="693"/>
      <c r="DM23" s="694">
        <v>0</v>
      </c>
      <c r="DN23" s="587">
        <f>ROUND(5.36*2.08*0,0)</f>
        <v>0</v>
      </c>
      <c r="DO23" s="695">
        <v>0</v>
      </c>
      <c r="DP23" s="587">
        <f>ROUND(5.36*2.08*0,0)</f>
        <v>0</v>
      </c>
      <c r="DQ23" s="695">
        <v>0</v>
      </c>
      <c r="DR23" s="587">
        <f>ROUND(5.36*2.08*0,0)</f>
        <v>0</v>
      </c>
      <c r="DS23" s="695">
        <v>0</v>
      </c>
      <c r="DT23" s="587">
        <f>ROUND(5.36*2.08*0,0)</f>
        <v>0</v>
      </c>
      <c r="DU23" s="695">
        <v>0</v>
      </c>
      <c r="DV23" s="587">
        <f>ROUND(5.36*2.08*0,0)</f>
        <v>0</v>
      </c>
      <c r="DW23" s="695">
        <v>0</v>
      </c>
      <c r="DX23" s="587">
        <f>ROUND(5.36*2.08*0,0)</f>
        <v>0</v>
      </c>
      <c r="DY23" s="695">
        <v>0</v>
      </c>
      <c r="DZ23" s="587">
        <f>ROUND(5.36*2.08*0,0)</f>
        <v>0</v>
      </c>
      <c r="EA23" s="695">
        <v>0</v>
      </c>
      <c r="EB23" s="587">
        <f>ROUND(5.36*2.08*0,0)</f>
        <v>0</v>
      </c>
      <c r="EC23" s="695">
        <v>0.8</v>
      </c>
      <c r="ED23" s="587">
        <f>ROUND(5.36*2.08*0.8,0)</f>
        <v>9</v>
      </c>
      <c r="EE23" s="695">
        <v>2.1</v>
      </c>
      <c r="EF23" s="587">
        <f>ROUND(5.36*2.08*2.1,0)</f>
        <v>23</v>
      </c>
      <c r="EG23" s="695">
        <v>2.9</v>
      </c>
      <c r="EH23" s="587">
        <f>ROUND(5.36*2.08*2.9,0)</f>
        <v>32</v>
      </c>
      <c r="EI23" s="695">
        <v>3.6</v>
      </c>
      <c r="EJ23" s="587">
        <f>ROUND(5.36*2.08*3.6,0)</f>
        <v>40</v>
      </c>
      <c r="EK23" s="695">
        <v>3.8</v>
      </c>
      <c r="EL23" s="587">
        <f>ROUND(5.36*2.08*3.8,0)</f>
        <v>42</v>
      </c>
      <c r="EM23" s="695">
        <v>3.5</v>
      </c>
      <c r="EN23" s="587">
        <f>ROUND(5.36*2.08*3.5,0)</f>
        <v>39</v>
      </c>
      <c r="EO23" s="695">
        <v>3.1</v>
      </c>
      <c r="EP23" s="587">
        <f>ROUND(5.36*2.08*3.1,0)</f>
        <v>35</v>
      </c>
      <c r="EQ23" s="695">
        <v>2.7</v>
      </c>
      <c r="ER23" s="587">
        <f>ROUND(5.36*2.08*2.7,0)</f>
        <v>30</v>
      </c>
      <c r="ES23" s="695">
        <v>1.7</v>
      </c>
      <c r="ET23" s="587">
        <f>ROUND(5.36*2.08*1.7,0)</f>
        <v>19</v>
      </c>
      <c r="EU23" s="695">
        <v>0.7</v>
      </c>
      <c r="EV23" s="587">
        <f>ROUND(5.36*2.08*0.7,0)</f>
        <v>8</v>
      </c>
      <c r="EW23" s="695">
        <v>0</v>
      </c>
      <c r="EX23" s="587">
        <f>ROUND(5.36*2.08*0,0)</f>
        <v>0</v>
      </c>
      <c r="EY23" s="695">
        <v>0</v>
      </c>
      <c r="EZ23" s="587">
        <f>ROUND(5.36*2.08*0,0)</f>
        <v>0</v>
      </c>
      <c r="FA23" s="695">
        <v>0</v>
      </c>
      <c r="FB23" s="587">
        <f>ROUND(5.36*2.08*0,0)</f>
        <v>0</v>
      </c>
      <c r="FC23" s="695">
        <v>0</v>
      </c>
      <c r="FD23" s="587">
        <f>ROUND(5.36*2.08*0,0)</f>
        <v>0</v>
      </c>
      <c r="FE23" s="695">
        <v>0</v>
      </c>
      <c r="FF23" s="587">
        <f>ROUND(5.36*2.08*0,0)</f>
        <v>0</v>
      </c>
      <c r="FG23" s="695">
        <v>0</v>
      </c>
      <c r="FH23" s="589">
        <f>ROUND(5.36*2.08*0,0)</f>
        <v>0</v>
      </c>
      <c r="FI23" s="563"/>
      <c r="FJ23" s="564"/>
      <c r="FK23" s="700" t="s">
        <v>255</v>
      </c>
      <c r="FL23" s="691"/>
      <c r="FM23" s="583">
        <v>5.36</v>
      </c>
      <c r="FN23" s="692">
        <v>2.08</v>
      </c>
      <c r="FO23" s="693"/>
      <c r="FP23" s="696">
        <v>9</v>
      </c>
      <c r="FQ23" s="697">
        <v>17</v>
      </c>
      <c r="FR23" s="587">
        <f>ROUND(5.36*2.08*17,0)</f>
        <v>190</v>
      </c>
      <c r="FS23" s="698">
        <v>9</v>
      </c>
      <c r="FT23" s="697">
        <v>17.5</v>
      </c>
      <c r="FU23" s="592">
        <f>ROUND(5.36*2.08*17.5,0)</f>
        <v>195</v>
      </c>
      <c r="FV23" s="593"/>
      <c r="FW23" s="594"/>
      <c r="FX23" s="595"/>
      <c r="FY23" s="596"/>
      <c r="FZ23" s="597"/>
      <c r="GA23" s="598"/>
      <c r="GB23" s="599"/>
      <c r="GC23" s="600"/>
      <c r="GD23" s="599"/>
      <c r="GE23" s="601"/>
      <c r="GF23" s="688"/>
      <c r="GG23" s="602"/>
      <c r="GH23" s="602"/>
      <c r="GI23" s="602"/>
      <c r="GJ23" s="615"/>
      <c r="GK23" s="580" t="s">
        <v>777</v>
      </c>
      <c r="GL23" s="609"/>
      <c r="GM23" s="718"/>
      <c r="GN23" s="719">
        <v>53.34</v>
      </c>
      <c r="GO23" s="500" t="s">
        <v>904</v>
      </c>
      <c r="GP23" s="719"/>
      <c r="GQ23" s="609"/>
      <c r="GR23" s="615"/>
      <c r="GS23" s="578"/>
      <c r="GT23" s="677"/>
      <c r="GU23" s="609"/>
      <c r="GV23" s="530"/>
      <c r="GW23" s="609"/>
      <c r="GX23" s="609"/>
      <c r="GY23" s="720"/>
      <c r="GZ23" s="721"/>
      <c r="HA23" s="413"/>
      <c r="HB23" s="721" t="s">
        <v>778</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542</v>
      </c>
      <c r="GL24" s="609"/>
      <c r="GM24" s="718"/>
      <c r="GN24" s="719">
        <v>0.1</v>
      </c>
      <c r="GO24" s="719"/>
      <c r="GP24" s="719"/>
      <c r="GQ24" s="609"/>
      <c r="GR24" s="615"/>
      <c r="GS24" s="609"/>
      <c r="GT24" s="677"/>
      <c r="GU24" s="580" t="s">
        <v>543</v>
      </c>
      <c r="GV24" s="609"/>
      <c r="GW24" s="609"/>
      <c r="GX24" s="413"/>
      <c r="GY24" s="722">
        <v>614</v>
      </c>
      <c r="GZ24" s="580" t="s">
        <v>705</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544</v>
      </c>
      <c r="GV25" s="609"/>
      <c r="GW25" s="609"/>
      <c r="GX25" s="413"/>
      <c r="GY25" s="733">
        <v>1</v>
      </c>
      <c r="GZ25" s="580"/>
      <c r="HA25" s="530"/>
      <c r="HB25" s="530"/>
      <c r="HC25" s="530"/>
      <c r="HD25" s="562"/>
      <c r="HE25" s="562"/>
      <c r="HF25" s="415"/>
      <c r="HG25" s="415"/>
    </row>
    <row r="26" spans="1:218" ht="20.100000000000001" customHeight="1">
      <c r="A26" s="641"/>
      <c r="B26" s="642"/>
      <c r="C26" s="642"/>
      <c r="D26" s="642" t="s">
        <v>864</v>
      </c>
      <c r="E26" s="642"/>
      <c r="F26" s="642"/>
      <c r="G26" s="644"/>
      <c r="H26" s="645">
        <f>SUM(H16:H25)</f>
        <v>0</v>
      </c>
      <c r="I26" s="734"/>
      <c r="J26" s="645">
        <f>SUM(J16:J25)</f>
        <v>0</v>
      </c>
      <c r="K26" s="735"/>
      <c r="L26" s="645">
        <f>SUM(L16:L25)</f>
        <v>0</v>
      </c>
      <c r="M26" s="735"/>
      <c r="N26" s="645">
        <f>SUM(N16:N25)</f>
        <v>0</v>
      </c>
      <c r="O26" s="735"/>
      <c r="P26" s="645">
        <f>SUM(P16:P25)</f>
        <v>0</v>
      </c>
      <c r="Q26" s="735"/>
      <c r="R26" s="645">
        <f>SUM(R16:R25)</f>
        <v>0</v>
      </c>
      <c r="S26" s="735"/>
      <c r="T26" s="645">
        <f>SUM(T16:T25)</f>
        <v>0</v>
      </c>
      <c r="U26" s="735"/>
      <c r="V26" s="645">
        <f>SUM(V16:V25)</f>
        <v>0</v>
      </c>
      <c r="W26" s="735"/>
      <c r="X26" s="645">
        <f>SUM(X16:X25)</f>
        <v>566</v>
      </c>
      <c r="Y26" s="735"/>
      <c r="Z26" s="645">
        <f>SUM(Z16:Z25)</f>
        <v>710</v>
      </c>
      <c r="AA26" s="735"/>
      <c r="AB26" s="645">
        <f>SUM(AB16:AB25)</f>
        <v>824</v>
      </c>
      <c r="AC26" s="735"/>
      <c r="AD26" s="645">
        <f>SUM(AD16:AD25)</f>
        <v>891</v>
      </c>
      <c r="AE26" s="735"/>
      <c r="AF26" s="645">
        <f>SUM(AF16:AF25)</f>
        <v>927</v>
      </c>
      <c r="AG26" s="735"/>
      <c r="AH26" s="645">
        <f>SUM(AH16:AH25)</f>
        <v>946</v>
      </c>
      <c r="AI26" s="735"/>
      <c r="AJ26" s="645">
        <f>SUM(AJ16:AJ25)</f>
        <v>916</v>
      </c>
      <c r="AK26" s="735"/>
      <c r="AL26" s="645">
        <f>SUM(AL16:AL25)</f>
        <v>885</v>
      </c>
      <c r="AM26" s="735"/>
      <c r="AN26" s="645">
        <f>SUM(AN16:AN25)</f>
        <v>805</v>
      </c>
      <c r="AO26" s="735"/>
      <c r="AP26" s="645">
        <f>SUM(AP16:AP25)</f>
        <v>728</v>
      </c>
      <c r="AQ26" s="735"/>
      <c r="AR26" s="645">
        <f>SUM(AR16:AR25)</f>
        <v>0</v>
      </c>
      <c r="AS26" s="735"/>
      <c r="AT26" s="645">
        <f>SUM(AT16:AT25)</f>
        <v>0</v>
      </c>
      <c r="AU26" s="735"/>
      <c r="AV26" s="645">
        <f>SUM(AV16:AV25)</f>
        <v>0</v>
      </c>
      <c r="AW26" s="735"/>
      <c r="AX26" s="645">
        <f>SUM(AX16:AX25)</f>
        <v>0</v>
      </c>
      <c r="AY26" s="735"/>
      <c r="AZ26" s="645">
        <f>SUM(AZ16:AZ25)</f>
        <v>0</v>
      </c>
      <c r="BA26" s="735"/>
      <c r="BB26" s="647">
        <f>SUM(BB16:BB25)</f>
        <v>0</v>
      </c>
      <c r="BC26" s="648"/>
      <c r="BD26" s="641"/>
      <c r="BE26" s="642"/>
      <c r="BF26" s="642"/>
      <c r="BG26" s="642" t="s">
        <v>641</v>
      </c>
      <c r="BH26" s="642"/>
      <c r="BI26" s="642"/>
      <c r="BJ26" s="644"/>
      <c r="BK26" s="645">
        <f>SUM(BK16:BK25)</f>
        <v>0</v>
      </c>
      <c r="BL26" s="734"/>
      <c r="BM26" s="645">
        <f>SUM(BM16:BM25)</f>
        <v>0</v>
      </c>
      <c r="BN26" s="735"/>
      <c r="BO26" s="645">
        <f>SUM(BO16:BO25)</f>
        <v>0</v>
      </c>
      <c r="BP26" s="735"/>
      <c r="BQ26" s="645">
        <f>SUM(BQ16:BQ25)</f>
        <v>0</v>
      </c>
      <c r="BR26" s="735"/>
      <c r="BS26" s="645">
        <f>SUM(BS16:BS25)</f>
        <v>0</v>
      </c>
      <c r="BT26" s="735"/>
      <c r="BU26" s="645">
        <f>SUM(BU16:BU25)</f>
        <v>0</v>
      </c>
      <c r="BV26" s="735"/>
      <c r="BW26" s="645">
        <f>SUM(BW16:BW25)</f>
        <v>0</v>
      </c>
      <c r="BX26" s="735"/>
      <c r="BY26" s="645">
        <f>SUM(BY16:BY25)</f>
        <v>0</v>
      </c>
      <c r="BZ26" s="735"/>
      <c r="CA26" s="645">
        <f>SUM(CA16:CA25)</f>
        <v>654</v>
      </c>
      <c r="CB26" s="735"/>
      <c r="CC26" s="645">
        <f>SUM(CC16:CC25)</f>
        <v>779</v>
      </c>
      <c r="CD26" s="735"/>
      <c r="CE26" s="645">
        <f>SUM(CE16:CE25)</f>
        <v>868</v>
      </c>
      <c r="CF26" s="735"/>
      <c r="CG26" s="645">
        <f>SUM(CG16:CG25)</f>
        <v>900</v>
      </c>
      <c r="CH26" s="735"/>
      <c r="CI26" s="645">
        <f>SUM(CI16:CI25)</f>
        <v>909</v>
      </c>
      <c r="CJ26" s="735"/>
      <c r="CK26" s="645">
        <f>SUM(CK16:CK25)</f>
        <v>888</v>
      </c>
      <c r="CL26" s="735"/>
      <c r="CM26" s="645">
        <f>SUM(CM16:CM25)</f>
        <v>858</v>
      </c>
      <c r="CN26" s="735"/>
      <c r="CO26" s="645">
        <f>SUM(CO16:CO25)</f>
        <v>825</v>
      </c>
      <c r="CP26" s="735"/>
      <c r="CQ26" s="645">
        <f>SUM(CQ16:CQ25)</f>
        <v>784</v>
      </c>
      <c r="CR26" s="735"/>
      <c r="CS26" s="645">
        <f>SUM(CS16:CS25)</f>
        <v>700</v>
      </c>
      <c r="CT26" s="735"/>
      <c r="CU26" s="645">
        <f>SUM(CU16:CU25)</f>
        <v>0</v>
      </c>
      <c r="CV26" s="735"/>
      <c r="CW26" s="645">
        <f>SUM(CW16:CW25)</f>
        <v>0</v>
      </c>
      <c r="CX26" s="735"/>
      <c r="CY26" s="645">
        <f>SUM(CY16:CY25)</f>
        <v>0</v>
      </c>
      <c r="CZ26" s="735"/>
      <c r="DA26" s="645">
        <f>SUM(DA16:DA25)</f>
        <v>0</v>
      </c>
      <c r="DB26" s="735"/>
      <c r="DC26" s="645">
        <f>SUM(DC16:DC25)</f>
        <v>0</v>
      </c>
      <c r="DD26" s="735"/>
      <c r="DE26" s="647">
        <f>SUM(DE16:DE25)</f>
        <v>0</v>
      </c>
      <c r="DF26" s="648"/>
      <c r="DG26" s="641"/>
      <c r="DH26" s="642"/>
      <c r="DI26" s="642"/>
      <c r="DJ26" s="642" t="s">
        <v>641</v>
      </c>
      <c r="DK26" s="642"/>
      <c r="DL26" s="642"/>
      <c r="DM26" s="644"/>
      <c r="DN26" s="645">
        <f>SUM(DN16:DN25)</f>
        <v>0</v>
      </c>
      <c r="DO26" s="734"/>
      <c r="DP26" s="645">
        <f>SUM(DP16:DP25)</f>
        <v>0</v>
      </c>
      <c r="DQ26" s="735"/>
      <c r="DR26" s="645">
        <f>SUM(DR16:DR25)</f>
        <v>0</v>
      </c>
      <c r="DS26" s="735"/>
      <c r="DT26" s="645">
        <f>SUM(DT16:DT25)</f>
        <v>0</v>
      </c>
      <c r="DU26" s="735"/>
      <c r="DV26" s="645">
        <f>SUM(DV16:DV25)</f>
        <v>0</v>
      </c>
      <c r="DW26" s="735"/>
      <c r="DX26" s="645">
        <f>SUM(DX16:DX25)</f>
        <v>0</v>
      </c>
      <c r="DY26" s="735"/>
      <c r="DZ26" s="645">
        <f>SUM(DZ16:DZ25)</f>
        <v>0</v>
      </c>
      <c r="EA26" s="735"/>
      <c r="EB26" s="645">
        <f>SUM(EB16:EB25)</f>
        <v>0</v>
      </c>
      <c r="EC26" s="735"/>
      <c r="ED26" s="645">
        <f>SUM(ED16:ED25)</f>
        <v>280</v>
      </c>
      <c r="EE26" s="735"/>
      <c r="EF26" s="645">
        <f>SUM(EF16:EF25)</f>
        <v>441</v>
      </c>
      <c r="EG26" s="735"/>
      <c r="EH26" s="645">
        <f>SUM(EH16:EH25)</f>
        <v>553</v>
      </c>
      <c r="EI26" s="735"/>
      <c r="EJ26" s="645">
        <f>SUM(EJ16:EJ25)</f>
        <v>628</v>
      </c>
      <c r="EK26" s="735"/>
      <c r="EL26" s="645">
        <f>SUM(EL16:EL25)</f>
        <v>644</v>
      </c>
      <c r="EM26" s="735"/>
      <c r="EN26" s="645">
        <f>SUM(EN16:EN25)</f>
        <v>631</v>
      </c>
      <c r="EO26" s="735"/>
      <c r="EP26" s="645">
        <f>SUM(EP16:EP25)</f>
        <v>611</v>
      </c>
      <c r="EQ26" s="735"/>
      <c r="ER26" s="645">
        <f>SUM(ER16:ER25)</f>
        <v>589</v>
      </c>
      <c r="ES26" s="735"/>
      <c r="ET26" s="645">
        <f>SUM(ET16:ET25)</f>
        <v>512</v>
      </c>
      <c r="EU26" s="735"/>
      <c r="EV26" s="645">
        <f>SUM(EV16:EV25)</f>
        <v>417</v>
      </c>
      <c r="EW26" s="735"/>
      <c r="EX26" s="645">
        <f>SUM(EX16:EX25)</f>
        <v>0</v>
      </c>
      <c r="EY26" s="735"/>
      <c r="EZ26" s="645">
        <f>SUM(EZ16:EZ25)</f>
        <v>0</v>
      </c>
      <c r="FA26" s="735"/>
      <c r="FB26" s="645">
        <f>SUM(FB16:FB25)</f>
        <v>0</v>
      </c>
      <c r="FC26" s="735"/>
      <c r="FD26" s="645">
        <f>SUM(FD16:FD25)</f>
        <v>0</v>
      </c>
      <c r="FE26" s="735"/>
      <c r="FF26" s="645">
        <f>SUM(FF16:FF25)</f>
        <v>0</v>
      </c>
      <c r="FG26" s="735"/>
      <c r="FH26" s="647">
        <f>SUM(FH16:FH25)</f>
        <v>0</v>
      </c>
      <c r="FI26" s="649"/>
      <c r="FJ26" s="564"/>
      <c r="FK26" s="642"/>
      <c r="FL26" s="642"/>
      <c r="FM26" s="642" t="s">
        <v>864</v>
      </c>
      <c r="FN26" s="642"/>
      <c r="FO26" s="642"/>
      <c r="FP26" s="650"/>
      <c r="FQ26" s="651"/>
      <c r="FR26" s="645">
        <f>SUM(FR16:FR25)</f>
        <v>2318</v>
      </c>
      <c r="FS26" s="736"/>
      <c r="FT26" s="651"/>
      <c r="FU26" s="653">
        <f>SUM(FU16:FU25)</f>
        <v>2382</v>
      </c>
      <c r="FV26" s="593"/>
      <c r="FW26" s="594"/>
      <c r="FX26" s="595"/>
      <c r="FY26" s="596"/>
      <c r="FZ26" s="597"/>
      <c r="GA26" s="598"/>
      <c r="GB26" s="599"/>
      <c r="GC26" s="600"/>
      <c r="GD26" s="599"/>
      <c r="GE26" s="601"/>
      <c r="GF26" s="654"/>
      <c r="GG26" s="655"/>
      <c r="GH26" s="655"/>
      <c r="GI26" s="655"/>
      <c r="GJ26" s="615"/>
      <c r="GK26" s="530" t="s">
        <v>722</v>
      </c>
      <c r="GL26" s="615"/>
      <c r="GM26" s="530"/>
      <c r="GN26" s="615"/>
      <c r="GO26" s="530"/>
      <c r="GP26" s="615"/>
      <c r="GQ26" s="615"/>
      <c r="GR26" s="615"/>
      <c r="GS26" s="579"/>
      <c r="GT26" s="677"/>
      <c r="GU26" s="580" t="s">
        <v>706</v>
      </c>
      <c r="GV26" s="609"/>
      <c r="GW26" s="609"/>
      <c r="GX26" s="413"/>
      <c r="GY26" s="733">
        <v>0.3</v>
      </c>
      <c r="GZ26" s="580"/>
      <c r="HA26" s="530"/>
      <c r="HB26" s="530"/>
      <c r="HC26" s="530"/>
      <c r="HD26" s="648"/>
      <c r="HE26" s="415"/>
      <c r="HF26" s="415"/>
      <c r="HG26" s="580"/>
      <c r="HH26" s="648"/>
      <c r="HI26" s="415"/>
      <c r="HJ26" s="415"/>
    </row>
    <row r="27" spans="1:218" ht="20.100000000000001" customHeight="1">
      <c r="A27" s="1292" t="s">
        <v>431</v>
      </c>
      <c r="B27" s="738"/>
      <c r="C27" s="739"/>
      <c r="D27" s="663"/>
      <c r="E27" s="739"/>
      <c r="F27" s="739"/>
      <c r="G27" s="740" t="s">
        <v>429</v>
      </c>
      <c r="H27" s="663" t="s">
        <v>430</v>
      </c>
      <c r="I27" s="741" t="s">
        <v>322</v>
      </c>
      <c r="J27" s="663" t="s">
        <v>428</v>
      </c>
      <c r="K27" s="742" t="s">
        <v>322</v>
      </c>
      <c r="L27" s="663" t="s">
        <v>428</v>
      </c>
      <c r="M27" s="742" t="s">
        <v>322</v>
      </c>
      <c r="N27" s="663" t="s">
        <v>428</v>
      </c>
      <c r="O27" s="742" t="s">
        <v>429</v>
      </c>
      <c r="P27" s="663" t="s">
        <v>430</v>
      </c>
      <c r="Q27" s="742" t="s">
        <v>322</v>
      </c>
      <c r="R27" s="663" t="s">
        <v>428</v>
      </c>
      <c r="S27" s="742" t="s">
        <v>919</v>
      </c>
      <c r="T27" s="663" t="s">
        <v>428</v>
      </c>
      <c r="U27" s="742" t="s">
        <v>322</v>
      </c>
      <c r="V27" s="663" t="s">
        <v>430</v>
      </c>
      <c r="W27" s="742" t="s">
        <v>322</v>
      </c>
      <c r="X27" s="663" t="s">
        <v>428</v>
      </c>
      <c r="Y27" s="742" t="s">
        <v>322</v>
      </c>
      <c r="Z27" s="663" t="s">
        <v>430</v>
      </c>
      <c r="AA27" s="742" t="s">
        <v>429</v>
      </c>
      <c r="AB27" s="663" t="s">
        <v>428</v>
      </c>
      <c r="AC27" s="742" t="s">
        <v>322</v>
      </c>
      <c r="AD27" s="663" t="s">
        <v>430</v>
      </c>
      <c r="AE27" s="742" t="s">
        <v>429</v>
      </c>
      <c r="AF27" s="663" t="s">
        <v>430</v>
      </c>
      <c r="AG27" s="742" t="s">
        <v>429</v>
      </c>
      <c r="AH27" s="663" t="s">
        <v>430</v>
      </c>
      <c r="AI27" s="742" t="s">
        <v>429</v>
      </c>
      <c r="AJ27" s="663" t="s">
        <v>430</v>
      </c>
      <c r="AK27" s="742" t="s">
        <v>322</v>
      </c>
      <c r="AL27" s="663" t="s">
        <v>428</v>
      </c>
      <c r="AM27" s="742" t="s">
        <v>429</v>
      </c>
      <c r="AN27" s="663" t="s">
        <v>430</v>
      </c>
      <c r="AO27" s="742" t="s">
        <v>429</v>
      </c>
      <c r="AP27" s="663" t="s">
        <v>430</v>
      </c>
      <c r="AQ27" s="742" t="s">
        <v>322</v>
      </c>
      <c r="AR27" s="663" t="s">
        <v>428</v>
      </c>
      <c r="AS27" s="742" t="s">
        <v>322</v>
      </c>
      <c r="AT27" s="663" t="s">
        <v>428</v>
      </c>
      <c r="AU27" s="742" t="s">
        <v>322</v>
      </c>
      <c r="AV27" s="663" t="s">
        <v>428</v>
      </c>
      <c r="AW27" s="742" t="s">
        <v>429</v>
      </c>
      <c r="AX27" s="663" t="s">
        <v>428</v>
      </c>
      <c r="AY27" s="742" t="s">
        <v>322</v>
      </c>
      <c r="AZ27" s="663" t="s">
        <v>428</v>
      </c>
      <c r="BA27" s="742" t="s">
        <v>429</v>
      </c>
      <c r="BB27" s="665" t="s">
        <v>428</v>
      </c>
      <c r="BC27" s="723"/>
      <c r="BD27" s="1292" t="s">
        <v>432</v>
      </c>
      <c r="BE27" s="738"/>
      <c r="BF27" s="739"/>
      <c r="BG27" s="663"/>
      <c r="BH27" s="739"/>
      <c r="BI27" s="739"/>
      <c r="BJ27" s="740" t="s">
        <v>322</v>
      </c>
      <c r="BK27" s="663" t="s">
        <v>428</v>
      </c>
      <c r="BL27" s="741" t="s">
        <v>429</v>
      </c>
      <c r="BM27" s="663" t="s">
        <v>430</v>
      </c>
      <c r="BN27" s="742" t="s">
        <v>429</v>
      </c>
      <c r="BO27" s="663" t="s">
        <v>430</v>
      </c>
      <c r="BP27" s="742" t="s">
        <v>429</v>
      </c>
      <c r="BQ27" s="663" t="s">
        <v>428</v>
      </c>
      <c r="BR27" s="742" t="s">
        <v>322</v>
      </c>
      <c r="BS27" s="663" t="s">
        <v>430</v>
      </c>
      <c r="BT27" s="742" t="s">
        <v>429</v>
      </c>
      <c r="BU27" s="663" t="s">
        <v>430</v>
      </c>
      <c r="BV27" s="742" t="s">
        <v>322</v>
      </c>
      <c r="BW27" s="663" t="s">
        <v>428</v>
      </c>
      <c r="BX27" s="742" t="s">
        <v>322</v>
      </c>
      <c r="BY27" s="663" t="s">
        <v>430</v>
      </c>
      <c r="BZ27" s="742" t="s">
        <v>322</v>
      </c>
      <c r="CA27" s="663" t="s">
        <v>428</v>
      </c>
      <c r="CB27" s="742" t="s">
        <v>429</v>
      </c>
      <c r="CC27" s="663" t="s">
        <v>430</v>
      </c>
      <c r="CD27" s="742" t="s">
        <v>322</v>
      </c>
      <c r="CE27" s="663" t="s">
        <v>428</v>
      </c>
      <c r="CF27" s="742" t="s">
        <v>322</v>
      </c>
      <c r="CG27" s="663" t="s">
        <v>428</v>
      </c>
      <c r="CH27" s="742" t="s">
        <v>322</v>
      </c>
      <c r="CI27" s="663" t="s">
        <v>430</v>
      </c>
      <c r="CJ27" s="742" t="s">
        <v>429</v>
      </c>
      <c r="CK27" s="663" t="s">
        <v>428</v>
      </c>
      <c r="CL27" s="742" t="s">
        <v>429</v>
      </c>
      <c r="CM27" s="663" t="s">
        <v>430</v>
      </c>
      <c r="CN27" s="742" t="s">
        <v>429</v>
      </c>
      <c r="CO27" s="663" t="s">
        <v>428</v>
      </c>
      <c r="CP27" s="742" t="s">
        <v>322</v>
      </c>
      <c r="CQ27" s="663" t="s">
        <v>430</v>
      </c>
      <c r="CR27" s="742" t="s">
        <v>429</v>
      </c>
      <c r="CS27" s="663" t="s">
        <v>428</v>
      </c>
      <c r="CT27" s="742" t="s">
        <v>429</v>
      </c>
      <c r="CU27" s="663" t="s">
        <v>430</v>
      </c>
      <c r="CV27" s="742" t="s">
        <v>322</v>
      </c>
      <c r="CW27" s="663" t="s">
        <v>430</v>
      </c>
      <c r="CX27" s="742" t="s">
        <v>429</v>
      </c>
      <c r="CY27" s="663" t="s">
        <v>430</v>
      </c>
      <c r="CZ27" s="742" t="s">
        <v>322</v>
      </c>
      <c r="DA27" s="663" t="s">
        <v>428</v>
      </c>
      <c r="DB27" s="742" t="s">
        <v>429</v>
      </c>
      <c r="DC27" s="663" t="s">
        <v>430</v>
      </c>
      <c r="DD27" s="742" t="s">
        <v>322</v>
      </c>
      <c r="DE27" s="665" t="s">
        <v>428</v>
      </c>
      <c r="DF27" s="723"/>
      <c r="DG27" s="1292" t="s">
        <v>431</v>
      </c>
      <c r="DH27" s="743"/>
      <c r="DI27" s="744"/>
      <c r="DJ27" s="745"/>
      <c r="DK27" s="744"/>
      <c r="DL27" s="744"/>
      <c r="DM27" s="740" t="s">
        <v>322</v>
      </c>
      <c r="DN27" s="663" t="s">
        <v>430</v>
      </c>
      <c r="DO27" s="741" t="s">
        <v>429</v>
      </c>
      <c r="DP27" s="663" t="s">
        <v>428</v>
      </c>
      <c r="DQ27" s="742" t="s">
        <v>322</v>
      </c>
      <c r="DR27" s="663" t="s">
        <v>430</v>
      </c>
      <c r="DS27" s="742" t="s">
        <v>429</v>
      </c>
      <c r="DT27" s="663" t="s">
        <v>430</v>
      </c>
      <c r="DU27" s="742" t="s">
        <v>429</v>
      </c>
      <c r="DV27" s="663" t="s">
        <v>430</v>
      </c>
      <c r="DW27" s="742" t="s">
        <v>429</v>
      </c>
      <c r="DX27" s="663" t="s">
        <v>430</v>
      </c>
      <c r="DY27" s="742" t="s">
        <v>322</v>
      </c>
      <c r="DZ27" s="663" t="s">
        <v>428</v>
      </c>
      <c r="EA27" s="742" t="s">
        <v>429</v>
      </c>
      <c r="EB27" s="663" t="s">
        <v>430</v>
      </c>
      <c r="EC27" s="742" t="s">
        <v>429</v>
      </c>
      <c r="ED27" s="663" t="s">
        <v>430</v>
      </c>
      <c r="EE27" s="742" t="s">
        <v>322</v>
      </c>
      <c r="EF27" s="663" t="s">
        <v>428</v>
      </c>
      <c r="EG27" s="742" t="s">
        <v>322</v>
      </c>
      <c r="EH27" s="663" t="s">
        <v>428</v>
      </c>
      <c r="EI27" s="742" t="s">
        <v>322</v>
      </c>
      <c r="EJ27" s="663" t="s">
        <v>428</v>
      </c>
      <c r="EK27" s="742" t="s">
        <v>429</v>
      </c>
      <c r="EL27" s="663" t="s">
        <v>428</v>
      </c>
      <c r="EM27" s="742" t="s">
        <v>322</v>
      </c>
      <c r="EN27" s="663" t="s">
        <v>428</v>
      </c>
      <c r="EO27" s="742" t="s">
        <v>429</v>
      </c>
      <c r="EP27" s="663" t="s">
        <v>428</v>
      </c>
      <c r="EQ27" s="742" t="s">
        <v>429</v>
      </c>
      <c r="ER27" s="663" t="s">
        <v>428</v>
      </c>
      <c r="ES27" s="742" t="s">
        <v>322</v>
      </c>
      <c r="ET27" s="663" t="s">
        <v>428</v>
      </c>
      <c r="EU27" s="742" t="s">
        <v>322</v>
      </c>
      <c r="EV27" s="663" t="s">
        <v>430</v>
      </c>
      <c r="EW27" s="742" t="s">
        <v>429</v>
      </c>
      <c r="EX27" s="663" t="s">
        <v>430</v>
      </c>
      <c r="EY27" s="742" t="s">
        <v>322</v>
      </c>
      <c r="EZ27" s="663" t="s">
        <v>428</v>
      </c>
      <c r="FA27" s="742" t="s">
        <v>429</v>
      </c>
      <c r="FB27" s="663" t="s">
        <v>428</v>
      </c>
      <c r="FC27" s="742" t="s">
        <v>322</v>
      </c>
      <c r="FD27" s="663" t="s">
        <v>428</v>
      </c>
      <c r="FE27" s="742" t="s">
        <v>429</v>
      </c>
      <c r="FF27" s="663" t="s">
        <v>430</v>
      </c>
      <c r="FG27" s="742" t="s">
        <v>429</v>
      </c>
      <c r="FH27" s="665" t="s">
        <v>430</v>
      </c>
      <c r="FI27" s="746"/>
      <c r="FJ27" s="542" t="s">
        <v>431</v>
      </c>
      <c r="FK27" s="743"/>
      <c r="FL27" s="744"/>
      <c r="FM27" s="745"/>
      <c r="FN27" s="744"/>
      <c r="FO27" s="744"/>
      <c r="FP27" s="747" t="s">
        <v>450</v>
      </c>
      <c r="FQ27" s="673" t="s">
        <v>429</v>
      </c>
      <c r="FR27" s="663" t="s">
        <v>434</v>
      </c>
      <c r="FS27" s="748" t="s">
        <v>450</v>
      </c>
      <c r="FT27" s="673" t="s">
        <v>322</v>
      </c>
      <c r="FU27" s="675" t="s">
        <v>434</v>
      </c>
      <c r="FV27" s="593"/>
      <c r="FW27" s="594"/>
      <c r="FX27" s="595"/>
      <c r="FY27" s="596"/>
      <c r="FZ27" s="597"/>
      <c r="GA27" s="598"/>
      <c r="GB27" s="599"/>
      <c r="GC27" s="600"/>
      <c r="GD27" s="599"/>
      <c r="GE27" s="601"/>
      <c r="GF27" s="749"/>
      <c r="GG27" s="750"/>
      <c r="GH27" s="750"/>
      <c r="GI27" s="750"/>
      <c r="GJ27" s="615"/>
      <c r="GK27" s="530" t="s">
        <v>547</v>
      </c>
      <c r="GL27" s="615"/>
      <c r="GM27" s="615"/>
      <c r="GN27" s="615"/>
      <c r="GO27" s="413"/>
      <c r="GP27" s="751">
        <v>27.3</v>
      </c>
      <c r="GQ27" s="413" t="s">
        <v>707</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437</v>
      </c>
      <c r="C28" s="753"/>
      <c r="D28" s="754">
        <v>55</v>
      </c>
      <c r="E28" s="755">
        <v>2</v>
      </c>
      <c r="F28" s="756" t="s">
        <v>436</v>
      </c>
      <c r="G28" s="757"/>
      <c r="H28" s="559"/>
      <c r="I28" s="758"/>
      <c r="J28" s="559"/>
      <c r="K28" s="758"/>
      <c r="L28" s="559"/>
      <c r="M28" s="758"/>
      <c r="N28" s="559"/>
      <c r="O28" s="758"/>
      <c r="P28" s="559"/>
      <c r="Q28" s="758"/>
      <c r="R28" s="559"/>
      <c r="S28" s="758"/>
      <c r="T28" s="559"/>
      <c r="U28" s="758"/>
      <c r="V28" s="559"/>
      <c r="W28" s="758">
        <v>1</v>
      </c>
      <c r="X28" s="559">
        <v>110</v>
      </c>
      <c r="Y28" s="758">
        <v>1</v>
      </c>
      <c r="Z28" s="559">
        <v>110</v>
      </c>
      <c r="AA28" s="758">
        <v>1</v>
      </c>
      <c r="AB28" s="559">
        <v>110</v>
      </c>
      <c r="AC28" s="758">
        <v>1</v>
      </c>
      <c r="AD28" s="559">
        <v>110</v>
      </c>
      <c r="AE28" s="758">
        <v>1</v>
      </c>
      <c r="AF28" s="559">
        <v>110</v>
      </c>
      <c r="AG28" s="758">
        <v>1</v>
      </c>
      <c r="AH28" s="559">
        <v>110</v>
      </c>
      <c r="AI28" s="758">
        <v>1</v>
      </c>
      <c r="AJ28" s="559">
        <v>110</v>
      </c>
      <c r="AK28" s="758">
        <v>1</v>
      </c>
      <c r="AL28" s="559">
        <v>110</v>
      </c>
      <c r="AM28" s="758">
        <v>1</v>
      </c>
      <c r="AN28" s="559">
        <v>110</v>
      </c>
      <c r="AO28" s="758">
        <v>1</v>
      </c>
      <c r="AP28" s="559">
        <v>110</v>
      </c>
      <c r="AQ28" s="758"/>
      <c r="AR28" s="559"/>
      <c r="AS28" s="758"/>
      <c r="AT28" s="559"/>
      <c r="AU28" s="758"/>
      <c r="AV28" s="559"/>
      <c r="AW28" s="758"/>
      <c r="AX28" s="559"/>
      <c r="AY28" s="758"/>
      <c r="AZ28" s="559"/>
      <c r="BA28" s="758"/>
      <c r="BB28" s="684"/>
      <c r="BC28" s="562"/>
      <c r="BD28" s="552"/>
      <c r="BE28" s="752" t="s">
        <v>435</v>
      </c>
      <c r="BF28" s="753"/>
      <c r="BG28" s="754">
        <v>55</v>
      </c>
      <c r="BH28" s="755">
        <v>2</v>
      </c>
      <c r="BI28" s="756" t="s">
        <v>436</v>
      </c>
      <c r="BJ28" s="757"/>
      <c r="BK28" s="559"/>
      <c r="BL28" s="758"/>
      <c r="BM28" s="559"/>
      <c r="BN28" s="758"/>
      <c r="BO28" s="559"/>
      <c r="BP28" s="758"/>
      <c r="BQ28" s="559"/>
      <c r="BR28" s="758"/>
      <c r="BS28" s="559"/>
      <c r="BT28" s="758"/>
      <c r="BU28" s="559"/>
      <c r="BV28" s="758"/>
      <c r="BW28" s="559"/>
      <c r="BX28" s="758"/>
      <c r="BY28" s="559"/>
      <c r="BZ28" s="758">
        <v>1</v>
      </c>
      <c r="CA28" s="559">
        <v>110</v>
      </c>
      <c r="CB28" s="758">
        <v>1</v>
      </c>
      <c r="CC28" s="559">
        <v>110</v>
      </c>
      <c r="CD28" s="758">
        <v>1</v>
      </c>
      <c r="CE28" s="559">
        <v>110</v>
      </c>
      <c r="CF28" s="758">
        <v>1</v>
      </c>
      <c r="CG28" s="559">
        <v>110</v>
      </c>
      <c r="CH28" s="758">
        <v>1</v>
      </c>
      <c r="CI28" s="559">
        <v>110</v>
      </c>
      <c r="CJ28" s="758">
        <v>1</v>
      </c>
      <c r="CK28" s="559">
        <v>110</v>
      </c>
      <c r="CL28" s="758">
        <v>1</v>
      </c>
      <c r="CM28" s="559">
        <v>110</v>
      </c>
      <c r="CN28" s="758">
        <v>1</v>
      </c>
      <c r="CO28" s="559">
        <v>110</v>
      </c>
      <c r="CP28" s="758">
        <v>1</v>
      </c>
      <c r="CQ28" s="559">
        <v>110</v>
      </c>
      <c r="CR28" s="758">
        <v>1</v>
      </c>
      <c r="CS28" s="559">
        <v>110</v>
      </c>
      <c r="CT28" s="758"/>
      <c r="CU28" s="559"/>
      <c r="CV28" s="758"/>
      <c r="CW28" s="559"/>
      <c r="CX28" s="758"/>
      <c r="CY28" s="559"/>
      <c r="CZ28" s="758"/>
      <c r="DA28" s="559"/>
      <c r="DB28" s="758"/>
      <c r="DC28" s="559"/>
      <c r="DD28" s="758"/>
      <c r="DE28" s="684"/>
      <c r="DF28" s="562"/>
      <c r="DG28" s="552"/>
      <c r="DH28" s="752" t="s">
        <v>437</v>
      </c>
      <c r="DI28" s="753"/>
      <c r="DJ28" s="754">
        <v>55</v>
      </c>
      <c r="DK28" s="755">
        <v>2</v>
      </c>
      <c r="DL28" s="756" t="s">
        <v>436</v>
      </c>
      <c r="DM28" s="757"/>
      <c r="DN28" s="559"/>
      <c r="DO28" s="758"/>
      <c r="DP28" s="559"/>
      <c r="DQ28" s="758"/>
      <c r="DR28" s="559"/>
      <c r="DS28" s="758"/>
      <c r="DT28" s="559"/>
      <c r="DU28" s="758"/>
      <c r="DV28" s="559"/>
      <c r="DW28" s="758"/>
      <c r="DX28" s="559"/>
      <c r="DY28" s="758"/>
      <c r="DZ28" s="559"/>
      <c r="EA28" s="758"/>
      <c r="EB28" s="559"/>
      <c r="EC28" s="758">
        <v>1</v>
      </c>
      <c r="ED28" s="559">
        <v>110</v>
      </c>
      <c r="EE28" s="758">
        <v>1</v>
      </c>
      <c r="EF28" s="559">
        <v>110</v>
      </c>
      <c r="EG28" s="758">
        <v>1</v>
      </c>
      <c r="EH28" s="559">
        <v>110</v>
      </c>
      <c r="EI28" s="758">
        <v>1</v>
      </c>
      <c r="EJ28" s="559">
        <v>110</v>
      </c>
      <c r="EK28" s="758">
        <v>1</v>
      </c>
      <c r="EL28" s="559">
        <v>110</v>
      </c>
      <c r="EM28" s="758">
        <v>1</v>
      </c>
      <c r="EN28" s="559">
        <v>110</v>
      </c>
      <c r="EO28" s="758">
        <v>1</v>
      </c>
      <c r="EP28" s="559">
        <v>110</v>
      </c>
      <c r="EQ28" s="758">
        <v>1</v>
      </c>
      <c r="ER28" s="559">
        <v>110</v>
      </c>
      <c r="ES28" s="758">
        <v>1</v>
      </c>
      <c r="ET28" s="559">
        <v>110</v>
      </c>
      <c r="EU28" s="758">
        <v>1</v>
      </c>
      <c r="EV28" s="559">
        <v>110</v>
      </c>
      <c r="EW28" s="758"/>
      <c r="EX28" s="559"/>
      <c r="EY28" s="758"/>
      <c r="EZ28" s="559"/>
      <c r="FA28" s="758"/>
      <c r="FB28" s="559"/>
      <c r="FC28" s="758"/>
      <c r="FD28" s="559"/>
      <c r="FE28" s="758"/>
      <c r="FF28" s="559"/>
      <c r="FG28" s="758"/>
      <c r="FH28" s="684"/>
      <c r="FI28" s="563"/>
      <c r="FJ28" s="564"/>
      <c r="FK28" s="752" t="s">
        <v>435</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549</v>
      </c>
      <c r="GL28" s="413"/>
      <c r="GM28" s="413"/>
      <c r="GN28" s="413"/>
      <c r="GO28" s="530"/>
      <c r="GP28" s="751">
        <v>28</v>
      </c>
      <c r="GQ28" s="413" t="s">
        <v>707</v>
      </c>
      <c r="GR28" s="733"/>
      <c r="GS28" s="530"/>
      <c r="GT28" s="763"/>
      <c r="GU28" s="580" t="s">
        <v>709</v>
      </c>
      <c r="GV28" s="609"/>
      <c r="GW28" s="530"/>
      <c r="GX28" s="529"/>
      <c r="GY28" s="409"/>
      <c r="GZ28" s="615"/>
      <c r="HA28" s="530"/>
      <c r="HB28" s="530"/>
      <c r="HC28" s="530"/>
      <c r="HD28" s="530"/>
      <c r="HE28" s="415"/>
      <c r="HF28" s="415"/>
      <c r="HG28" s="415"/>
      <c r="HH28" s="415"/>
    </row>
    <row r="29" spans="1:218" ht="20.100000000000001" customHeight="1" thickBot="1">
      <c r="A29" s="552"/>
      <c r="B29" s="764" t="s">
        <v>438</v>
      </c>
      <c r="C29" s="765"/>
      <c r="D29" s="766">
        <v>15</v>
      </c>
      <c r="E29" s="767">
        <v>53.34</v>
      </c>
      <c r="F29" s="768" t="s">
        <v>436</v>
      </c>
      <c r="G29" s="769"/>
      <c r="H29" s="587"/>
      <c r="I29" s="770"/>
      <c r="J29" s="587"/>
      <c r="K29" s="770"/>
      <c r="L29" s="587"/>
      <c r="M29" s="770"/>
      <c r="N29" s="587"/>
      <c r="O29" s="770"/>
      <c r="P29" s="587"/>
      <c r="Q29" s="770"/>
      <c r="R29" s="587"/>
      <c r="S29" s="770"/>
      <c r="T29" s="587"/>
      <c r="U29" s="770"/>
      <c r="V29" s="587"/>
      <c r="W29" s="770">
        <v>1</v>
      </c>
      <c r="X29" s="587">
        <v>800</v>
      </c>
      <c r="Y29" s="770">
        <v>1</v>
      </c>
      <c r="Z29" s="587">
        <v>800</v>
      </c>
      <c r="AA29" s="770">
        <v>1</v>
      </c>
      <c r="AB29" s="587">
        <v>800</v>
      </c>
      <c r="AC29" s="770">
        <v>1</v>
      </c>
      <c r="AD29" s="587">
        <v>800</v>
      </c>
      <c r="AE29" s="770">
        <v>1</v>
      </c>
      <c r="AF29" s="587">
        <v>800</v>
      </c>
      <c r="AG29" s="770">
        <v>1</v>
      </c>
      <c r="AH29" s="587">
        <v>800</v>
      </c>
      <c r="AI29" s="770">
        <v>1</v>
      </c>
      <c r="AJ29" s="587">
        <v>800</v>
      </c>
      <c r="AK29" s="770">
        <v>1</v>
      </c>
      <c r="AL29" s="587">
        <v>800</v>
      </c>
      <c r="AM29" s="770">
        <v>1</v>
      </c>
      <c r="AN29" s="587">
        <v>800</v>
      </c>
      <c r="AO29" s="770">
        <v>1</v>
      </c>
      <c r="AP29" s="587">
        <v>800</v>
      </c>
      <c r="AQ29" s="770"/>
      <c r="AR29" s="587"/>
      <c r="AS29" s="770"/>
      <c r="AT29" s="587"/>
      <c r="AU29" s="770"/>
      <c r="AV29" s="587"/>
      <c r="AW29" s="770"/>
      <c r="AX29" s="587"/>
      <c r="AY29" s="770"/>
      <c r="AZ29" s="587"/>
      <c r="BA29" s="770"/>
      <c r="BB29" s="589"/>
      <c r="BC29" s="562"/>
      <c r="BD29" s="552"/>
      <c r="BE29" s="764" t="s">
        <v>439</v>
      </c>
      <c r="BF29" s="765"/>
      <c r="BG29" s="766">
        <v>15</v>
      </c>
      <c r="BH29" s="767">
        <v>53.34</v>
      </c>
      <c r="BI29" s="768" t="s">
        <v>436</v>
      </c>
      <c r="BJ29" s="769"/>
      <c r="BK29" s="587"/>
      <c r="BL29" s="770"/>
      <c r="BM29" s="587"/>
      <c r="BN29" s="770"/>
      <c r="BO29" s="587"/>
      <c r="BP29" s="770"/>
      <c r="BQ29" s="587"/>
      <c r="BR29" s="770"/>
      <c r="BS29" s="587"/>
      <c r="BT29" s="770"/>
      <c r="BU29" s="587"/>
      <c r="BV29" s="770"/>
      <c r="BW29" s="587"/>
      <c r="BX29" s="770"/>
      <c r="BY29" s="587"/>
      <c r="BZ29" s="770">
        <v>1</v>
      </c>
      <c r="CA29" s="587">
        <v>800</v>
      </c>
      <c r="CB29" s="770">
        <v>1</v>
      </c>
      <c r="CC29" s="587">
        <v>800</v>
      </c>
      <c r="CD29" s="770">
        <v>1</v>
      </c>
      <c r="CE29" s="587">
        <v>800</v>
      </c>
      <c r="CF29" s="770">
        <v>1</v>
      </c>
      <c r="CG29" s="587">
        <v>800</v>
      </c>
      <c r="CH29" s="770">
        <v>1</v>
      </c>
      <c r="CI29" s="587">
        <v>800</v>
      </c>
      <c r="CJ29" s="770">
        <v>1</v>
      </c>
      <c r="CK29" s="587">
        <v>800</v>
      </c>
      <c r="CL29" s="770">
        <v>1</v>
      </c>
      <c r="CM29" s="587">
        <v>800</v>
      </c>
      <c r="CN29" s="770">
        <v>1</v>
      </c>
      <c r="CO29" s="587">
        <v>800</v>
      </c>
      <c r="CP29" s="770">
        <v>1</v>
      </c>
      <c r="CQ29" s="587">
        <v>800</v>
      </c>
      <c r="CR29" s="770">
        <v>1</v>
      </c>
      <c r="CS29" s="587">
        <v>800</v>
      </c>
      <c r="CT29" s="770"/>
      <c r="CU29" s="587"/>
      <c r="CV29" s="770"/>
      <c r="CW29" s="587"/>
      <c r="CX29" s="770"/>
      <c r="CY29" s="587"/>
      <c r="CZ29" s="770"/>
      <c r="DA29" s="587"/>
      <c r="DB29" s="770"/>
      <c r="DC29" s="587"/>
      <c r="DD29" s="770"/>
      <c r="DE29" s="589"/>
      <c r="DF29" s="562"/>
      <c r="DG29" s="552"/>
      <c r="DH29" s="764" t="s">
        <v>439</v>
      </c>
      <c r="DI29" s="765"/>
      <c r="DJ29" s="766">
        <v>15</v>
      </c>
      <c r="DK29" s="767">
        <v>53.34</v>
      </c>
      <c r="DL29" s="768" t="s">
        <v>436</v>
      </c>
      <c r="DM29" s="769"/>
      <c r="DN29" s="587"/>
      <c r="DO29" s="770"/>
      <c r="DP29" s="587"/>
      <c r="DQ29" s="770"/>
      <c r="DR29" s="587"/>
      <c r="DS29" s="770"/>
      <c r="DT29" s="587"/>
      <c r="DU29" s="770"/>
      <c r="DV29" s="587"/>
      <c r="DW29" s="770"/>
      <c r="DX29" s="587"/>
      <c r="DY29" s="770"/>
      <c r="DZ29" s="587"/>
      <c r="EA29" s="770"/>
      <c r="EB29" s="587"/>
      <c r="EC29" s="770">
        <v>1</v>
      </c>
      <c r="ED29" s="587">
        <v>800</v>
      </c>
      <c r="EE29" s="770">
        <v>1</v>
      </c>
      <c r="EF29" s="587">
        <v>800</v>
      </c>
      <c r="EG29" s="770">
        <v>1</v>
      </c>
      <c r="EH29" s="587">
        <v>800</v>
      </c>
      <c r="EI29" s="770">
        <v>1</v>
      </c>
      <c r="EJ29" s="587">
        <v>800</v>
      </c>
      <c r="EK29" s="770">
        <v>1</v>
      </c>
      <c r="EL29" s="587">
        <v>800</v>
      </c>
      <c r="EM29" s="770">
        <v>1</v>
      </c>
      <c r="EN29" s="587">
        <v>800</v>
      </c>
      <c r="EO29" s="770">
        <v>1</v>
      </c>
      <c r="EP29" s="587">
        <v>800</v>
      </c>
      <c r="EQ29" s="770">
        <v>1</v>
      </c>
      <c r="ER29" s="587">
        <v>800</v>
      </c>
      <c r="ES29" s="770">
        <v>1</v>
      </c>
      <c r="ET29" s="587">
        <v>800</v>
      </c>
      <c r="EU29" s="770">
        <v>1</v>
      </c>
      <c r="EV29" s="587">
        <v>800</v>
      </c>
      <c r="EW29" s="770"/>
      <c r="EX29" s="587"/>
      <c r="EY29" s="770"/>
      <c r="EZ29" s="587"/>
      <c r="FA29" s="770"/>
      <c r="FB29" s="587"/>
      <c r="FC29" s="770"/>
      <c r="FD29" s="587"/>
      <c r="FE29" s="770"/>
      <c r="FF29" s="587"/>
      <c r="FG29" s="770"/>
      <c r="FH29" s="589"/>
      <c r="FI29" s="563"/>
      <c r="FJ29" s="564"/>
      <c r="FK29" s="764" t="s">
        <v>438</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552</v>
      </c>
      <c r="GL29" s="774"/>
      <c r="GM29" s="774"/>
      <c r="GN29" s="774"/>
      <c r="GO29" s="615"/>
      <c r="GP29" s="751">
        <v>-0.69999999999999929</v>
      </c>
      <c r="GQ29" s="413" t="s">
        <v>550</v>
      </c>
      <c r="GR29" s="775"/>
      <c r="GS29" s="530"/>
      <c r="GT29" s="763"/>
      <c r="GU29" s="580" t="s">
        <v>781</v>
      </c>
      <c r="GV29" s="609"/>
      <c r="GW29" s="530"/>
      <c r="GX29" s="529"/>
      <c r="GY29" s="409"/>
      <c r="GZ29" s="530"/>
      <c r="HA29" s="580"/>
      <c r="HB29" s="580"/>
      <c r="HC29" s="579"/>
      <c r="HD29" s="530"/>
      <c r="HE29" s="415"/>
      <c r="HF29" s="415"/>
    </row>
    <row r="30" spans="1:218" ht="20.100000000000001" customHeight="1">
      <c r="A30" s="552"/>
      <c r="B30" s="764" t="s">
        <v>441</v>
      </c>
      <c r="C30" s="766"/>
      <c r="D30" s="767">
        <v>0</v>
      </c>
      <c r="E30" s="776"/>
      <c r="F30" s="777"/>
      <c r="G30" s="769"/>
      <c r="H30" s="587"/>
      <c r="I30" s="770"/>
      <c r="J30" s="587"/>
      <c r="K30" s="770"/>
      <c r="L30" s="587"/>
      <c r="M30" s="770"/>
      <c r="N30" s="587"/>
      <c r="O30" s="770"/>
      <c r="P30" s="587"/>
      <c r="Q30" s="770"/>
      <c r="R30" s="587"/>
      <c r="S30" s="770"/>
      <c r="T30" s="587"/>
      <c r="U30" s="770"/>
      <c r="V30" s="587"/>
      <c r="W30" s="770"/>
      <c r="X30" s="587">
        <v>0</v>
      </c>
      <c r="Y30" s="770"/>
      <c r="Z30" s="587">
        <v>0</v>
      </c>
      <c r="AA30" s="770"/>
      <c r="AB30" s="587">
        <v>0</v>
      </c>
      <c r="AC30" s="770"/>
      <c r="AD30" s="587">
        <v>0</v>
      </c>
      <c r="AE30" s="770"/>
      <c r="AF30" s="587">
        <v>0</v>
      </c>
      <c r="AG30" s="770"/>
      <c r="AH30" s="587">
        <v>0</v>
      </c>
      <c r="AI30" s="770"/>
      <c r="AJ30" s="587">
        <v>0</v>
      </c>
      <c r="AK30" s="770"/>
      <c r="AL30" s="587">
        <v>0</v>
      </c>
      <c r="AM30" s="770"/>
      <c r="AN30" s="587">
        <v>0</v>
      </c>
      <c r="AO30" s="770"/>
      <c r="AP30" s="587">
        <v>0</v>
      </c>
      <c r="AQ30" s="770"/>
      <c r="AR30" s="587"/>
      <c r="AS30" s="770"/>
      <c r="AT30" s="587"/>
      <c r="AU30" s="770"/>
      <c r="AV30" s="587"/>
      <c r="AW30" s="770"/>
      <c r="AX30" s="587"/>
      <c r="AY30" s="770"/>
      <c r="AZ30" s="587"/>
      <c r="BA30" s="770"/>
      <c r="BB30" s="589"/>
      <c r="BC30" s="562"/>
      <c r="BD30" s="552"/>
      <c r="BE30" s="764" t="s">
        <v>440</v>
      </c>
      <c r="BF30" s="766">
        <v>0</v>
      </c>
      <c r="BG30" s="767">
        <v>0</v>
      </c>
      <c r="BH30" s="776">
        <v>0</v>
      </c>
      <c r="BI30" s="777"/>
      <c r="BJ30" s="769"/>
      <c r="BK30" s="587"/>
      <c r="BL30" s="770"/>
      <c r="BM30" s="587"/>
      <c r="BN30" s="770"/>
      <c r="BO30" s="587"/>
      <c r="BP30" s="770"/>
      <c r="BQ30" s="587"/>
      <c r="BR30" s="770"/>
      <c r="BS30" s="587"/>
      <c r="BT30" s="770"/>
      <c r="BU30" s="587"/>
      <c r="BV30" s="770"/>
      <c r="BW30" s="587"/>
      <c r="BX30" s="770"/>
      <c r="BY30" s="587"/>
      <c r="BZ30" s="770"/>
      <c r="CA30" s="587">
        <v>0</v>
      </c>
      <c r="CB30" s="770"/>
      <c r="CC30" s="587">
        <v>0</v>
      </c>
      <c r="CD30" s="770"/>
      <c r="CE30" s="587">
        <v>0</v>
      </c>
      <c r="CF30" s="770"/>
      <c r="CG30" s="587">
        <v>0</v>
      </c>
      <c r="CH30" s="770"/>
      <c r="CI30" s="587">
        <v>0</v>
      </c>
      <c r="CJ30" s="770"/>
      <c r="CK30" s="587">
        <v>0</v>
      </c>
      <c r="CL30" s="770"/>
      <c r="CM30" s="587">
        <v>0</v>
      </c>
      <c r="CN30" s="770"/>
      <c r="CO30" s="587">
        <v>0</v>
      </c>
      <c r="CP30" s="770"/>
      <c r="CQ30" s="587">
        <v>0</v>
      </c>
      <c r="CR30" s="770"/>
      <c r="CS30" s="587">
        <v>0</v>
      </c>
      <c r="CT30" s="770"/>
      <c r="CU30" s="587"/>
      <c r="CV30" s="770"/>
      <c r="CW30" s="587"/>
      <c r="CX30" s="770"/>
      <c r="CY30" s="587"/>
      <c r="CZ30" s="770"/>
      <c r="DA30" s="587"/>
      <c r="DB30" s="770"/>
      <c r="DC30" s="587"/>
      <c r="DD30" s="770"/>
      <c r="DE30" s="589"/>
      <c r="DF30" s="562"/>
      <c r="DG30" s="552"/>
      <c r="DH30" s="764" t="s">
        <v>440</v>
      </c>
      <c r="DI30" s="766">
        <v>0</v>
      </c>
      <c r="DJ30" s="767">
        <v>0</v>
      </c>
      <c r="DK30" s="776">
        <v>0</v>
      </c>
      <c r="DL30" s="777"/>
      <c r="DM30" s="769"/>
      <c r="DN30" s="587"/>
      <c r="DO30" s="770"/>
      <c r="DP30" s="587"/>
      <c r="DQ30" s="770"/>
      <c r="DR30" s="587"/>
      <c r="DS30" s="770"/>
      <c r="DT30" s="587"/>
      <c r="DU30" s="770"/>
      <c r="DV30" s="587"/>
      <c r="DW30" s="770"/>
      <c r="DX30" s="587"/>
      <c r="DY30" s="770"/>
      <c r="DZ30" s="587"/>
      <c r="EA30" s="770"/>
      <c r="EB30" s="587"/>
      <c r="EC30" s="770"/>
      <c r="ED30" s="587">
        <v>0</v>
      </c>
      <c r="EE30" s="770"/>
      <c r="EF30" s="587">
        <v>0</v>
      </c>
      <c r="EG30" s="770"/>
      <c r="EH30" s="587">
        <v>0</v>
      </c>
      <c r="EI30" s="770"/>
      <c r="EJ30" s="587">
        <v>0</v>
      </c>
      <c r="EK30" s="770"/>
      <c r="EL30" s="587">
        <v>0</v>
      </c>
      <c r="EM30" s="770"/>
      <c r="EN30" s="587">
        <v>0</v>
      </c>
      <c r="EO30" s="770"/>
      <c r="EP30" s="587">
        <v>0</v>
      </c>
      <c r="EQ30" s="770"/>
      <c r="ER30" s="587">
        <v>0</v>
      </c>
      <c r="ES30" s="770"/>
      <c r="ET30" s="587">
        <v>0</v>
      </c>
      <c r="EU30" s="770"/>
      <c r="EV30" s="587">
        <v>0</v>
      </c>
      <c r="EW30" s="770"/>
      <c r="EX30" s="587"/>
      <c r="EY30" s="770"/>
      <c r="EZ30" s="587"/>
      <c r="FA30" s="770"/>
      <c r="FB30" s="587"/>
      <c r="FC30" s="770"/>
      <c r="FD30" s="587"/>
      <c r="FE30" s="770"/>
      <c r="FF30" s="587"/>
      <c r="FG30" s="770"/>
      <c r="FH30" s="589"/>
      <c r="FI30" s="563"/>
      <c r="FJ30" s="564"/>
      <c r="FK30" s="764" t="s">
        <v>440</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554</v>
      </c>
      <c r="GL30" s="774"/>
      <c r="GM30" s="774"/>
      <c r="GN30" s="774"/>
      <c r="GO30" s="530"/>
      <c r="GP30" s="778">
        <v>-0.44</v>
      </c>
      <c r="GQ30" s="413"/>
      <c r="GR30" s="413"/>
      <c r="GS30" s="530"/>
      <c r="GT30" s="763"/>
      <c r="GU30" s="779" t="s">
        <v>384</v>
      </c>
      <c r="GV30" s="780"/>
      <c r="GW30" s="781" t="s">
        <v>782</v>
      </c>
      <c r="GX30" s="781"/>
      <c r="GY30" s="781"/>
      <c r="GZ30" s="781"/>
      <c r="HA30" s="782"/>
      <c r="HB30" s="783" t="s">
        <v>713</v>
      </c>
      <c r="HC30" s="579"/>
      <c r="HD30" s="562"/>
      <c r="HE30" s="415"/>
      <c r="HF30" s="415"/>
    </row>
    <row r="31" spans="1:218" ht="20.100000000000001" customHeight="1">
      <c r="A31" s="552"/>
      <c r="B31" s="784" t="s">
        <v>442</v>
      </c>
      <c r="C31" s="784"/>
      <c r="D31" s="785"/>
      <c r="E31" s="786"/>
      <c r="F31" s="787"/>
      <c r="G31" s="769"/>
      <c r="H31" s="587"/>
      <c r="I31" s="770"/>
      <c r="J31" s="587"/>
      <c r="K31" s="770"/>
      <c r="L31" s="587"/>
      <c r="M31" s="770"/>
      <c r="N31" s="587"/>
      <c r="O31" s="770"/>
      <c r="P31" s="587"/>
      <c r="Q31" s="770"/>
      <c r="R31" s="587"/>
      <c r="S31" s="770"/>
      <c r="T31" s="587"/>
      <c r="U31" s="770"/>
      <c r="V31" s="587"/>
      <c r="W31" s="770"/>
      <c r="X31" s="587">
        <v>0</v>
      </c>
      <c r="Y31" s="770"/>
      <c r="Z31" s="587">
        <v>0</v>
      </c>
      <c r="AA31" s="770"/>
      <c r="AB31" s="587">
        <v>0</v>
      </c>
      <c r="AC31" s="770"/>
      <c r="AD31" s="587">
        <v>0</v>
      </c>
      <c r="AE31" s="770"/>
      <c r="AF31" s="587">
        <v>0</v>
      </c>
      <c r="AG31" s="770"/>
      <c r="AH31" s="587">
        <v>0</v>
      </c>
      <c r="AI31" s="770"/>
      <c r="AJ31" s="587">
        <v>0</v>
      </c>
      <c r="AK31" s="770"/>
      <c r="AL31" s="587">
        <v>0</v>
      </c>
      <c r="AM31" s="770"/>
      <c r="AN31" s="587">
        <v>0</v>
      </c>
      <c r="AO31" s="770"/>
      <c r="AP31" s="587">
        <v>0</v>
      </c>
      <c r="AQ31" s="770"/>
      <c r="AR31" s="587"/>
      <c r="AS31" s="770"/>
      <c r="AT31" s="587"/>
      <c r="AU31" s="770"/>
      <c r="AV31" s="587"/>
      <c r="AW31" s="770"/>
      <c r="AX31" s="587"/>
      <c r="AY31" s="770"/>
      <c r="AZ31" s="587"/>
      <c r="BA31" s="770"/>
      <c r="BB31" s="589"/>
      <c r="BC31" s="562"/>
      <c r="BD31" s="552"/>
      <c r="BE31" s="784" t="s">
        <v>442</v>
      </c>
      <c r="BF31" s="784"/>
      <c r="BG31" s="785">
        <v>0</v>
      </c>
      <c r="BH31" s="786">
        <v>0</v>
      </c>
      <c r="BI31" s="787"/>
      <c r="BJ31" s="769"/>
      <c r="BK31" s="587"/>
      <c r="BL31" s="770"/>
      <c r="BM31" s="587"/>
      <c r="BN31" s="770"/>
      <c r="BO31" s="587"/>
      <c r="BP31" s="770"/>
      <c r="BQ31" s="587"/>
      <c r="BR31" s="770"/>
      <c r="BS31" s="587"/>
      <c r="BT31" s="770"/>
      <c r="BU31" s="587"/>
      <c r="BV31" s="770"/>
      <c r="BW31" s="587"/>
      <c r="BX31" s="770"/>
      <c r="BY31" s="587"/>
      <c r="BZ31" s="770"/>
      <c r="CA31" s="587">
        <v>0</v>
      </c>
      <c r="CB31" s="770"/>
      <c r="CC31" s="587">
        <v>0</v>
      </c>
      <c r="CD31" s="770"/>
      <c r="CE31" s="587">
        <v>0</v>
      </c>
      <c r="CF31" s="770"/>
      <c r="CG31" s="587">
        <v>0</v>
      </c>
      <c r="CH31" s="770"/>
      <c r="CI31" s="587">
        <v>0</v>
      </c>
      <c r="CJ31" s="770"/>
      <c r="CK31" s="587">
        <v>0</v>
      </c>
      <c r="CL31" s="770"/>
      <c r="CM31" s="587">
        <v>0</v>
      </c>
      <c r="CN31" s="770"/>
      <c r="CO31" s="587">
        <v>0</v>
      </c>
      <c r="CP31" s="770"/>
      <c r="CQ31" s="587">
        <v>0</v>
      </c>
      <c r="CR31" s="770"/>
      <c r="CS31" s="587">
        <v>0</v>
      </c>
      <c r="CT31" s="770"/>
      <c r="CU31" s="587"/>
      <c r="CV31" s="770"/>
      <c r="CW31" s="587"/>
      <c r="CX31" s="770"/>
      <c r="CY31" s="587"/>
      <c r="CZ31" s="770"/>
      <c r="DA31" s="587"/>
      <c r="DB31" s="770"/>
      <c r="DC31" s="587"/>
      <c r="DD31" s="770"/>
      <c r="DE31" s="589"/>
      <c r="DF31" s="562"/>
      <c r="DG31" s="552"/>
      <c r="DH31" s="784" t="s">
        <v>443</v>
      </c>
      <c r="DI31" s="784"/>
      <c r="DJ31" s="785">
        <v>0</v>
      </c>
      <c r="DK31" s="786">
        <v>0</v>
      </c>
      <c r="DL31" s="787"/>
      <c r="DM31" s="769"/>
      <c r="DN31" s="587"/>
      <c r="DO31" s="770"/>
      <c r="DP31" s="587"/>
      <c r="DQ31" s="770"/>
      <c r="DR31" s="587"/>
      <c r="DS31" s="770"/>
      <c r="DT31" s="587"/>
      <c r="DU31" s="770"/>
      <c r="DV31" s="587"/>
      <c r="DW31" s="770"/>
      <c r="DX31" s="587"/>
      <c r="DY31" s="770"/>
      <c r="DZ31" s="587"/>
      <c r="EA31" s="770"/>
      <c r="EB31" s="587"/>
      <c r="EC31" s="770"/>
      <c r="ED31" s="587">
        <v>0</v>
      </c>
      <c r="EE31" s="770"/>
      <c r="EF31" s="587">
        <v>0</v>
      </c>
      <c r="EG31" s="770"/>
      <c r="EH31" s="587">
        <v>0</v>
      </c>
      <c r="EI31" s="770"/>
      <c r="EJ31" s="587">
        <v>0</v>
      </c>
      <c r="EK31" s="770"/>
      <c r="EL31" s="587">
        <v>0</v>
      </c>
      <c r="EM31" s="770"/>
      <c r="EN31" s="587">
        <v>0</v>
      </c>
      <c r="EO31" s="770"/>
      <c r="EP31" s="587">
        <v>0</v>
      </c>
      <c r="EQ31" s="770"/>
      <c r="ER31" s="587">
        <v>0</v>
      </c>
      <c r="ES31" s="770"/>
      <c r="ET31" s="587">
        <v>0</v>
      </c>
      <c r="EU31" s="770"/>
      <c r="EV31" s="587">
        <v>0</v>
      </c>
      <c r="EW31" s="770"/>
      <c r="EX31" s="587"/>
      <c r="EY31" s="770"/>
      <c r="EZ31" s="587"/>
      <c r="FA31" s="770"/>
      <c r="FB31" s="587"/>
      <c r="FC31" s="770"/>
      <c r="FD31" s="587"/>
      <c r="FE31" s="770"/>
      <c r="FF31" s="587"/>
      <c r="FG31" s="770"/>
      <c r="FH31" s="589"/>
      <c r="FI31" s="563"/>
      <c r="FJ31" s="564"/>
      <c r="FK31" s="784" t="s">
        <v>442</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-0.44</v>
      </c>
      <c r="GQ31" s="413"/>
      <c r="GR31" s="413"/>
      <c r="GS31" s="580"/>
      <c r="GT31" s="763"/>
      <c r="GU31" s="779"/>
      <c r="GV31" s="780"/>
      <c r="GW31" s="789" t="s">
        <v>835</v>
      </c>
      <c r="GX31" s="790" t="s">
        <v>715</v>
      </c>
      <c r="GY31" s="791" t="s">
        <v>560</v>
      </c>
      <c r="GZ31" s="792" t="s">
        <v>783</v>
      </c>
      <c r="HA31" s="792" t="s">
        <v>699</v>
      </c>
      <c r="HB31" s="793"/>
      <c r="HC31" s="579"/>
      <c r="HD31" s="562"/>
      <c r="HE31" s="415"/>
      <c r="HF31" s="415"/>
    </row>
    <row r="32" spans="1:218" ht="20.100000000000001" customHeight="1">
      <c r="A32" s="552"/>
      <c r="B32" s="794" t="s">
        <v>669</v>
      </c>
      <c r="C32" s="795"/>
      <c r="D32" s="785"/>
      <c r="E32" s="796"/>
      <c r="F32" s="797"/>
      <c r="G32" s="798"/>
      <c r="H32" s="799"/>
      <c r="I32" s="800"/>
      <c r="J32" s="799"/>
      <c r="K32" s="800"/>
      <c r="L32" s="799"/>
      <c r="M32" s="800"/>
      <c r="N32" s="799"/>
      <c r="O32" s="800"/>
      <c r="P32" s="799"/>
      <c r="Q32" s="800"/>
      <c r="R32" s="799"/>
      <c r="S32" s="800"/>
      <c r="T32" s="799"/>
      <c r="U32" s="800"/>
      <c r="V32" s="799"/>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c r="AS32" s="800"/>
      <c r="AT32" s="799"/>
      <c r="AU32" s="800"/>
      <c r="AV32" s="799"/>
      <c r="AW32" s="800"/>
      <c r="AX32" s="799"/>
      <c r="AY32" s="800"/>
      <c r="AZ32" s="799"/>
      <c r="BA32" s="800"/>
      <c r="BB32" s="801"/>
      <c r="BC32" s="562"/>
      <c r="BD32" s="552"/>
      <c r="BE32" s="794" t="s">
        <v>669</v>
      </c>
      <c r="BF32" s="795"/>
      <c r="BG32" s="785">
        <v>0</v>
      </c>
      <c r="BH32" s="796">
        <v>0</v>
      </c>
      <c r="BI32" s="797"/>
      <c r="BJ32" s="798"/>
      <c r="BK32" s="799"/>
      <c r="BL32" s="800"/>
      <c r="BM32" s="799"/>
      <c r="BN32" s="800"/>
      <c r="BO32" s="799"/>
      <c r="BP32" s="800"/>
      <c r="BQ32" s="799"/>
      <c r="BR32" s="800"/>
      <c r="BS32" s="799"/>
      <c r="BT32" s="800"/>
      <c r="BU32" s="799"/>
      <c r="BV32" s="800"/>
      <c r="BW32" s="799"/>
      <c r="BX32" s="800"/>
      <c r="BY32" s="799"/>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c r="CV32" s="800"/>
      <c r="CW32" s="799"/>
      <c r="CX32" s="800"/>
      <c r="CY32" s="799"/>
      <c r="CZ32" s="800"/>
      <c r="DA32" s="799"/>
      <c r="DB32" s="800"/>
      <c r="DC32" s="799"/>
      <c r="DD32" s="800"/>
      <c r="DE32" s="801"/>
      <c r="DF32" s="562"/>
      <c r="DG32" s="552"/>
      <c r="DH32" s="794" t="s">
        <v>444</v>
      </c>
      <c r="DI32" s="795"/>
      <c r="DJ32" s="785">
        <v>0</v>
      </c>
      <c r="DK32" s="796">
        <v>0</v>
      </c>
      <c r="DL32" s="797"/>
      <c r="DM32" s="798"/>
      <c r="DN32" s="799"/>
      <c r="DO32" s="800"/>
      <c r="DP32" s="799"/>
      <c r="DQ32" s="800"/>
      <c r="DR32" s="799"/>
      <c r="DS32" s="800"/>
      <c r="DT32" s="799"/>
      <c r="DU32" s="800"/>
      <c r="DV32" s="799"/>
      <c r="DW32" s="800"/>
      <c r="DX32" s="799"/>
      <c r="DY32" s="800"/>
      <c r="DZ32" s="799"/>
      <c r="EA32" s="800"/>
      <c r="EB32" s="799"/>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c r="EY32" s="800"/>
      <c r="EZ32" s="799"/>
      <c r="FA32" s="800"/>
      <c r="FB32" s="799"/>
      <c r="FC32" s="800"/>
      <c r="FD32" s="799"/>
      <c r="FE32" s="800"/>
      <c r="FF32" s="799"/>
      <c r="FG32" s="800"/>
      <c r="FH32" s="801"/>
      <c r="FI32" s="563"/>
      <c r="FJ32" s="564"/>
      <c r="FK32" s="794" t="s">
        <v>669</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445</v>
      </c>
      <c r="E33" s="642"/>
      <c r="F33" s="642"/>
      <c r="G33" s="644"/>
      <c r="H33" s="645">
        <v>0</v>
      </c>
      <c r="I33" s="1291"/>
      <c r="J33" s="645">
        <v>0</v>
      </c>
      <c r="K33" s="1291"/>
      <c r="L33" s="645">
        <v>0</v>
      </c>
      <c r="M33" s="1291"/>
      <c r="N33" s="645">
        <v>0</v>
      </c>
      <c r="O33" s="1291"/>
      <c r="P33" s="645">
        <v>0</v>
      </c>
      <c r="Q33" s="1291"/>
      <c r="R33" s="645">
        <v>0</v>
      </c>
      <c r="S33" s="1291"/>
      <c r="T33" s="645">
        <v>0</v>
      </c>
      <c r="U33" s="1291"/>
      <c r="V33" s="645">
        <v>0</v>
      </c>
      <c r="W33" s="1291"/>
      <c r="X33" s="645">
        <v>910</v>
      </c>
      <c r="Y33" s="1291"/>
      <c r="Z33" s="645">
        <v>910</v>
      </c>
      <c r="AA33" s="1291"/>
      <c r="AB33" s="645">
        <v>910</v>
      </c>
      <c r="AC33" s="1291"/>
      <c r="AD33" s="645">
        <v>910</v>
      </c>
      <c r="AE33" s="1291"/>
      <c r="AF33" s="645">
        <v>910</v>
      </c>
      <c r="AG33" s="1291"/>
      <c r="AH33" s="645">
        <v>910</v>
      </c>
      <c r="AI33" s="1291"/>
      <c r="AJ33" s="645">
        <v>910</v>
      </c>
      <c r="AK33" s="1291"/>
      <c r="AL33" s="645">
        <v>910</v>
      </c>
      <c r="AM33" s="1291"/>
      <c r="AN33" s="645">
        <v>910</v>
      </c>
      <c r="AO33" s="1291"/>
      <c r="AP33" s="645">
        <v>910</v>
      </c>
      <c r="AQ33" s="1291"/>
      <c r="AR33" s="645">
        <v>0</v>
      </c>
      <c r="AS33" s="1291"/>
      <c r="AT33" s="645">
        <v>0</v>
      </c>
      <c r="AU33" s="1291"/>
      <c r="AV33" s="645">
        <v>0</v>
      </c>
      <c r="AW33" s="1291"/>
      <c r="AX33" s="645">
        <v>0</v>
      </c>
      <c r="AY33" s="1291"/>
      <c r="AZ33" s="645">
        <v>0</v>
      </c>
      <c r="BA33" s="1291"/>
      <c r="BB33" s="647">
        <v>0</v>
      </c>
      <c r="BC33" s="648"/>
      <c r="BD33" s="641"/>
      <c r="BE33" s="642"/>
      <c r="BF33" s="642"/>
      <c r="BG33" s="643" t="s">
        <v>445</v>
      </c>
      <c r="BH33" s="642"/>
      <c r="BI33" s="642"/>
      <c r="BJ33" s="644"/>
      <c r="BK33" s="645">
        <v>0</v>
      </c>
      <c r="BL33" s="1291"/>
      <c r="BM33" s="645">
        <v>0</v>
      </c>
      <c r="BN33" s="1291"/>
      <c r="BO33" s="645">
        <v>0</v>
      </c>
      <c r="BP33" s="1291"/>
      <c r="BQ33" s="645">
        <v>0</v>
      </c>
      <c r="BR33" s="1291"/>
      <c r="BS33" s="645">
        <v>0</v>
      </c>
      <c r="BT33" s="1291"/>
      <c r="BU33" s="645">
        <v>0</v>
      </c>
      <c r="BV33" s="1291"/>
      <c r="BW33" s="645">
        <v>0</v>
      </c>
      <c r="BX33" s="1291"/>
      <c r="BY33" s="645">
        <v>0</v>
      </c>
      <c r="BZ33" s="1291"/>
      <c r="CA33" s="645">
        <v>910</v>
      </c>
      <c r="CB33" s="1291"/>
      <c r="CC33" s="645">
        <v>910</v>
      </c>
      <c r="CD33" s="1291"/>
      <c r="CE33" s="645">
        <v>910</v>
      </c>
      <c r="CF33" s="1291"/>
      <c r="CG33" s="645">
        <v>910</v>
      </c>
      <c r="CH33" s="1291"/>
      <c r="CI33" s="645">
        <v>910</v>
      </c>
      <c r="CJ33" s="1291"/>
      <c r="CK33" s="645">
        <v>910</v>
      </c>
      <c r="CL33" s="1291"/>
      <c r="CM33" s="645">
        <v>910</v>
      </c>
      <c r="CN33" s="1291"/>
      <c r="CO33" s="645">
        <v>910</v>
      </c>
      <c r="CP33" s="1291"/>
      <c r="CQ33" s="645">
        <v>910</v>
      </c>
      <c r="CR33" s="1291"/>
      <c r="CS33" s="645">
        <v>910</v>
      </c>
      <c r="CT33" s="1291"/>
      <c r="CU33" s="645">
        <v>0</v>
      </c>
      <c r="CV33" s="1291"/>
      <c r="CW33" s="645">
        <v>0</v>
      </c>
      <c r="CX33" s="1291"/>
      <c r="CY33" s="645">
        <v>0</v>
      </c>
      <c r="CZ33" s="1291"/>
      <c r="DA33" s="645">
        <v>0</v>
      </c>
      <c r="DB33" s="1291"/>
      <c r="DC33" s="645">
        <v>0</v>
      </c>
      <c r="DD33" s="1291"/>
      <c r="DE33" s="647">
        <v>0</v>
      </c>
      <c r="DF33" s="648"/>
      <c r="DG33" s="641"/>
      <c r="DH33" s="642"/>
      <c r="DI33" s="642"/>
      <c r="DJ33" s="643" t="s">
        <v>445</v>
      </c>
      <c r="DK33" s="642"/>
      <c r="DL33" s="642"/>
      <c r="DM33" s="644"/>
      <c r="DN33" s="645">
        <v>0</v>
      </c>
      <c r="DO33" s="1291"/>
      <c r="DP33" s="645">
        <v>0</v>
      </c>
      <c r="DQ33" s="1291"/>
      <c r="DR33" s="645">
        <v>0</v>
      </c>
      <c r="DS33" s="1291"/>
      <c r="DT33" s="645">
        <v>0</v>
      </c>
      <c r="DU33" s="1291"/>
      <c r="DV33" s="645">
        <v>0</v>
      </c>
      <c r="DW33" s="1291"/>
      <c r="DX33" s="645">
        <v>0</v>
      </c>
      <c r="DY33" s="1291"/>
      <c r="DZ33" s="645">
        <v>0</v>
      </c>
      <c r="EA33" s="1291"/>
      <c r="EB33" s="645">
        <v>0</v>
      </c>
      <c r="EC33" s="1291"/>
      <c r="ED33" s="645">
        <v>910</v>
      </c>
      <c r="EE33" s="1291"/>
      <c r="EF33" s="645">
        <v>910</v>
      </c>
      <c r="EG33" s="1291"/>
      <c r="EH33" s="645">
        <v>910</v>
      </c>
      <c r="EI33" s="1291"/>
      <c r="EJ33" s="645">
        <v>910</v>
      </c>
      <c r="EK33" s="1291"/>
      <c r="EL33" s="645">
        <v>910</v>
      </c>
      <c r="EM33" s="1291"/>
      <c r="EN33" s="645">
        <v>910</v>
      </c>
      <c r="EO33" s="1291"/>
      <c r="EP33" s="645">
        <v>910</v>
      </c>
      <c r="EQ33" s="1291"/>
      <c r="ER33" s="645">
        <v>910</v>
      </c>
      <c r="ES33" s="1291"/>
      <c r="ET33" s="645">
        <v>910</v>
      </c>
      <c r="EU33" s="1291"/>
      <c r="EV33" s="645">
        <v>910</v>
      </c>
      <c r="EW33" s="1291"/>
      <c r="EX33" s="645">
        <v>0</v>
      </c>
      <c r="EY33" s="1291"/>
      <c r="EZ33" s="645">
        <v>0</v>
      </c>
      <c r="FA33" s="1291"/>
      <c r="FB33" s="645">
        <v>0</v>
      </c>
      <c r="FC33" s="1291"/>
      <c r="FD33" s="645">
        <v>0</v>
      </c>
      <c r="FE33" s="1291"/>
      <c r="FF33" s="645">
        <v>0</v>
      </c>
      <c r="FG33" s="1291"/>
      <c r="FH33" s="647">
        <v>0</v>
      </c>
      <c r="FI33" s="649"/>
      <c r="FJ33" s="564"/>
      <c r="FK33" s="642"/>
      <c r="FL33" s="642"/>
      <c r="FM33" s="643" t="s">
        <v>325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784</v>
      </c>
      <c r="GL33" s="579"/>
      <c r="GM33" s="530"/>
      <c r="GN33" s="579"/>
      <c r="GO33" s="530"/>
      <c r="GP33" s="530"/>
      <c r="GQ33" s="530"/>
      <c r="GR33" s="579"/>
      <c r="GS33" s="530"/>
      <c r="GT33" s="763"/>
      <c r="GU33" s="811">
        <v>208</v>
      </c>
      <c r="GV33" s="812"/>
      <c r="GW33" s="813">
        <v>22.68</v>
      </c>
      <c r="GX33" s="814">
        <v>62.07</v>
      </c>
      <c r="GY33" s="814">
        <v>51.519999999999996</v>
      </c>
      <c r="GZ33" s="814">
        <v>0</v>
      </c>
      <c r="HA33" s="814">
        <v>136.26999999999998</v>
      </c>
      <c r="HB33" s="815">
        <v>53.34</v>
      </c>
      <c r="HC33" s="413"/>
      <c r="HD33" s="648"/>
      <c r="HE33" s="415"/>
      <c r="HF33" s="415"/>
    </row>
    <row r="34" spans="1:219" ht="20.100000000000001" customHeight="1">
      <c r="A34" s="1293" t="s">
        <v>446</v>
      </c>
      <c r="B34" s="743"/>
      <c r="C34" s="817"/>
      <c r="D34" s="818"/>
      <c r="E34" s="817"/>
      <c r="F34" s="819"/>
      <c r="G34" s="740" t="s">
        <v>447</v>
      </c>
      <c r="H34" s="663" t="s">
        <v>430</v>
      </c>
      <c r="I34" s="741" t="s">
        <v>448</v>
      </c>
      <c r="J34" s="663" t="s">
        <v>428</v>
      </c>
      <c r="K34" s="742" t="s">
        <v>448</v>
      </c>
      <c r="L34" s="663" t="s">
        <v>428</v>
      </c>
      <c r="M34" s="742" t="s">
        <v>448</v>
      </c>
      <c r="N34" s="663" t="s">
        <v>430</v>
      </c>
      <c r="O34" s="742" t="s">
        <v>448</v>
      </c>
      <c r="P34" s="663" t="s">
        <v>430</v>
      </c>
      <c r="Q34" s="742" t="s">
        <v>447</v>
      </c>
      <c r="R34" s="663" t="s">
        <v>430</v>
      </c>
      <c r="S34" s="742" t="s">
        <v>447</v>
      </c>
      <c r="T34" s="663" t="s">
        <v>428</v>
      </c>
      <c r="U34" s="742" t="s">
        <v>448</v>
      </c>
      <c r="V34" s="663" t="s">
        <v>428</v>
      </c>
      <c r="W34" s="742" t="s">
        <v>447</v>
      </c>
      <c r="X34" s="663" t="s">
        <v>428</v>
      </c>
      <c r="Y34" s="742" t="s">
        <v>448</v>
      </c>
      <c r="Z34" s="663" t="s">
        <v>430</v>
      </c>
      <c r="AA34" s="742" t="s">
        <v>447</v>
      </c>
      <c r="AB34" s="663" t="s">
        <v>428</v>
      </c>
      <c r="AC34" s="742" t="s">
        <v>448</v>
      </c>
      <c r="AD34" s="663" t="s">
        <v>428</v>
      </c>
      <c r="AE34" s="742" t="s">
        <v>447</v>
      </c>
      <c r="AF34" s="663" t="s">
        <v>430</v>
      </c>
      <c r="AG34" s="742" t="s">
        <v>447</v>
      </c>
      <c r="AH34" s="663" t="s">
        <v>428</v>
      </c>
      <c r="AI34" s="742" t="s">
        <v>447</v>
      </c>
      <c r="AJ34" s="663" t="s">
        <v>430</v>
      </c>
      <c r="AK34" s="742" t="s">
        <v>448</v>
      </c>
      <c r="AL34" s="663" t="s">
        <v>428</v>
      </c>
      <c r="AM34" s="742" t="s">
        <v>447</v>
      </c>
      <c r="AN34" s="663" t="s">
        <v>430</v>
      </c>
      <c r="AO34" s="742" t="s">
        <v>448</v>
      </c>
      <c r="AP34" s="663" t="s">
        <v>430</v>
      </c>
      <c r="AQ34" s="742" t="s">
        <v>448</v>
      </c>
      <c r="AR34" s="663" t="s">
        <v>430</v>
      </c>
      <c r="AS34" s="742" t="s">
        <v>448</v>
      </c>
      <c r="AT34" s="663" t="s">
        <v>430</v>
      </c>
      <c r="AU34" s="742" t="s">
        <v>447</v>
      </c>
      <c r="AV34" s="663" t="s">
        <v>428</v>
      </c>
      <c r="AW34" s="742" t="s">
        <v>448</v>
      </c>
      <c r="AX34" s="663" t="s">
        <v>430</v>
      </c>
      <c r="AY34" s="742" t="s">
        <v>448</v>
      </c>
      <c r="AZ34" s="663" t="s">
        <v>430</v>
      </c>
      <c r="BA34" s="742" t="s">
        <v>447</v>
      </c>
      <c r="BB34" s="665" t="s">
        <v>428</v>
      </c>
      <c r="BC34" s="723"/>
      <c r="BD34" s="1293" t="s">
        <v>446</v>
      </c>
      <c r="BE34" s="820"/>
      <c r="BF34" s="821"/>
      <c r="BG34" s="822"/>
      <c r="BH34" s="821"/>
      <c r="BI34" s="823"/>
      <c r="BJ34" s="740" t="s">
        <v>447</v>
      </c>
      <c r="BK34" s="663" t="s">
        <v>428</v>
      </c>
      <c r="BL34" s="741" t="s">
        <v>448</v>
      </c>
      <c r="BM34" s="663" t="s">
        <v>428</v>
      </c>
      <c r="BN34" s="742" t="s">
        <v>447</v>
      </c>
      <c r="BO34" s="663" t="s">
        <v>430</v>
      </c>
      <c r="BP34" s="742" t="s">
        <v>448</v>
      </c>
      <c r="BQ34" s="663" t="s">
        <v>430</v>
      </c>
      <c r="BR34" s="742" t="s">
        <v>448</v>
      </c>
      <c r="BS34" s="663" t="s">
        <v>430</v>
      </c>
      <c r="BT34" s="742" t="s">
        <v>448</v>
      </c>
      <c r="BU34" s="663" t="s">
        <v>428</v>
      </c>
      <c r="BV34" s="742" t="s">
        <v>448</v>
      </c>
      <c r="BW34" s="663" t="s">
        <v>430</v>
      </c>
      <c r="BX34" s="742" t="s">
        <v>448</v>
      </c>
      <c r="BY34" s="663" t="s">
        <v>428</v>
      </c>
      <c r="BZ34" s="742" t="s">
        <v>448</v>
      </c>
      <c r="CA34" s="663" t="s">
        <v>428</v>
      </c>
      <c r="CB34" s="742" t="s">
        <v>448</v>
      </c>
      <c r="CC34" s="663" t="s">
        <v>430</v>
      </c>
      <c r="CD34" s="742" t="s">
        <v>448</v>
      </c>
      <c r="CE34" s="663" t="s">
        <v>430</v>
      </c>
      <c r="CF34" s="742" t="s">
        <v>447</v>
      </c>
      <c r="CG34" s="663" t="s">
        <v>428</v>
      </c>
      <c r="CH34" s="742" t="s">
        <v>447</v>
      </c>
      <c r="CI34" s="663" t="s">
        <v>430</v>
      </c>
      <c r="CJ34" s="742" t="s">
        <v>448</v>
      </c>
      <c r="CK34" s="663" t="s">
        <v>428</v>
      </c>
      <c r="CL34" s="742" t="s">
        <v>448</v>
      </c>
      <c r="CM34" s="663" t="s">
        <v>430</v>
      </c>
      <c r="CN34" s="742" t="s">
        <v>448</v>
      </c>
      <c r="CO34" s="663" t="s">
        <v>428</v>
      </c>
      <c r="CP34" s="742" t="s">
        <v>447</v>
      </c>
      <c r="CQ34" s="663" t="s">
        <v>430</v>
      </c>
      <c r="CR34" s="742" t="s">
        <v>447</v>
      </c>
      <c r="CS34" s="663" t="s">
        <v>430</v>
      </c>
      <c r="CT34" s="742" t="s">
        <v>448</v>
      </c>
      <c r="CU34" s="663" t="s">
        <v>428</v>
      </c>
      <c r="CV34" s="742" t="s">
        <v>448</v>
      </c>
      <c r="CW34" s="663" t="s">
        <v>430</v>
      </c>
      <c r="CX34" s="742" t="s">
        <v>448</v>
      </c>
      <c r="CY34" s="663" t="s">
        <v>428</v>
      </c>
      <c r="CZ34" s="742" t="s">
        <v>447</v>
      </c>
      <c r="DA34" s="663" t="s">
        <v>430</v>
      </c>
      <c r="DB34" s="742" t="s">
        <v>448</v>
      </c>
      <c r="DC34" s="663" t="s">
        <v>428</v>
      </c>
      <c r="DD34" s="742" t="s">
        <v>448</v>
      </c>
      <c r="DE34" s="665" t="s">
        <v>430</v>
      </c>
      <c r="DF34" s="723"/>
      <c r="DG34" s="1293" t="s">
        <v>449</v>
      </c>
      <c r="DH34" s="738"/>
      <c r="DI34" s="824"/>
      <c r="DJ34" s="825"/>
      <c r="DK34" s="824"/>
      <c r="DL34" s="826"/>
      <c r="DM34" s="740" t="s">
        <v>448</v>
      </c>
      <c r="DN34" s="663" t="s">
        <v>430</v>
      </c>
      <c r="DO34" s="741" t="s">
        <v>447</v>
      </c>
      <c r="DP34" s="663" t="s">
        <v>428</v>
      </c>
      <c r="DQ34" s="742" t="s">
        <v>448</v>
      </c>
      <c r="DR34" s="663" t="s">
        <v>428</v>
      </c>
      <c r="DS34" s="742" t="s">
        <v>447</v>
      </c>
      <c r="DT34" s="663" t="s">
        <v>430</v>
      </c>
      <c r="DU34" s="742" t="s">
        <v>448</v>
      </c>
      <c r="DV34" s="663" t="s">
        <v>428</v>
      </c>
      <c r="DW34" s="742" t="s">
        <v>447</v>
      </c>
      <c r="DX34" s="663" t="s">
        <v>430</v>
      </c>
      <c r="DY34" s="742" t="s">
        <v>448</v>
      </c>
      <c r="DZ34" s="663" t="s">
        <v>428</v>
      </c>
      <c r="EA34" s="742" t="s">
        <v>447</v>
      </c>
      <c r="EB34" s="663" t="s">
        <v>430</v>
      </c>
      <c r="EC34" s="742" t="s">
        <v>448</v>
      </c>
      <c r="ED34" s="663" t="s">
        <v>430</v>
      </c>
      <c r="EE34" s="742" t="s">
        <v>448</v>
      </c>
      <c r="EF34" s="663" t="s">
        <v>430</v>
      </c>
      <c r="EG34" s="742" t="s">
        <v>448</v>
      </c>
      <c r="EH34" s="663" t="s">
        <v>430</v>
      </c>
      <c r="EI34" s="742" t="s">
        <v>447</v>
      </c>
      <c r="EJ34" s="663" t="s">
        <v>428</v>
      </c>
      <c r="EK34" s="742" t="s">
        <v>448</v>
      </c>
      <c r="EL34" s="663" t="s">
        <v>430</v>
      </c>
      <c r="EM34" s="742" t="s">
        <v>448</v>
      </c>
      <c r="EN34" s="663" t="s">
        <v>430</v>
      </c>
      <c r="EO34" s="742" t="s">
        <v>447</v>
      </c>
      <c r="EP34" s="663" t="s">
        <v>428</v>
      </c>
      <c r="EQ34" s="742" t="s">
        <v>447</v>
      </c>
      <c r="ER34" s="663" t="s">
        <v>428</v>
      </c>
      <c r="ES34" s="742" t="s">
        <v>447</v>
      </c>
      <c r="ET34" s="663" t="s">
        <v>428</v>
      </c>
      <c r="EU34" s="742" t="s">
        <v>448</v>
      </c>
      <c r="EV34" s="663" t="s">
        <v>428</v>
      </c>
      <c r="EW34" s="742" t="s">
        <v>447</v>
      </c>
      <c r="EX34" s="663" t="s">
        <v>428</v>
      </c>
      <c r="EY34" s="742" t="s">
        <v>448</v>
      </c>
      <c r="EZ34" s="663" t="s">
        <v>428</v>
      </c>
      <c r="FA34" s="742" t="s">
        <v>448</v>
      </c>
      <c r="FB34" s="663" t="s">
        <v>428</v>
      </c>
      <c r="FC34" s="742" t="s">
        <v>447</v>
      </c>
      <c r="FD34" s="663" t="s">
        <v>428</v>
      </c>
      <c r="FE34" s="742" t="s">
        <v>447</v>
      </c>
      <c r="FF34" s="663" t="s">
        <v>430</v>
      </c>
      <c r="FG34" s="742" t="s">
        <v>448</v>
      </c>
      <c r="FH34" s="665" t="s">
        <v>430</v>
      </c>
      <c r="FI34" s="746"/>
      <c r="FJ34" s="827" t="s">
        <v>446</v>
      </c>
      <c r="FK34" s="738"/>
      <c r="FL34" s="824"/>
      <c r="FM34" s="825"/>
      <c r="FN34" s="824"/>
      <c r="FO34" s="826"/>
      <c r="FP34" s="747" t="s">
        <v>433</v>
      </c>
      <c r="FQ34" s="673" t="s">
        <v>447</v>
      </c>
      <c r="FR34" s="663" t="s">
        <v>451</v>
      </c>
      <c r="FS34" s="748" t="s">
        <v>450</v>
      </c>
      <c r="FT34" s="673" t="s">
        <v>448</v>
      </c>
      <c r="FU34" s="675" t="s">
        <v>434</v>
      </c>
      <c r="FV34" s="593"/>
      <c r="FW34" s="594"/>
      <c r="FX34" s="806"/>
      <c r="FY34" s="596"/>
      <c r="FZ34" s="807"/>
      <c r="GA34" s="598"/>
      <c r="GB34" s="808"/>
      <c r="GC34" s="600"/>
      <c r="GD34" s="808"/>
      <c r="GE34" s="601"/>
      <c r="GF34" s="749"/>
      <c r="GG34" s="750"/>
      <c r="GH34" s="750"/>
      <c r="GI34" s="750"/>
      <c r="GJ34" s="579"/>
      <c r="GK34" s="828" t="s">
        <v>943</v>
      </c>
      <c r="GL34" s="828"/>
      <c r="GM34" s="828"/>
      <c r="GN34" s="828"/>
      <c r="GO34" s="828"/>
      <c r="GP34" s="828"/>
      <c r="GQ34" s="615">
        <v>10.1</v>
      </c>
      <c r="GR34" s="579" t="s">
        <v>705</v>
      </c>
      <c r="GS34" s="580"/>
      <c r="GT34" s="763"/>
      <c r="GU34" s="829"/>
      <c r="GV34" s="830"/>
      <c r="GW34" s="831"/>
      <c r="GX34" s="633"/>
      <c r="GY34" s="633"/>
      <c r="GZ34" s="633"/>
      <c r="HA34" s="633"/>
      <c r="HB34" s="634"/>
      <c r="HC34" s="530"/>
      <c r="HD34" s="723"/>
      <c r="HE34" s="415"/>
      <c r="HF34" s="415"/>
    </row>
    <row r="35" spans="1:219" ht="20.100000000000001" customHeight="1">
      <c r="A35" s="832"/>
      <c r="B35" s="466" t="s">
        <v>452</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790</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327</v>
      </c>
      <c r="E36" s="642"/>
      <c r="F36" s="642"/>
      <c r="G36" s="845"/>
      <c r="H36" s="1294">
        <v>0</v>
      </c>
      <c r="I36" s="1295"/>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1296">
        <v>0</v>
      </c>
      <c r="BC36" s="648"/>
      <c r="BD36" s="832"/>
      <c r="BE36" s="642"/>
      <c r="BF36" s="642"/>
      <c r="BG36" s="643" t="s">
        <v>327</v>
      </c>
      <c r="BH36" s="642"/>
      <c r="BI36" s="642"/>
      <c r="BJ36" s="845"/>
      <c r="BK36" s="1294">
        <v>0</v>
      </c>
      <c r="BL36" s="1295"/>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1296">
        <v>0</v>
      </c>
      <c r="DF36" s="648"/>
      <c r="DG36" s="832"/>
      <c r="DH36" s="642"/>
      <c r="DI36" s="642"/>
      <c r="DJ36" s="643" t="s">
        <v>453</v>
      </c>
      <c r="DK36" s="642"/>
      <c r="DL36" s="642"/>
      <c r="DM36" s="845"/>
      <c r="DN36" s="1294">
        <v>0</v>
      </c>
      <c r="DO36" s="1295"/>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1296">
        <v>0</v>
      </c>
      <c r="FI36" s="649"/>
      <c r="FJ36" s="841"/>
      <c r="FK36" s="642"/>
      <c r="FL36" s="642"/>
      <c r="FM36" s="643" t="s">
        <v>327</v>
      </c>
      <c r="FN36" s="642"/>
      <c r="FO36" s="642"/>
      <c r="FP36" s="650"/>
      <c r="FQ36" s="1295"/>
      <c r="FR36" s="1294">
        <v>0</v>
      </c>
      <c r="FS36" s="1297"/>
      <c r="FT36" s="1295"/>
      <c r="FU36" s="1298">
        <v>0</v>
      </c>
      <c r="FV36" s="593"/>
      <c r="FW36" s="594"/>
      <c r="FX36" s="806"/>
      <c r="FY36" s="596"/>
      <c r="FZ36" s="807"/>
      <c r="GA36" s="598"/>
      <c r="GB36" s="808"/>
      <c r="GC36" s="600"/>
      <c r="GD36" s="808"/>
      <c r="GE36" s="601"/>
      <c r="GF36" s="654"/>
      <c r="GG36" s="655"/>
      <c r="GH36" s="655"/>
      <c r="GI36" s="655"/>
      <c r="GJ36" s="530"/>
      <c r="GK36" s="828" t="s">
        <v>944</v>
      </c>
      <c r="GL36" s="828"/>
      <c r="GM36" s="828"/>
      <c r="GN36" s="828"/>
      <c r="GO36" s="828"/>
      <c r="GP36" s="828"/>
      <c r="GQ36" s="615">
        <v>13.5</v>
      </c>
      <c r="GR36" s="579" t="s">
        <v>319</v>
      </c>
      <c r="GS36" s="530"/>
      <c r="GT36" s="763"/>
      <c r="GU36" s="829"/>
      <c r="GV36" s="830"/>
      <c r="GW36" s="831"/>
      <c r="GX36" s="633"/>
      <c r="GY36" s="633"/>
      <c r="GZ36" s="633"/>
      <c r="HA36" s="633"/>
      <c r="HB36" s="634"/>
      <c r="HC36" s="530"/>
      <c r="HD36" s="648"/>
      <c r="HE36" s="415"/>
      <c r="HF36" s="415"/>
    </row>
    <row r="37" spans="1:219" ht="24" customHeight="1">
      <c r="A37" s="853" t="s">
        <v>454</v>
      </c>
      <c r="B37" s="854"/>
      <c r="C37" s="855" t="s">
        <v>460</v>
      </c>
      <c r="D37" s="856"/>
      <c r="E37" s="857" t="s">
        <v>461</v>
      </c>
      <c r="F37" s="858"/>
      <c r="G37" s="662" t="s">
        <v>447</v>
      </c>
      <c r="H37" s="663" t="s">
        <v>457</v>
      </c>
      <c r="I37" s="664" t="s">
        <v>448</v>
      </c>
      <c r="J37" s="663" t="s">
        <v>458</v>
      </c>
      <c r="K37" s="664" t="s">
        <v>448</v>
      </c>
      <c r="L37" s="663" t="s">
        <v>458</v>
      </c>
      <c r="M37" s="664" t="s">
        <v>448</v>
      </c>
      <c r="N37" s="663" t="s">
        <v>458</v>
      </c>
      <c r="O37" s="664" t="s">
        <v>447</v>
      </c>
      <c r="P37" s="663" t="s">
        <v>458</v>
      </c>
      <c r="Q37" s="664" t="s">
        <v>448</v>
      </c>
      <c r="R37" s="663" t="s">
        <v>458</v>
      </c>
      <c r="S37" s="664" t="s">
        <v>448</v>
      </c>
      <c r="T37" s="663" t="s">
        <v>458</v>
      </c>
      <c r="U37" s="664" t="s">
        <v>447</v>
      </c>
      <c r="V37" s="663" t="s">
        <v>459</v>
      </c>
      <c r="W37" s="664" t="s">
        <v>448</v>
      </c>
      <c r="X37" s="663" t="s">
        <v>459</v>
      </c>
      <c r="Y37" s="664" t="s">
        <v>448</v>
      </c>
      <c r="Z37" s="663" t="s">
        <v>458</v>
      </c>
      <c r="AA37" s="664" t="s">
        <v>447</v>
      </c>
      <c r="AB37" s="663" t="s">
        <v>459</v>
      </c>
      <c r="AC37" s="664" t="s">
        <v>447</v>
      </c>
      <c r="AD37" s="663" t="s">
        <v>459</v>
      </c>
      <c r="AE37" s="664" t="s">
        <v>448</v>
      </c>
      <c r="AF37" s="663" t="s">
        <v>459</v>
      </c>
      <c r="AG37" s="664" t="s">
        <v>447</v>
      </c>
      <c r="AH37" s="663" t="s">
        <v>459</v>
      </c>
      <c r="AI37" s="664" t="s">
        <v>448</v>
      </c>
      <c r="AJ37" s="663" t="s">
        <v>458</v>
      </c>
      <c r="AK37" s="664" t="s">
        <v>447</v>
      </c>
      <c r="AL37" s="663" t="s">
        <v>458</v>
      </c>
      <c r="AM37" s="664" t="s">
        <v>448</v>
      </c>
      <c r="AN37" s="663" t="s">
        <v>458</v>
      </c>
      <c r="AO37" s="664" t="s">
        <v>447</v>
      </c>
      <c r="AP37" s="663" t="s">
        <v>459</v>
      </c>
      <c r="AQ37" s="664" t="s">
        <v>447</v>
      </c>
      <c r="AR37" s="663" t="s">
        <v>458</v>
      </c>
      <c r="AS37" s="664" t="s">
        <v>448</v>
      </c>
      <c r="AT37" s="663" t="s">
        <v>458</v>
      </c>
      <c r="AU37" s="664" t="s">
        <v>448</v>
      </c>
      <c r="AV37" s="663" t="s">
        <v>459</v>
      </c>
      <c r="AW37" s="664" t="s">
        <v>447</v>
      </c>
      <c r="AX37" s="663" t="s">
        <v>458</v>
      </c>
      <c r="AY37" s="664" t="s">
        <v>447</v>
      </c>
      <c r="AZ37" s="663" t="s">
        <v>458</v>
      </c>
      <c r="BA37" s="664" t="s">
        <v>448</v>
      </c>
      <c r="BB37" s="665" t="s">
        <v>458</v>
      </c>
      <c r="BC37" s="723"/>
      <c r="BD37" s="853" t="s">
        <v>462</v>
      </c>
      <c r="BE37" s="854"/>
      <c r="BF37" s="855" t="s">
        <v>455</v>
      </c>
      <c r="BG37" s="856"/>
      <c r="BH37" s="857" t="s">
        <v>461</v>
      </c>
      <c r="BI37" s="858"/>
      <c r="BJ37" s="662" t="s">
        <v>448</v>
      </c>
      <c r="BK37" s="663" t="s">
        <v>328</v>
      </c>
      <c r="BL37" s="664" t="s">
        <v>447</v>
      </c>
      <c r="BM37" s="663" t="s">
        <v>459</v>
      </c>
      <c r="BN37" s="664" t="s">
        <v>447</v>
      </c>
      <c r="BO37" s="663" t="s">
        <v>459</v>
      </c>
      <c r="BP37" s="664" t="s">
        <v>448</v>
      </c>
      <c r="BQ37" s="663" t="s">
        <v>458</v>
      </c>
      <c r="BR37" s="664" t="s">
        <v>447</v>
      </c>
      <c r="BS37" s="663" t="s">
        <v>458</v>
      </c>
      <c r="BT37" s="664" t="s">
        <v>448</v>
      </c>
      <c r="BU37" s="663" t="s">
        <v>459</v>
      </c>
      <c r="BV37" s="664" t="s">
        <v>447</v>
      </c>
      <c r="BW37" s="663" t="s">
        <v>458</v>
      </c>
      <c r="BX37" s="664" t="s">
        <v>447</v>
      </c>
      <c r="BY37" s="663" t="s">
        <v>458</v>
      </c>
      <c r="BZ37" s="664" t="s">
        <v>448</v>
      </c>
      <c r="CA37" s="663" t="s">
        <v>459</v>
      </c>
      <c r="CB37" s="664" t="s">
        <v>447</v>
      </c>
      <c r="CC37" s="663" t="s">
        <v>459</v>
      </c>
      <c r="CD37" s="664" t="s">
        <v>447</v>
      </c>
      <c r="CE37" s="663" t="s">
        <v>458</v>
      </c>
      <c r="CF37" s="664" t="s">
        <v>447</v>
      </c>
      <c r="CG37" s="663" t="s">
        <v>459</v>
      </c>
      <c r="CH37" s="664" t="s">
        <v>447</v>
      </c>
      <c r="CI37" s="663" t="s">
        <v>458</v>
      </c>
      <c r="CJ37" s="664" t="s">
        <v>448</v>
      </c>
      <c r="CK37" s="663" t="s">
        <v>459</v>
      </c>
      <c r="CL37" s="664" t="s">
        <v>448</v>
      </c>
      <c r="CM37" s="663" t="s">
        <v>458</v>
      </c>
      <c r="CN37" s="664" t="s">
        <v>448</v>
      </c>
      <c r="CO37" s="663" t="s">
        <v>459</v>
      </c>
      <c r="CP37" s="664" t="s">
        <v>447</v>
      </c>
      <c r="CQ37" s="663" t="s">
        <v>459</v>
      </c>
      <c r="CR37" s="664" t="s">
        <v>448</v>
      </c>
      <c r="CS37" s="663" t="s">
        <v>458</v>
      </c>
      <c r="CT37" s="664" t="s">
        <v>448</v>
      </c>
      <c r="CU37" s="663" t="s">
        <v>458</v>
      </c>
      <c r="CV37" s="664" t="s">
        <v>447</v>
      </c>
      <c r="CW37" s="663" t="s">
        <v>459</v>
      </c>
      <c r="CX37" s="664" t="s">
        <v>448</v>
      </c>
      <c r="CY37" s="663" t="s">
        <v>459</v>
      </c>
      <c r="CZ37" s="664" t="s">
        <v>448</v>
      </c>
      <c r="DA37" s="663" t="s">
        <v>458</v>
      </c>
      <c r="DB37" s="664" t="s">
        <v>448</v>
      </c>
      <c r="DC37" s="663" t="s">
        <v>458</v>
      </c>
      <c r="DD37" s="664" t="s">
        <v>447</v>
      </c>
      <c r="DE37" s="665" t="s">
        <v>459</v>
      </c>
      <c r="DF37" s="723"/>
      <c r="DG37" s="853" t="s">
        <v>462</v>
      </c>
      <c r="DH37" s="854"/>
      <c r="DI37" s="855" t="s">
        <v>460</v>
      </c>
      <c r="DJ37" s="856"/>
      <c r="DK37" s="857" t="s">
        <v>461</v>
      </c>
      <c r="DL37" s="858"/>
      <c r="DM37" s="662" t="s">
        <v>448</v>
      </c>
      <c r="DN37" s="663" t="s">
        <v>328</v>
      </c>
      <c r="DO37" s="664" t="s">
        <v>447</v>
      </c>
      <c r="DP37" s="663" t="s">
        <v>458</v>
      </c>
      <c r="DQ37" s="664" t="s">
        <v>448</v>
      </c>
      <c r="DR37" s="663" t="s">
        <v>459</v>
      </c>
      <c r="DS37" s="664" t="s">
        <v>448</v>
      </c>
      <c r="DT37" s="663" t="s">
        <v>458</v>
      </c>
      <c r="DU37" s="664" t="s">
        <v>447</v>
      </c>
      <c r="DV37" s="663" t="s">
        <v>459</v>
      </c>
      <c r="DW37" s="664" t="s">
        <v>448</v>
      </c>
      <c r="DX37" s="663" t="s">
        <v>459</v>
      </c>
      <c r="DY37" s="664" t="s">
        <v>448</v>
      </c>
      <c r="DZ37" s="663" t="s">
        <v>458</v>
      </c>
      <c r="EA37" s="664" t="s">
        <v>447</v>
      </c>
      <c r="EB37" s="663" t="s">
        <v>459</v>
      </c>
      <c r="EC37" s="664" t="s">
        <v>447</v>
      </c>
      <c r="ED37" s="663" t="s">
        <v>459</v>
      </c>
      <c r="EE37" s="664" t="s">
        <v>448</v>
      </c>
      <c r="EF37" s="663" t="s">
        <v>459</v>
      </c>
      <c r="EG37" s="664" t="s">
        <v>447</v>
      </c>
      <c r="EH37" s="663" t="s">
        <v>459</v>
      </c>
      <c r="EI37" s="664" t="s">
        <v>448</v>
      </c>
      <c r="EJ37" s="663" t="s">
        <v>458</v>
      </c>
      <c r="EK37" s="664" t="s">
        <v>447</v>
      </c>
      <c r="EL37" s="663" t="s">
        <v>458</v>
      </c>
      <c r="EM37" s="664" t="s">
        <v>448</v>
      </c>
      <c r="EN37" s="663" t="s">
        <v>458</v>
      </c>
      <c r="EO37" s="664" t="s">
        <v>447</v>
      </c>
      <c r="EP37" s="663" t="s">
        <v>459</v>
      </c>
      <c r="EQ37" s="664" t="s">
        <v>447</v>
      </c>
      <c r="ER37" s="663" t="s">
        <v>458</v>
      </c>
      <c r="ES37" s="664" t="s">
        <v>448</v>
      </c>
      <c r="ET37" s="663" t="s">
        <v>458</v>
      </c>
      <c r="EU37" s="664" t="s">
        <v>448</v>
      </c>
      <c r="EV37" s="663" t="s">
        <v>459</v>
      </c>
      <c r="EW37" s="664" t="s">
        <v>447</v>
      </c>
      <c r="EX37" s="663" t="s">
        <v>458</v>
      </c>
      <c r="EY37" s="664" t="s">
        <v>447</v>
      </c>
      <c r="EZ37" s="663" t="s">
        <v>458</v>
      </c>
      <c r="FA37" s="664" t="s">
        <v>448</v>
      </c>
      <c r="FB37" s="663" t="s">
        <v>458</v>
      </c>
      <c r="FC37" s="664" t="s">
        <v>448</v>
      </c>
      <c r="FD37" s="663" t="s">
        <v>459</v>
      </c>
      <c r="FE37" s="664" t="s">
        <v>447</v>
      </c>
      <c r="FF37" s="663" t="s">
        <v>459</v>
      </c>
      <c r="FG37" s="664" t="s">
        <v>448</v>
      </c>
      <c r="FH37" s="665" t="s">
        <v>458</v>
      </c>
      <c r="FI37" s="746"/>
      <c r="FJ37" s="827" t="s">
        <v>462</v>
      </c>
      <c r="FK37" s="854"/>
      <c r="FL37" s="855" t="s">
        <v>455</v>
      </c>
      <c r="FM37" s="856"/>
      <c r="FN37" s="857" t="s">
        <v>456</v>
      </c>
      <c r="FO37" s="858"/>
      <c r="FP37" s="672"/>
      <c r="FQ37" s="859" t="s">
        <v>311</v>
      </c>
      <c r="FR37" s="663" t="s">
        <v>459</v>
      </c>
      <c r="FS37" s="674"/>
      <c r="FT37" s="859" t="s">
        <v>463</v>
      </c>
      <c r="FU37" s="675" t="s">
        <v>458</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464</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c r="FM38" s="865"/>
      <c r="FN38" s="866">
        <v>0</v>
      </c>
      <c r="FO38" s="867"/>
      <c r="FP38" s="685"/>
      <c r="FQ38" s="686"/>
      <c r="FR38" s="559">
        <v>0</v>
      </c>
      <c r="FS38" s="687"/>
      <c r="FT38" s="686"/>
      <c r="FU38" s="567">
        <v>0</v>
      </c>
      <c r="FV38" s="593"/>
      <c r="FW38" s="594"/>
      <c r="FX38" s="806"/>
      <c r="FY38" s="596"/>
      <c r="FZ38" s="807"/>
      <c r="GA38" s="598"/>
      <c r="GB38" s="808"/>
      <c r="GC38" s="600"/>
      <c r="GD38" s="808"/>
      <c r="GE38" s="601"/>
      <c r="GF38" s="688"/>
      <c r="GG38" s="602"/>
      <c r="GH38" s="602"/>
      <c r="GI38" s="602"/>
      <c r="GJ38" s="580"/>
      <c r="GK38" s="413" t="s">
        <v>569</v>
      </c>
      <c r="GL38" s="409"/>
      <c r="GM38" s="413"/>
      <c r="GN38" s="409"/>
      <c r="GO38" s="413"/>
      <c r="GP38" s="413"/>
      <c r="GQ38" s="413"/>
      <c r="GR38" s="413"/>
      <c r="GS38" s="580"/>
      <c r="GT38" s="861"/>
      <c r="GU38" s="872" t="s">
        <v>699</v>
      </c>
      <c r="GV38" s="873"/>
      <c r="GW38" s="873"/>
      <c r="GX38" s="873"/>
      <c r="GY38" s="873"/>
      <c r="GZ38" s="874"/>
      <c r="HA38" s="633">
        <v>136.26999999999998</v>
      </c>
      <c r="HB38" s="875">
        <v>53.34</v>
      </c>
      <c r="HC38" s="530"/>
      <c r="HD38" s="530"/>
      <c r="HE38" s="387"/>
      <c r="HF38" s="387"/>
      <c r="HK38" s="415"/>
    </row>
    <row r="39" spans="1:219" ht="20.100000000000001" customHeight="1">
      <c r="A39" s="832"/>
      <c r="B39" s="876" t="s">
        <v>465</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409"/>
      <c r="GK39" s="885"/>
      <c r="GL39" s="886"/>
      <c r="GM39" s="887" t="s">
        <v>570</v>
      </c>
      <c r="GN39" s="886"/>
      <c r="GO39" s="887" t="s">
        <v>837</v>
      </c>
      <c r="GP39" s="886"/>
      <c r="GQ39" s="887" t="s">
        <v>789</v>
      </c>
      <c r="GR39" s="888"/>
      <c r="GS39" s="413"/>
      <c r="GT39" s="689"/>
      <c r="GU39" s="530" t="s">
        <v>786</v>
      </c>
      <c r="GV39" s="530"/>
      <c r="GW39" s="530"/>
      <c r="GX39" s="530"/>
      <c r="GY39" s="530"/>
      <c r="GZ39" s="530"/>
      <c r="HA39" s="690">
        <v>2.5499999999999998</v>
      </c>
      <c r="HB39" s="579"/>
      <c r="HC39" s="530"/>
      <c r="HD39" s="562"/>
    </row>
    <row r="40" spans="1:219" ht="20.100000000000001" customHeight="1">
      <c r="A40" s="889"/>
      <c r="B40" s="642"/>
      <c r="C40" s="642"/>
      <c r="D40" s="643" t="s">
        <v>329</v>
      </c>
      <c r="E40" s="642"/>
      <c r="F40" s="642"/>
      <c r="G40" s="845"/>
      <c r="H40" s="1294">
        <v>0</v>
      </c>
      <c r="I40" s="1295"/>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1296">
        <v>0</v>
      </c>
      <c r="BC40" s="648"/>
      <c r="BD40" s="889"/>
      <c r="BE40" s="642"/>
      <c r="BF40" s="642"/>
      <c r="BG40" s="643" t="s">
        <v>466</v>
      </c>
      <c r="BH40" s="642"/>
      <c r="BI40" s="642"/>
      <c r="BJ40" s="845"/>
      <c r="BK40" s="1294">
        <v>0</v>
      </c>
      <c r="BL40" s="1295"/>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1296">
        <v>0</v>
      </c>
      <c r="DF40" s="648"/>
      <c r="DG40" s="889"/>
      <c r="DH40" s="642"/>
      <c r="DI40" s="642"/>
      <c r="DJ40" s="643" t="s">
        <v>466</v>
      </c>
      <c r="DK40" s="642"/>
      <c r="DL40" s="642"/>
      <c r="DM40" s="845"/>
      <c r="DN40" s="1294">
        <v>0</v>
      </c>
      <c r="DO40" s="1295"/>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1296">
        <v>0</v>
      </c>
      <c r="FI40" s="649"/>
      <c r="FJ40" s="841"/>
      <c r="FK40" s="642"/>
      <c r="FL40" s="642"/>
      <c r="FM40" s="643" t="s">
        <v>466</v>
      </c>
      <c r="FN40" s="642"/>
      <c r="FO40" s="642"/>
      <c r="FP40" s="650"/>
      <c r="FQ40" s="1295"/>
      <c r="FR40" s="1294">
        <v>0</v>
      </c>
      <c r="FS40" s="1297"/>
      <c r="FT40" s="1295"/>
      <c r="FU40" s="1298">
        <v>0</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947</v>
      </c>
      <c r="GV40" s="530"/>
      <c r="GW40" s="530"/>
      <c r="GX40" s="530"/>
      <c r="GY40" s="530"/>
      <c r="GZ40" s="530"/>
      <c r="HA40" s="894">
        <v>49.2</v>
      </c>
      <c r="HB40" s="413"/>
      <c r="HC40" s="530"/>
      <c r="HD40" s="580"/>
      <c r="HK40" s="415"/>
    </row>
    <row r="41" spans="1:219" ht="20.100000000000001" customHeight="1">
      <c r="A41" s="862" t="s">
        <v>467</v>
      </c>
      <c r="B41" s="738"/>
      <c r="C41" s="895"/>
      <c r="D41" s="895"/>
      <c r="E41" s="895"/>
      <c r="F41" s="896"/>
      <c r="G41" s="740"/>
      <c r="H41" s="663" t="s">
        <v>430</v>
      </c>
      <c r="I41" s="741"/>
      <c r="J41" s="663" t="s">
        <v>428</v>
      </c>
      <c r="K41" s="742"/>
      <c r="L41" s="663" t="s">
        <v>430</v>
      </c>
      <c r="M41" s="742"/>
      <c r="N41" s="663" t="s">
        <v>428</v>
      </c>
      <c r="O41" s="742"/>
      <c r="P41" s="663" t="s">
        <v>430</v>
      </c>
      <c r="Q41" s="742"/>
      <c r="R41" s="663" t="s">
        <v>428</v>
      </c>
      <c r="S41" s="742"/>
      <c r="T41" s="663" t="s">
        <v>428</v>
      </c>
      <c r="U41" s="742"/>
      <c r="V41" s="663" t="s">
        <v>428</v>
      </c>
      <c r="W41" s="742"/>
      <c r="X41" s="663" t="s">
        <v>428</v>
      </c>
      <c r="Y41" s="742" t="s">
        <v>448</v>
      </c>
      <c r="Z41" s="663" t="s">
        <v>430</v>
      </c>
      <c r="AA41" s="742" t="s">
        <v>447</v>
      </c>
      <c r="AB41" s="663" t="s">
        <v>428</v>
      </c>
      <c r="AC41" s="742"/>
      <c r="AD41" s="663" t="s">
        <v>430</v>
      </c>
      <c r="AE41" s="742"/>
      <c r="AF41" s="663" t="s">
        <v>428</v>
      </c>
      <c r="AG41" s="742"/>
      <c r="AH41" s="663" t="s">
        <v>428</v>
      </c>
      <c r="AI41" s="742"/>
      <c r="AJ41" s="663" t="s">
        <v>430</v>
      </c>
      <c r="AK41" s="742"/>
      <c r="AL41" s="663" t="s">
        <v>428</v>
      </c>
      <c r="AM41" s="742"/>
      <c r="AN41" s="663" t="s">
        <v>430</v>
      </c>
      <c r="AO41" s="742"/>
      <c r="AP41" s="663" t="s">
        <v>428</v>
      </c>
      <c r="AQ41" s="742"/>
      <c r="AR41" s="663" t="s">
        <v>428</v>
      </c>
      <c r="AS41" s="742"/>
      <c r="AT41" s="663" t="s">
        <v>430</v>
      </c>
      <c r="AU41" s="742"/>
      <c r="AV41" s="663" t="s">
        <v>428</v>
      </c>
      <c r="AW41" s="742"/>
      <c r="AX41" s="663" t="s">
        <v>428</v>
      </c>
      <c r="AY41" s="742"/>
      <c r="AZ41" s="663" t="s">
        <v>428</v>
      </c>
      <c r="BA41" s="742"/>
      <c r="BB41" s="665" t="s">
        <v>428</v>
      </c>
      <c r="BC41" s="723"/>
      <c r="BD41" s="862" t="s">
        <v>468</v>
      </c>
      <c r="BE41" s="738"/>
      <c r="BF41" s="895"/>
      <c r="BG41" s="895"/>
      <c r="BH41" s="895"/>
      <c r="BI41" s="896"/>
      <c r="BJ41" s="740"/>
      <c r="BK41" s="663" t="s">
        <v>428</v>
      </c>
      <c r="BL41" s="741"/>
      <c r="BM41" s="663" t="s">
        <v>430</v>
      </c>
      <c r="BN41" s="742"/>
      <c r="BO41" s="663" t="s">
        <v>428</v>
      </c>
      <c r="BP41" s="742"/>
      <c r="BQ41" s="663" t="s">
        <v>430</v>
      </c>
      <c r="BR41" s="742"/>
      <c r="BS41" s="663" t="s">
        <v>428</v>
      </c>
      <c r="BT41" s="742"/>
      <c r="BU41" s="663" t="s">
        <v>428</v>
      </c>
      <c r="BV41" s="742"/>
      <c r="BW41" s="663" t="s">
        <v>430</v>
      </c>
      <c r="BX41" s="742"/>
      <c r="BY41" s="663" t="s">
        <v>428</v>
      </c>
      <c r="BZ41" s="742"/>
      <c r="CA41" s="663" t="s">
        <v>428</v>
      </c>
      <c r="CB41" s="742" t="s">
        <v>447</v>
      </c>
      <c r="CC41" s="663" t="s">
        <v>430</v>
      </c>
      <c r="CD41" s="742" t="s">
        <v>448</v>
      </c>
      <c r="CE41" s="663" t="s">
        <v>430</v>
      </c>
      <c r="CF41" s="742"/>
      <c r="CG41" s="663" t="s">
        <v>428</v>
      </c>
      <c r="CH41" s="742"/>
      <c r="CI41" s="663" t="s">
        <v>430</v>
      </c>
      <c r="CJ41" s="742"/>
      <c r="CK41" s="663" t="s">
        <v>428</v>
      </c>
      <c r="CL41" s="742"/>
      <c r="CM41" s="663" t="s">
        <v>430</v>
      </c>
      <c r="CN41" s="742"/>
      <c r="CO41" s="663" t="s">
        <v>430</v>
      </c>
      <c r="CP41" s="742"/>
      <c r="CQ41" s="663" t="s">
        <v>428</v>
      </c>
      <c r="CR41" s="742"/>
      <c r="CS41" s="663" t="s">
        <v>430</v>
      </c>
      <c r="CT41" s="742"/>
      <c r="CU41" s="663" t="s">
        <v>428</v>
      </c>
      <c r="CV41" s="742"/>
      <c r="CW41" s="663" t="s">
        <v>428</v>
      </c>
      <c r="CX41" s="742"/>
      <c r="CY41" s="663" t="s">
        <v>430</v>
      </c>
      <c r="CZ41" s="742"/>
      <c r="DA41" s="663" t="s">
        <v>428</v>
      </c>
      <c r="DB41" s="742"/>
      <c r="DC41" s="663" t="s">
        <v>428</v>
      </c>
      <c r="DD41" s="742"/>
      <c r="DE41" s="665" t="s">
        <v>428</v>
      </c>
      <c r="DF41" s="723"/>
      <c r="DG41" s="862" t="s">
        <v>467</v>
      </c>
      <c r="DH41" s="738"/>
      <c r="DI41" s="895"/>
      <c r="DJ41" s="895"/>
      <c r="DK41" s="895"/>
      <c r="DL41" s="896"/>
      <c r="DM41" s="740"/>
      <c r="DN41" s="663" t="s">
        <v>428</v>
      </c>
      <c r="DO41" s="741"/>
      <c r="DP41" s="663" t="s">
        <v>428</v>
      </c>
      <c r="DQ41" s="742"/>
      <c r="DR41" s="663" t="s">
        <v>430</v>
      </c>
      <c r="DS41" s="742"/>
      <c r="DT41" s="663" t="s">
        <v>428</v>
      </c>
      <c r="DU41" s="742"/>
      <c r="DV41" s="663" t="s">
        <v>430</v>
      </c>
      <c r="DW41" s="742"/>
      <c r="DX41" s="663" t="s">
        <v>428</v>
      </c>
      <c r="DY41" s="742"/>
      <c r="DZ41" s="663" t="s">
        <v>428</v>
      </c>
      <c r="EA41" s="742"/>
      <c r="EB41" s="663" t="s">
        <v>430</v>
      </c>
      <c r="EC41" s="742"/>
      <c r="ED41" s="663" t="s">
        <v>428</v>
      </c>
      <c r="EE41" s="742" t="s">
        <v>448</v>
      </c>
      <c r="EF41" s="663" t="s">
        <v>428</v>
      </c>
      <c r="EG41" s="742" t="s">
        <v>447</v>
      </c>
      <c r="EH41" s="663" t="s">
        <v>428</v>
      </c>
      <c r="EI41" s="742"/>
      <c r="EJ41" s="663" t="s">
        <v>430</v>
      </c>
      <c r="EK41" s="742"/>
      <c r="EL41" s="663" t="s">
        <v>430</v>
      </c>
      <c r="EM41" s="742"/>
      <c r="EN41" s="663" t="s">
        <v>430</v>
      </c>
      <c r="EO41" s="742"/>
      <c r="EP41" s="663" t="s">
        <v>428</v>
      </c>
      <c r="EQ41" s="742"/>
      <c r="ER41" s="663" t="s">
        <v>430</v>
      </c>
      <c r="ES41" s="742"/>
      <c r="ET41" s="663" t="s">
        <v>430</v>
      </c>
      <c r="EU41" s="742"/>
      <c r="EV41" s="663" t="s">
        <v>428</v>
      </c>
      <c r="EW41" s="742"/>
      <c r="EX41" s="663" t="s">
        <v>430</v>
      </c>
      <c r="EY41" s="742"/>
      <c r="EZ41" s="663" t="s">
        <v>428</v>
      </c>
      <c r="FA41" s="742"/>
      <c r="FB41" s="663" t="s">
        <v>428</v>
      </c>
      <c r="FC41" s="742"/>
      <c r="FD41" s="663" t="s">
        <v>430</v>
      </c>
      <c r="FE41" s="742"/>
      <c r="FF41" s="663" t="s">
        <v>428</v>
      </c>
      <c r="FG41" s="742"/>
      <c r="FH41" s="665" t="s">
        <v>428</v>
      </c>
      <c r="FI41" s="746"/>
      <c r="FJ41" s="827" t="s">
        <v>467</v>
      </c>
      <c r="FK41" s="743"/>
      <c r="FL41" s="897"/>
      <c r="FM41" s="897"/>
      <c r="FN41" s="897"/>
      <c r="FO41" s="898"/>
      <c r="FP41" s="747"/>
      <c r="FQ41" s="673"/>
      <c r="FR41" s="663" t="s">
        <v>434</v>
      </c>
      <c r="FS41" s="748"/>
      <c r="FT41" s="673"/>
      <c r="FU41" s="675" t="s">
        <v>434</v>
      </c>
      <c r="FV41" s="593"/>
      <c r="FW41" s="594"/>
      <c r="FX41" s="806"/>
      <c r="FY41" s="596"/>
      <c r="FZ41" s="807"/>
      <c r="GA41" s="598"/>
      <c r="GB41" s="808"/>
      <c r="GC41" s="600"/>
      <c r="GD41" s="808"/>
      <c r="GE41" s="601"/>
      <c r="GF41" s="749"/>
      <c r="GG41" s="750"/>
      <c r="GH41" s="750"/>
      <c r="GI41" s="750"/>
      <c r="GJ41" s="580"/>
      <c r="GK41" s="899" t="s">
        <v>574</v>
      </c>
      <c r="GL41" s="900"/>
      <c r="GM41" s="901" t="s">
        <v>838</v>
      </c>
      <c r="GN41" s="901"/>
      <c r="GO41" s="901" t="s">
        <v>576</v>
      </c>
      <c r="GP41" s="901"/>
      <c r="GQ41" s="901"/>
      <c r="GR41" s="902"/>
      <c r="GS41" s="861"/>
      <c r="GT41" s="689"/>
      <c r="GU41" s="530" t="s">
        <v>611</v>
      </c>
      <c r="GV41" s="530"/>
      <c r="GW41" s="530"/>
      <c r="GX41" s="530"/>
      <c r="GY41" s="530"/>
      <c r="GZ41" s="530"/>
      <c r="HA41" s="894">
        <v>35.799999999999997</v>
      </c>
      <c r="HB41" s="413"/>
      <c r="HC41" s="530"/>
      <c r="HD41" s="409"/>
    </row>
    <row r="42" spans="1:219" ht="20.100000000000001" customHeight="1">
      <c r="A42" s="832"/>
      <c r="B42" s="903" t="s">
        <v>469</v>
      </c>
      <c r="C42" s="904"/>
      <c r="D42" s="904"/>
      <c r="E42" s="905"/>
      <c r="F42" s="906"/>
      <c r="G42" s="836"/>
      <c r="H42" s="837"/>
      <c r="I42" s="838"/>
      <c r="J42" s="799"/>
      <c r="K42" s="839"/>
      <c r="L42" s="799"/>
      <c r="M42" s="839"/>
      <c r="N42" s="799"/>
      <c r="O42" s="839"/>
      <c r="P42" s="799"/>
      <c r="Q42" s="839"/>
      <c r="R42" s="799"/>
      <c r="S42" s="839"/>
      <c r="T42" s="799"/>
      <c r="U42" s="839"/>
      <c r="V42" s="799"/>
      <c r="W42" s="839"/>
      <c r="X42" s="799">
        <v>1259</v>
      </c>
      <c r="Y42" s="839"/>
      <c r="Z42" s="799">
        <v>805</v>
      </c>
      <c r="AA42" s="839"/>
      <c r="AB42" s="799">
        <v>779</v>
      </c>
      <c r="AC42" s="839"/>
      <c r="AD42" s="799">
        <v>752</v>
      </c>
      <c r="AE42" s="839"/>
      <c r="AF42" s="799">
        <v>736</v>
      </c>
      <c r="AG42" s="839"/>
      <c r="AH42" s="799">
        <v>715</v>
      </c>
      <c r="AI42" s="839"/>
      <c r="AJ42" s="799">
        <v>693</v>
      </c>
      <c r="AK42" s="839"/>
      <c r="AL42" s="799">
        <v>677</v>
      </c>
      <c r="AM42" s="839"/>
      <c r="AN42" s="799">
        <v>661</v>
      </c>
      <c r="AO42" s="839"/>
      <c r="AP42" s="799">
        <v>645</v>
      </c>
      <c r="AQ42" s="839"/>
      <c r="AR42" s="799"/>
      <c r="AS42" s="839"/>
      <c r="AT42" s="799"/>
      <c r="AU42" s="839"/>
      <c r="AV42" s="799"/>
      <c r="AW42" s="839"/>
      <c r="AX42" s="799"/>
      <c r="AY42" s="839"/>
      <c r="AZ42" s="799"/>
      <c r="BA42" s="839"/>
      <c r="BB42" s="840"/>
      <c r="BC42" s="562"/>
      <c r="BD42" s="832"/>
      <c r="BE42" s="907" t="s">
        <v>469</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1259</v>
      </c>
      <c r="CB42" s="839"/>
      <c r="CC42" s="799">
        <v>805</v>
      </c>
      <c r="CD42" s="839"/>
      <c r="CE42" s="799">
        <v>779</v>
      </c>
      <c r="CF42" s="839"/>
      <c r="CG42" s="799">
        <v>752</v>
      </c>
      <c r="CH42" s="839"/>
      <c r="CI42" s="799">
        <v>736</v>
      </c>
      <c r="CJ42" s="839"/>
      <c r="CK42" s="799">
        <v>715</v>
      </c>
      <c r="CL42" s="839"/>
      <c r="CM42" s="799">
        <v>693</v>
      </c>
      <c r="CN42" s="839"/>
      <c r="CO42" s="799">
        <v>677</v>
      </c>
      <c r="CP42" s="839"/>
      <c r="CQ42" s="799">
        <v>661</v>
      </c>
      <c r="CR42" s="839"/>
      <c r="CS42" s="799">
        <v>645</v>
      </c>
      <c r="CT42" s="839"/>
      <c r="CU42" s="799"/>
      <c r="CV42" s="839"/>
      <c r="CW42" s="799"/>
      <c r="CX42" s="839"/>
      <c r="CY42" s="799"/>
      <c r="CZ42" s="839"/>
      <c r="DA42" s="799"/>
      <c r="DB42" s="839"/>
      <c r="DC42" s="799"/>
      <c r="DD42" s="839"/>
      <c r="DE42" s="840"/>
      <c r="DF42" s="562"/>
      <c r="DG42" s="832"/>
      <c r="DH42" s="907" t="s">
        <v>469</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1259</v>
      </c>
      <c r="EE42" s="839"/>
      <c r="EF42" s="799">
        <v>805</v>
      </c>
      <c r="EG42" s="839"/>
      <c r="EH42" s="799">
        <v>779</v>
      </c>
      <c r="EI42" s="839"/>
      <c r="EJ42" s="799">
        <v>752</v>
      </c>
      <c r="EK42" s="839"/>
      <c r="EL42" s="799">
        <v>736</v>
      </c>
      <c r="EM42" s="839"/>
      <c r="EN42" s="799">
        <v>715</v>
      </c>
      <c r="EO42" s="839"/>
      <c r="EP42" s="799">
        <v>693</v>
      </c>
      <c r="EQ42" s="839"/>
      <c r="ER42" s="799">
        <v>677</v>
      </c>
      <c r="ES42" s="839"/>
      <c r="ET42" s="799">
        <v>661</v>
      </c>
      <c r="EU42" s="839"/>
      <c r="EV42" s="799">
        <v>645</v>
      </c>
      <c r="EW42" s="839"/>
      <c r="EX42" s="799"/>
      <c r="EY42" s="839"/>
      <c r="EZ42" s="799"/>
      <c r="FA42" s="839"/>
      <c r="FB42" s="799"/>
      <c r="FC42" s="839"/>
      <c r="FD42" s="799"/>
      <c r="FE42" s="839"/>
      <c r="FF42" s="799"/>
      <c r="FG42" s="839"/>
      <c r="FH42" s="840"/>
      <c r="FI42" s="563"/>
      <c r="FJ42" s="841"/>
      <c r="FK42" s="907" t="s">
        <v>469</v>
      </c>
      <c r="FL42" s="904"/>
      <c r="FM42" s="904"/>
      <c r="FN42" s="905"/>
      <c r="FO42" s="906"/>
      <c r="FP42" s="842"/>
      <c r="FQ42" s="838"/>
      <c r="FR42" s="837">
        <v>1984</v>
      </c>
      <c r="FS42" s="843"/>
      <c r="FT42" s="838"/>
      <c r="FU42" s="805">
        <v>1984</v>
      </c>
      <c r="FV42" s="593"/>
      <c r="FW42" s="594"/>
      <c r="FX42" s="806"/>
      <c r="FY42" s="596"/>
      <c r="FZ42" s="807"/>
      <c r="GA42" s="598"/>
      <c r="GB42" s="808"/>
      <c r="GC42" s="600"/>
      <c r="GD42" s="808"/>
      <c r="GE42" s="601"/>
      <c r="GF42" s="844"/>
      <c r="GG42" s="602"/>
      <c r="GH42" s="602"/>
      <c r="GI42" s="602"/>
      <c r="GJ42" s="409"/>
      <c r="GK42" s="908"/>
      <c r="GL42" s="909"/>
      <c r="GM42" s="910">
        <v>10.1</v>
      </c>
      <c r="GN42" s="910"/>
      <c r="GO42" s="910">
        <v>13.5</v>
      </c>
      <c r="GP42" s="910"/>
      <c r="GQ42" s="910">
        <v>23.6</v>
      </c>
      <c r="GR42" s="911"/>
      <c r="GS42" s="580"/>
      <c r="GT42" s="500"/>
      <c r="GU42" s="500"/>
      <c r="GV42" s="500"/>
      <c r="GW42" s="579"/>
      <c r="GX42" s="579"/>
      <c r="GY42" s="579"/>
      <c r="GZ42" s="578"/>
      <c r="HA42" s="500"/>
      <c r="HB42" s="500"/>
      <c r="HC42" s="530"/>
      <c r="HD42" s="530"/>
    </row>
    <row r="43" spans="1:219" ht="20.100000000000001" customHeight="1">
      <c r="A43" s="832"/>
      <c r="B43" s="912" t="s">
        <v>471</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472</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472</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471</v>
      </c>
      <c r="FL43" s="913"/>
      <c r="FM43" s="913"/>
      <c r="FN43" s="913"/>
      <c r="FO43" s="914"/>
      <c r="FP43" s="696"/>
      <c r="FQ43" s="697"/>
      <c r="FR43" s="587">
        <v>0</v>
      </c>
      <c r="FS43" s="698"/>
      <c r="FT43" s="697"/>
      <c r="FU43" s="592">
        <v>0</v>
      </c>
      <c r="FV43" s="918"/>
      <c r="FW43" s="919"/>
      <c r="FX43" s="920"/>
      <c r="FY43" s="921"/>
      <c r="FZ43" s="922"/>
      <c r="GA43" s="923"/>
      <c r="GB43" s="924"/>
      <c r="GC43" s="925"/>
      <c r="GD43" s="924"/>
      <c r="GE43" s="926"/>
      <c r="GF43" s="688"/>
      <c r="GG43" s="602"/>
      <c r="GH43" s="602"/>
      <c r="GI43" s="602"/>
      <c r="GJ43" s="927"/>
      <c r="GK43" s="928" t="s">
        <v>721</v>
      </c>
      <c r="GL43" s="929"/>
      <c r="GM43" s="930" t="s">
        <v>839</v>
      </c>
      <c r="GN43" s="930"/>
      <c r="GO43" s="930" t="s">
        <v>578</v>
      </c>
      <c r="GP43" s="930"/>
      <c r="GQ43" s="930"/>
      <c r="GR43" s="931"/>
      <c r="GS43" s="580"/>
      <c r="GT43" s="609"/>
      <c r="GU43" s="530" t="s">
        <v>722</v>
      </c>
      <c r="GV43" s="413"/>
      <c r="GW43" s="409"/>
      <c r="GX43" s="413"/>
      <c r="GY43" s="413"/>
      <c r="GZ43" s="413"/>
      <c r="HA43" s="409"/>
      <c r="HB43" s="413"/>
      <c r="HC43" s="932"/>
      <c r="HD43" s="415"/>
    </row>
    <row r="44" spans="1:219" ht="20.100000000000001" customHeight="1" thickBot="1">
      <c r="A44" s="933"/>
      <c r="B44" s="642"/>
      <c r="C44" s="642"/>
      <c r="D44" s="643" t="s">
        <v>672</v>
      </c>
      <c r="E44" s="642"/>
      <c r="F44" s="642"/>
      <c r="G44" s="845"/>
      <c r="H44" s="1294">
        <v>0</v>
      </c>
      <c r="I44" s="1295"/>
      <c r="J44" s="848">
        <v>0</v>
      </c>
      <c r="K44" s="849"/>
      <c r="L44" s="848">
        <v>0</v>
      </c>
      <c r="M44" s="849"/>
      <c r="N44" s="848">
        <v>0</v>
      </c>
      <c r="O44" s="849"/>
      <c r="P44" s="848">
        <v>0</v>
      </c>
      <c r="Q44" s="849"/>
      <c r="R44" s="848">
        <v>0</v>
      </c>
      <c r="S44" s="849"/>
      <c r="T44" s="848">
        <v>0</v>
      </c>
      <c r="U44" s="849"/>
      <c r="V44" s="848">
        <v>0</v>
      </c>
      <c r="W44" s="849"/>
      <c r="X44" s="848">
        <v>1259</v>
      </c>
      <c r="Y44" s="849"/>
      <c r="Z44" s="848">
        <v>805</v>
      </c>
      <c r="AA44" s="849"/>
      <c r="AB44" s="848">
        <v>779</v>
      </c>
      <c r="AC44" s="849"/>
      <c r="AD44" s="848">
        <v>752</v>
      </c>
      <c r="AE44" s="849"/>
      <c r="AF44" s="848">
        <v>736</v>
      </c>
      <c r="AG44" s="849"/>
      <c r="AH44" s="848">
        <v>715</v>
      </c>
      <c r="AI44" s="849"/>
      <c r="AJ44" s="848">
        <v>693</v>
      </c>
      <c r="AK44" s="849"/>
      <c r="AL44" s="848">
        <v>677</v>
      </c>
      <c r="AM44" s="849"/>
      <c r="AN44" s="848">
        <v>661</v>
      </c>
      <c r="AO44" s="849"/>
      <c r="AP44" s="848">
        <v>645</v>
      </c>
      <c r="AQ44" s="849"/>
      <c r="AR44" s="848">
        <v>0</v>
      </c>
      <c r="AS44" s="849"/>
      <c r="AT44" s="848">
        <v>0</v>
      </c>
      <c r="AU44" s="849"/>
      <c r="AV44" s="848">
        <v>0</v>
      </c>
      <c r="AW44" s="849"/>
      <c r="AX44" s="848">
        <v>0</v>
      </c>
      <c r="AY44" s="849"/>
      <c r="AZ44" s="848">
        <v>0</v>
      </c>
      <c r="BA44" s="849"/>
      <c r="BB44" s="1296">
        <v>0</v>
      </c>
      <c r="BC44" s="648"/>
      <c r="BD44" s="933"/>
      <c r="BE44" s="642"/>
      <c r="BF44" s="642"/>
      <c r="BG44" s="643" t="s">
        <v>672</v>
      </c>
      <c r="BH44" s="642"/>
      <c r="BI44" s="642"/>
      <c r="BJ44" s="845"/>
      <c r="BK44" s="1294">
        <v>0</v>
      </c>
      <c r="BL44" s="1295"/>
      <c r="BM44" s="848">
        <v>0</v>
      </c>
      <c r="BN44" s="849"/>
      <c r="BO44" s="848">
        <v>0</v>
      </c>
      <c r="BP44" s="849"/>
      <c r="BQ44" s="848">
        <v>0</v>
      </c>
      <c r="BR44" s="849"/>
      <c r="BS44" s="848">
        <v>0</v>
      </c>
      <c r="BT44" s="849"/>
      <c r="BU44" s="848">
        <v>0</v>
      </c>
      <c r="BV44" s="849"/>
      <c r="BW44" s="848">
        <v>0</v>
      </c>
      <c r="BX44" s="849"/>
      <c r="BY44" s="848">
        <v>0</v>
      </c>
      <c r="BZ44" s="849"/>
      <c r="CA44" s="848">
        <v>1259</v>
      </c>
      <c r="CB44" s="849"/>
      <c r="CC44" s="848">
        <v>805</v>
      </c>
      <c r="CD44" s="849"/>
      <c r="CE44" s="848">
        <v>779</v>
      </c>
      <c r="CF44" s="849"/>
      <c r="CG44" s="848">
        <v>752</v>
      </c>
      <c r="CH44" s="849"/>
      <c r="CI44" s="848">
        <v>736</v>
      </c>
      <c r="CJ44" s="849"/>
      <c r="CK44" s="848">
        <v>715</v>
      </c>
      <c r="CL44" s="849"/>
      <c r="CM44" s="848">
        <v>693</v>
      </c>
      <c r="CN44" s="849"/>
      <c r="CO44" s="848">
        <v>677</v>
      </c>
      <c r="CP44" s="849"/>
      <c r="CQ44" s="848">
        <v>661</v>
      </c>
      <c r="CR44" s="849"/>
      <c r="CS44" s="848">
        <v>645</v>
      </c>
      <c r="CT44" s="849"/>
      <c r="CU44" s="848">
        <v>0</v>
      </c>
      <c r="CV44" s="849"/>
      <c r="CW44" s="848">
        <v>0</v>
      </c>
      <c r="CX44" s="849"/>
      <c r="CY44" s="848">
        <v>0</v>
      </c>
      <c r="CZ44" s="849"/>
      <c r="DA44" s="848">
        <v>0</v>
      </c>
      <c r="DB44" s="849"/>
      <c r="DC44" s="848">
        <v>0</v>
      </c>
      <c r="DD44" s="849"/>
      <c r="DE44" s="1296">
        <v>0</v>
      </c>
      <c r="DF44" s="648"/>
      <c r="DG44" s="933"/>
      <c r="DH44" s="642"/>
      <c r="DI44" s="642"/>
      <c r="DJ44" s="643" t="s">
        <v>672</v>
      </c>
      <c r="DK44" s="642"/>
      <c r="DL44" s="642"/>
      <c r="DM44" s="845"/>
      <c r="DN44" s="1294">
        <v>0</v>
      </c>
      <c r="DO44" s="1295"/>
      <c r="DP44" s="848">
        <v>0</v>
      </c>
      <c r="DQ44" s="849"/>
      <c r="DR44" s="848">
        <v>0</v>
      </c>
      <c r="DS44" s="849"/>
      <c r="DT44" s="848">
        <v>0</v>
      </c>
      <c r="DU44" s="849"/>
      <c r="DV44" s="848">
        <v>0</v>
      </c>
      <c r="DW44" s="849"/>
      <c r="DX44" s="848">
        <v>0</v>
      </c>
      <c r="DY44" s="849"/>
      <c r="DZ44" s="848">
        <v>0</v>
      </c>
      <c r="EA44" s="849"/>
      <c r="EB44" s="848">
        <v>0</v>
      </c>
      <c r="EC44" s="849"/>
      <c r="ED44" s="848">
        <v>1259</v>
      </c>
      <c r="EE44" s="849"/>
      <c r="EF44" s="848">
        <v>805</v>
      </c>
      <c r="EG44" s="849"/>
      <c r="EH44" s="848">
        <v>779</v>
      </c>
      <c r="EI44" s="849"/>
      <c r="EJ44" s="848">
        <v>752</v>
      </c>
      <c r="EK44" s="849"/>
      <c r="EL44" s="848">
        <v>736</v>
      </c>
      <c r="EM44" s="849"/>
      <c r="EN44" s="848">
        <v>715</v>
      </c>
      <c r="EO44" s="849"/>
      <c r="EP44" s="848">
        <v>693</v>
      </c>
      <c r="EQ44" s="849"/>
      <c r="ER44" s="848">
        <v>677</v>
      </c>
      <c r="ES44" s="849"/>
      <c r="ET44" s="848">
        <v>661</v>
      </c>
      <c r="EU44" s="849"/>
      <c r="EV44" s="848">
        <v>645</v>
      </c>
      <c r="EW44" s="849"/>
      <c r="EX44" s="848">
        <v>0</v>
      </c>
      <c r="EY44" s="849"/>
      <c r="EZ44" s="848">
        <v>0</v>
      </c>
      <c r="FA44" s="849"/>
      <c r="FB44" s="848">
        <v>0</v>
      </c>
      <c r="FC44" s="849"/>
      <c r="FD44" s="848">
        <v>0</v>
      </c>
      <c r="FE44" s="849"/>
      <c r="FF44" s="848">
        <v>0</v>
      </c>
      <c r="FG44" s="849"/>
      <c r="FH44" s="1296">
        <v>0</v>
      </c>
      <c r="FI44" s="649"/>
      <c r="FJ44" s="934"/>
      <c r="FK44" s="642"/>
      <c r="FL44" s="642"/>
      <c r="FM44" s="643" t="s">
        <v>330</v>
      </c>
      <c r="FN44" s="642"/>
      <c r="FO44" s="642"/>
      <c r="FP44" s="650"/>
      <c r="FQ44" s="1295"/>
      <c r="FR44" s="1294">
        <v>1984</v>
      </c>
      <c r="FS44" s="1297"/>
      <c r="FT44" s="1295"/>
      <c r="FU44" s="1298">
        <v>1984</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6.6</v>
      </c>
      <c r="GN44" s="935"/>
      <c r="GO44" s="935">
        <v>9</v>
      </c>
      <c r="GP44" s="935"/>
      <c r="GQ44" s="910">
        <v>15.6</v>
      </c>
      <c r="GR44" s="911"/>
      <c r="GS44" s="936"/>
      <c r="GT44" s="937"/>
      <c r="GU44" s="530" t="s">
        <v>723</v>
      </c>
      <c r="GV44" s="615"/>
      <c r="GW44" s="615"/>
      <c r="GX44" s="615"/>
      <c r="GY44" s="413"/>
      <c r="GZ44" s="413"/>
      <c r="HA44" s="751">
        <v>1.5</v>
      </c>
      <c r="HB44" s="413" t="s">
        <v>550</v>
      </c>
      <c r="HC44" s="938"/>
      <c r="HD44" s="415"/>
    </row>
    <row r="45" spans="1:219" ht="20.100000000000001" customHeight="1" thickTop="1">
      <c r="A45" s="939" t="s">
        <v>476</v>
      </c>
      <c r="B45" s="940"/>
      <c r="C45" s="940"/>
      <c r="D45" s="940"/>
      <c r="E45" s="940"/>
      <c r="F45" s="941"/>
      <c r="G45" s="942"/>
      <c r="H45" s="943">
        <v>0</v>
      </c>
      <c r="I45" s="944"/>
      <c r="J45" s="943">
        <v>0</v>
      </c>
      <c r="K45" s="944"/>
      <c r="L45" s="943">
        <v>0</v>
      </c>
      <c r="M45" s="944"/>
      <c r="N45" s="943">
        <v>0</v>
      </c>
      <c r="O45" s="944"/>
      <c r="P45" s="943">
        <v>0</v>
      </c>
      <c r="Q45" s="944"/>
      <c r="R45" s="943">
        <v>0</v>
      </c>
      <c r="S45" s="944"/>
      <c r="T45" s="943">
        <v>0</v>
      </c>
      <c r="U45" s="944"/>
      <c r="V45" s="943">
        <v>0</v>
      </c>
      <c r="W45" s="944"/>
      <c r="X45" s="943">
        <v>2996</v>
      </c>
      <c r="Y45" s="944"/>
      <c r="Z45" s="943">
        <v>2717</v>
      </c>
      <c r="AA45" s="944"/>
      <c r="AB45" s="943">
        <v>2817</v>
      </c>
      <c r="AC45" s="944"/>
      <c r="AD45" s="943">
        <v>2859</v>
      </c>
      <c r="AE45" s="944"/>
      <c r="AF45" s="943">
        <v>2874</v>
      </c>
      <c r="AG45" s="944"/>
      <c r="AH45" s="943">
        <v>2852</v>
      </c>
      <c r="AI45" s="944"/>
      <c r="AJ45" s="943">
        <v>2760</v>
      </c>
      <c r="AK45" s="944"/>
      <c r="AL45" s="943">
        <v>2652</v>
      </c>
      <c r="AM45" s="944"/>
      <c r="AN45" s="943">
        <v>2488</v>
      </c>
      <c r="AO45" s="944"/>
      <c r="AP45" s="943">
        <v>2314</v>
      </c>
      <c r="AQ45" s="944"/>
      <c r="AR45" s="943">
        <v>0</v>
      </c>
      <c r="AS45" s="944"/>
      <c r="AT45" s="943">
        <v>0</v>
      </c>
      <c r="AU45" s="944"/>
      <c r="AV45" s="943">
        <v>0</v>
      </c>
      <c r="AW45" s="944"/>
      <c r="AX45" s="943">
        <v>0</v>
      </c>
      <c r="AY45" s="944"/>
      <c r="AZ45" s="943">
        <v>0</v>
      </c>
      <c r="BA45" s="944"/>
      <c r="BB45" s="945">
        <v>0</v>
      </c>
      <c r="BC45" s="648"/>
      <c r="BD45" s="939" t="s">
        <v>673</v>
      </c>
      <c r="BE45" s="940"/>
      <c r="BF45" s="940"/>
      <c r="BG45" s="940"/>
      <c r="BH45" s="940"/>
      <c r="BI45" s="941"/>
      <c r="BJ45" s="942"/>
      <c r="BK45" s="943">
        <v>0</v>
      </c>
      <c r="BL45" s="944"/>
      <c r="BM45" s="943">
        <v>0</v>
      </c>
      <c r="BN45" s="944"/>
      <c r="BO45" s="943">
        <v>0</v>
      </c>
      <c r="BP45" s="944"/>
      <c r="BQ45" s="943">
        <v>0</v>
      </c>
      <c r="BR45" s="944"/>
      <c r="BS45" s="943">
        <v>0</v>
      </c>
      <c r="BT45" s="944"/>
      <c r="BU45" s="943">
        <v>0</v>
      </c>
      <c r="BV45" s="944"/>
      <c r="BW45" s="943">
        <v>0</v>
      </c>
      <c r="BX45" s="944"/>
      <c r="BY45" s="943">
        <v>0</v>
      </c>
      <c r="BZ45" s="944"/>
      <c r="CA45" s="943">
        <v>3055</v>
      </c>
      <c r="CB45" s="944"/>
      <c r="CC45" s="943">
        <v>2741</v>
      </c>
      <c r="CD45" s="944"/>
      <c r="CE45" s="943">
        <v>2807</v>
      </c>
      <c r="CF45" s="944"/>
      <c r="CG45" s="943">
        <v>2809</v>
      </c>
      <c r="CH45" s="944"/>
      <c r="CI45" s="943">
        <v>2807</v>
      </c>
      <c r="CJ45" s="944"/>
      <c r="CK45" s="943">
        <v>2758</v>
      </c>
      <c r="CL45" s="944"/>
      <c r="CM45" s="943">
        <v>2681</v>
      </c>
      <c r="CN45" s="944"/>
      <c r="CO45" s="943">
        <v>2583</v>
      </c>
      <c r="CP45" s="944"/>
      <c r="CQ45" s="943">
        <v>2470</v>
      </c>
      <c r="CR45" s="944"/>
      <c r="CS45" s="943">
        <v>2302</v>
      </c>
      <c r="CT45" s="944"/>
      <c r="CU45" s="943">
        <v>0</v>
      </c>
      <c r="CV45" s="944"/>
      <c r="CW45" s="943">
        <v>0</v>
      </c>
      <c r="CX45" s="944"/>
      <c r="CY45" s="943">
        <v>0</v>
      </c>
      <c r="CZ45" s="944"/>
      <c r="DA45" s="943">
        <v>0</v>
      </c>
      <c r="DB45" s="944"/>
      <c r="DC45" s="943">
        <v>0</v>
      </c>
      <c r="DD45" s="944"/>
      <c r="DE45" s="945">
        <v>0</v>
      </c>
      <c r="DF45" s="648"/>
      <c r="DG45" s="939" t="s">
        <v>673</v>
      </c>
      <c r="DH45" s="940"/>
      <c r="DI45" s="940"/>
      <c r="DJ45" s="940"/>
      <c r="DK45" s="940"/>
      <c r="DL45" s="941"/>
      <c r="DM45" s="942"/>
      <c r="DN45" s="943">
        <v>0</v>
      </c>
      <c r="DO45" s="944"/>
      <c r="DP45" s="943">
        <v>0</v>
      </c>
      <c r="DQ45" s="944"/>
      <c r="DR45" s="943">
        <v>0</v>
      </c>
      <c r="DS45" s="944"/>
      <c r="DT45" s="943">
        <v>0</v>
      </c>
      <c r="DU45" s="944"/>
      <c r="DV45" s="943">
        <v>0</v>
      </c>
      <c r="DW45" s="944"/>
      <c r="DX45" s="943">
        <v>0</v>
      </c>
      <c r="DY45" s="944"/>
      <c r="DZ45" s="943">
        <v>0</v>
      </c>
      <c r="EA45" s="944"/>
      <c r="EB45" s="943">
        <v>0</v>
      </c>
      <c r="EC45" s="944"/>
      <c r="ED45" s="943">
        <v>2784</v>
      </c>
      <c r="EE45" s="944"/>
      <c r="EF45" s="943">
        <v>2374</v>
      </c>
      <c r="EG45" s="944"/>
      <c r="EH45" s="943">
        <v>2469</v>
      </c>
      <c r="EI45" s="944"/>
      <c r="EJ45" s="943">
        <v>2517</v>
      </c>
      <c r="EK45" s="944"/>
      <c r="EL45" s="943">
        <v>2510</v>
      </c>
      <c r="EM45" s="944"/>
      <c r="EN45" s="943">
        <v>2461</v>
      </c>
      <c r="EO45" s="944"/>
      <c r="EP45" s="943">
        <v>2389</v>
      </c>
      <c r="EQ45" s="944"/>
      <c r="ER45" s="943">
        <v>2300</v>
      </c>
      <c r="ES45" s="944"/>
      <c r="ET45" s="943">
        <v>2137</v>
      </c>
      <c r="EU45" s="944"/>
      <c r="EV45" s="943">
        <v>1979</v>
      </c>
      <c r="EW45" s="944"/>
      <c r="EX45" s="943">
        <v>0</v>
      </c>
      <c r="EY45" s="944"/>
      <c r="EZ45" s="943">
        <v>0</v>
      </c>
      <c r="FA45" s="944"/>
      <c r="FB45" s="943">
        <v>0</v>
      </c>
      <c r="FC45" s="944"/>
      <c r="FD45" s="943">
        <v>0</v>
      </c>
      <c r="FE45" s="944"/>
      <c r="FF45" s="943">
        <v>0</v>
      </c>
      <c r="FG45" s="944"/>
      <c r="FH45" s="945">
        <v>0</v>
      </c>
      <c r="FI45" s="648"/>
      <c r="FJ45" s="939" t="s">
        <v>476</v>
      </c>
      <c r="FK45" s="940"/>
      <c r="FL45" s="940"/>
      <c r="FM45" s="940"/>
      <c r="FN45" s="940"/>
      <c r="FO45" s="941"/>
      <c r="FP45" s="946"/>
      <c r="FQ45" s="947"/>
      <c r="FR45" s="943">
        <v>4302</v>
      </c>
      <c r="FS45" s="948"/>
      <c r="FT45" s="947"/>
      <c r="FU45" s="949">
        <v>4366</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580</v>
      </c>
      <c r="GV45" s="413"/>
      <c r="GW45" s="413"/>
      <c r="GX45" s="413"/>
      <c r="GY45" s="530"/>
      <c r="GZ45" s="733"/>
      <c r="HA45" s="751">
        <v>19</v>
      </c>
      <c r="HB45" s="413" t="s">
        <v>550</v>
      </c>
      <c r="HC45" s="938"/>
      <c r="HD45" s="415"/>
    </row>
    <row r="46" spans="1:219" ht="20.100000000000001" customHeight="1">
      <c r="A46" s="954" t="s">
        <v>674</v>
      </c>
      <c r="B46" s="955"/>
      <c r="C46" s="955"/>
      <c r="D46" s="955"/>
      <c r="E46" s="955"/>
      <c r="F46" s="956"/>
      <c r="G46" s="957" t="s">
        <v>477</v>
      </c>
      <c r="H46" s="958"/>
      <c r="I46" s="1287" t="s">
        <v>477</v>
      </c>
      <c r="J46" s="958"/>
      <c r="K46" s="1287" t="s">
        <v>477</v>
      </c>
      <c r="L46" s="958"/>
      <c r="M46" s="1287" t="s">
        <v>477</v>
      </c>
      <c r="N46" s="958"/>
      <c r="O46" s="1287" t="s">
        <v>477</v>
      </c>
      <c r="P46" s="958"/>
      <c r="Q46" s="1287" t="s">
        <v>477</v>
      </c>
      <c r="R46" s="958"/>
      <c r="S46" s="1287" t="s">
        <v>477</v>
      </c>
      <c r="T46" s="958"/>
      <c r="U46" s="1287" t="s">
        <v>477</v>
      </c>
      <c r="V46" s="958"/>
      <c r="W46" s="1287" t="s">
        <v>477</v>
      </c>
      <c r="X46" s="958"/>
      <c r="Y46" s="1287" t="s">
        <v>477</v>
      </c>
      <c r="Z46" s="958"/>
      <c r="AA46" s="1287" t="s">
        <v>477</v>
      </c>
      <c r="AB46" s="958"/>
      <c r="AC46" s="1287" t="s">
        <v>477</v>
      </c>
      <c r="AD46" s="958"/>
      <c r="AE46" s="1287" t="s">
        <v>477</v>
      </c>
      <c r="AF46" s="958"/>
      <c r="AG46" s="1287" t="s">
        <v>477</v>
      </c>
      <c r="AH46" s="958"/>
      <c r="AI46" s="1287" t="s">
        <v>477</v>
      </c>
      <c r="AJ46" s="958"/>
      <c r="AK46" s="1287" t="s">
        <v>477</v>
      </c>
      <c r="AL46" s="958"/>
      <c r="AM46" s="1287" t="s">
        <v>477</v>
      </c>
      <c r="AN46" s="958"/>
      <c r="AO46" s="1287" t="s">
        <v>477</v>
      </c>
      <c r="AP46" s="958"/>
      <c r="AQ46" s="1287" t="s">
        <v>477</v>
      </c>
      <c r="AR46" s="958"/>
      <c r="AS46" s="1287" t="s">
        <v>477</v>
      </c>
      <c r="AT46" s="958"/>
      <c r="AU46" s="1287" t="s">
        <v>477</v>
      </c>
      <c r="AV46" s="958"/>
      <c r="AW46" s="1287" t="s">
        <v>477</v>
      </c>
      <c r="AX46" s="958"/>
      <c r="AY46" s="1287" t="s">
        <v>477</v>
      </c>
      <c r="AZ46" s="960"/>
      <c r="BA46" s="961" t="s">
        <v>477</v>
      </c>
      <c r="BB46" s="962"/>
      <c r="BC46" s="963"/>
      <c r="BD46" s="954" t="s">
        <v>877</v>
      </c>
      <c r="BE46" s="955"/>
      <c r="BF46" s="955"/>
      <c r="BG46" s="955"/>
      <c r="BH46" s="955"/>
      <c r="BI46" s="956"/>
      <c r="BJ46" s="957" t="s">
        <v>477</v>
      </c>
      <c r="BK46" s="958"/>
      <c r="BL46" s="1287" t="s">
        <v>477</v>
      </c>
      <c r="BM46" s="958"/>
      <c r="BN46" s="1287" t="s">
        <v>477</v>
      </c>
      <c r="BO46" s="958"/>
      <c r="BP46" s="1287" t="s">
        <v>477</v>
      </c>
      <c r="BQ46" s="958"/>
      <c r="BR46" s="1287" t="s">
        <v>477</v>
      </c>
      <c r="BS46" s="958"/>
      <c r="BT46" s="1287" t="s">
        <v>477</v>
      </c>
      <c r="BU46" s="958"/>
      <c r="BV46" s="1287" t="s">
        <v>477</v>
      </c>
      <c r="BW46" s="958"/>
      <c r="BX46" s="1287" t="s">
        <v>477</v>
      </c>
      <c r="BY46" s="958"/>
      <c r="BZ46" s="1287" t="s">
        <v>477</v>
      </c>
      <c r="CA46" s="958"/>
      <c r="CB46" s="1287" t="s">
        <v>477</v>
      </c>
      <c r="CC46" s="958"/>
      <c r="CD46" s="1287" t="s">
        <v>477</v>
      </c>
      <c r="CE46" s="958"/>
      <c r="CF46" s="1287" t="s">
        <v>477</v>
      </c>
      <c r="CG46" s="958"/>
      <c r="CH46" s="1287" t="s">
        <v>477</v>
      </c>
      <c r="CI46" s="958"/>
      <c r="CJ46" s="1287" t="s">
        <v>477</v>
      </c>
      <c r="CK46" s="958"/>
      <c r="CL46" s="1287" t="s">
        <v>477</v>
      </c>
      <c r="CM46" s="958"/>
      <c r="CN46" s="1287" t="s">
        <v>477</v>
      </c>
      <c r="CO46" s="958"/>
      <c r="CP46" s="1287" t="s">
        <v>477</v>
      </c>
      <c r="CQ46" s="958"/>
      <c r="CR46" s="1287" t="s">
        <v>477</v>
      </c>
      <c r="CS46" s="958"/>
      <c r="CT46" s="1287" t="s">
        <v>477</v>
      </c>
      <c r="CU46" s="958"/>
      <c r="CV46" s="1287" t="s">
        <v>477</v>
      </c>
      <c r="CW46" s="958"/>
      <c r="CX46" s="1287" t="s">
        <v>477</v>
      </c>
      <c r="CY46" s="958"/>
      <c r="CZ46" s="1287" t="s">
        <v>477</v>
      </c>
      <c r="DA46" s="958"/>
      <c r="DB46" s="1287" t="s">
        <v>477</v>
      </c>
      <c r="DC46" s="960"/>
      <c r="DD46" s="961" t="s">
        <v>477</v>
      </c>
      <c r="DE46" s="962"/>
      <c r="DF46" s="963"/>
      <c r="DG46" s="954" t="s">
        <v>336</v>
      </c>
      <c r="DH46" s="955"/>
      <c r="DI46" s="955"/>
      <c r="DJ46" s="955"/>
      <c r="DK46" s="955"/>
      <c r="DL46" s="956"/>
      <c r="DM46" s="957" t="s">
        <v>477</v>
      </c>
      <c r="DN46" s="958"/>
      <c r="DO46" s="1287" t="s">
        <v>477</v>
      </c>
      <c r="DP46" s="958"/>
      <c r="DQ46" s="1287" t="s">
        <v>477</v>
      </c>
      <c r="DR46" s="958"/>
      <c r="DS46" s="1287" t="s">
        <v>477</v>
      </c>
      <c r="DT46" s="958"/>
      <c r="DU46" s="1287" t="s">
        <v>477</v>
      </c>
      <c r="DV46" s="958"/>
      <c r="DW46" s="1287" t="s">
        <v>477</v>
      </c>
      <c r="DX46" s="958"/>
      <c r="DY46" s="1287" t="s">
        <v>477</v>
      </c>
      <c r="DZ46" s="958"/>
      <c r="EA46" s="1287" t="s">
        <v>477</v>
      </c>
      <c r="EB46" s="958"/>
      <c r="EC46" s="1287" t="s">
        <v>477</v>
      </c>
      <c r="ED46" s="958"/>
      <c r="EE46" s="1287" t="s">
        <v>477</v>
      </c>
      <c r="EF46" s="958"/>
      <c r="EG46" s="1287" t="s">
        <v>477</v>
      </c>
      <c r="EH46" s="958"/>
      <c r="EI46" s="1287" t="s">
        <v>477</v>
      </c>
      <c r="EJ46" s="958"/>
      <c r="EK46" s="1287" t="s">
        <v>477</v>
      </c>
      <c r="EL46" s="958"/>
      <c r="EM46" s="1287" t="s">
        <v>477</v>
      </c>
      <c r="EN46" s="958"/>
      <c r="EO46" s="1287" t="s">
        <v>477</v>
      </c>
      <c r="EP46" s="958"/>
      <c r="EQ46" s="1287" t="s">
        <v>477</v>
      </c>
      <c r="ER46" s="958"/>
      <c r="ES46" s="1287" t="s">
        <v>477</v>
      </c>
      <c r="ET46" s="958"/>
      <c r="EU46" s="1287" t="s">
        <v>477</v>
      </c>
      <c r="EV46" s="958"/>
      <c r="EW46" s="1287" t="s">
        <v>477</v>
      </c>
      <c r="EX46" s="958"/>
      <c r="EY46" s="1287" t="s">
        <v>477</v>
      </c>
      <c r="EZ46" s="958"/>
      <c r="FA46" s="1287" t="s">
        <v>477</v>
      </c>
      <c r="FB46" s="958"/>
      <c r="FC46" s="1287" t="s">
        <v>477</v>
      </c>
      <c r="FD46" s="958"/>
      <c r="FE46" s="1287" t="s">
        <v>477</v>
      </c>
      <c r="FF46" s="960"/>
      <c r="FG46" s="961" t="s">
        <v>477</v>
      </c>
      <c r="FH46" s="962"/>
      <c r="FI46" s="963"/>
      <c r="FJ46" s="954" t="s">
        <v>675</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t="s">
        <v>584</v>
      </c>
      <c r="GL46" s="413"/>
      <c r="GM46" s="750"/>
      <c r="GN46" s="750"/>
      <c r="GO46" s="750"/>
      <c r="GP46" s="750"/>
      <c r="GQ46" s="750"/>
      <c r="GR46" s="861"/>
      <c r="GS46" s="580"/>
      <c r="GT46" s="763"/>
      <c r="GU46" s="774" t="s">
        <v>582</v>
      </c>
      <c r="GV46" s="774"/>
      <c r="GW46" s="774"/>
      <c r="GX46" s="774"/>
      <c r="GY46" s="615"/>
      <c r="GZ46" s="775"/>
      <c r="HA46" s="751">
        <v>17.5</v>
      </c>
      <c r="HB46" s="413" t="s">
        <v>707</v>
      </c>
      <c r="HC46" s="938"/>
      <c r="HD46" s="415"/>
    </row>
    <row r="47" spans="1:219" ht="20.100000000000001" customHeight="1" thickBot="1">
      <c r="A47" s="970" t="s">
        <v>337</v>
      </c>
      <c r="B47" s="971"/>
      <c r="C47" s="971"/>
      <c r="D47" s="972"/>
      <c r="E47" s="973"/>
      <c r="F47" s="973"/>
      <c r="G47" s="974"/>
      <c r="H47" s="975">
        <v>0</v>
      </c>
      <c r="I47" s="976"/>
      <c r="J47" s="975">
        <v>0</v>
      </c>
      <c r="K47" s="976"/>
      <c r="L47" s="975">
        <v>0</v>
      </c>
      <c r="M47" s="976"/>
      <c r="N47" s="975">
        <v>0</v>
      </c>
      <c r="O47" s="976"/>
      <c r="P47" s="975">
        <v>0</v>
      </c>
      <c r="Q47" s="976"/>
      <c r="R47" s="975">
        <v>0</v>
      </c>
      <c r="S47" s="976"/>
      <c r="T47" s="975">
        <v>0</v>
      </c>
      <c r="U47" s="976"/>
      <c r="V47" s="975">
        <v>0</v>
      </c>
      <c r="W47" s="976"/>
      <c r="X47" s="975">
        <v>3146</v>
      </c>
      <c r="Y47" s="976"/>
      <c r="Z47" s="975">
        <v>2853</v>
      </c>
      <c r="AA47" s="976"/>
      <c r="AB47" s="975">
        <v>2958</v>
      </c>
      <c r="AC47" s="976"/>
      <c r="AD47" s="975">
        <v>3002</v>
      </c>
      <c r="AE47" s="976"/>
      <c r="AF47" s="975">
        <v>3018</v>
      </c>
      <c r="AG47" s="976"/>
      <c r="AH47" s="975">
        <v>2995</v>
      </c>
      <c r="AI47" s="976"/>
      <c r="AJ47" s="975">
        <v>2898</v>
      </c>
      <c r="AK47" s="976"/>
      <c r="AL47" s="975">
        <v>2785</v>
      </c>
      <c r="AM47" s="976"/>
      <c r="AN47" s="975">
        <v>2612</v>
      </c>
      <c r="AO47" s="976"/>
      <c r="AP47" s="975">
        <v>2430</v>
      </c>
      <c r="AQ47" s="976"/>
      <c r="AR47" s="975">
        <v>0</v>
      </c>
      <c r="AS47" s="976"/>
      <c r="AT47" s="975">
        <v>0</v>
      </c>
      <c r="AU47" s="976"/>
      <c r="AV47" s="975">
        <v>0</v>
      </c>
      <c r="AW47" s="976"/>
      <c r="AX47" s="975">
        <v>0</v>
      </c>
      <c r="AY47" s="977"/>
      <c r="AZ47" s="978">
        <v>0</v>
      </c>
      <c r="BA47" s="979"/>
      <c r="BB47" s="980">
        <v>0</v>
      </c>
      <c r="BC47" s="981"/>
      <c r="BD47" s="970" t="s">
        <v>768</v>
      </c>
      <c r="BE47" s="971"/>
      <c r="BF47" s="971"/>
      <c r="BG47" s="972"/>
      <c r="BH47" s="973"/>
      <c r="BI47" s="973"/>
      <c r="BJ47" s="974"/>
      <c r="BK47" s="975">
        <v>0</v>
      </c>
      <c r="BL47" s="976"/>
      <c r="BM47" s="975">
        <v>0</v>
      </c>
      <c r="BN47" s="976"/>
      <c r="BO47" s="975">
        <v>0</v>
      </c>
      <c r="BP47" s="976"/>
      <c r="BQ47" s="975">
        <v>0</v>
      </c>
      <c r="BR47" s="976"/>
      <c r="BS47" s="975">
        <v>0</v>
      </c>
      <c r="BT47" s="976"/>
      <c r="BU47" s="975">
        <v>0</v>
      </c>
      <c r="BV47" s="976"/>
      <c r="BW47" s="975">
        <v>0</v>
      </c>
      <c r="BX47" s="976"/>
      <c r="BY47" s="975">
        <v>0</v>
      </c>
      <c r="BZ47" s="976"/>
      <c r="CA47" s="975">
        <v>3208</v>
      </c>
      <c r="CB47" s="976"/>
      <c r="CC47" s="975">
        <v>2878</v>
      </c>
      <c r="CD47" s="976"/>
      <c r="CE47" s="975">
        <v>2947</v>
      </c>
      <c r="CF47" s="976"/>
      <c r="CG47" s="975">
        <v>2949</v>
      </c>
      <c r="CH47" s="976"/>
      <c r="CI47" s="975">
        <v>2947</v>
      </c>
      <c r="CJ47" s="976"/>
      <c r="CK47" s="975">
        <v>2896</v>
      </c>
      <c r="CL47" s="976"/>
      <c r="CM47" s="975">
        <v>2815</v>
      </c>
      <c r="CN47" s="976"/>
      <c r="CO47" s="975">
        <v>2712</v>
      </c>
      <c r="CP47" s="976"/>
      <c r="CQ47" s="975">
        <v>2594</v>
      </c>
      <c r="CR47" s="976"/>
      <c r="CS47" s="975">
        <v>2417</v>
      </c>
      <c r="CT47" s="976"/>
      <c r="CU47" s="975">
        <v>0</v>
      </c>
      <c r="CV47" s="976"/>
      <c r="CW47" s="975">
        <v>0</v>
      </c>
      <c r="CX47" s="976"/>
      <c r="CY47" s="975">
        <v>0</v>
      </c>
      <c r="CZ47" s="976"/>
      <c r="DA47" s="975">
        <v>0</v>
      </c>
      <c r="DB47" s="977"/>
      <c r="DC47" s="978">
        <v>0</v>
      </c>
      <c r="DD47" s="979"/>
      <c r="DE47" s="980">
        <v>0</v>
      </c>
      <c r="DF47" s="981"/>
      <c r="DG47" s="970" t="s">
        <v>337</v>
      </c>
      <c r="DH47" s="971"/>
      <c r="DI47" s="971"/>
      <c r="DJ47" s="972"/>
      <c r="DK47" s="973"/>
      <c r="DL47" s="973"/>
      <c r="DM47" s="974"/>
      <c r="DN47" s="975">
        <v>0</v>
      </c>
      <c r="DO47" s="976"/>
      <c r="DP47" s="975">
        <v>0</v>
      </c>
      <c r="DQ47" s="976"/>
      <c r="DR47" s="975">
        <v>0</v>
      </c>
      <c r="DS47" s="976"/>
      <c r="DT47" s="975">
        <v>0</v>
      </c>
      <c r="DU47" s="976"/>
      <c r="DV47" s="975">
        <v>0</v>
      </c>
      <c r="DW47" s="976"/>
      <c r="DX47" s="975">
        <v>0</v>
      </c>
      <c r="DY47" s="976"/>
      <c r="DZ47" s="975">
        <v>0</v>
      </c>
      <c r="EA47" s="976"/>
      <c r="EB47" s="975">
        <v>0</v>
      </c>
      <c r="EC47" s="976"/>
      <c r="ED47" s="975">
        <v>2923</v>
      </c>
      <c r="EE47" s="976"/>
      <c r="EF47" s="975">
        <v>2493</v>
      </c>
      <c r="EG47" s="976"/>
      <c r="EH47" s="975">
        <v>2592</v>
      </c>
      <c r="EI47" s="976"/>
      <c r="EJ47" s="975">
        <v>2643</v>
      </c>
      <c r="EK47" s="976"/>
      <c r="EL47" s="975">
        <v>2636</v>
      </c>
      <c r="EM47" s="976"/>
      <c r="EN47" s="975">
        <v>2584</v>
      </c>
      <c r="EO47" s="976"/>
      <c r="EP47" s="975">
        <v>2508</v>
      </c>
      <c r="EQ47" s="976"/>
      <c r="ER47" s="975">
        <v>2415</v>
      </c>
      <c r="ES47" s="976"/>
      <c r="ET47" s="975">
        <v>2244</v>
      </c>
      <c r="EU47" s="976"/>
      <c r="EV47" s="975">
        <v>2078</v>
      </c>
      <c r="EW47" s="976"/>
      <c r="EX47" s="975">
        <v>0</v>
      </c>
      <c r="EY47" s="976"/>
      <c r="EZ47" s="975">
        <v>0</v>
      </c>
      <c r="FA47" s="976"/>
      <c r="FB47" s="975">
        <v>0</v>
      </c>
      <c r="FC47" s="976"/>
      <c r="FD47" s="975">
        <v>0</v>
      </c>
      <c r="FE47" s="977"/>
      <c r="FF47" s="978">
        <v>0</v>
      </c>
      <c r="FG47" s="979"/>
      <c r="FH47" s="980">
        <v>0</v>
      </c>
      <c r="FI47" s="981"/>
      <c r="FJ47" s="970" t="s">
        <v>337</v>
      </c>
      <c r="FK47" s="971"/>
      <c r="FL47" s="971"/>
      <c r="FM47" s="972"/>
      <c r="FN47" s="973"/>
      <c r="FO47" s="973"/>
      <c r="FP47" s="982"/>
      <c r="FQ47" s="983"/>
      <c r="FR47" s="975">
        <v>4302</v>
      </c>
      <c r="FS47" s="984"/>
      <c r="FT47" s="983"/>
      <c r="FU47" s="985">
        <v>4366</v>
      </c>
      <c r="FV47" s="986">
        <v>9</v>
      </c>
      <c r="FW47" s="975">
        <v>3146</v>
      </c>
      <c r="FX47" s="987">
        <v>9</v>
      </c>
      <c r="FY47" s="975">
        <v>3208</v>
      </c>
      <c r="FZ47" s="987">
        <v>9</v>
      </c>
      <c r="GA47" s="975">
        <v>2923</v>
      </c>
      <c r="GB47" s="988" t="s">
        <v>366</v>
      </c>
      <c r="GC47" s="975">
        <v>3146</v>
      </c>
      <c r="GD47" s="988" t="s">
        <v>815</v>
      </c>
      <c r="GE47" s="989">
        <v>4366</v>
      </c>
      <c r="GF47" s="688"/>
      <c r="GG47" s="990"/>
      <c r="GH47" s="990"/>
      <c r="GI47" s="990"/>
      <c r="GJ47" s="893"/>
      <c r="GK47" s="413" t="s">
        <v>840</v>
      </c>
      <c r="GL47" s="893"/>
      <c r="GM47" s="530"/>
      <c r="GN47" s="893"/>
      <c r="GO47" s="530"/>
      <c r="GP47" s="530"/>
      <c r="GQ47" s="530"/>
      <c r="GR47" s="893"/>
      <c r="GS47" s="530"/>
      <c r="GT47" s="763"/>
      <c r="GU47" s="774" t="s">
        <v>585</v>
      </c>
      <c r="GV47" s="774"/>
      <c r="GW47" s="774"/>
      <c r="GX47" s="774"/>
      <c r="GY47" s="530"/>
      <c r="GZ47" s="413"/>
      <c r="HA47" s="778">
        <v>-0.15</v>
      </c>
      <c r="HB47" s="413"/>
      <c r="HC47" s="981"/>
      <c r="HD47" s="415"/>
    </row>
    <row r="48" spans="1:219" ht="20.100000000000001" customHeight="1">
      <c r="A48" s="991" t="s">
        <v>482</v>
      </c>
      <c r="B48" s="992" t="s">
        <v>483</v>
      </c>
      <c r="C48" s="895"/>
      <c r="D48" s="825"/>
      <c r="E48" s="825"/>
      <c r="F48" s="826"/>
      <c r="G48" s="740" t="s">
        <v>678</v>
      </c>
      <c r="H48" s="663" t="s">
        <v>430</v>
      </c>
      <c r="I48" s="742" t="s">
        <v>484</v>
      </c>
      <c r="J48" s="993" t="s">
        <v>428</v>
      </c>
      <c r="K48" s="742" t="s">
        <v>678</v>
      </c>
      <c r="L48" s="993" t="s">
        <v>430</v>
      </c>
      <c r="M48" s="742" t="s">
        <v>484</v>
      </c>
      <c r="N48" s="993" t="s">
        <v>428</v>
      </c>
      <c r="O48" s="742" t="s">
        <v>678</v>
      </c>
      <c r="P48" s="993" t="s">
        <v>428</v>
      </c>
      <c r="Q48" s="742" t="s">
        <v>484</v>
      </c>
      <c r="R48" s="993" t="s">
        <v>428</v>
      </c>
      <c r="S48" s="742" t="s">
        <v>484</v>
      </c>
      <c r="T48" s="993" t="s">
        <v>428</v>
      </c>
      <c r="U48" s="742" t="s">
        <v>678</v>
      </c>
      <c r="V48" s="993" t="s">
        <v>428</v>
      </c>
      <c r="W48" s="742" t="s">
        <v>678</v>
      </c>
      <c r="X48" s="993" t="s">
        <v>430</v>
      </c>
      <c r="Y48" s="742" t="s">
        <v>678</v>
      </c>
      <c r="Z48" s="993" t="s">
        <v>428</v>
      </c>
      <c r="AA48" s="742" t="s">
        <v>678</v>
      </c>
      <c r="AB48" s="993" t="s">
        <v>428</v>
      </c>
      <c r="AC48" s="742" t="s">
        <v>678</v>
      </c>
      <c r="AD48" s="993" t="s">
        <v>428</v>
      </c>
      <c r="AE48" s="742" t="s">
        <v>678</v>
      </c>
      <c r="AF48" s="993" t="s">
        <v>430</v>
      </c>
      <c r="AG48" s="742" t="s">
        <v>484</v>
      </c>
      <c r="AH48" s="993" t="s">
        <v>428</v>
      </c>
      <c r="AI48" s="742" t="s">
        <v>484</v>
      </c>
      <c r="AJ48" s="993" t="s">
        <v>428</v>
      </c>
      <c r="AK48" s="742" t="s">
        <v>678</v>
      </c>
      <c r="AL48" s="993" t="s">
        <v>430</v>
      </c>
      <c r="AM48" s="742" t="s">
        <v>484</v>
      </c>
      <c r="AN48" s="993" t="s">
        <v>430</v>
      </c>
      <c r="AO48" s="742" t="s">
        <v>484</v>
      </c>
      <c r="AP48" s="993" t="s">
        <v>428</v>
      </c>
      <c r="AQ48" s="742" t="s">
        <v>484</v>
      </c>
      <c r="AR48" s="993" t="s">
        <v>430</v>
      </c>
      <c r="AS48" s="742" t="s">
        <v>484</v>
      </c>
      <c r="AT48" s="993" t="s">
        <v>428</v>
      </c>
      <c r="AU48" s="742" t="s">
        <v>678</v>
      </c>
      <c r="AV48" s="993" t="s">
        <v>430</v>
      </c>
      <c r="AW48" s="742" t="s">
        <v>678</v>
      </c>
      <c r="AX48" s="993" t="s">
        <v>428</v>
      </c>
      <c r="AY48" s="742" t="s">
        <v>678</v>
      </c>
      <c r="AZ48" s="994" t="s">
        <v>430</v>
      </c>
      <c r="BA48" s="995" t="s">
        <v>484</v>
      </c>
      <c r="BB48" s="996" t="s">
        <v>430</v>
      </c>
      <c r="BC48" s="932"/>
      <c r="BD48" s="991" t="s">
        <v>482</v>
      </c>
      <c r="BE48" s="992" t="s">
        <v>483</v>
      </c>
      <c r="BF48" s="895"/>
      <c r="BG48" s="825"/>
      <c r="BH48" s="825"/>
      <c r="BI48" s="826"/>
      <c r="BJ48" s="740" t="s">
        <v>678</v>
      </c>
      <c r="BK48" s="663" t="s">
        <v>428</v>
      </c>
      <c r="BL48" s="742" t="s">
        <v>484</v>
      </c>
      <c r="BM48" s="993" t="s">
        <v>430</v>
      </c>
      <c r="BN48" s="742" t="s">
        <v>678</v>
      </c>
      <c r="BO48" s="993" t="s">
        <v>430</v>
      </c>
      <c r="BP48" s="742" t="s">
        <v>484</v>
      </c>
      <c r="BQ48" s="993" t="s">
        <v>428</v>
      </c>
      <c r="BR48" s="742" t="s">
        <v>484</v>
      </c>
      <c r="BS48" s="993" t="s">
        <v>428</v>
      </c>
      <c r="BT48" s="742" t="s">
        <v>678</v>
      </c>
      <c r="BU48" s="993" t="s">
        <v>428</v>
      </c>
      <c r="BV48" s="742" t="s">
        <v>678</v>
      </c>
      <c r="BW48" s="993" t="s">
        <v>428</v>
      </c>
      <c r="BX48" s="742" t="s">
        <v>484</v>
      </c>
      <c r="BY48" s="993" t="s">
        <v>430</v>
      </c>
      <c r="BZ48" s="742" t="s">
        <v>678</v>
      </c>
      <c r="CA48" s="993" t="s">
        <v>428</v>
      </c>
      <c r="CB48" s="742" t="s">
        <v>678</v>
      </c>
      <c r="CC48" s="993" t="s">
        <v>428</v>
      </c>
      <c r="CD48" s="742" t="s">
        <v>484</v>
      </c>
      <c r="CE48" s="993" t="s">
        <v>428</v>
      </c>
      <c r="CF48" s="742" t="s">
        <v>484</v>
      </c>
      <c r="CG48" s="993" t="s">
        <v>428</v>
      </c>
      <c r="CH48" s="742" t="s">
        <v>678</v>
      </c>
      <c r="CI48" s="993" t="s">
        <v>428</v>
      </c>
      <c r="CJ48" s="742" t="s">
        <v>678</v>
      </c>
      <c r="CK48" s="993" t="s">
        <v>430</v>
      </c>
      <c r="CL48" s="742" t="s">
        <v>678</v>
      </c>
      <c r="CM48" s="993" t="s">
        <v>428</v>
      </c>
      <c r="CN48" s="742" t="s">
        <v>678</v>
      </c>
      <c r="CO48" s="993" t="s">
        <v>428</v>
      </c>
      <c r="CP48" s="742" t="s">
        <v>678</v>
      </c>
      <c r="CQ48" s="993" t="s">
        <v>428</v>
      </c>
      <c r="CR48" s="742" t="s">
        <v>678</v>
      </c>
      <c r="CS48" s="993" t="s">
        <v>430</v>
      </c>
      <c r="CT48" s="742" t="s">
        <v>484</v>
      </c>
      <c r="CU48" s="993" t="s">
        <v>428</v>
      </c>
      <c r="CV48" s="742" t="s">
        <v>484</v>
      </c>
      <c r="CW48" s="993" t="s">
        <v>428</v>
      </c>
      <c r="CX48" s="742" t="s">
        <v>678</v>
      </c>
      <c r="CY48" s="993" t="s">
        <v>430</v>
      </c>
      <c r="CZ48" s="742" t="s">
        <v>484</v>
      </c>
      <c r="DA48" s="993" t="s">
        <v>430</v>
      </c>
      <c r="DB48" s="742" t="s">
        <v>484</v>
      </c>
      <c r="DC48" s="994" t="s">
        <v>428</v>
      </c>
      <c r="DD48" s="995" t="s">
        <v>484</v>
      </c>
      <c r="DE48" s="996" t="s">
        <v>430</v>
      </c>
      <c r="DF48" s="932"/>
      <c r="DG48" s="991" t="s">
        <v>482</v>
      </c>
      <c r="DH48" s="992" t="s">
        <v>677</v>
      </c>
      <c r="DI48" s="895"/>
      <c r="DJ48" s="825"/>
      <c r="DK48" s="825"/>
      <c r="DL48" s="826"/>
      <c r="DM48" s="740" t="s">
        <v>678</v>
      </c>
      <c r="DN48" s="663" t="s">
        <v>430</v>
      </c>
      <c r="DO48" s="742" t="s">
        <v>484</v>
      </c>
      <c r="DP48" s="993" t="s">
        <v>430</v>
      </c>
      <c r="DQ48" s="742" t="s">
        <v>678</v>
      </c>
      <c r="DR48" s="993" t="s">
        <v>428</v>
      </c>
      <c r="DS48" s="742" t="s">
        <v>678</v>
      </c>
      <c r="DT48" s="993" t="s">
        <v>428</v>
      </c>
      <c r="DU48" s="742" t="s">
        <v>484</v>
      </c>
      <c r="DV48" s="993" t="s">
        <v>430</v>
      </c>
      <c r="DW48" s="742" t="s">
        <v>678</v>
      </c>
      <c r="DX48" s="993" t="s">
        <v>430</v>
      </c>
      <c r="DY48" s="742" t="s">
        <v>678</v>
      </c>
      <c r="DZ48" s="993" t="s">
        <v>428</v>
      </c>
      <c r="EA48" s="742" t="s">
        <v>678</v>
      </c>
      <c r="EB48" s="993" t="s">
        <v>428</v>
      </c>
      <c r="EC48" s="742" t="s">
        <v>484</v>
      </c>
      <c r="ED48" s="993" t="s">
        <v>430</v>
      </c>
      <c r="EE48" s="742" t="s">
        <v>484</v>
      </c>
      <c r="EF48" s="993" t="s">
        <v>428</v>
      </c>
      <c r="EG48" s="742" t="s">
        <v>678</v>
      </c>
      <c r="EH48" s="993" t="s">
        <v>428</v>
      </c>
      <c r="EI48" s="742" t="s">
        <v>678</v>
      </c>
      <c r="EJ48" s="993" t="s">
        <v>428</v>
      </c>
      <c r="EK48" s="742" t="s">
        <v>484</v>
      </c>
      <c r="EL48" s="993" t="s">
        <v>430</v>
      </c>
      <c r="EM48" s="742" t="s">
        <v>678</v>
      </c>
      <c r="EN48" s="993" t="s">
        <v>428</v>
      </c>
      <c r="EO48" s="742" t="s">
        <v>678</v>
      </c>
      <c r="EP48" s="993" t="s">
        <v>428</v>
      </c>
      <c r="EQ48" s="742" t="s">
        <v>484</v>
      </c>
      <c r="ER48" s="993" t="s">
        <v>428</v>
      </c>
      <c r="ES48" s="742" t="s">
        <v>484</v>
      </c>
      <c r="ET48" s="993" t="s">
        <v>428</v>
      </c>
      <c r="EU48" s="742" t="s">
        <v>678</v>
      </c>
      <c r="EV48" s="993" t="s">
        <v>428</v>
      </c>
      <c r="EW48" s="742" t="s">
        <v>678</v>
      </c>
      <c r="EX48" s="993" t="s">
        <v>430</v>
      </c>
      <c r="EY48" s="742" t="s">
        <v>678</v>
      </c>
      <c r="EZ48" s="993" t="s">
        <v>428</v>
      </c>
      <c r="FA48" s="742" t="s">
        <v>678</v>
      </c>
      <c r="FB48" s="993" t="s">
        <v>428</v>
      </c>
      <c r="FC48" s="742" t="s">
        <v>678</v>
      </c>
      <c r="FD48" s="993" t="s">
        <v>428</v>
      </c>
      <c r="FE48" s="742" t="s">
        <v>678</v>
      </c>
      <c r="FF48" s="994" t="s">
        <v>430</v>
      </c>
      <c r="FG48" s="995" t="s">
        <v>484</v>
      </c>
      <c r="FH48" s="996" t="s">
        <v>428</v>
      </c>
      <c r="FI48" s="932"/>
      <c r="FJ48" s="991" t="s">
        <v>676</v>
      </c>
      <c r="FK48" s="738" t="s">
        <v>483</v>
      </c>
      <c r="FL48" s="895"/>
      <c r="FM48" s="825"/>
      <c r="FN48" s="825"/>
      <c r="FO48" s="826"/>
      <c r="FP48" s="747" t="s">
        <v>450</v>
      </c>
      <c r="FQ48" s="673" t="s">
        <v>678</v>
      </c>
      <c r="FR48" s="663" t="s">
        <v>434</v>
      </c>
      <c r="FS48" s="997" t="s">
        <v>450</v>
      </c>
      <c r="FT48" s="673" t="s">
        <v>484</v>
      </c>
      <c r="FU48" s="998" t="s">
        <v>434</v>
      </c>
      <c r="FV48" s="999"/>
      <c r="FW48" s="993" t="s">
        <v>323</v>
      </c>
      <c r="FX48" s="997"/>
      <c r="FY48" s="993" t="s">
        <v>323</v>
      </c>
      <c r="FZ48" s="997"/>
      <c r="GA48" s="993" t="s">
        <v>323</v>
      </c>
      <c r="GB48" s="997"/>
      <c r="GC48" s="993" t="s">
        <v>323</v>
      </c>
      <c r="GD48" s="997"/>
      <c r="GE48" s="1000" t="s">
        <v>324</v>
      </c>
      <c r="GF48" s="688"/>
      <c r="GG48" s="655"/>
      <c r="GH48" s="655"/>
      <c r="GI48" s="655"/>
      <c r="GJ48" s="530"/>
      <c r="GK48" s="615" t="s">
        <v>841</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435</v>
      </c>
      <c r="C49" s="1002"/>
      <c r="D49" s="754">
        <v>66</v>
      </c>
      <c r="E49" s="755">
        <v>2</v>
      </c>
      <c r="F49" s="1003" t="s">
        <v>436</v>
      </c>
      <c r="G49" s="757"/>
      <c r="H49" s="559"/>
      <c r="I49" s="758"/>
      <c r="J49" s="559"/>
      <c r="K49" s="758"/>
      <c r="L49" s="559"/>
      <c r="M49" s="758"/>
      <c r="N49" s="559"/>
      <c r="O49" s="758"/>
      <c r="P49" s="559"/>
      <c r="Q49" s="758"/>
      <c r="R49" s="559"/>
      <c r="S49" s="758"/>
      <c r="T49" s="559"/>
      <c r="U49" s="758"/>
      <c r="V49" s="559"/>
      <c r="W49" s="758">
        <v>1</v>
      </c>
      <c r="X49" s="559">
        <v>132</v>
      </c>
      <c r="Y49" s="758">
        <v>1</v>
      </c>
      <c r="Z49" s="559">
        <v>132</v>
      </c>
      <c r="AA49" s="758">
        <v>1</v>
      </c>
      <c r="AB49" s="559">
        <v>132</v>
      </c>
      <c r="AC49" s="758">
        <v>1</v>
      </c>
      <c r="AD49" s="559">
        <v>132</v>
      </c>
      <c r="AE49" s="758">
        <v>1</v>
      </c>
      <c r="AF49" s="559">
        <v>132</v>
      </c>
      <c r="AG49" s="758">
        <v>1</v>
      </c>
      <c r="AH49" s="559">
        <v>132</v>
      </c>
      <c r="AI49" s="758">
        <v>1</v>
      </c>
      <c r="AJ49" s="559">
        <v>132</v>
      </c>
      <c r="AK49" s="758">
        <v>1</v>
      </c>
      <c r="AL49" s="559">
        <v>132</v>
      </c>
      <c r="AM49" s="758">
        <v>1</v>
      </c>
      <c r="AN49" s="559">
        <v>132</v>
      </c>
      <c r="AO49" s="758">
        <v>1</v>
      </c>
      <c r="AP49" s="559">
        <v>132</v>
      </c>
      <c r="AQ49" s="758"/>
      <c r="AR49" s="559"/>
      <c r="AS49" s="758"/>
      <c r="AT49" s="559"/>
      <c r="AU49" s="758"/>
      <c r="AV49" s="559"/>
      <c r="AW49" s="758"/>
      <c r="AX49" s="559"/>
      <c r="AY49" s="1004"/>
      <c r="AZ49" s="1005"/>
      <c r="BA49" s="1006"/>
      <c r="BB49" s="1007"/>
      <c r="BC49" s="938"/>
      <c r="BD49" s="1001"/>
      <c r="BE49" s="752" t="s">
        <v>437</v>
      </c>
      <c r="BF49" s="1002"/>
      <c r="BG49" s="754"/>
      <c r="BH49" s="755">
        <v>2</v>
      </c>
      <c r="BI49" s="1003" t="s">
        <v>436</v>
      </c>
      <c r="BJ49" s="757"/>
      <c r="BK49" s="559"/>
      <c r="BL49" s="758"/>
      <c r="BM49" s="559"/>
      <c r="BN49" s="758"/>
      <c r="BO49" s="559"/>
      <c r="BP49" s="758"/>
      <c r="BQ49" s="559"/>
      <c r="BR49" s="758"/>
      <c r="BS49" s="559"/>
      <c r="BT49" s="758"/>
      <c r="BU49" s="559"/>
      <c r="BV49" s="758"/>
      <c r="BW49" s="559"/>
      <c r="BX49" s="758"/>
      <c r="BY49" s="559"/>
      <c r="BZ49" s="758">
        <v>1</v>
      </c>
      <c r="CA49" s="559">
        <v>132</v>
      </c>
      <c r="CB49" s="758">
        <v>1</v>
      </c>
      <c r="CC49" s="559">
        <v>132</v>
      </c>
      <c r="CD49" s="758">
        <v>1</v>
      </c>
      <c r="CE49" s="559">
        <v>132</v>
      </c>
      <c r="CF49" s="758">
        <v>1</v>
      </c>
      <c r="CG49" s="559">
        <v>132</v>
      </c>
      <c r="CH49" s="758">
        <v>1</v>
      </c>
      <c r="CI49" s="559">
        <v>132</v>
      </c>
      <c r="CJ49" s="758">
        <v>1</v>
      </c>
      <c r="CK49" s="559">
        <v>132</v>
      </c>
      <c r="CL49" s="758">
        <v>1</v>
      </c>
      <c r="CM49" s="559">
        <v>132</v>
      </c>
      <c r="CN49" s="758">
        <v>1</v>
      </c>
      <c r="CO49" s="559">
        <v>132</v>
      </c>
      <c r="CP49" s="758">
        <v>1</v>
      </c>
      <c r="CQ49" s="559">
        <v>132</v>
      </c>
      <c r="CR49" s="758">
        <v>1</v>
      </c>
      <c r="CS49" s="559">
        <v>132</v>
      </c>
      <c r="CT49" s="758"/>
      <c r="CU49" s="559"/>
      <c r="CV49" s="758"/>
      <c r="CW49" s="559"/>
      <c r="CX49" s="758"/>
      <c r="CY49" s="559"/>
      <c r="CZ49" s="758"/>
      <c r="DA49" s="559"/>
      <c r="DB49" s="1004"/>
      <c r="DC49" s="1005"/>
      <c r="DD49" s="1006"/>
      <c r="DE49" s="1007"/>
      <c r="DF49" s="938"/>
      <c r="DG49" s="1001"/>
      <c r="DH49" s="752" t="s">
        <v>435</v>
      </c>
      <c r="DI49" s="1002"/>
      <c r="DJ49" s="754"/>
      <c r="DK49" s="755">
        <v>2</v>
      </c>
      <c r="DL49" s="1003" t="s">
        <v>436</v>
      </c>
      <c r="DM49" s="757"/>
      <c r="DN49" s="559"/>
      <c r="DO49" s="758"/>
      <c r="DP49" s="559"/>
      <c r="DQ49" s="758"/>
      <c r="DR49" s="559"/>
      <c r="DS49" s="758"/>
      <c r="DT49" s="559"/>
      <c r="DU49" s="758"/>
      <c r="DV49" s="559"/>
      <c r="DW49" s="758"/>
      <c r="DX49" s="559"/>
      <c r="DY49" s="758"/>
      <c r="DZ49" s="559"/>
      <c r="EA49" s="758"/>
      <c r="EB49" s="559"/>
      <c r="EC49" s="758">
        <v>1</v>
      </c>
      <c r="ED49" s="559">
        <v>132</v>
      </c>
      <c r="EE49" s="758">
        <v>1</v>
      </c>
      <c r="EF49" s="559">
        <v>132</v>
      </c>
      <c r="EG49" s="758">
        <v>1</v>
      </c>
      <c r="EH49" s="559">
        <v>132</v>
      </c>
      <c r="EI49" s="758">
        <v>1</v>
      </c>
      <c r="EJ49" s="559">
        <v>132</v>
      </c>
      <c r="EK49" s="758">
        <v>1</v>
      </c>
      <c r="EL49" s="559">
        <v>132</v>
      </c>
      <c r="EM49" s="758">
        <v>1</v>
      </c>
      <c r="EN49" s="559">
        <v>132</v>
      </c>
      <c r="EO49" s="758">
        <v>1</v>
      </c>
      <c r="EP49" s="559">
        <v>132</v>
      </c>
      <c r="EQ49" s="758">
        <v>1</v>
      </c>
      <c r="ER49" s="559">
        <v>132</v>
      </c>
      <c r="ES49" s="758">
        <v>1</v>
      </c>
      <c r="ET49" s="559">
        <v>132</v>
      </c>
      <c r="EU49" s="758">
        <v>1</v>
      </c>
      <c r="EV49" s="559">
        <v>132</v>
      </c>
      <c r="EW49" s="758"/>
      <c r="EX49" s="559"/>
      <c r="EY49" s="758"/>
      <c r="EZ49" s="559"/>
      <c r="FA49" s="758"/>
      <c r="FB49" s="559"/>
      <c r="FC49" s="758"/>
      <c r="FD49" s="559"/>
      <c r="FE49" s="1004"/>
      <c r="FF49" s="1005"/>
      <c r="FG49" s="1006"/>
      <c r="FH49" s="1007"/>
      <c r="FI49" s="938"/>
      <c r="FJ49" s="1001"/>
      <c r="FK49" s="752" t="s">
        <v>435</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842</v>
      </c>
      <c r="GL49" s="580"/>
      <c r="GM49" s="413"/>
      <c r="GN49" s="580"/>
      <c r="GO49" s="413"/>
      <c r="GP49" s="413"/>
      <c r="GQ49" s="413"/>
      <c r="GR49" s="580"/>
      <c r="GS49" s="530"/>
      <c r="GT49" s="861"/>
      <c r="GU49" s="530" t="s">
        <v>562</v>
      </c>
      <c r="GV49" s="615"/>
      <c r="GW49" s="530"/>
      <c r="GX49" s="615"/>
      <c r="GY49" s="530"/>
      <c r="GZ49" s="391"/>
      <c r="HA49" s="580"/>
      <c r="HB49" s="391"/>
      <c r="HC49" s="1017"/>
      <c r="HD49" s="415"/>
    </row>
    <row r="50" spans="1:212" ht="20.100000000000001" customHeight="1">
      <c r="A50" s="1001"/>
      <c r="B50" s="764" t="s">
        <v>446</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449</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446</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446</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843</v>
      </c>
      <c r="GL50" s="580"/>
      <c r="GM50" s="413"/>
      <c r="GN50" s="580"/>
      <c r="GO50" s="413"/>
      <c r="GP50" s="413"/>
      <c r="GQ50" s="413"/>
      <c r="GR50" s="580"/>
      <c r="GS50" s="953"/>
      <c r="GT50" s="937"/>
      <c r="GU50" s="580" t="s">
        <v>945</v>
      </c>
      <c r="GV50" s="580"/>
      <c r="GW50" s="580"/>
      <c r="GX50" s="580"/>
      <c r="GY50" s="615"/>
      <c r="GZ50" s="579"/>
      <c r="HA50" s="615">
        <v>21.8</v>
      </c>
      <c r="HB50" s="579" t="s">
        <v>319</v>
      </c>
      <c r="HC50" s="1038"/>
      <c r="HD50" s="415"/>
    </row>
    <row r="51" spans="1:212" ht="20.100000000000001" customHeight="1" thickBot="1">
      <c r="A51" s="1039"/>
      <c r="B51" s="466" t="s">
        <v>679</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679</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506</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679</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433</v>
      </c>
      <c r="GM51" s="1047" t="s">
        <v>906</v>
      </c>
      <c r="GN51" s="1048" t="s">
        <v>725</v>
      </c>
      <c r="GO51" s="1049" t="s">
        <v>726</v>
      </c>
      <c r="GP51" s="1049" t="s">
        <v>837</v>
      </c>
      <c r="GQ51" s="1050" t="s">
        <v>789</v>
      </c>
      <c r="GR51" s="733"/>
      <c r="GS51" s="953"/>
      <c r="GT51" s="763"/>
      <c r="GU51" s="580" t="s">
        <v>845</v>
      </c>
      <c r="GV51" s="580"/>
      <c r="GW51" s="580"/>
      <c r="GX51" s="580"/>
      <c r="GY51" s="413"/>
      <c r="GZ51" s="1051"/>
      <c r="HA51" s="615">
        <v>21.8</v>
      </c>
      <c r="HB51" s="579" t="s">
        <v>319</v>
      </c>
      <c r="HC51" s="1052"/>
      <c r="HD51" s="415"/>
    </row>
    <row r="52" spans="1:212" ht="20.100000000000001" customHeight="1" thickBot="1">
      <c r="A52" s="1053" t="s">
        <v>680</v>
      </c>
      <c r="B52" s="1054"/>
      <c r="C52" s="1055"/>
      <c r="D52" s="1055"/>
      <c r="E52" s="1056"/>
      <c r="F52" s="1055"/>
      <c r="G52" s="1057"/>
      <c r="H52" s="1058">
        <v>0</v>
      </c>
      <c r="I52" s="1059"/>
      <c r="J52" s="1058">
        <v>0</v>
      </c>
      <c r="K52" s="1059"/>
      <c r="L52" s="1058">
        <v>0</v>
      </c>
      <c r="M52" s="1059"/>
      <c r="N52" s="1058">
        <v>0</v>
      </c>
      <c r="O52" s="1059"/>
      <c r="P52" s="1058">
        <v>0</v>
      </c>
      <c r="Q52" s="1059"/>
      <c r="R52" s="1058">
        <v>0</v>
      </c>
      <c r="S52" s="1059"/>
      <c r="T52" s="1058">
        <v>0</v>
      </c>
      <c r="U52" s="1059"/>
      <c r="V52" s="1058">
        <v>0</v>
      </c>
      <c r="W52" s="1059"/>
      <c r="X52" s="1058">
        <v>132</v>
      </c>
      <c r="Y52" s="1059"/>
      <c r="Z52" s="1058">
        <v>132</v>
      </c>
      <c r="AA52" s="1059"/>
      <c r="AB52" s="1058">
        <v>132</v>
      </c>
      <c r="AC52" s="1059"/>
      <c r="AD52" s="1058">
        <v>132</v>
      </c>
      <c r="AE52" s="1059"/>
      <c r="AF52" s="1058">
        <v>132</v>
      </c>
      <c r="AG52" s="1059"/>
      <c r="AH52" s="1058">
        <v>132</v>
      </c>
      <c r="AI52" s="1059"/>
      <c r="AJ52" s="1058">
        <v>132</v>
      </c>
      <c r="AK52" s="1059"/>
      <c r="AL52" s="1058">
        <v>132</v>
      </c>
      <c r="AM52" s="1059"/>
      <c r="AN52" s="1058">
        <v>132</v>
      </c>
      <c r="AO52" s="1059"/>
      <c r="AP52" s="1058">
        <v>132</v>
      </c>
      <c r="AQ52" s="1059"/>
      <c r="AR52" s="1058">
        <v>0</v>
      </c>
      <c r="AS52" s="1059"/>
      <c r="AT52" s="1058">
        <v>0</v>
      </c>
      <c r="AU52" s="1059"/>
      <c r="AV52" s="1058">
        <v>0</v>
      </c>
      <c r="AW52" s="1059"/>
      <c r="AX52" s="1058">
        <v>0</v>
      </c>
      <c r="AY52" s="1060"/>
      <c r="AZ52" s="1061">
        <v>0</v>
      </c>
      <c r="BA52" s="1062"/>
      <c r="BB52" s="1063">
        <v>0</v>
      </c>
      <c r="BC52" s="981"/>
      <c r="BD52" s="1053" t="s">
        <v>680</v>
      </c>
      <c r="BE52" s="1054"/>
      <c r="BF52" s="1055"/>
      <c r="BG52" s="1055"/>
      <c r="BH52" s="1056"/>
      <c r="BI52" s="1055"/>
      <c r="BJ52" s="1057"/>
      <c r="BK52" s="1058">
        <v>0</v>
      </c>
      <c r="BL52" s="1059"/>
      <c r="BM52" s="1058">
        <v>0</v>
      </c>
      <c r="BN52" s="1059"/>
      <c r="BO52" s="1058">
        <v>0</v>
      </c>
      <c r="BP52" s="1059"/>
      <c r="BQ52" s="1058">
        <v>0</v>
      </c>
      <c r="BR52" s="1059"/>
      <c r="BS52" s="1058">
        <v>0</v>
      </c>
      <c r="BT52" s="1059"/>
      <c r="BU52" s="1058">
        <v>0</v>
      </c>
      <c r="BV52" s="1059"/>
      <c r="BW52" s="1058">
        <v>0</v>
      </c>
      <c r="BX52" s="1059"/>
      <c r="BY52" s="1058">
        <v>0</v>
      </c>
      <c r="BZ52" s="1059"/>
      <c r="CA52" s="1058">
        <v>132</v>
      </c>
      <c r="CB52" s="1059"/>
      <c r="CC52" s="1058">
        <v>132</v>
      </c>
      <c r="CD52" s="1059"/>
      <c r="CE52" s="1058">
        <v>132</v>
      </c>
      <c r="CF52" s="1059"/>
      <c r="CG52" s="1058">
        <v>132</v>
      </c>
      <c r="CH52" s="1059"/>
      <c r="CI52" s="1058">
        <v>132</v>
      </c>
      <c r="CJ52" s="1059"/>
      <c r="CK52" s="1058">
        <v>132</v>
      </c>
      <c r="CL52" s="1059"/>
      <c r="CM52" s="1058">
        <v>132</v>
      </c>
      <c r="CN52" s="1059"/>
      <c r="CO52" s="1058">
        <v>132</v>
      </c>
      <c r="CP52" s="1059"/>
      <c r="CQ52" s="1058">
        <v>132</v>
      </c>
      <c r="CR52" s="1059"/>
      <c r="CS52" s="1058">
        <v>132</v>
      </c>
      <c r="CT52" s="1059"/>
      <c r="CU52" s="1058">
        <v>0</v>
      </c>
      <c r="CV52" s="1059"/>
      <c r="CW52" s="1058">
        <v>0</v>
      </c>
      <c r="CX52" s="1059"/>
      <c r="CY52" s="1058">
        <v>0</v>
      </c>
      <c r="CZ52" s="1059"/>
      <c r="DA52" s="1058">
        <v>0</v>
      </c>
      <c r="DB52" s="1060"/>
      <c r="DC52" s="1061">
        <v>0</v>
      </c>
      <c r="DD52" s="1062"/>
      <c r="DE52" s="1063">
        <v>0</v>
      </c>
      <c r="DF52" s="981"/>
      <c r="DG52" s="1053" t="s">
        <v>680</v>
      </c>
      <c r="DH52" s="1054"/>
      <c r="DI52" s="1055"/>
      <c r="DJ52" s="1055"/>
      <c r="DK52" s="1056"/>
      <c r="DL52" s="1055"/>
      <c r="DM52" s="1057"/>
      <c r="DN52" s="1058">
        <v>0</v>
      </c>
      <c r="DO52" s="1059"/>
      <c r="DP52" s="1058">
        <v>0</v>
      </c>
      <c r="DQ52" s="1059"/>
      <c r="DR52" s="1058">
        <v>0</v>
      </c>
      <c r="DS52" s="1059"/>
      <c r="DT52" s="1058">
        <v>0</v>
      </c>
      <c r="DU52" s="1059"/>
      <c r="DV52" s="1058">
        <v>0</v>
      </c>
      <c r="DW52" s="1059"/>
      <c r="DX52" s="1058">
        <v>0</v>
      </c>
      <c r="DY52" s="1059"/>
      <c r="DZ52" s="1058">
        <v>0</v>
      </c>
      <c r="EA52" s="1059"/>
      <c r="EB52" s="1058">
        <v>0</v>
      </c>
      <c r="EC52" s="1059"/>
      <c r="ED52" s="1058">
        <v>132</v>
      </c>
      <c r="EE52" s="1059"/>
      <c r="EF52" s="1058">
        <v>132</v>
      </c>
      <c r="EG52" s="1059"/>
      <c r="EH52" s="1058">
        <v>132</v>
      </c>
      <c r="EI52" s="1059"/>
      <c r="EJ52" s="1058">
        <v>132</v>
      </c>
      <c r="EK52" s="1059"/>
      <c r="EL52" s="1058">
        <v>132</v>
      </c>
      <c r="EM52" s="1059"/>
      <c r="EN52" s="1058">
        <v>132</v>
      </c>
      <c r="EO52" s="1059"/>
      <c r="EP52" s="1058">
        <v>132</v>
      </c>
      <c r="EQ52" s="1059"/>
      <c r="ER52" s="1058">
        <v>132</v>
      </c>
      <c r="ES52" s="1059"/>
      <c r="ET52" s="1058">
        <v>132</v>
      </c>
      <c r="EU52" s="1059"/>
      <c r="EV52" s="1058">
        <v>132</v>
      </c>
      <c r="EW52" s="1059"/>
      <c r="EX52" s="1058">
        <v>0</v>
      </c>
      <c r="EY52" s="1059"/>
      <c r="EZ52" s="1058">
        <v>0</v>
      </c>
      <c r="FA52" s="1059"/>
      <c r="FB52" s="1058">
        <v>0</v>
      </c>
      <c r="FC52" s="1059"/>
      <c r="FD52" s="1058">
        <v>0</v>
      </c>
      <c r="FE52" s="1060"/>
      <c r="FF52" s="1061">
        <v>0</v>
      </c>
      <c r="FG52" s="1062"/>
      <c r="FH52" s="1063">
        <v>0</v>
      </c>
      <c r="FI52" s="981"/>
      <c r="FJ52" s="1053" t="s">
        <v>508</v>
      </c>
      <c r="FK52" s="1054"/>
      <c r="FL52" s="1055"/>
      <c r="FM52" s="1055"/>
      <c r="FN52" s="1056"/>
      <c r="FO52" s="1055"/>
      <c r="FP52" s="1064"/>
      <c r="FQ52" s="1065"/>
      <c r="FR52" s="1058">
        <v>0</v>
      </c>
      <c r="FS52" s="1066"/>
      <c r="FT52" s="1065"/>
      <c r="FU52" s="1067">
        <v>0</v>
      </c>
      <c r="FV52" s="1068">
        <v>9</v>
      </c>
      <c r="FW52" s="1069">
        <v>132</v>
      </c>
      <c r="FX52" s="1070">
        <v>9</v>
      </c>
      <c r="FY52" s="1069">
        <v>132</v>
      </c>
      <c r="FZ52" s="1070">
        <v>9</v>
      </c>
      <c r="GA52" s="1069">
        <v>132</v>
      </c>
      <c r="GB52" s="1071" t="s">
        <v>366</v>
      </c>
      <c r="GC52" s="1072">
        <v>132</v>
      </c>
      <c r="GD52" s="1071" t="s">
        <v>815</v>
      </c>
      <c r="GE52" s="1073">
        <v>0</v>
      </c>
      <c r="GF52" s="688"/>
      <c r="GG52" s="990"/>
      <c r="GH52" s="990"/>
      <c r="GI52" s="990"/>
      <c r="GJ52" s="936"/>
      <c r="GK52" s="733"/>
      <c r="GL52" s="1074"/>
      <c r="GM52" s="1075"/>
      <c r="GN52" s="1075"/>
      <c r="GO52" s="1076"/>
      <c r="GP52" s="1076"/>
      <c r="GQ52" s="1077"/>
      <c r="GR52" s="953"/>
      <c r="GS52" s="893"/>
      <c r="GT52" s="861"/>
      <c r="GU52" s="530" t="s">
        <v>790</v>
      </c>
      <c r="GV52" s="733"/>
      <c r="GW52" s="936"/>
      <c r="GX52" s="733"/>
      <c r="GY52" s="413"/>
      <c r="GZ52" s="1078"/>
      <c r="HA52" s="953"/>
      <c r="HB52" s="1078"/>
      <c r="HC52" s="562"/>
      <c r="HD52" s="415"/>
    </row>
    <row r="53" spans="1:212" ht="20.100000000000001" customHeight="1" thickTop="1">
      <c r="A53" s="1079" t="s">
        <v>681</v>
      </c>
      <c r="B53" s="1080"/>
      <c r="C53" s="1081"/>
      <c r="D53" s="1081"/>
      <c r="E53" s="1082"/>
      <c r="F53" s="1083"/>
      <c r="G53" s="1084"/>
      <c r="H53" s="1085">
        <v>0</v>
      </c>
      <c r="I53" s="1086"/>
      <c r="J53" s="1085">
        <v>0</v>
      </c>
      <c r="K53" s="1086"/>
      <c r="L53" s="1085">
        <v>0</v>
      </c>
      <c r="M53" s="1086"/>
      <c r="N53" s="1085">
        <v>0</v>
      </c>
      <c r="O53" s="1086"/>
      <c r="P53" s="1085">
        <v>0</v>
      </c>
      <c r="Q53" s="1086"/>
      <c r="R53" s="1085">
        <v>0</v>
      </c>
      <c r="S53" s="1086"/>
      <c r="T53" s="1085">
        <v>0</v>
      </c>
      <c r="U53" s="1086"/>
      <c r="V53" s="1085">
        <v>0</v>
      </c>
      <c r="W53" s="1086"/>
      <c r="X53" s="1085">
        <v>3278</v>
      </c>
      <c r="Y53" s="1086"/>
      <c r="Z53" s="1085">
        <v>2985</v>
      </c>
      <c r="AA53" s="1086"/>
      <c r="AB53" s="1085">
        <v>3090</v>
      </c>
      <c r="AC53" s="1086"/>
      <c r="AD53" s="1085">
        <v>3134</v>
      </c>
      <c r="AE53" s="1086"/>
      <c r="AF53" s="1085">
        <v>3150</v>
      </c>
      <c r="AG53" s="1086"/>
      <c r="AH53" s="1085">
        <v>3127</v>
      </c>
      <c r="AI53" s="1086"/>
      <c r="AJ53" s="1085">
        <v>3030</v>
      </c>
      <c r="AK53" s="1086"/>
      <c r="AL53" s="1085">
        <v>2917</v>
      </c>
      <c r="AM53" s="1086"/>
      <c r="AN53" s="1085">
        <v>2744</v>
      </c>
      <c r="AO53" s="1086"/>
      <c r="AP53" s="1085">
        <v>2562</v>
      </c>
      <c r="AQ53" s="1086"/>
      <c r="AR53" s="1085">
        <v>0</v>
      </c>
      <c r="AS53" s="1086"/>
      <c r="AT53" s="1085">
        <v>0</v>
      </c>
      <c r="AU53" s="1086"/>
      <c r="AV53" s="1085">
        <v>0</v>
      </c>
      <c r="AW53" s="1086"/>
      <c r="AX53" s="1085">
        <v>0</v>
      </c>
      <c r="AY53" s="1087"/>
      <c r="AZ53" s="1088">
        <v>0</v>
      </c>
      <c r="BA53" s="1089"/>
      <c r="BB53" s="1090">
        <v>0</v>
      </c>
      <c r="BC53" s="981"/>
      <c r="BD53" s="1079" t="s">
        <v>681</v>
      </c>
      <c r="BE53" s="1080"/>
      <c r="BF53" s="1081"/>
      <c r="BG53" s="1081"/>
      <c r="BH53" s="1082"/>
      <c r="BI53" s="1083"/>
      <c r="BJ53" s="1084"/>
      <c r="BK53" s="1085">
        <v>0</v>
      </c>
      <c r="BL53" s="1086"/>
      <c r="BM53" s="1085">
        <v>0</v>
      </c>
      <c r="BN53" s="1086"/>
      <c r="BO53" s="1085">
        <v>0</v>
      </c>
      <c r="BP53" s="1086"/>
      <c r="BQ53" s="1085">
        <v>0</v>
      </c>
      <c r="BR53" s="1086"/>
      <c r="BS53" s="1085">
        <v>0</v>
      </c>
      <c r="BT53" s="1086"/>
      <c r="BU53" s="1085">
        <v>0</v>
      </c>
      <c r="BV53" s="1086"/>
      <c r="BW53" s="1085">
        <v>0</v>
      </c>
      <c r="BX53" s="1086"/>
      <c r="BY53" s="1085">
        <v>0</v>
      </c>
      <c r="BZ53" s="1086"/>
      <c r="CA53" s="1085">
        <v>3340</v>
      </c>
      <c r="CB53" s="1086"/>
      <c r="CC53" s="1085">
        <v>3010</v>
      </c>
      <c r="CD53" s="1086"/>
      <c r="CE53" s="1085">
        <v>3079</v>
      </c>
      <c r="CF53" s="1086"/>
      <c r="CG53" s="1085">
        <v>3081</v>
      </c>
      <c r="CH53" s="1086"/>
      <c r="CI53" s="1085">
        <v>3079</v>
      </c>
      <c r="CJ53" s="1086"/>
      <c r="CK53" s="1085">
        <v>3028</v>
      </c>
      <c r="CL53" s="1086"/>
      <c r="CM53" s="1085">
        <v>2947</v>
      </c>
      <c r="CN53" s="1086"/>
      <c r="CO53" s="1085">
        <v>2844</v>
      </c>
      <c r="CP53" s="1086"/>
      <c r="CQ53" s="1085">
        <v>2726</v>
      </c>
      <c r="CR53" s="1086"/>
      <c r="CS53" s="1085">
        <v>2549</v>
      </c>
      <c r="CT53" s="1086"/>
      <c r="CU53" s="1085">
        <v>0</v>
      </c>
      <c r="CV53" s="1086"/>
      <c r="CW53" s="1085">
        <v>0</v>
      </c>
      <c r="CX53" s="1086"/>
      <c r="CY53" s="1085">
        <v>0</v>
      </c>
      <c r="CZ53" s="1086"/>
      <c r="DA53" s="1085">
        <v>0</v>
      </c>
      <c r="DB53" s="1087"/>
      <c r="DC53" s="1088">
        <v>0</v>
      </c>
      <c r="DD53" s="1089"/>
      <c r="DE53" s="1090">
        <v>0</v>
      </c>
      <c r="DF53" s="981"/>
      <c r="DG53" s="1079" t="s">
        <v>344</v>
      </c>
      <c r="DH53" s="1080"/>
      <c r="DI53" s="1081"/>
      <c r="DJ53" s="1081"/>
      <c r="DK53" s="1082"/>
      <c r="DL53" s="1083"/>
      <c r="DM53" s="1084"/>
      <c r="DN53" s="1085">
        <v>0</v>
      </c>
      <c r="DO53" s="1086"/>
      <c r="DP53" s="1085">
        <v>0</v>
      </c>
      <c r="DQ53" s="1086"/>
      <c r="DR53" s="1085">
        <v>0</v>
      </c>
      <c r="DS53" s="1086"/>
      <c r="DT53" s="1085">
        <v>0</v>
      </c>
      <c r="DU53" s="1086"/>
      <c r="DV53" s="1085">
        <v>0</v>
      </c>
      <c r="DW53" s="1086"/>
      <c r="DX53" s="1085">
        <v>0</v>
      </c>
      <c r="DY53" s="1086"/>
      <c r="DZ53" s="1085">
        <v>0</v>
      </c>
      <c r="EA53" s="1086"/>
      <c r="EB53" s="1085">
        <v>0</v>
      </c>
      <c r="EC53" s="1086"/>
      <c r="ED53" s="1085">
        <v>3055</v>
      </c>
      <c r="EE53" s="1086"/>
      <c r="EF53" s="1085">
        <v>2625</v>
      </c>
      <c r="EG53" s="1086"/>
      <c r="EH53" s="1085">
        <v>2724</v>
      </c>
      <c r="EI53" s="1086"/>
      <c r="EJ53" s="1085">
        <v>2775</v>
      </c>
      <c r="EK53" s="1086"/>
      <c r="EL53" s="1085">
        <v>2768</v>
      </c>
      <c r="EM53" s="1086"/>
      <c r="EN53" s="1085">
        <v>2716</v>
      </c>
      <c r="EO53" s="1086"/>
      <c r="EP53" s="1085">
        <v>2640</v>
      </c>
      <c r="EQ53" s="1086"/>
      <c r="ER53" s="1085">
        <v>2547</v>
      </c>
      <c r="ES53" s="1086"/>
      <c r="ET53" s="1085">
        <v>2376</v>
      </c>
      <c r="EU53" s="1086"/>
      <c r="EV53" s="1085">
        <v>2210</v>
      </c>
      <c r="EW53" s="1086"/>
      <c r="EX53" s="1085">
        <v>0</v>
      </c>
      <c r="EY53" s="1086"/>
      <c r="EZ53" s="1085">
        <v>0</v>
      </c>
      <c r="FA53" s="1086"/>
      <c r="FB53" s="1085">
        <v>0</v>
      </c>
      <c r="FC53" s="1086"/>
      <c r="FD53" s="1085">
        <v>0</v>
      </c>
      <c r="FE53" s="1087"/>
      <c r="FF53" s="1088">
        <v>0</v>
      </c>
      <c r="FG53" s="1089"/>
      <c r="FH53" s="1090">
        <v>0</v>
      </c>
      <c r="FI53" s="981"/>
      <c r="FJ53" s="1079" t="s">
        <v>681</v>
      </c>
      <c r="FK53" s="1080"/>
      <c r="FL53" s="1081"/>
      <c r="FM53" s="1081"/>
      <c r="FN53" s="1082"/>
      <c r="FO53" s="1083"/>
      <c r="FP53" s="1091"/>
      <c r="FQ53" s="1092"/>
      <c r="FR53" s="1085">
        <v>4302</v>
      </c>
      <c r="FS53" s="1093"/>
      <c r="FT53" s="1092"/>
      <c r="FU53" s="1094">
        <v>4366</v>
      </c>
      <c r="FV53" s="1095">
        <v>9</v>
      </c>
      <c r="FW53" s="1096">
        <v>3278</v>
      </c>
      <c r="FX53" s="1097">
        <v>9</v>
      </c>
      <c r="FY53" s="1096">
        <v>3340</v>
      </c>
      <c r="FZ53" s="1097">
        <v>9</v>
      </c>
      <c r="GA53" s="1096">
        <v>3055</v>
      </c>
      <c r="GB53" s="1098" t="s">
        <v>366</v>
      </c>
      <c r="GC53" s="1096">
        <v>3278</v>
      </c>
      <c r="GD53" s="1098" t="s">
        <v>815</v>
      </c>
      <c r="GE53" s="1099">
        <v>4366</v>
      </c>
      <c r="GF53" s="688"/>
      <c r="GG53" s="990"/>
      <c r="GH53" s="990"/>
      <c r="GI53" s="990"/>
      <c r="GJ53" s="953"/>
      <c r="GK53" s="413"/>
      <c r="GL53" s="1100">
        <v>10</v>
      </c>
      <c r="GM53" s="1101">
        <v>1</v>
      </c>
      <c r="GN53" s="1102">
        <v>0.92</v>
      </c>
      <c r="GO53" s="1103">
        <v>6.1</v>
      </c>
      <c r="GP53" s="1103">
        <v>9</v>
      </c>
      <c r="GQ53" s="1104">
        <v>15.1</v>
      </c>
      <c r="GR53" s="580"/>
      <c r="GS53" s="483"/>
      <c r="GT53" s="861"/>
      <c r="GU53" s="580" t="s">
        <v>946</v>
      </c>
      <c r="GV53" s="580"/>
      <c r="GW53" s="580"/>
      <c r="GX53" s="580"/>
      <c r="GY53" s="413"/>
      <c r="GZ53" s="409"/>
      <c r="HA53" s="615">
        <v>15.4</v>
      </c>
      <c r="HB53" s="579" t="s">
        <v>319</v>
      </c>
      <c r="HC53" s="799"/>
      <c r="HD53" s="415"/>
    </row>
    <row r="54" spans="1:212" ht="20.100000000000001" customHeight="1">
      <c r="A54" s="1105" t="s">
        <v>682</v>
      </c>
      <c r="B54" s="1106"/>
      <c r="C54" s="1107"/>
      <c r="D54" s="1108"/>
      <c r="E54" s="1109"/>
      <c r="F54" s="1110"/>
      <c r="G54" s="1111"/>
      <c r="H54" s="1112">
        <v>0</v>
      </c>
      <c r="I54" s="1113"/>
      <c r="J54" s="1112">
        <v>0</v>
      </c>
      <c r="K54" s="1113"/>
      <c r="L54" s="1112">
        <v>0</v>
      </c>
      <c r="M54" s="1113"/>
      <c r="N54" s="1112">
        <v>0</v>
      </c>
      <c r="O54" s="1113"/>
      <c r="P54" s="1112">
        <v>0</v>
      </c>
      <c r="Q54" s="1113"/>
      <c r="R54" s="1112">
        <v>0</v>
      </c>
      <c r="S54" s="1113"/>
      <c r="T54" s="1112">
        <v>0</v>
      </c>
      <c r="U54" s="1113"/>
      <c r="V54" s="1112">
        <v>0</v>
      </c>
      <c r="W54" s="1113"/>
      <c r="X54" s="1112">
        <v>61.5</v>
      </c>
      <c r="Y54" s="1113"/>
      <c r="Z54" s="1112">
        <v>56</v>
      </c>
      <c r="AA54" s="1113"/>
      <c r="AB54" s="1112">
        <v>57.9</v>
      </c>
      <c r="AC54" s="1113"/>
      <c r="AD54" s="1112">
        <v>58.8</v>
      </c>
      <c r="AE54" s="1113"/>
      <c r="AF54" s="1112">
        <v>59.1</v>
      </c>
      <c r="AG54" s="1113"/>
      <c r="AH54" s="1112">
        <v>58.6</v>
      </c>
      <c r="AI54" s="1113"/>
      <c r="AJ54" s="1112">
        <v>56.8</v>
      </c>
      <c r="AK54" s="1113"/>
      <c r="AL54" s="1112">
        <v>54.7</v>
      </c>
      <c r="AM54" s="1113"/>
      <c r="AN54" s="1112">
        <v>51.4</v>
      </c>
      <c r="AO54" s="1113"/>
      <c r="AP54" s="1112">
        <v>48</v>
      </c>
      <c r="AQ54" s="1113"/>
      <c r="AR54" s="1112">
        <v>0</v>
      </c>
      <c r="AS54" s="1113"/>
      <c r="AT54" s="1112">
        <v>0</v>
      </c>
      <c r="AU54" s="1113"/>
      <c r="AV54" s="1112">
        <v>0</v>
      </c>
      <c r="AW54" s="1113"/>
      <c r="AX54" s="1112">
        <v>0</v>
      </c>
      <c r="AY54" s="1113"/>
      <c r="AZ54" s="1112">
        <v>0</v>
      </c>
      <c r="BA54" s="1113"/>
      <c r="BB54" s="1114">
        <v>0</v>
      </c>
      <c r="BC54" s="1017"/>
      <c r="BD54" s="1105" t="s">
        <v>345</v>
      </c>
      <c r="BE54" s="1106"/>
      <c r="BF54" s="1107"/>
      <c r="BG54" s="1108"/>
      <c r="BH54" s="1109"/>
      <c r="BI54" s="1110"/>
      <c r="BJ54" s="1111"/>
      <c r="BK54" s="1112">
        <v>0</v>
      </c>
      <c r="BL54" s="1113"/>
      <c r="BM54" s="1112">
        <v>0</v>
      </c>
      <c r="BN54" s="1113"/>
      <c r="BO54" s="1112">
        <v>0</v>
      </c>
      <c r="BP54" s="1113"/>
      <c r="BQ54" s="1112">
        <v>0</v>
      </c>
      <c r="BR54" s="1113"/>
      <c r="BS54" s="1112">
        <v>0</v>
      </c>
      <c r="BT54" s="1113"/>
      <c r="BU54" s="1112">
        <v>0</v>
      </c>
      <c r="BV54" s="1113"/>
      <c r="BW54" s="1112">
        <v>0</v>
      </c>
      <c r="BX54" s="1113"/>
      <c r="BY54" s="1112">
        <v>0</v>
      </c>
      <c r="BZ54" s="1113"/>
      <c r="CA54" s="1112">
        <v>62.6</v>
      </c>
      <c r="CB54" s="1113"/>
      <c r="CC54" s="1112">
        <v>56.4</v>
      </c>
      <c r="CD54" s="1113"/>
      <c r="CE54" s="1112">
        <v>57.7</v>
      </c>
      <c r="CF54" s="1113"/>
      <c r="CG54" s="1112">
        <v>57.8</v>
      </c>
      <c r="CH54" s="1113"/>
      <c r="CI54" s="1112">
        <v>57.7</v>
      </c>
      <c r="CJ54" s="1113"/>
      <c r="CK54" s="1112">
        <v>56.8</v>
      </c>
      <c r="CL54" s="1113"/>
      <c r="CM54" s="1112">
        <v>55.2</v>
      </c>
      <c r="CN54" s="1113"/>
      <c r="CO54" s="1112">
        <v>53.3</v>
      </c>
      <c r="CP54" s="1113"/>
      <c r="CQ54" s="1112">
        <v>51.1</v>
      </c>
      <c r="CR54" s="1113"/>
      <c r="CS54" s="1112">
        <v>47.8</v>
      </c>
      <c r="CT54" s="1113"/>
      <c r="CU54" s="1112">
        <v>0</v>
      </c>
      <c r="CV54" s="1113"/>
      <c r="CW54" s="1112">
        <v>0</v>
      </c>
      <c r="CX54" s="1113"/>
      <c r="CY54" s="1112">
        <v>0</v>
      </c>
      <c r="CZ54" s="1113"/>
      <c r="DA54" s="1112">
        <v>0</v>
      </c>
      <c r="DB54" s="1113"/>
      <c r="DC54" s="1112">
        <v>0</v>
      </c>
      <c r="DD54" s="1113"/>
      <c r="DE54" s="1114">
        <v>0</v>
      </c>
      <c r="DF54" s="1017"/>
      <c r="DG54" s="1105" t="s">
        <v>345</v>
      </c>
      <c r="DH54" s="1106"/>
      <c r="DI54" s="1107"/>
      <c r="DJ54" s="1108"/>
      <c r="DK54" s="1109"/>
      <c r="DL54" s="1110"/>
      <c r="DM54" s="1111"/>
      <c r="DN54" s="1112">
        <v>0</v>
      </c>
      <c r="DO54" s="1113"/>
      <c r="DP54" s="1112">
        <v>0</v>
      </c>
      <c r="DQ54" s="1113"/>
      <c r="DR54" s="1112">
        <v>0</v>
      </c>
      <c r="DS54" s="1113"/>
      <c r="DT54" s="1112">
        <v>0</v>
      </c>
      <c r="DU54" s="1113"/>
      <c r="DV54" s="1112">
        <v>0</v>
      </c>
      <c r="DW54" s="1113"/>
      <c r="DX54" s="1112">
        <v>0</v>
      </c>
      <c r="DY54" s="1113"/>
      <c r="DZ54" s="1112">
        <v>0</v>
      </c>
      <c r="EA54" s="1113"/>
      <c r="EB54" s="1112">
        <v>0</v>
      </c>
      <c r="EC54" s="1113"/>
      <c r="ED54" s="1112">
        <v>57.3</v>
      </c>
      <c r="EE54" s="1113"/>
      <c r="EF54" s="1112">
        <v>49.2</v>
      </c>
      <c r="EG54" s="1113"/>
      <c r="EH54" s="1112">
        <v>51.1</v>
      </c>
      <c r="EI54" s="1113"/>
      <c r="EJ54" s="1112">
        <v>52</v>
      </c>
      <c r="EK54" s="1113"/>
      <c r="EL54" s="1112">
        <v>51.9</v>
      </c>
      <c r="EM54" s="1113"/>
      <c r="EN54" s="1112">
        <v>50.9</v>
      </c>
      <c r="EO54" s="1113"/>
      <c r="EP54" s="1112">
        <v>49.5</v>
      </c>
      <c r="EQ54" s="1113"/>
      <c r="ER54" s="1112">
        <v>47.8</v>
      </c>
      <c r="ES54" s="1113"/>
      <c r="ET54" s="1112">
        <v>44.5</v>
      </c>
      <c r="EU54" s="1113"/>
      <c r="EV54" s="1112">
        <v>41.4</v>
      </c>
      <c r="EW54" s="1113"/>
      <c r="EX54" s="1112">
        <v>0</v>
      </c>
      <c r="EY54" s="1113"/>
      <c r="EZ54" s="1112">
        <v>0</v>
      </c>
      <c r="FA54" s="1113"/>
      <c r="FB54" s="1112">
        <v>0</v>
      </c>
      <c r="FC54" s="1113"/>
      <c r="FD54" s="1112">
        <v>0</v>
      </c>
      <c r="FE54" s="1113"/>
      <c r="FF54" s="1112">
        <v>0</v>
      </c>
      <c r="FG54" s="1113"/>
      <c r="FH54" s="1114">
        <v>0</v>
      </c>
      <c r="FI54" s="1017"/>
      <c r="FJ54" s="1105" t="s">
        <v>682</v>
      </c>
      <c r="FK54" s="1106"/>
      <c r="FL54" s="1107"/>
      <c r="FM54" s="1108"/>
      <c r="FN54" s="1109"/>
      <c r="FO54" s="1110"/>
      <c r="FP54" s="1115"/>
      <c r="FQ54" s="1113"/>
      <c r="FR54" s="1112">
        <v>80.7</v>
      </c>
      <c r="FS54" s="1116"/>
      <c r="FT54" s="1113"/>
      <c r="FU54" s="1117">
        <v>81.900000000000006</v>
      </c>
      <c r="FV54" s="1116"/>
      <c r="FW54" s="1112">
        <f>IF(面積=0,0,ROUND(FW53/面積,1))</f>
        <v>61.5</v>
      </c>
      <c r="FX54" s="1116"/>
      <c r="FY54" s="1112">
        <f>IF(面積=0,0,ROUND(FY53/面積,1))</f>
        <v>62.6</v>
      </c>
      <c r="FZ54" s="1116"/>
      <c r="GA54" s="1112">
        <f>IF(面積=0,0,ROUND(GA53/面積,1))</f>
        <v>57.3</v>
      </c>
      <c r="GB54" s="1116"/>
      <c r="GC54" s="1112">
        <f>IF(面積=0,0,ROUND(GC53/面積,1))</f>
        <v>61.5</v>
      </c>
      <c r="GD54" s="1116"/>
      <c r="GE54" s="1114">
        <f>IF(面積=0,0,ROUND(GE53/面積,1))</f>
        <v>81.900000000000006</v>
      </c>
      <c r="GF54" s="688"/>
      <c r="GG54" s="937"/>
      <c r="GH54" s="937"/>
      <c r="GI54" s="937"/>
      <c r="GJ54" s="580"/>
      <c r="GK54" s="579"/>
      <c r="GL54" s="1100">
        <v>11</v>
      </c>
      <c r="GM54" s="1101">
        <v>2</v>
      </c>
      <c r="GN54" s="1102">
        <v>0.85</v>
      </c>
      <c r="GO54" s="1103">
        <v>5.6</v>
      </c>
      <c r="GP54" s="1103">
        <v>9</v>
      </c>
      <c r="GQ54" s="1104">
        <v>14.6</v>
      </c>
      <c r="GR54" s="530"/>
      <c r="GS54" s="580"/>
      <c r="GT54" s="861"/>
      <c r="GU54" s="1118" t="s">
        <v>728</v>
      </c>
      <c r="GV54" s="1118"/>
      <c r="GW54" s="1118"/>
      <c r="GX54" s="1118"/>
      <c r="GY54" s="775"/>
      <c r="GZ54" s="1119"/>
      <c r="HA54" s="1120">
        <v>37.200000000000003</v>
      </c>
      <c r="HB54" s="1121" t="s">
        <v>319</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5.0999999999999996</v>
      </c>
      <c r="GP55" s="1103">
        <v>9</v>
      </c>
      <c r="GQ55" s="1104">
        <v>14.1</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934</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4.8</v>
      </c>
      <c r="GP56" s="1103">
        <v>9</v>
      </c>
      <c r="GQ56" s="1104">
        <v>13.8</v>
      </c>
      <c r="GR56" s="530"/>
      <c r="GS56" s="529"/>
      <c r="GT56" s="1303"/>
      <c r="GU56" s="578"/>
      <c r="GV56" s="579"/>
      <c r="GW56" s="578"/>
      <c r="GX56" s="579"/>
      <c r="GY56" s="579"/>
      <c r="GZ56" s="500"/>
      <c r="HA56" s="578"/>
      <c r="HB56" s="500"/>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4.4000000000000004</v>
      </c>
      <c r="GP57" s="1103">
        <v>9</v>
      </c>
      <c r="GQ57" s="1104">
        <v>13.4</v>
      </c>
      <c r="GR57" s="953"/>
      <c r="GS57" s="529"/>
      <c r="GT57" s="1303"/>
      <c r="GU57" s="578"/>
      <c r="GV57" s="578"/>
      <c r="GW57" s="500"/>
      <c r="GX57" s="1306"/>
      <c r="GY57" s="579"/>
      <c r="GZ57" s="500"/>
      <c r="HA57" s="578"/>
      <c r="HB57" s="500"/>
      <c r="HC57" s="1052"/>
    </row>
    <row r="58" spans="1:212" ht="20.100000000000001" customHeight="1">
      <c r="A58" s="1163" t="s">
        <v>612</v>
      </c>
      <c r="B58" s="1164"/>
      <c r="C58" s="1164"/>
      <c r="D58" s="1164"/>
      <c r="E58" s="1165"/>
      <c r="F58" s="1166"/>
      <c r="G58" s="1167"/>
      <c r="H58" s="1168"/>
      <c r="I58" s="1169"/>
      <c r="J58" s="1168"/>
      <c r="K58" s="1169"/>
      <c r="L58" s="1168"/>
      <c r="M58" s="1169"/>
      <c r="N58" s="1168"/>
      <c r="O58" s="1169"/>
      <c r="P58" s="1168"/>
      <c r="Q58" s="1169"/>
      <c r="R58" s="1168"/>
      <c r="S58" s="1169"/>
      <c r="T58" s="1168"/>
      <c r="U58" s="1169"/>
      <c r="V58" s="1168"/>
      <c r="W58" s="1169"/>
      <c r="X58" s="1168">
        <v>110</v>
      </c>
      <c r="Y58" s="1169"/>
      <c r="Z58" s="1168">
        <v>110</v>
      </c>
      <c r="AA58" s="1169"/>
      <c r="AB58" s="1168">
        <v>110</v>
      </c>
      <c r="AC58" s="1169"/>
      <c r="AD58" s="1168">
        <v>110</v>
      </c>
      <c r="AE58" s="1169"/>
      <c r="AF58" s="1168">
        <v>110</v>
      </c>
      <c r="AG58" s="1169"/>
      <c r="AH58" s="1168">
        <v>110</v>
      </c>
      <c r="AI58" s="1169"/>
      <c r="AJ58" s="1168">
        <v>110</v>
      </c>
      <c r="AK58" s="1169"/>
      <c r="AL58" s="1168">
        <v>110</v>
      </c>
      <c r="AM58" s="1169"/>
      <c r="AN58" s="1168">
        <v>110</v>
      </c>
      <c r="AO58" s="1169"/>
      <c r="AP58" s="1168">
        <v>110</v>
      </c>
      <c r="AQ58" s="1169"/>
      <c r="AR58" s="1168"/>
      <c r="AS58" s="1169"/>
      <c r="AT58" s="1168"/>
      <c r="AU58" s="1169"/>
      <c r="AV58" s="1168"/>
      <c r="AW58" s="1169"/>
      <c r="AX58" s="1168"/>
      <c r="AY58" s="1169"/>
      <c r="AZ58" s="1168"/>
      <c r="BA58" s="1169"/>
      <c r="BB58" s="561"/>
      <c r="BC58" s="563"/>
      <c r="BD58" s="1163" t="s">
        <v>737</v>
      </c>
      <c r="BE58" s="1164"/>
      <c r="BF58" s="1164"/>
      <c r="BG58" s="1164"/>
      <c r="BH58" s="1165"/>
      <c r="BI58" s="1166"/>
      <c r="BJ58" s="1167"/>
      <c r="BK58" s="1168"/>
      <c r="BL58" s="1169"/>
      <c r="BM58" s="1168"/>
      <c r="BN58" s="1169"/>
      <c r="BO58" s="1168"/>
      <c r="BP58" s="1169"/>
      <c r="BQ58" s="1168"/>
      <c r="BR58" s="1169"/>
      <c r="BS58" s="1168"/>
      <c r="BT58" s="1169"/>
      <c r="BU58" s="1168"/>
      <c r="BV58" s="1169"/>
      <c r="BW58" s="1168"/>
      <c r="BX58" s="1169"/>
      <c r="BY58" s="1168"/>
      <c r="BZ58" s="1169"/>
      <c r="CA58" s="1168">
        <v>110</v>
      </c>
      <c r="CB58" s="1169"/>
      <c r="CC58" s="1168">
        <v>110</v>
      </c>
      <c r="CD58" s="1169"/>
      <c r="CE58" s="1168">
        <v>110</v>
      </c>
      <c r="CF58" s="1169"/>
      <c r="CG58" s="1168">
        <v>110</v>
      </c>
      <c r="CH58" s="1169"/>
      <c r="CI58" s="1168">
        <v>110</v>
      </c>
      <c r="CJ58" s="1169"/>
      <c r="CK58" s="1168">
        <v>110</v>
      </c>
      <c r="CL58" s="1169"/>
      <c r="CM58" s="1168">
        <v>110</v>
      </c>
      <c r="CN58" s="1169"/>
      <c r="CO58" s="1168">
        <v>110</v>
      </c>
      <c r="CP58" s="1169"/>
      <c r="CQ58" s="1168">
        <v>110</v>
      </c>
      <c r="CR58" s="1169"/>
      <c r="CS58" s="1168">
        <v>110</v>
      </c>
      <c r="CT58" s="1169"/>
      <c r="CU58" s="1168"/>
      <c r="CV58" s="1169"/>
      <c r="CW58" s="1168"/>
      <c r="CX58" s="1169"/>
      <c r="CY58" s="1168"/>
      <c r="CZ58" s="1169"/>
      <c r="DA58" s="1168"/>
      <c r="DB58" s="1169"/>
      <c r="DC58" s="1168"/>
      <c r="DD58" s="1169"/>
      <c r="DE58" s="561"/>
      <c r="DF58" s="562"/>
      <c r="DG58" s="1163" t="s">
        <v>737</v>
      </c>
      <c r="DH58" s="1164"/>
      <c r="DI58" s="1164"/>
      <c r="DJ58" s="1164"/>
      <c r="DK58" s="1165"/>
      <c r="DL58" s="1166"/>
      <c r="DM58" s="1167"/>
      <c r="DN58" s="1168"/>
      <c r="DO58" s="1169"/>
      <c r="DP58" s="1168"/>
      <c r="DQ58" s="1169"/>
      <c r="DR58" s="1168"/>
      <c r="DS58" s="1169"/>
      <c r="DT58" s="1168"/>
      <c r="DU58" s="1169"/>
      <c r="DV58" s="1168"/>
      <c r="DW58" s="1169"/>
      <c r="DX58" s="1168"/>
      <c r="DY58" s="1169"/>
      <c r="DZ58" s="1168"/>
      <c r="EA58" s="1169"/>
      <c r="EB58" s="1168"/>
      <c r="EC58" s="1169"/>
      <c r="ED58" s="1168">
        <v>110</v>
      </c>
      <c r="EE58" s="1169"/>
      <c r="EF58" s="1168">
        <v>110</v>
      </c>
      <c r="EG58" s="1169"/>
      <c r="EH58" s="1168">
        <v>110</v>
      </c>
      <c r="EI58" s="1169"/>
      <c r="EJ58" s="1168">
        <v>110</v>
      </c>
      <c r="EK58" s="1169"/>
      <c r="EL58" s="1168">
        <v>110</v>
      </c>
      <c r="EM58" s="1169"/>
      <c r="EN58" s="1168">
        <v>110</v>
      </c>
      <c r="EO58" s="1169"/>
      <c r="EP58" s="1168">
        <v>110</v>
      </c>
      <c r="EQ58" s="1169"/>
      <c r="ER58" s="1168">
        <v>110</v>
      </c>
      <c r="ES58" s="1169"/>
      <c r="ET58" s="1168">
        <v>110</v>
      </c>
      <c r="EU58" s="1169"/>
      <c r="EV58" s="1168">
        <v>110</v>
      </c>
      <c r="EW58" s="1169"/>
      <c r="EX58" s="1168"/>
      <c r="EY58" s="1169"/>
      <c r="EZ58" s="1168"/>
      <c r="FA58" s="1169"/>
      <c r="FB58" s="1168"/>
      <c r="FC58" s="1169"/>
      <c r="FD58" s="1168"/>
      <c r="FE58" s="1169"/>
      <c r="FF58" s="1168"/>
      <c r="FG58" s="1169"/>
      <c r="FH58" s="561"/>
      <c r="FI58" s="563"/>
      <c r="FJ58" s="1163" t="s">
        <v>737</v>
      </c>
      <c r="FK58" s="1164"/>
      <c r="FL58" s="1164"/>
      <c r="FM58" s="1164"/>
      <c r="FN58" s="1165"/>
      <c r="FO58" s="1166"/>
      <c r="FP58" s="1170"/>
      <c r="FQ58" s="1171"/>
      <c r="FR58" s="1168">
        <v>110</v>
      </c>
      <c r="FS58" s="1172"/>
      <c r="FT58" s="1171"/>
      <c r="FU58" s="1173">
        <v>110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4</v>
      </c>
      <c r="GP58" s="1103">
        <v>9</v>
      </c>
      <c r="GQ58" s="1104">
        <v>13</v>
      </c>
      <c r="GR58" s="953"/>
      <c r="GS58" s="530"/>
      <c r="GT58" s="689"/>
      <c r="GU58" s="500"/>
      <c r="GV58" s="578"/>
      <c r="GW58" s="500"/>
      <c r="GX58" s="1306"/>
      <c r="GY58" s="1304"/>
      <c r="GZ58" s="579"/>
      <c r="HA58" s="578"/>
      <c r="HB58" s="500"/>
      <c r="HC58" s="562"/>
      <c r="HD58" s="1179"/>
    </row>
    <row r="59" spans="1:212" ht="20.100000000000001" customHeight="1">
      <c r="A59" s="1180" t="s">
        <v>738</v>
      </c>
      <c r="B59" s="1181"/>
      <c r="C59" s="1181"/>
      <c r="D59" s="1182" t="s">
        <v>615</v>
      </c>
      <c r="E59" s="1183"/>
      <c r="F59" s="1021"/>
      <c r="G59" s="1184">
        <v>0</v>
      </c>
      <c r="H59" s="585">
        <v>0</v>
      </c>
      <c r="I59" s="1185">
        <v>0</v>
      </c>
      <c r="J59" s="587">
        <v>0</v>
      </c>
      <c r="K59" s="1185">
        <v>0</v>
      </c>
      <c r="L59" s="587">
        <v>0</v>
      </c>
      <c r="M59" s="1185">
        <v>0</v>
      </c>
      <c r="N59" s="587">
        <v>0</v>
      </c>
      <c r="O59" s="1185">
        <v>0</v>
      </c>
      <c r="P59" s="587">
        <v>0</v>
      </c>
      <c r="Q59" s="1185">
        <v>0</v>
      </c>
      <c r="R59" s="587">
        <v>0</v>
      </c>
      <c r="S59" s="1185">
        <v>0</v>
      </c>
      <c r="T59" s="587">
        <v>0</v>
      </c>
      <c r="U59" s="1185">
        <v>0</v>
      </c>
      <c r="V59" s="587">
        <v>0</v>
      </c>
      <c r="W59" s="1185">
        <v>23.7</v>
      </c>
      <c r="X59" s="587">
        <v>869</v>
      </c>
      <c r="Y59" s="1185">
        <v>24.6</v>
      </c>
      <c r="Z59" s="587">
        <v>902</v>
      </c>
      <c r="AA59" s="1185">
        <v>24.9</v>
      </c>
      <c r="AB59" s="587">
        <v>913</v>
      </c>
      <c r="AC59" s="1185">
        <v>26.2</v>
      </c>
      <c r="AD59" s="587">
        <v>961</v>
      </c>
      <c r="AE59" s="1185">
        <v>25.8</v>
      </c>
      <c r="AF59" s="587">
        <v>946</v>
      </c>
      <c r="AG59" s="1185">
        <v>25.1</v>
      </c>
      <c r="AH59" s="587">
        <v>920</v>
      </c>
      <c r="AI59" s="1185">
        <v>25.1</v>
      </c>
      <c r="AJ59" s="587">
        <v>920</v>
      </c>
      <c r="AK59" s="1185">
        <v>24.8</v>
      </c>
      <c r="AL59" s="587">
        <v>909</v>
      </c>
      <c r="AM59" s="1185">
        <v>24.1</v>
      </c>
      <c r="AN59" s="587">
        <v>884</v>
      </c>
      <c r="AO59" s="1185">
        <v>23.4</v>
      </c>
      <c r="AP59" s="587">
        <v>858</v>
      </c>
      <c r="AQ59" s="1185">
        <v>0</v>
      </c>
      <c r="AR59" s="587">
        <v>0</v>
      </c>
      <c r="AS59" s="1185">
        <v>0</v>
      </c>
      <c r="AT59" s="587">
        <v>0</v>
      </c>
      <c r="AU59" s="1185">
        <v>0</v>
      </c>
      <c r="AV59" s="587">
        <v>0</v>
      </c>
      <c r="AW59" s="1185">
        <v>0</v>
      </c>
      <c r="AX59" s="587">
        <v>0</v>
      </c>
      <c r="AY59" s="1185">
        <v>0</v>
      </c>
      <c r="AZ59" s="587">
        <v>0</v>
      </c>
      <c r="BA59" s="1185">
        <v>0</v>
      </c>
      <c r="BB59" s="589">
        <v>0</v>
      </c>
      <c r="BC59" s="563"/>
      <c r="BD59" s="1180" t="s">
        <v>616</v>
      </c>
      <c r="BE59" s="1181"/>
      <c r="BF59" s="1181"/>
      <c r="BG59" s="1182" t="s">
        <v>615</v>
      </c>
      <c r="BH59" s="1183"/>
      <c r="BI59" s="1021"/>
      <c r="BJ59" s="1184">
        <v>0</v>
      </c>
      <c r="BK59" s="585">
        <v>0</v>
      </c>
      <c r="BL59" s="1185">
        <v>0</v>
      </c>
      <c r="BM59" s="587">
        <v>0</v>
      </c>
      <c r="BN59" s="1185">
        <v>0</v>
      </c>
      <c r="BO59" s="587">
        <v>0</v>
      </c>
      <c r="BP59" s="1185">
        <v>0</v>
      </c>
      <c r="BQ59" s="587">
        <v>0</v>
      </c>
      <c r="BR59" s="1185">
        <v>0</v>
      </c>
      <c r="BS59" s="587">
        <v>0</v>
      </c>
      <c r="BT59" s="1185">
        <v>0</v>
      </c>
      <c r="BU59" s="587">
        <v>0</v>
      </c>
      <c r="BV59" s="1185">
        <v>0</v>
      </c>
      <c r="BW59" s="587">
        <v>0</v>
      </c>
      <c r="BX59" s="1185">
        <v>0</v>
      </c>
      <c r="BY59" s="587">
        <v>0</v>
      </c>
      <c r="BZ59" s="1185">
        <v>18.600000000000001</v>
      </c>
      <c r="CA59" s="587">
        <v>682</v>
      </c>
      <c r="CB59" s="1185">
        <v>19.399999999999999</v>
      </c>
      <c r="CC59" s="587">
        <v>711</v>
      </c>
      <c r="CD59" s="1185">
        <v>20.3</v>
      </c>
      <c r="CE59" s="587">
        <v>744</v>
      </c>
      <c r="CF59" s="1185">
        <v>21</v>
      </c>
      <c r="CG59" s="587">
        <v>770</v>
      </c>
      <c r="CH59" s="1185">
        <v>21.4</v>
      </c>
      <c r="CI59" s="587">
        <v>785</v>
      </c>
      <c r="CJ59" s="1185">
        <v>20.7</v>
      </c>
      <c r="CK59" s="587">
        <v>759</v>
      </c>
      <c r="CL59" s="1185">
        <v>20.5</v>
      </c>
      <c r="CM59" s="587">
        <v>752</v>
      </c>
      <c r="CN59" s="1185">
        <v>20.3</v>
      </c>
      <c r="CO59" s="587">
        <v>744</v>
      </c>
      <c r="CP59" s="1185">
        <v>20.3</v>
      </c>
      <c r="CQ59" s="587">
        <v>744</v>
      </c>
      <c r="CR59" s="1185">
        <v>19.600000000000001</v>
      </c>
      <c r="CS59" s="587">
        <v>719</v>
      </c>
      <c r="CT59" s="1185">
        <v>0</v>
      </c>
      <c r="CU59" s="587">
        <v>0</v>
      </c>
      <c r="CV59" s="1185">
        <v>0</v>
      </c>
      <c r="CW59" s="587">
        <v>0</v>
      </c>
      <c r="CX59" s="1185">
        <v>0</v>
      </c>
      <c r="CY59" s="587">
        <v>0</v>
      </c>
      <c r="CZ59" s="1185">
        <v>0</v>
      </c>
      <c r="DA59" s="587">
        <v>0</v>
      </c>
      <c r="DB59" s="1185">
        <v>0</v>
      </c>
      <c r="DC59" s="587">
        <v>0</v>
      </c>
      <c r="DD59" s="1185">
        <v>0</v>
      </c>
      <c r="DE59" s="589">
        <v>0</v>
      </c>
      <c r="DF59" s="562"/>
      <c r="DG59" s="1180" t="s">
        <v>616</v>
      </c>
      <c r="DH59" s="1181"/>
      <c r="DI59" s="1181"/>
      <c r="DJ59" s="1182" t="s">
        <v>615</v>
      </c>
      <c r="DK59" s="1183"/>
      <c r="DL59" s="1021"/>
      <c r="DM59" s="1184">
        <v>0</v>
      </c>
      <c r="DN59" s="585">
        <v>0</v>
      </c>
      <c r="DO59" s="1185">
        <v>0</v>
      </c>
      <c r="DP59" s="587">
        <v>0</v>
      </c>
      <c r="DQ59" s="1185">
        <v>0</v>
      </c>
      <c r="DR59" s="587">
        <v>0</v>
      </c>
      <c r="DS59" s="1185">
        <v>0</v>
      </c>
      <c r="DT59" s="587">
        <v>0</v>
      </c>
      <c r="DU59" s="1185">
        <v>0</v>
      </c>
      <c r="DV59" s="587">
        <v>0</v>
      </c>
      <c r="DW59" s="1185">
        <v>0</v>
      </c>
      <c r="DX59" s="587">
        <v>0</v>
      </c>
      <c r="DY59" s="1185">
        <v>0</v>
      </c>
      <c r="DZ59" s="587">
        <v>0</v>
      </c>
      <c r="EA59" s="1185">
        <v>0</v>
      </c>
      <c r="EB59" s="587">
        <v>0</v>
      </c>
      <c r="EC59" s="1185">
        <v>9.8000000000000007</v>
      </c>
      <c r="ED59" s="587">
        <v>359</v>
      </c>
      <c r="EE59" s="1185">
        <v>10.9</v>
      </c>
      <c r="EF59" s="587">
        <v>400</v>
      </c>
      <c r="EG59" s="1185">
        <v>11</v>
      </c>
      <c r="EH59" s="587">
        <v>403</v>
      </c>
      <c r="EI59" s="1185">
        <v>11.4</v>
      </c>
      <c r="EJ59" s="587">
        <v>418</v>
      </c>
      <c r="EK59" s="1185">
        <v>11.1</v>
      </c>
      <c r="EL59" s="587">
        <v>407</v>
      </c>
      <c r="EM59" s="1185">
        <v>10.6</v>
      </c>
      <c r="EN59" s="587">
        <v>389</v>
      </c>
      <c r="EO59" s="1185">
        <v>10.4</v>
      </c>
      <c r="EP59" s="587">
        <v>381</v>
      </c>
      <c r="EQ59" s="1185">
        <v>10.5</v>
      </c>
      <c r="ER59" s="587">
        <v>385</v>
      </c>
      <c r="ES59" s="1185">
        <v>10</v>
      </c>
      <c r="ET59" s="587">
        <v>367</v>
      </c>
      <c r="EU59" s="1185">
        <v>10.5</v>
      </c>
      <c r="EV59" s="587">
        <v>385</v>
      </c>
      <c r="EW59" s="1185">
        <v>0</v>
      </c>
      <c r="EX59" s="587">
        <v>0</v>
      </c>
      <c r="EY59" s="1185">
        <v>0</v>
      </c>
      <c r="EZ59" s="587">
        <v>0</v>
      </c>
      <c r="FA59" s="1185">
        <v>0</v>
      </c>
      <c r="FB59" s="587">
        <v>0</v>
      </c>
      <c r="FC59" s="1185">
        <v>0</v>
      </c>
      <c r="FD59" s="587">
        <v>0</v>
      </c>
      <c r="FE59" s="1185">
        <v>0</v>
      </c>
      <c r="FF59" s="587">
        <v>0</v>
      </c>
      <c r="FG59" s="1185">
        <v>0</v>
      </c>
      <c r="FH59" s="589">
        <v>0</v>
      </c>
      <c r="FI59" s="563"/>
      <c r="FJ59" s="1180" t="s">
        <v>738</v>
      </c>
      <c r="FK59" s="1181"/>
      <c r="FL59" s="1181"/>
      <c r="FM59" s="1182" t="s">
        <v>615</v>
      </c>
      <c r="FN59" s="1183"/>
      <c r="FO59" s="1021"/>
      <c r="FP59" s="625">
        <v>9</v>
      </c>
      <c r="FQ59" s="1186">
        <v>5.7</v>
      </c>
      <c r="FR59" s="1187">
        <v>209</v>
      </c>
      <c r="FS59" s="1188">
        <v>9</v>
      </c>
      <c r="FT59" s="1186">
        <v>5.9</v>
      </c>
      <c r="FU59" s="1189">
        <v>216</v>
      </c>
      <c r="FV59" s="1190">
        <v>9</v>
      </c>
      <c r="FW59" s="1191">
        <v>869</v>
      </c>
      <c r="FX59" s="1192">
        <v>9</v>
      </c>
      <c r="FY59" s="1191">
        <v>682</v>
      </c>
      <c r="FZ59" s="1192">
        <v>9</v>
      </c>
      <c r="GA59" s="1191">
        <v>359</v>
      </c>
      <c r="GB59" s="1192" t="s">
        <v>797</v>
      </c>
      <c r="GC59" s="1191">
        <v>869</v>
      </c>
      <c r="GD59" s="1192" t="s">
        <v>853</v>
      </c>
      <c r="GE59" s="1193">
        <v>216</v>
      </c>
      <c r="GF59" s="688"/>
      <c r="GG59" s="1194"/>
      <c r="GH59" s="1194"/>
      <c r="GI59" s="1194"/>
      <c r="GJ59" s="893"/>
      <c r="GK59" s="409"/>
      <c r="GL59" s="1124">
        <v>16</v>
      </c>
      <c r="GM59" s="1125">
        <v>7</v>
      </c>
      <c r="GN59" s="1102">
        <v>0.56000000000000005</v>
      </c>
      <c r="GO59" s="1103">
        <v>3.7</v>
      </c>
      <c r="GP59" s="1103">
        <v>9</v>
      </c>
      <c r="GQ59" s="1104">
        <v>12.7</v>
      </c>
      <c r="GR59" s="893"/>
      <c r="GS59" s="391"/>
      <c r="GT59" s="1305"/>
      <c r="GU59" s="579"/>
      <c r="GV59" s="500"/>
      <c r="GW59" s="500"/>
      <c r="GX59" s="1306"/>
      <c r="GY59" s="1304"/>
      <c r="GZ59" s="579"/>
      <c r="HA59" s="578"/>
      <c r="HB59" s="500"/>
      <c r="HC59" s="1179"/>
      <c r="HD59" s="1195"/>
    </row>
    <row r="60" spans="1:212" ht="20.100000000000001" customHeight="1">
      <c r="A60" s="1180"/>
      <c r="B60" s="1181"/>
      <c r="C60" s="1181"/>
      <c r="D60" s="1196"/>
      <c r="E60" s="1196"/>
      <c r="F60" s="1197">
        <v>0</v>
      </c>
      <c r="G60" s="584"/>
      <c r="H60" s="585"/>
      <c r="I60" s="588"/>
      <c r="J60" s="587"/>
      <c r="K60" s="588"/>
      <c r="L60" s="587"/>
      <c r="M60" s="588"/>
      <c r="N60" s="587"/>
      <c r="O60" s="588"/>
      <c r="P60" s="587"/>
      <c r="Q60" s="588"/>
      <c r="R60" s="587"/>
      <c r="S60" s="588"/>
      <c r="T60" s="587"/>
      <c r="U60" s="588"/>
      <c r="V60" s="587"/>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c r="AS60" s="588"/>
      <c r="AT60" s="587"/>
      <c r="AU60" s="588"/>
      <c r="AV60" s="587"/>
      <c r="AW60" s="588"/>
      <c r="AX60" s="587"/>
      <c r="AY60" s="588"/>
      <c r="AZ60" s="587"/>
      <c r="BA60" s="588"/>
      <c r="BB60" s="589"/>
      <c r="BC60" s="563"/>
      <c r="BD60" s="1180"/>
      <c r="BE60" s="1181"/>
      <c r="BF60" s="1181"/>
      <c r="BG60" s="1196"/>
      <c r="BH60" s="1196"/>
      <c r="BI60" s="1197"/>
      <c r="BJ60" s="584"/>
      <c r="BK60" s="585"/>
      <c r="BL60" s="588"/>
      <c r="BM60" s="587"/>
      <c r="BN60" s="588"/>
      <c r="BO60" s="587"/>
      <c r="BP60" s="588"/>
      <c r="BQ60" s="587"/>
      <c r="BR60" s="588"/>
      <c r="BS60" s="587"/>
      <c r="BT60" s="588"/>
      <c r="BU60" s="587"/>
      <c r="BV60" s="588"/>
      <c r="BW60" s="587"/>
      <c r="BX60" s="588"/>
      <c r="BY60" s="587"/>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c r="CV60" s="588"/>
      <c r="CW60" s="587"/>
      <c r="CX60" s="588"/>
      <c r="CY60" s="587"/>
      <c r="CZ60" s="588"/>
      <c r="DA60" s="587"/>
      <c r="DB60" s="588"/>
      <c r="DC60" s="587"/>
      <c r="DD60" s="588"/>
      <c r="DE60" s="589"/>
      <c r="DF60" s="562"/>
      <c r="DG60" s="1180"/>
      <c r="DH60" s="1181"/>
      <c r="DI60" s="1181"/>
      <c r="DJ60" s="1196"/>
      <c r="DK60" s="1196"/>
      <c r="DL60" s="1197"/>
      <c r="DM60" s="584"/>
      <c r="DN60" s="585"/>
      <c r="DO60" s="588"/>
      <c r="DP60" s="587"/>
      <c r="DQ60" s="588"/>
      <c r="DR60" s="587"/>
      <c r="DS60" s="588"/>
      <c r="DT60" s="587"/>
      <c r="DU60" s="588"/>
      <c r="DV60" s="587"/>
      <c r="DW60" s="588"/>
      <c r="DX60" s="587"/>
      <c r="DY60" s="588"/>
      <c r="DZ60" s="587"/>
      <c r="EA60" s="588"/>
      <c r="EB60" s="587"/>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c r="EY60" s="588"/>
      <c r="EZ60" s="587"/>
      <c r="FA60" s="588"/>
      <c r="FB60" s="587"/>
      <c r="FC60" s="588"/>
      <c r="FD60" s="587"/>
      <c r="FE60" s="588"/>
      <c r="FF60" s="587"/>
      <c r="FG60" s="588"/>
      <c r="FH60" s="589"/>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3.4</v>
      </c>
      <c r="GP60" s="1103">
        <v>9</v>
      </c>
      <c r="GQ60" s="1104">
        <v>12.4</v>
      </c>
      <c r="GR60" s="391"/>
      <c r="GS60" s="483"/>
      <c r="GT60" s="1305"/>
      <c r="GU60" s="500"/>
      <c r="GV60" s="579"/>
      <c r="GW60" s="500"/>
      <c r="GX60" s="579"/>
      <c r="GY60" s="500"/>
      <c r="GZ60" s="500"/>
      <c r="HA60" s="578"/>
      <c r="HB60" s="500"/>
      <c r="HC60" s="1201"/>
      <c r="HD60" s="1038"/>
    </row>
    <row r="61" spans="1:212" ht="20.100000000000001" customHeight="1">
      <c r="A61" s="1202" t="s">
        <v>621</v>
      </c>
      <c r="B61" s="1203"/>
      <c r="C61" s="1203"/>
      <c r="D61" s="1203"/>
      <c r="E61" s="1203"/>
      <c r="F61" s="1204"/>
      <c r="G61" s="1205"/>
      <c r="H61" s="1206">
        <v>0</v>
      </c>
      <c r="I61" s="1207"/>
      <c r="J61" s="1208">
        <v>0</v>
      </c>
      <c r="K61" s="1207"/>
      <c r="L61" s="1208">
        <v>0</v>
      </c>
      <c r="M61" s="1207"/>
      <c r="N61" s="1208">
        <v>0</v>
      </c>
      <c r="O61" s="1207"/>
      <c r="P61" s="1208">
        <v>0</v>
      </c>
      <c r="Q61" s="1207"/>
      <c r="R61" s="1208">
        <v>0</v>
      </c>
      <c r="S61" s="1207"/>
      <c r="T61" s="1208">
        <v>0</v>
      </c>
      <c r="U61" s="1207"/>
      <c r="V61" s="1208">
        <v>0</v>
      </c>
      <c r="W61" s="1207"/>
      <c r="X61" s="1208">
        <v>4147</v>
      </c>
      <c r="Y61" s="1207"/>
      <c r="Z61" s="1208">
        <v>3887</v>
      </c>
      <c r="AA61" s="1207"/>
      <c r="AB61" s="1208">
        <v>4003</v>
      </c>
      <c r="AC61" s="1207"/>
      <c r="AD61" s="1208">
        <v>4095</v>
      </c>
      <c r="AE61" s="1207"/>
      <c r="AF61" s="1208">
        <v>4096</v>
      </c>
      <c r="AG61" s="1207"/>
      <c r="AH61" s="1208">
        <v>4047</v>
      </c>
      <c r="AI61" s="1207"/>
      <c r="AJ61" s="1208">
        <v>3950</v>
      </c>
      <c r="AK61" s="1207"/>
      <c r="AL61" s="1208">
        <v>3826</v>
      </c>
      <c r="AM61" s="1207"/>
      <c r="AN61" s="1208">
        <v>3628</v>
      </c>
      <c r="AO61" s="1207"/>
      <c r="AP61" s="1208">
        <v>3420</v>
      </c>
      <c r="AQ61" s="1207"/>
      <c r="AR61" s="1208">
        <v>0</v>
      </c>
      <c r="AS61" s="1207"/>
      <c r="AT61" s="1208">
        <v>0</v>
      </c>
      <c r="AU61" s="1207"/>
      <c r="AV61" s="1208">
        <v>0</v>
      </c>
      <c r="AW61" s="1207"/>
      <c r="AX61" s="1208">
        <v>0</v>
      </c>
      <c r="AY61" s="1207"/>
      <c r="AZ61" s="1208">
        <v>0</v>
      </c>
      <c r="BA61" s="1207"/>
      <c r="BB61" s="1209">
        <v>0</v>
      </c>
      <c r="BC61" s="563"/>
      <c r="BD61" s="1202" t="s">
        <v>621</v>
      </c>
      <c r="BE61" s="1203"/>
      <c r="BF61" s="1203"/>
      <c r="BG61" s="1203"/>
      <c r="BH61" s="1203"/>
      <c r="BI61" s="1204"/>
      <c r="BJ61" s="1205"/>
      <c r="BK61" s="1206">
        <v>0</v>
      </c>
      <c r="BL61" s="1207"/>
      <c r="BM61" s="1208">
        <v>0</v>
      </c>
      <c r="BN61" s="1207"/>
      <c r="BO61" s="1208">
        <v>0</v>
      </c>
      <c r="BP61" s="1207"/>
      <c r="BQ61" s="1208">
        <v>0</v>
      </c>
      <c r="BR61" s="1207"/>
      <c r="BS61" s="1208">
        <v>0</v>
      </c>
      <c r="BT61" s="1207"/>
      <c r="BU61" s="1208">
        <v>0</v>
      </c>
      <c r="BV61" s="1207"/>
      <c r="BW61" s="1208">
        <v>0</v>
      </c>
      <c r="BX61" s="1207"/>
      <c r="BY61" s="1208">
        <v>0</v>
      </c>
      <c r="BZ61" s="1207"/>
      <c r="CA61" s="1208">
        <v>4022</v>
      </c>
      <c r="CB61" s="1207"/>
      <c r="CC61" s="1208">
        <v>3721</v>
      </c>
      <c r="CD61" s="1207"/>
      <c r="CE61" s="1208">
        <v>3823</v>
      </c>
      <c r="CF61" s="1207"/>
      <c r="CG61" s="1208">
        <v>3851</v>
      </c>
      <c r="CH61" s="1207"/>
      <c r="CI61" s="1208">
        <v>3864</v>
      </c>
      <c r="CJ61" s="1207"/>
      <c r="CK61" s="1208">
        <v>3787</v>
      </c>
      <c r="CL61" s="1207"/>
      <c r="CM61" s="1208">
        <v>3699</v>
      </c>
      <c r="CN61" s="1207"/>
      <c r="CO61" s="1208">
        <v>3588</v>
      </c>
      <c r="CP61" s="1207"/>
      <c r="CQ61" s="1208">
        <v>3470</v>
      </c>
      <c r="CR61" s="1207"/>
      <c r="CS61" s="1208">
        <v>3268</v>
      </c>
      <c r="CT61" s="1207"/>
      <c r="CU61" s="1208">
        <v>0</v>
      </c>
      <c r="CV61" s="1207"/>
      <c r="CW61" s="1208">
        <v>0</v>
      </c>
      <c r="CX61" s="1207"/>
      <c r="CY61" s="1208">
        <v>0</v>
      </c>
      <c r="CZ61" s="1207"/>
      <c r="DA61" s="1208">
        <v>0</v>
      </c>
      <c r="DB61" s="1207"/>
      <c r="DC61" s="1208">
        <v>0</v>
      </c>
      <c r="DD61" s="1207"/>
      <c r="DE61" s="1209">
        <v>0</v>
      </c>
      <c r="DF61" s="562"/>
      <c r="DG61" s="1202" t="s">
        <v>740</v>
      </c>
      <c r="DH61" s="1203"/>
      <c r="DI61" s="1203"/>
      <c r="DJ61" s="1203"/>
      <c r="DK61" s="1203"/>
      <c r="DL61" s="1204"/>
      <c r="DM61" s="1205"/>
      <c r="DN61" s="1206">
        <v>0</v>
      </c>
      <c r="DO61" s="1207"/>
      <c r="DP61" s="1208">
        <v>0</v>
      </c>
      <c r="DQ61" s="1207"/>
      <c r="DR61" s="1208">
        <v>0</v>
      </c>
      <c r="DS61" s="1207"/>
      <c r="DT61" s="1208">
        <v>0</v>
      </c>
      <c r="DU61" s="1207"/>
      <c r="DV61" s="1208">
        <v>0</v>
      </c>
      <c r="DW61" s="1207"/>
      <c r="DX61" s="1208">
        <v>0</v>
      </c>
      <c r="DY61" s="1207"/>
      <c r="DZ61" s="1208">
        <v>0</v>
      </c>
      <c r="EA61" s="1207"/>
      <c r="EB61" s="1208">
        <v>0</v>
      </c>
      <c r="EC61" s="1207"/>
      <c r="ED61" s="1208">
        <v>3414</v>
      </c>
      <c r="EE61" s="1207"/>
      <c r="EF61" s="1208">
        <v>3025</v>
      </c>
      <c r="EG61" s="1207"/>
      <c r="EH61" s="1208">
        <v>3127</v>
      </c>
      <c r="EI61" s="1207"/>
      <c r="EJ61" s="1208">
        <v>3193</v>
      </c>
      <c r="EK61" s="1207"/>
      <c r="EL61" s="1208">
        <v>3175</v>
      </c>
      <c r="EM61" s="1207"/>
      <c r="EN61" s="1208">
        <v>3105</v>
      </c>
      <c r="EO61" s="1207"/>
      <c r="EP61" s="1208">
        <v>3021</v>
      </c>
      <c r="EQ61" s="1207"/>
      <c r="ER61" s="1208">
        <v>2932</v>
      </c>
      <c r="ES61" s="1207"/>
      <c r="ET61" s="1208">
        <v>2743</v>
      </c>
      <c r="EU61" s="1207"/>
      <c r="EV61" s="1208">
        <v>2595</v>
      </c>
      <c r="EW61" s="1207"/>
      <c r="EX61" s="1208">
        <v>0</v>
      </c>
      <c r="EY61" s="1207"/>
      <c r="EZ61" s="1208">
        <v>0</v>
      </c>
      <c r="FA61" s="1207"/>
      <c r="FB61" s="1208">
        <v>0</v>
      </c>
      <c r="FC61" s="1207"/>
      <c r="FD61" s="1208">
        <v>0</v>
      </c>
      <c r="FE61" s="1207"/>
      <c r="FF61" s="1208">
        <v>0</v>
      </c>
      <c r="FG61" s="1207"/>
      <c r="FH61" s="1209">
        <v>0</v>
      </c>
      <c r="FI61" s="563"/>
      <c r="FJ61" s="1202" t="s">
        <v>621</v>
      </c>
      <c r="FK61" s="1203"/>
      <c r="FL61" s="1203"/>
      <c r="FM61" s="1203"/>
      <c r="FN61" s="1203"/>
      <c r="FO61" s="1203"/>
      <c r="FP61" s="1210"/>
      <c r="FQ61" s="1211"/>
      <c r="FR61" s="1212">
        <v>4511</v>
      </c>
      <c r="FS61" s="1213"/>
      <c r="FT61" s="1211"/>
      <c r="FU61" s="1214">
        <v>4582</v>
      </c>
      <c r="FV61" s="1215">
        <v>9</v>
      </c>
      <c r="FW61" s="1216">
        <v>4147</v>
      </c>
      <c r="FX61" s="1217">
        <v>9</v>
      </c>
      <c r="FY61" s="1216">
        <v>4022</v>
      </c>
      <c r="FZ61" s="1217">
        <v>9</v>
      </c>
      <c r="GA61" s="1216">
        <v>3414</v>
      </c>
      <c r="GB61" s="1218" t="s">
        <v>797</v>
      </c>
      <c r="GC61" s="1216">
        <v>4147</v>
      </c>
      <c r="GD61" s="1218" t="s">
        <v>853</v>
      </c>
      <c r="GE61" s="1219">
        <v>4582</v>
      </c>
      <c r="GF61" s="688"/>
      <c r="GG61" s="483"/>
      <c r="GH61" s="483"/>
      <c r="GI61" s="483"/>
      <c r="GJ61" s="483"/>
      <c r="GK61" s="486"/>
      <c r="GL61" s="1124">
        <v>18</v>
      </c>
      <c r="GM61" s="1220">
        <v>9</v>
      </c>
      <c r="GN61" s="1102">
        <v>0.47</v>
      </c>
      <c r="GO61" s="1103">
        <v>3.1</v>
      </c>
      <c r="GP61" s="1103">
        <v>9</v>
      </c>
      <c r="GQ61" s="1104">
        <v>12.1</v>
      </c>
      <c r="GR61" s="483"/>
      <c r="GS61" s="580"/>
      <c r="GT61" s="1305"/>
      <c r="GU61" s="689"/>
      <c r="GV61" s="689"/>
      <c r="GW61" s="689"/>
      <c r="GX61" s="689"/>
      <c r="GY61" s="579"/>
      <c r="GZ61" s="500"/>
      <c r="HA61" s="579"/>
      <c r="HB61" s="500"/>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579"/>
      <c r="GU62" s="689"/>
      <c r="GV62" s="689"/>
      <c r="GW62" s="689"/>
      <c r="GX62" s="689"/>
      <c r="GY62" s="579"/>
      <c r="GZ62" s="500"/>
      <c r="HA62" s="579"/>
      <c r="HB62" s="500"/>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348</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303"/>
      <c r="GK63" s="1303"/>
      <c r="GL63" s="578"/>
      <c r="GM63" s="500"/>
      <c r="GN63" s="578"/>
      <c r="GO63" s="500"/>
      <c r="GP63" s="500"/>
      <c r="GQ63" s="500"/>
      <c r="GR63" s="578"/>
      <c r="GS63" s="530"/>
      <c r="GT63" s="579"/>
      <c r="GU63" s="578"/>
      <c r="GV63" s="500"/>
      <c r="GW63" s="578"/>
      <c r="GX63" s="500"/>
      <c r="GY63" s="500"/>
      <c r="GZ63" s="500"/>
      <c r="HA63" s="579"/>
      <c r="HB63" s="500"/>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00"/>
      <c r="GK64" s="500"/>
      <c r="GL64" s="578"/>
      <c r="GM64" s="500"/>
      <c r="GN64" s="578"/>
      <c r="GO64" s="500"/>
      <c r="GP64" s="500"/>
      <c r="GQ64" s="500"/>
      <c r="GR64" s="578"/>
      <c r="GS64" s="409"/>
      <c r="GT64" s="1305"/>
      <c r="GU64" s="578"/>
      <c r="GV64" s="500"/>
      <c r="GW64" s="578"/>
      <c r="GX64" s="500"/>
      <c r="GY64" s="500"/>
      <c r="GZ64" s="579"/>
      <c r="HA64" s="579"/>
      <c r="HB64" s="579"/>
      <c r="HC64" s="562"/>
    </row>
    <row r="65" spans="1:211" ht="20.100000000000001" customHeight="1">
      <c r="A65" s="1163"/>
      <c r="B65" s="1164"/>
      <c r="C65" s="1164"/>
      <c r="D65" s="1232"/>
      <c r="E65" s="1233"/>
      <c r="F65" s="1234"/>
      <c r="G65" s="1235"/>
      <c r="H65" s="1168"/>
      <c r="I65" s="1236"/>
      <c r="J65" s="1237"/>
      <c r="K65" s="1238"/>
      <c r="L65" s="1237"/>
      <c r="M65" s="1238"/>
      <c r="N65" s="1237"/>
      <c r="O65" s="1238"/>
      <c r="P65" s="1237"/>
      <c r="Q65" s="1238"/>
      <c r="R65" s="1237"/>
      <c r="S65" s="1238"/>
      <c r="T65" s="1237"/>
      <c r="U65" s="1238"/>
      <c r="V65" s="1237"/>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c r="AS65" s="1238"/>
      <c r="AT65" s="1237"/>
      <c r="AU65" s="1238"/>
      <c r="AV65" s="1237"/>
      <c r="AW65" s="1238"/>
      <c r="AX65" s="1237"/>
      <c r="AY65" s="1238"/>
      <c r="AZ65" s="1237"/>
      <c r="BA65" s="1238"/>
      <c r="BB65" s="561"/>
      <c r="BC65" s="563"/>
      <c r="BD65" s="1163"/>
      <c r="BE65" s="1164"/>
      <c r="BF65" s="1164"/>
      <c r="BG65" s="1232"/>
      <c r="BH65" s="1233"/>
      <c r="BI65" s="1234"/>
      <c r="BJ65" s="1235"/>
      <c r="BK65" s="1168"/>
      <c r="BL65" s="1236"/>
      <c r="BM65" s="1237"/>
      <c r="BN65" s="1238"/>
      <c r="BO65" s="1237"/>
      <c r="BP65" s="1238"/>
      <c r="BQ65" s="1237"/>
      <c r="BR65" s="1238"/>
      <c r="BS65" s="1237"/>
      <c r="BT65" s="1238"/>
      <c r="BU65" s="1237"/>
      <c r="BV65" s="1238"/>
      <c r="BW65" s="1237"/>
      <c r="BX65" s="1238"/>
      <c r="BY65" s="1237"/>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c r="CV65" s="1238"/>
      <c r="CW65" s="1237"/>
      <c r="CX65" s="1238"/>
      <c r="CY65" s="1237"/>
      <c r="CZ65" s="1238"/>
      <c r="DA65" s="1237"/>
      <c r="DB65" s="1238"/>
      <c r="DC65" s="1237"/>
      <c r="DD65" s="1238"/>
      <c r="DE65" s="561"/>
      <c r="DF65" s="562"/>
      <c r="DG65" s="1163"/>
      <c r="DH65" s="1164"/>
      <c r="DI65" s="1164"/>
      <c r="DJ65" s="1232"/>
      <c r="DK65" s="1233"/>
      <c r="DL65" s="1234"/>
      <c r="DM65" s="1235"/>
      <c r="DN65" s="1168"/>
      <c r="DO65" s="1236"/>
      <c r="DP65" s="1237"/>
      <c r="DQ65" s="1238"/>
      <c r="DR65" s="1237"/>
      <c r="DS65" s="1238"/>
      <c r="DT65" s="1237"/>
      <c r="DU65" s="1238"/>
      <c r="DV65" s="1237"/>
      <c r="DW65" s="1238"/>
      <c r="DX65" s="1237"/>
      <c r="DY65" s="1238"/>
      <c r="DZ65" s="1237"/>
      <c r="EA65" s="1238"/>
      <c r="EB65" s="1237"/>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c r="EY65" s="1238"/>
      <c r="EZ65" s="1237"/>
      <c r="FA65" s="1238"/>
      <c r="FB65" s="1237"/>
      <c r="FC65" s="1238"/>
      <c r="FD65" s="1237"/>
      <c r="FE65" s="1238"/>
      <c r="FF65" s="1237"/>
      <c r="FG65" s="1238"/>
      <c r="FH65" s="561"/>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391"/>
      <c r="GK65" s="529"/>
      <c r="GL65" s="529"/>
      <c r="GM65" s="529"/>
      <c r="GN65" s="529"/>
      <c r="GO65" s="529"/>
      <c r="GP65" s="529"/>
      <c r="GQ65" s="529"/>
      <c r="GR65" s="529"/>
      <c r="GS65" s="409"/>
      <c r="GT65" s="1305"/>
      <c r="GU65" s="500"/>
      <c r="GV65" s="500"/>
      <c r="GW65" s="500"/>
      <c r="GX65" s="500"/>
      <c r="GY65" s="500"/>
      <c r="GZ65" s="579"/>
      <c r="HA65" s="579"/>
      <c r="HB65" s="579"/>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798</v>
      </c>
      <c r="FK66" s="1203"/>
      <c r="FL66" s="1249"/>
      <c r="FM66" s="1250" t="s">
        <v>624</v>
      </c>
      <c r="FN66" s="1251"/>
      <c r="FO66" s="1204"/>
      <c r="FP66" s="1210">
        <v>9</v>
      </c>
      <c r="FQ66" s="1252">
        <v>0</v>
      </c>
      <c r="FR66" s="1253">
        <v>0</v>
      </c>
      <c r="FS66" s="1213">
        <v>9</v>
      </c>
      <c r="FT66" s="1252">
        <v>0</v>
      </c>
      <c r="FU66" s="1254">
        <v>0</v>
      </c>
      <c r="FV66" s="1255"/>
      <c r="FW66" s="1256"/>
      <c r="FX66" s="1256"/>
      <c r="FY66" s="1256"/>
      <c r="FZ66" s="1256"/>
      <c r="GA66" s="1256"/>
      <c r="GB66" s="1256"/>
      <c r="GC66" s="1257"/>
      <c r="GD66" s="1213"/>
      <c r="GE66" s="1258">
        <v>0</v>
      </c>
      <c r="GF66" s="688"/>
      <c r="GG66" s="391"/>
      <c r="GH66" s="391"/>
      <c r="GI66" s="391"/>
      <c r="GJ66" s="483"/>
      <c r="GK66" s="529"/>
      <c r="GL66" s="530"/>
      <c r="GM66" s="529"/>
      <c r="GN66" s="530"/>
      <c r="GO66" s="529"/>
      <c r="GP66" s="529"/>
      <c r="GQ66" s="529"/>
      <c r="GR66" s="530"/>
      <c r="GT66" s="1305"/>
      <c r="GU66" s="579"/>
      <c r="GV66" s="579"/>
      <c r="GW66" s="579"/>
      <c r="GX66" s="579"/>
      <c r="GY66" s="579"/>
      <c r="GZ66" s="500"/>
      <c r="HA66" s="500"/>
      <c r="HB66" s="500"/>
      <c r="HC66" s="406"/>
    </row>
    <row r="67" spans="1:211" ht="20.100000000000001" customHeight="1" thickBot="1">
      <c r="BC67" s="389"/>
      <c r="DF67" s="389"/>
      <c r="FI67" s="389"/>
      <c r="GD67" s="688"/>
      <c r="GE67" s="799"/>
      <c r="GF67" s="688"/>
      <c r="GG67" s="483"/>
      <c r="GH67" s="483"/>
      <c r="GI67" s="483"/>
      <c r="GJ67" s="391"/>
      <c r="GT67" s="689"/>
      <c r="GU67" s="500"/>
      <c r="GV67" s="500"/>
      <c r="GW67" s="500"/>
      <c r="GX67" s="500"/>
      <c r="GY67" s="500"/>
      <c r="GZ67" s="579"/>
      <c r="HA67" s="578"/>
      <c r="HB67" s="579"/>
      <c r="HC67" s="406"/>
    </row>
    <row r="68" spans="1:211" ht="20.100000000000001" customHeight="1">
      <c r="A68" s="1260" t="s">
        <v>360</v>
      </c>
      <c r="B68" s="1261"/>
      <c r="C68" s="1261"/>
      <c r="D68" s="1261"/>
      <c r="E68" s="825"/>
      <c r="F68" s="825"/>
      <c r="G68" s="1262"/>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f>$G68</f>
        <v>0</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f>$G68</f>
        <v>0</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579"/>
      <c r="GU68" s="1303"/>
      <c r="GV68" s="1303"/>
      <c r="GW68" s="1303"/>
      <c r="GX68" s="1303"/>
      <c r="GY68" s="1121"/>
      <c r="GZ68" s="1304"/>
      <c r="HA68" s="1304"/>
      <c r="HB68" s="1304"/>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19">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936</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9時-18時</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9時-18時</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825</v>
      </c>
      <c r="GZ1" s="376" t="s">
        <v>812</v>
      </c>
      <c r="HA1" s="376"/>
      <c r="HB1" s="379"/>
      <c r="HC1" s="1276" t="s">
        <v>769</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380</v>
      </c>
      <c r="B3" s="394">
        <v>209</v>
      </c>
      <c r="C3" s="395" t="s">
        <v>954</v>
      </c>
      <c r="D3" s="396" t="s">
        <v>955</v>
      </c>
      <c r="E3" s="396"/>
      <c r="F3" s="396"/>
      <c r="G3" s="396"/>
      <c r="H3" s="396"/>
      <c r="I3" s="396"/>
      <c r="J3" s="397"/>
      <c r="K3" s="398" t="s">
        <v>381</v>
      </c>
      <c r="L3" s="399"/>
      <c r="M3" s="398" t="s">
        <v>377</v>
      </c>
      <c r="N3" s="399"/>
      <c r="O3" s="400" t="s">
        <v>378</v>
      </c>
      <c r="P3" s="401"/>
      <c r="Q3" s="401"/>
      <c r="R3" s="401"/>
      <c r="S3" s="401"/>
      <c r="T3" s="401"/>
      <c r="U3" s="401"/>
      <c r="V3" s="402"/>
      <c r="W3" s="403" t="s">
        <v>383</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380</v>
      </c>
      <c r="BE3" s="394">
        <v>209</v>
      </c>
      <c r="BF3" s="395" t="s">
        <v>373</v>
      </c>
      <c r="BG3" s="407" t="s">
        <v>949</v>
      </c>
      <c r="BH3" s="407"/>
      <c r="BI3" s="407"/>
      <c r="BJ3" s="407"/>
      <c r="BK3" s="407"/>
      <c r="BL3" s="407"/>
      <c r="BM3" s="408"/>
      <c r="BN3" s="398" t="s">
        <v>376</v>
      </c>
      <c r="BO3" s="399"/>
      <c r="BP3" s="398" t="s">
        <v>385</v>
      </c>
      <c r="BQ3" s="399"/>
      <c r="BR3" s="400" t="s">
        <v>382</v>
      </c>
      <c r="BS3" s="401"/>
      <c r="BT3" s="401"/>
      <c r="BU3" s="401"/>
      <c r="BV3" s="401"/>
      <c r="BW3" s="401"/>
      <c r="BX3" s="401"/>
      <c r="BY3" s="402"/>
      <c r="BZ3" s="403" t="s">
        <v>383</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380</v>
      </c>
      <c r="DH3" s="394">
        <v>209</v>
      </c>
      <c r="DI3" s="395" t="s">
        <v>373</v>
      </c>
      <c r="DJ3" s="407" t="s">
        <v>949</v>
      </c>
      <c r="DK3" s="407"/>
      <c r="DL3" s="407"/>
      <c r="DM3" s="407"/>
      <c r="DN3" s="407"/>
      <c r="DO3" s="407"/>
      <c r="DP3" s="408"/>
      <c r="DQ3" s="398" t="s">
        <v>376</v>
      </c>
      <c r="DR3" s="399"/>
      <c r="DS3" s="398" t="s">
        <v>377</v>
      </c>
      <c r="DT3" s="399"/>
      <c r="DU3" s="400" t="s">
        <v>382</v>
      </c>
      <c r="DV3" s="401"/>
      <c r="DW3" s="401"/>
      <c r="DX3" s="401"/>
      <c r="DY3" s="401"/>
      <c r="DZ3" s="401"/>
      <c r="EA3" s="401"/>
      <c r="EB3" s="402"/>
      <c r="EC3" s="403" t="s">
        <v>383</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380</v>
      </c>
      <c r="FK3" s="394">
        <v>209</v>
      </c>
      <c r="FL3" s="395" t="s">
        <v>373</v>
      </c>
      <c r="FM3" s="407" t="s">
        <v>949</v>
      </c>
      <c r="FN3" s="407"/>
      <c r="FO3" s="407"/>
      <c r="FP3" s="407"/>
      <c r="FQ3" s="407"/>
      <c r="FR3" s="407"/>
      <c r="FS3" s="408"/>
      <c r="FT3" s="398" t="s">
        <v>376</v>
      </c>
      <c r="FU3" s="399"/>
      <c r="FV3" s="398" t="s">
        <v>377</v>
      </c>
      <c r="FW3" s="399"/>
      <c r="FX3" s="400" t="s">
        <v>386</v>
      </c>
      <c r="FY3" s="401"/>
      <c r="FZ3" s="401"/>
      <c r="GA3" s="401"/>
      <c r="GB3" s="401"/>
      <c r="GC3" s="401"/>
      <c r="GD3" s="401"/>
      <c r="GE3" s="402"/>
      <c r="GF3" s="403" t="s">
        <v>383</v>
      </c>
      <c r="GG3" s="404"/>
      <c r="GH3" s="405"/>
      <c r="GI3" s="409"/>
      <c r="GJ3" s="410" t="s">
        <v>683</v>
      </c>
      <c r="GK3" s="411"/>
      <c r="GL3" s="411"/>
      <c r="GM3" s="411"/>
      <c r="GN3" s="411"/>
      <c r="GO3" s="411"/>
      <c r="GP3" s="411"/>
      <c r="GQ3" s="411"/>
      <c r="GR3" s="412"/>
      <c r="GS3" s="413"/>
      <c r="GT3" s="410" t="s">
        <v>684</v>
      </c>
      <c r="GU3" s="411"/>
      <c r="GV3" s="411"/>
      <c r="GW3" s="411"/>
      <c r="GX3" s="411"/>
      <c r="GY3" s="411"/>
      <c r="GZ3" s="411"/>
      <c r="HA3" s="411"/>
      <c r="HB3" s="412"/>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653</v>
      </c>
      <c r="P4" s="425"/>
      <c r="Q4" s="426" t="s">
        <v>391</v>
      </c>
      <c r="R4" s="425"/>
      <c r="S4" s="427" t="s">
        <v>389</v>
      </c>
      <c r="T4" s="428"/>
      <c r="U4" s="429" t="s">
        <v>393</v>
      </c>
      <c r="V4" s="430"/>
      <c r="W4" s="431" t="s">
        <v>956</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387</v>
      </c>
      <c r="BS4" s="425"/>
      <c r="BT4" s="426" t="s">
        <v>391</v>
      </c>
      <c r="BU4" s="425"/>
      <c r="BV4" s="427" t="s">
        <v>389</v>
      </c>
      <c r="BW4" s="428"/>
      <c r="BX4" s="429" t="s">
        <v>393</v>
      </c>
      <c r="BY4" s="430"/>
      <c r="BZ4" s="431" t="s">
        <v>956</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653</v>
      </c>
      <c r="DV4" s="425"/>
      <c r="DW4" s="426" t="s">
        <v>388</v>
      </c>
      <c r="DX4" s="425"/>
      <c r="DY4" s="427" t="s">
        <v>392</v>
      </c>
      <c r="DZ4" s="428"/>
      <c r="EA4" s="429" t="s">
        <v>393</v>
      </c>
      <c r="EB4" s="430"/>
      <c r="EC4" s="431" t="s">
        <v>957</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653</v>
      </c>
      <c r="FY4" s="425"/>
      <c r="FZ4" s="426" t="s">
        <v>388</v>
      </c>
      <c r="GA4" s="425"/>
      <c r="GB4" s="427" t="s">
        <v>392</v>
      </c>
      <c r="GC4" s="428"/>
      <c r="GD4" s="429" t="s">
        <v>393</v>
      </c>
      <c r="GE4" s="430"/>
      <c r="GF4" s="431" t="s">
        <v>950</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c r="MO4" s="392" t="s">
        <v>950</v>
      </c>
    </row>
    <row r="5" spans="1:353" ht="24.95" customHeight="1" thickBot="1">
      <c r="A5" s="438" t="s">
        <v>408</v>
      </c>
      <c r="B5" s="439">
        <v>2</v>
      </c>
      <c r="C5" s="440" t="s">
        <v>397</v>
      </c>
      <c r="D5" s="441">
        <v>71.19</v>
      </c>
      <c r="E5" s="442" t="s">
        <v>398</v>
      </c>
      <c r="F5" s="443">
        <v>2.8</v>
      </c>
      <c r="G5" s="444" t="s">
        <v>399</v>
      </c>
      <c r="H5" s="445"/>
      <c r="I5" s="446">
        <v>199.4</v>
      </c>
      <c r="J5" s="447"/>
      <c r="K5" s="448">
        <v>540</v>
      </c>
      <c r="L5" s="449"/>
      <c r="M5" s="448">
        <v>60</v>
      </c>
      <c r="N5" s="449"/>
      <c r="O5" s="450" t="s">
        <v>400</v>
      </c>
      <c r="P5" s="451"/>
      <c r="Q5" s="452" t="s">
        <v>401</v>
      </c>
      <c r="R5" s="453"/>
      <c r="S5" s="454" t="s">
        <v>402</v>
      </c>
      <c r="T5" s="455"/>
      <c r="U5" s="456" t="s">
        <v>823</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395</v>
      </c>
      <c r="BE5" s="439">
        <v>2</v>
      </c>
      <c r="BF5" s="440" t="s">
        <v>278</v>
      </c>
      <c r="BG5" s="441">
        <v>71.19</v>
      </c>
      <c r="BH5" s="442" t="s">
        <v>410</v>
      </c>
      <c r="BI5" s="443">
        <v>2.8</v>
      </c>
      <c r="BJ5" s="444" t="s">
        <v>404</v>
      </c>
      <c r="BK5" s="445"/>
      <c r="BL5" s="446">
        <v>199.4</v>
      </c>
      <c r="BM5" s="447"/>
      <c r="BN5" s="448">
        <v>540</v>
      </c>
      <c r="BO5" s="449"/>
      <c r="BP5" s="448">
        <v>60</v>
      </c>
      <c r="BQ5" s="449"/>
      <c r="BR5" s="450" t="s">
        <v>400</v>
      </c>
      <c r="BS5" s="451"/>
      <c r="BT5" s="452" t="s">
        <v>401</v>
      </c>
      <c r="BU5" s="453"/>
      <c r="BV5" s="454" t="s">
        <v>406</v>
      </c>
      <c r="BW5" s="455"/>
      <c r="BX5" s="456" t="s">
        <v>407</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408</v>
      </c>
      <c r="DH5" s="439">
        <v>2</v>
      </c>
      <c r="DI5" s="440" t="s">
        <v>278</v>
      </c>
      <c r="DJ5" s="441">
        <v>71.19</v>
      </c>
      <c r="DK5" s="442" t="s">
        <v>410</v>
      </c>
      <c r="DL5" s="443">
        <v>2.8</v>
      </c>
      <c r="DM5" s="444" t="s">
        <v>399</v>
      </c>
      <c r="DN5" s="445"/>
      <c r="DO5" s="446">
        <v>199.4</v>
      </c>
      <c r="DP5" s="447"/>
      <c r="DQ5" s="448">
        <v>540</v>
      </c>
      <c r="DR5" s="449"/>
      <c r="DS5" s="448">
        <v>60</v>
      </c>
      <c r="DT5" s="449"/>
      <c r="DU5" s="450" t="s">
        <v>400</v>
      </c>
      <c r="DV5" s="451"/>
      <c r="DW5" s="452" t="s">
        <v>401</v>
      </c>
      <c r="DX5" s="453"/>
      <c r="DY5" s="454" t="s">
        <v>406</v>
      </c>
      <c r="DZ5" s="455"/>
      <c r="EA5" s="456" t="s">
        <v>403</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395</v>
      </c>
      <c r="FK5" s="439">
        <v>2</v>
      </c>
      <c r="FL5" s="440" t="s">
        <v>278</v>
      </c>
      <c r="FM5" s="441">
        <v>71.19</v>
      </c>
      <c r="FN5" s="442" t="s">
        <v>410</v>
      </c>
      <c r="FO5" s="443">
        <v>2.8</v>
      </c>
      <c r="FP5" s="444" t="s">
        <v>399</v>
      </c>
      <c r="FQ5" s="445"/>
      <c r="FR5" s="446">
        <v>199.4</v>
      </c>
      <c r="FS5" s="447"/>
      <c r="FT5" s="448">
        <v>540</v>
      </c>
      <c r="FU5" s="449"/>
      <c r="FV5" s="448">
        <v>60</v>
      </c>
      <c r="FW5" s="449"/>
      <c r="FX5" s="450" t="s">
        <v>411</v>
      </c>
      <c r="FY5" s="451"/>
      <c r="FZ5" s="452" t="s">
        <v>412</v>
      </c>
      <c r="GA5" s="453"/>
      <c r="GB5" s="454" t="s">
        <v>413</v>
      </c>
      <c r="GC5" s="455"/>
      <c r="GD5" s="456" t="s">
        <v>414</v>
      </c>
      <c r="GE5" s="457"/>
      <c r="GF5" s="458"/>
      <c r="GG5" s="459"/>
      <c r="GH5" s="460"/>
      <c r="GI5" s="462"/>
      <c r="GJ5" s="409"/>
      <c r="GK5" s="463" t="s">
        <v>685</v>
      </c>
      <c r="GL5" s="463"/>
      <c r="GM5" s="463"/>
      <c r="GN5" s="409" t="s">
        <v>826</v>
      </c>
      <c r="GO5" s="464"/>
      <c r="GP5" s="464"/>
      <c r="GQ5" s="464"/>
      <c r="GR5" s="409"/>
      <c r="GS5" s="409"/>
      <c r="GT5" s="413"/>
      <c r="GU5" s="463" t="s">
        <v>519</v>
      </c>
      <c r="GV5" s="463"/>
      <c r="GW5" s="463"/>
      <c r="GX5" s="409" t="s">
        <v>827</v>
      </c>
      <c r="GY5" s="464"/>
      <c r="GZ5" s="464"/>
      <c r="HA5" s="464"/>
      <c r="HB5" s="409"/>
      <c r="HC5" s="465"/>
      <c r="HD5" s="437"/>
      <c r="HE5" s="437"/>
      <c r="HF5" s="504"/>
      <c r="HG5" s="386"/>
    </row>
    <row r="6" spans="1:353" ht="20.100000000000001" customHeight="1" thickBot="1">
      <c r="A6" s="466" t="s">
        <v>664</v>
      </c>
      <c r="B6" s="467"/>
      <c r="C6" s="468" t="s">
        <v>416</v>
      </c>
      <c r="D6" s="468"/>
      <c r="E6" s="468"/>
      <c r="F6" s="469">
        <v>0</v>
      </c>
      <c r="G6" s="469"/>
      <c r="H6" s="468" t="s">
        <v>417</v>
      </c>
      <c r="I6" s="468"/>
      <c r="J6" s="468"/>
      <c r="K6" s="468"/>
      <c r="L6" s="468"/>
      <c r="M6" s="470">
        <v>0</v>
      </c>
      <c r="N6" s="470"/>
      <c r="O6" s="471"/>
      <c r="P6" s="472"/>
      <c r="Q6" s="472" t="s">
        <v>418</v>
      </c>
      <c r="R6" s="473">
        <v>0</v>
      </c>
      <c r="S6" s="473"/>
      <c r="T6" s="474"/>
      <c r="U6" s="475" t="s">
        <v>419</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666</v>
      </c>
      <c r="BC6" s="479"/>
      <c r="BD6" s="466" t="s">
        <v>664</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34</v>
      </c>
      <c r="DF6" s="481"/>
      <c r="DG6" s="466" t="s">
        <v>415</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19</v>
      </c>
      <c r="FI6" s="481"/>
      <c r="FJ6" s="466" t="s">
        <v>424</v>
      </c>
      <c r="FK6" s="467"/>
      <c r="FL6" s="468" t="s">
        <v>416</v>
      </c>
      <c r="FM6" s="468"/>
      <c r="FN6" s="468"/>
      <c r="FO6" s="469">
        <v>0</v>
      </c>
      <c r="FP6" s="469"/>
      <c r="FQ6" s="468" t="s">
        <v>417</v>
      </c>
      <c r="FR6" s="468"/>
      <c r="FS6" s="468"/>
      <c r="FT6" s="468"/>
      <c r="FU6" s="468"/>
      <c r="FV6" s="470">
        <v>0</v>
      </c>
      <c r="FW6" s="470"/>
      <c r="FX6" s="471"/>
      <c r="FY6" s="472"/>
      <c r="FZ6" s="472" t="s">
        <v>425</v>
      </c>
      <c r="GA6" s="473">
        <v>0</v>
      </c>
      <c r="GB6" s="473"/>
      <c r="GC6" s="474"/>
      <c r="GD6" s="475" t="s">
        <v>668</v>
      </c>
      <c r="GE6" s="476">
        <v>0</v>
      </c>
      <c r="GF6" s="476"/>
      <c r="GG6" s="477"/>
      <c r="GH6" s="472"/>
      <c r="GI6" s="472"/>
      <c r="GJ6" s="483"/>
      <c r="GK6" s="484" t="s">
        <v>828</v>
      </c>
      <c r="GL6" s="484"/>
      <c r="GM6" s="484"/>
      <c r="GN6" s="485">
        <v>2</v>
      </c>
      <c r="GO6" s="486"/>
      <c r="GP6" s="486"/>
      <c r="GQ6" s="486"/>
      <c r="GR6" s="483"/>
      <c r="GS6" s="483"/>
      <c r="GT6" s="413"/>
      <c r="GU6" s="484" t="s">
        <v>773</v>
      </c>
      <c r="GV6" s="484"/>
      <c r="GW6" s="484"/>
      <c r="GX6" s="485">
        <v>2</v>
      </c>
      <c r="GY6" s="413"/>
      <c r="GZ6" s="413"/>
      <c r="HA6" s="486"/>
      <c r="HB6" s="486"/>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470</v>
      </c>
      <c r="GK8" s="528"/>
      <c r="GL8" s="529"/>
      <c r="GM8" s="530"/>
      <c r="GN8" s="529"/>
      <c r="GO8" s="530"/>
      <c r="GP8" s="529"/>
      <c r="GQ8" s="529"/>
      <c r="GR8" s="529"/>
      <c r="GS8" s="529"/>
      <c r="GT8" s="528" t="s">
        <v>469</v>
      </c>
      <c r="GU8" s="528"/>
      <c r="GV8" s="413"/>
      <c r="GW8" s="483"/>
      <c r="GX8" s="486"/>
      <c r="GY8" s="483"/>
      <c r="GZ8" s="486"/>
      <c r="HA8" s="530"/>
      <c r="HB8" s="530"/>
      <c r="HC8" s="530"/>
      <c r="HD8" s="437"/>
      <c r="HE8" s="437"/>
      <c r="HF8" s="1275"/>
      <c r="HG8" s="1275"/>
    </row>
    <row r="9" spans="1:353" ht="22.5" customHeight="1">
      <c r="A9" s="532" t="s">
        <v>289</v>
      </c>
      <c r="B9" s="533" t="s">
        <v>290</v>
      </c>
      <c r="C9" s="534" t="s">
        <v>291</v>
      </c>
      <c r="D9" s="534" t="s">
        <v>855</v>
      </c>
      <c r="E9" s="535" t="s">
        <v>856</v>
      </c>
      <c r="F9" s="536" t="s">
        <v>294</v>
      </c>
      <c r="G9" s="537" t="s">
        <v>857</v>
      </c>
      <c r="H9" s="538" t="s">
        <v>858</v>
      </c>
      <c r="I9" s="539" t="s">
        <v>297</v>
      </c>
      <c r="J9" s="538" t="s">
        <v>858</v>
      </c>
      <c r="K9" s="539" t="s">
        <v>297</v>
      </c>
      <c r="L9" s="538" t="s">
        <v>858</v>
      </c>
      <c r="M9" s="539" t="s">
        <v>297</v>
      </c>
      <c r="N9" s="538" t="s">
        <v>858</v>
      </c>
      <c r="O9" s="539" t="s">
        <v>297</v>
      </c>
      <c r="P9" s="538" t="s">
        <v>858</v>
      </c>
      <c r="Q9" s="539" t="s">
        <v>297</v>
      </c>
      <c r="R9" s="538" t="s">
        <v>858</v>
      </c>
      <c r="S9" s="539" t="s">
        <v>297</v>
      </c>
      <c r="T9" s="538" t="s">
        <v>858</v>
      </c>
      <c r="U9" s="539" t="s">
        <v>297</v>
      </c>
      <c r="V9" s="538" t="s">
        <v>858</v>
      </c>
      <c r="W9" s="539" t="s">
        <v>297</v>
      </c>
      <c r="X9" s="538" t="s">
        <v>858</v>
      </c>
      <c r="Y9" s="539" t="s">
        <v>297</v>
      </c>
      <c r="Z9" s="538" t="s">
        <v>858</v>
      </c>
      <c r="AA9" s="539" t="s">
        <v>297</v>
      </c>
      <c r="AB9" s="538" t="s">
        <v>858</v>
      </c>
      <c r="AC9" s="539" t="s">
        <v>297</v>
      </c>
      <c r="AD9" s="538" t="s">
        <v>858</v>
      </c>
      <c r="AE9" s="539" t="s">
        <v>297</v>
      </c>
      <c r="AF9" s="538" t="s">
        <v>858</v>
      </c>
      <c r="AG9" s="539" t="s">
        <v>297</v>
      </c>
      <c r="AH9" s="538" t="s">
        <v>858</v>
      </c>
      <c r="AI9" s="539" t="s">
        <v>297</v>
      </c>
      <c r="AJ9" s="538" t="s">
        <v>858</v>
      </c>
      <c r="AK9" s="539" t="s">
        <v>297</v>
      </c>
      <c r="AL9" s="538" t="s">
        <v>858</v>
      </c>
      <c r="AM9" s="539" t="s">
        <v>297</v>
      </c>
      <c r="AN9" s="538" t="s">
        <v>858</v>
      </c>
      <c r="AO9" s="539" t="s">
        <v>297</v>
      </c>
      <c r="AP9" s="538" t="s">
        <v>858</v>
      </c>
      <c r="AQ9" s="539" t="s">
        <v>297</v>
      </c>
      <c r="AR9" s="538" t="s">
        <v>858</v>
      </c>
      <c r="AS9" s="539" t="s">
        <v>297</v>
      </c>
      <c r="AT9" s="538" t="s">
        <v>858</v>
      </c>
      <c r="AU9" s="539" t="s">
        <v>297</v>
      </c>
      <c r="AV9" s="538" t="s">
        <v>858</v>
      </c>
      <c r="AW9" s="539" t="s">
        <v>297</v>
      </c>
      <c r="AX9" s="538" t="s">
        <v>858</v>
      </c>
      <c r="AY9" s="539" t="s">
        <v>297</v>
      </c>
      <c r="AZ9" s="538" t="s">
        <v>858</v>
      </c>
      <c r="BA9" s="539" t="s">
        <v>297</v>
      </c>
      <c r="BB9" s="540" t="s">
        <v>298</v>
      </c>
      <c r="BC9" s="503"/>
      <c r="BD9" s="532" t="s">
        <v>289</v>
      </c>
      <c r="BE9" s="533" t="s">
        <v>290</v>
      </c>
      <c r="BF9" s="534" t="s">
        <v>291</v>
      </c>
      <c r="BG9" s="534" t="s">
        <v>855</v>
      </c>
      <c r="BH9" s="535" t="s">
        <v>856</v>
      </c>
      <c r="BI9" s="536" t="s">
        <v>294</v>
      </c>
      <c r="BJ9" s="537" t="s">
        <v>857</v>
      </c>
      <c r="BK9" s="538" t="s">
        <v>858</v>
      </c>
      <c r="BL9" s="539" t="s">
        <v>297</v>
      </c>
      <c r="BM9" s="538" t="s">
        <v>858</v>
      </c>
      <c r="BN9" s="539" t="s">
        <v>297</v>
      </c>
      <c r="BO9" s="538" t="s">
        <v>858</v>
      </c>
      <c r="BP9" s="539" t="s">
        <v>297</v>
      </c>
      <c r="BQ9" s="538" t="s">
        <v>858</v>
      </c>
      <c r="BR9" s="539" t="s">
        <v>297</v>
      </c>
      <c r="BS9" s="538" t="s">
        <v>858</v>
      </c>
      <c r="BT9" s="539" t="s">
        <v>297</v>
      </c>
      <c r="BU9" s="538" t="s">
        <v>858</v>
      </c>
      <c r="BV9" s="539" t="s">
        <v>297</v>
      </c>
      <c r="BW9" s="538" t="s">
        <v>858</v>
      </c>
      <c r="BX9" s="539" t="s">
        <v>297</v>
      </c>
      <c r="BY9" s="538" t="s">
        <v>858</v>
      </c>
      <c r="BZ9" s="539" t="s">
        <v>297</v>
      </c>
      <c r="CA9" s="538" t="s">
        <v>858</v>
      </c>
      <c r="CB9" s="539" t="s">
        <v>297</v>
      </c>
      <c r="CC9" s="538" t="s">
        <v>858</v>
      </c>
      <c r="CD9" s="539" t="s">
        <v>297</v>
      </c>
      <c r="CE9" s="538" t="s">
        <v>858</v>
      </c>
      <c r="CF9" s="539" t="s">
        <v>297</v>
      </c>
      <c r="CG9" s="538" t="s">
        <v>858</v>
      </c>
      <c r="CH9" s="539" t="s">
        <v>297</v>
      </c>
      <c r="CI9" s="538" t="s">
        <v>858</v>
      </c>
      <c r="CJ9" s="539" t="s">
        <v>297</v>
      </c>
      <c r="CK9" s="538" t="s">
        <v>858</v>
      </c>
      <c r="CL9" s="539" t="s">
        <v>297</v>
      </c>
      <c r="CM9" s="538" t="s">
        <v>858</v>
      </c>
      <c r="CN9" s="539" t="s">
        <v>297</v>
      </c>
      <c r="CO9" s="538" t="s">
        <v>858</v>
      </c>
      <c r="CP9" s="539" t="s">
        <v>297</v>
      </c>
      <c r="CQ9" s="538" t="s">
        <v>858</v>
      </c>
      <c r="CR9" s="539" t="s">
        <v>297</v>
      </c>
      <c r="CS9" s="538" t="s">
        <v>858</v>
      </c>
      <c r="CT9" s="539" t="s">
        <v>297</v>
      </c>
      <c r="CU9" s="538" t="s">
        <v>858</v>
      </c>
      <c r="CV9" s="539" t="s">
        <v>297</v>
      </c>
      <c r="CW9" s="538" t="s">
        <v>858</v>
      </c>
      <c r="CX9" s="539" t="s">
        <v>297</v>
      </c>
      <c r="CY9" s="538" t="s">
        <v>858</v>
      </c>
      <c r="CZ9" s="539" t="s">
        <v>297</v>
      </c>
      <c r="DA9" s="538" t="s">
        <v>858</v>
      </c>
      <c r="DB9" s="539" t="s">
        <v>297</v>
      </c>
      <c r="DC9" s="538" t="s">
        <v>858</v>
      </c>
      <c r="DD9" s="539" t="s">
        <v>297</v>
      </c>
      <c r="DE9" s="540" t="s">
        <v>298</v>
      </c>
      <c r="DF9" s="503"/>
      <c r="DG9" s="532" t="s">
        <v>289</v>
      </c>
      <c r="DH9" s="533" t="s">
        <v>290</v>
      </c>
      <c r="DI9" s="534" t="s">
        <v>291</v>
      </c>
      <c r="DJ9" s="534" t="s">
        <v>855</v>
      </c>
      <c r="DK9" s="535" t="s">
        <v>856</v>
      </c>
      <c r="DL9" s="536" t="s">
        <v>294</v>
      </c>
      <c r="DM9" s="537" t="s">
        <v>857</v>
      </c>
      <c r="DN9" s="538" t="s">
        <v>858</v>
      </c>
      <c r="DO9" s="539" t="s">
        <v>297</v>
      </c>
      <c r="DP9" s="538" t="s">
        <v>858</v>
      </c>
      <c r="DQ9" s="539" t="s">
        <v>297</v>
      </c>
      <c r="DR9" s="538" t="s">
        <v>858</v>
      </c>
      <c r="DS9" s="539" t="s">
        <v>297</v>
      </c>
      <c r="DT9" s="538" t="s">
        <v>858</v>
      </c>
      <c r="DU9" s="539" t="s">
        <v>297</v>
      </c>
      <c r="DV9" s="538" t="s">
        <v>858</v>
      </c>
      <c r="DW9" s="539" t="s">
        <v>297</v>
      </c>
      <c r="DX9" s="538" t="s">
        <v>858</v>
      </c>
      <c r="DY9" s="539" t="s">
        <v>297</v>
      </c>
      <c r="DZ9" s="538" t="s">
        <v>858</v>
      </c>
      <c r="EA9" s="539" t="s">
        <v>297</v>
      </c>
      <c r="EB9" s="538" t="s">
        <v>858</v>
      </c>
      <c r="EC9" s="539" t="s">
        <v>297</v>
      </c>
      <c r="ED9" s="538" t="s">
        <v>858</v>
      </c>
      <c r="EE9" s="539" t="s">
        <v>297</v>
      </c>
      <c r="EF9" s="538" t="s">
        <v>858</v>
      </c>
      <c r="EG9" s="539" t="s">
        <v>297</v>
      </c>
      <c r="EH9" s="538" t="s">
        <v>858</v>
      </c>
      <c r="EI9" s="539" t="s">
        <v>297</v>
      </c>
      <c r="EJ9" s="538" t="s">
        <v>858</v>
      </c>
      <c r="EK9" s="539" t="s">
        <v>297</v>
      </c>
      <c r="EL9" s="538" t="s">
        <v>858</v>
      </c>
      <c r="EM9" s="539" t="s">
        <v>297</v>
      </c>
      <c r="EN9" s="538" t="s">
        <v>858</v>
      </c>
      <c r="EO9" s="539" t="s">
        <v>297</v>
      </c>
      <c r="EP9" s="538" t="s">
        <v>858</v>
      </c>
      <c r="EQ9" s="539" t="s">
        <v>297</v>
      </c>
      <c r="ER9" s="538" t="s">
        <v>858</v>
      </c>
      <c r="ES9" s="539" t="s">
        <v>297</v>
      </c>
      <c r="ET9" s="538" t="s">
        <v>858</v>
      </c>
      <c r="EU9" s="539" t="s">
        <v>297</v>
      </c>
      <c r="EV9" s="538" t="s">
        <v>858</v>
      </c>
      <c r="EW9" s="539" t="s">
        <v>297</v>
      </c>
      <c r="EX9" s="538" t="s">
        <v>858</v>
      </c>
      <c r="EY9" s="539" t="s">
        <v>297</v>
      </c>
      <c r="EZ9" s="538" t="s">
        <v>858</v>
      </c>
      <c r="FA9" s="539" t="s">
        <v>297</v>
      </c>
      <c r="FB9" s="538" t="s">
        <v>858</v>
      </c>
      <c r="FC9" s="539" t="s">
        <v>297</v>
      </c>
      <c r="FD9" s="538" t="s">
        <v>858</v>
      </c>
      <c r="FE9" s="539" t="s">
        <v>297</v>
      </c>
      <c r="FF9" s="538" t="s">
        <v>858</v>
      </c>
      <c r="FG9" s="539" t="s">
        <v>297</v>
      </c>
      <c r="FH9" s="540" t="s">
        <v>298</v>
      </c>
      <c r="FI9" s="541"/>
      <c r="FJ9" s="542" t="s">
        <v>289</v>
      </c>
      <c r="FK9" s="533" t="s">
        <v>290</v>
      </c>
      <c r="FL9" s="534" t="s">
        <v>291</v>
      </c>
      <c r="FM9" s="534" t="s">
        <v>855</v>
      </c>
      <c r="FN9" s="535" t="s">
        <v>856</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689</v>
      </c>
      <c r="GL9" s="529"/>
      <c r="GM9" s="530"/>
      <c r="GN9" s="529"/>
      <c r="GO9" s="549">
        <v>0.92</v>
      </c>
      <c r="GP9" s="529"/>
      <c r="GQ9" s="529"/>
      <c r="GR9" s="529"/>
      <c r="GS9" s="529"/>
      <c r="GT9" s="550"/>
      <c r="GU9" s="483" t="s">
        <v>690</v>
      </c>
      <c r="GV9" s="413"/>
      <c r="GW9" s="483"/>
      <c r="GX9" s="551">
        <v>1</v>
      </c>
      <c r="GY9" s="483"/>
      <c r="GZ9" s="486"/>
      <c r="HA9" s="530"/>
      <c r="HB9" s="530"/>
      <c r="HC9" s="530"/>
      <c r="HD9" s="437"/>
      <c r="HE9" s="437"/>
      <c r="HF9" s="1279"/>
      <c r="HG9" s="1279"/>
    </row>
    <row r="10" spans="1:353" ht="20.100000000000001" customHeight="1">
      <c r="A10" s="552"/>
      <c r="B10" s="553" t="s">
        <v>229</v>
      </c>
      <c r="C10" s="554" t="s">
        <v>72</v>
      </c>
      <c r="D10" s="555">
        <f>ROUND(10.8*0.85,2)</f>
        <v>9.18</v>
      </c>
      <c r="E10" s="553" t="s">
        <v>868</v>
      </c>
      <c r="F10" s="554"/>
      <c r="G10" s="556">
        <v>0</v>
      </c>
      <c r="H10" s="557">
        <f>ROUND(ROUND(10.8*0.85,2)*0.49*0,0)</f>
        <v>0</v>
      </c>
      <c r="I10" s="558">
        <v>0</v>
      </c>
      <c r="J10" s="559">
        <f>ROUND(ROUND(10.8*0.85,2)*0.49*0,0)</f>
        <v>0</v>
      </c>
      <c r="K10" s="560">
        <v>0</v>
      </c>
      <c r="L10" s="559">
        <f>ROUND(ROUND(10.8*0.85,2)*0.49*0,0)</f>
        <v>0</v>
      </c>
      <c r="M10" s="560">
        <v>0</v>
      </c>
      <c r="N10" s="559">
        <f>ROUND(ROUND(10.8*0.85,2)*0.49*0,0)</f>
        <v>0</v>
      </c>
      <c r="O10" s="560">
        <v>0</v>
      </c>
      <c r="P10" s="559">
        <f>ROUND(ROUND(10.8*0.85,2)*0.49*0,0)</f>
        <v>0</v>
      </c>
      <c r="Q10" s="560">
        <v>0</v>
      </c>
      <c r="R10" s="559">
        <f>ROUND(ROUND(10.8*0.85,2)*0.49*0,0)</f>
        <v>0</v>
      </c>
      <c r="S10" s="560">
        <v>0</v>
      </c>
      <c r="T10" s="559">
        <f>ROUND(ROUND(10.8*0.85,2)*0.49*0,0)</f>
        <v>0</v>
      </c>
      <c r="U10" s="560">
        <v>0</v>
      </c>
      <c r="V10" s="559">
        <f>ROUND(ROUND(10.8*0.85,2)*0.49*0,0)</f>
        <v>0</v>
      </c>
      <c r="W10" s="560">
        <v>116</v>
      </c>
      <c r="X10" s="559">
        <f>ROUND(ROUND(10.8*0.85,2)*0.49*116,0)</f>
        <v>522</v>
      </c>
      <c r="Y10" s="560">
        <v>130</v>
      </c>
      <c r="Z10" s="559">
        <f>ROUND(ROUND(10.8*0.85,2)*0.49*130,0)</f>
        <v>585</v>
      </c>
      <c r="AA10" s="560">
        <v>163</v>
      </c>
      <c r="AB10" s="559">
        <f>ROUND(ROUND(10.8*0.85,2)*0.49*163,0)</f>
        <v>733</v>
      </c>
      <c r="AC10" s="560">
        <v>229</v>
      </c>
      <c r="AD10" s="559">
        <f>ROUND(ROUND(10.8*0.85,2)*0.49*229,0)</f>
        <v>1030</v>
      </c>
      <c r="AE10" s="560">
        <v>269</v>
      </c>
      <c r="AF10" s="559">
        <f>ROUND(ROUND(10.8*0.85,2)*0.49*269,0)</f>
        <v>1210</v>
      </c>
      <c r="AG10" s="560">
        <v>267</v>
      </c>
      <c r="AH10" s="559">
        <f>ROUND(ROUND(10.8*0.85,2)*0.49*267,0)</f>
        <v>1201</v>
      </c>
      <c r="AI10" s="560">
        <v>224</v>
      </c>
      <c r="AJ10" s="559">
        <f>ROUND(ROUND(10.8*0.85,2)*0.49*224,0)</f>
        <v>1008</v>
      </c>
      <c r="AK10" s="560">
        <v>156</v>
      </c>
      <c r="AL10" s="559">
        <f>ROUND(ROUND(10.8*0.85,2)*0.49*156,0)</f>
        <v>702</v>
      </c>
      <c r="AM10" s="560">
        <v>84</v>
      </c>
      <c r="AN10" s="559">
        <f>ROUND(ROUND(10.8*0.85,2)*0.49*84,0)</f>
        <v>378</v>
      </c>
      <c r="AO10" s="560">
        <v>16</v>
      </c>
      <c r="AP10" s="559">
        <f>ROUND(ROUND(10.8*0.85,2)*0.49*16,0)</f>
        <v>72</v>
      </c>
      <c r="AQ10" s="560">
        <v>0</v>
      </c>
      <c r="AR10" s="559">
        <f>ROUND(ROUND(10.8*0.85,2)*0.49*0,0)</f>
        <v>0</v>
      </c>
      <c r="AS10" s="560">
        <v>0</v>
      </c>
      <c r="AT10" s="559">
        <f>ROUND(ROUND(10.8*0.85,2)*0.49*0,0)</f>
        <v>0</v>
      </c>
      <c r="AU10" s="560">
        <v>0</v>
      </c>
      <c r="AV10" s="559">
        <f>ROUND(ROUND(10.8*0.85,2)*0.49*0,0)</f>
        <v>0</v>
      </c>
      <c r="AW10" s="560">
        <v>0</v>
      </c>
      <c r="AX10" s="559">
        <f>ROUND(ROUND(10.8*0.85,2)*0.49*0,0)</f>
        <v>0</v>
      </c>
      <c r="AY10" s="560">
        <v>0</v>
      </c>
      <c r="AZ10" s="559">
        <f>ROUND(ROUND(10.8*0.85,2)*0.49*0,0)</f>
        <v>0</v>
      </c>
      <c r="BA10" s="560">
        <v>0</v>
      </c>
      <c r="BB10" s="561">
        <f>ROUND(ROUND(10.8*0.85,2)*0.49*0,0)</f>
        <v>0</v>
      </c>
      <c r="BC10" s="562"/>
      <c r="BD10" s="552"/>
      <c r="BE10" s="553"/>
      <c r="BF10" s="554"/>
      <c r="BG10" s="555"/>
      <c r="BH10" s="553"/>
      <c r="BI10" s="554"/>
      <c r="BJ10" s="556">
        <v>0</v>
      </c>
      <c r="BK10" s="557">
        <f>ROUND(ROUND(10.8*0.85,2)*0.49*0,0)</f>
        <v>0</v>
      </c>
      <c r="BL10" s="558">
        <v>0</v>
      </c>
      <c r="BM10" s="559">
        <f>ROUND(ROUND(10.8*0.85,2)*0.49*0,0)</f>
        <v>0</v>
      </c>
      <c r="BN10" s="560">
        <v>0</v>
      </c>
      <c r="BO10" s="559">
        <f>ROUND(ROUND(10.8*0.85,2)*0.49*0,0)</f>
        <v>0</v>
      </c>
      <c r="BP10" s="560">
        <v>0</v>
      </c>
      <c r="BQ10" s="559">
        <f>ROUND(ROUND(10.8*0.85,2)*0.49*0,0)</f>
        <v>0</v>
      </c>
      <c r="BR10" s="560">
        <v>0</v>
      </c>
      <c r="BS10" s="559">
        <f>ROUND(ROUND(10.8*0.85,2)*0.49*0,0)</f>
        <v>0</v>
      </c>
      <c r="BT10" s="560">
        <v>0</v>
      </c>
      <c r="BU10" s="559">
        <f>ROUND(ROUND(10.8*0.85,2)*0.49*0,0)</f>
        <v>0</v>
      </c>
      <c r="BV10" s="560">
        <v>0</v>
      </c>
      <c r="BW10" s="559">
        <f>ROUND(ROUND(10.8*0.85,2)*0.49*0,0)</f>
        <v>0</v>
      </c>
      <c r="BX10" s="560">
        <v>0</v>
      </c>
      <c r="BY10" s="559">
        <f>ROUND(ROUND(10.8*0.85,2)*0.49*0,0)</f>
        <v>0</v>
      </c>
      <c r="BZ10" s="560">
        <v>103</v>
      </c>
      <c r="CA10" s="559">
        <f>ROUND(ROUND(10.8*0.85,2)*0.49*103,0)</f>
        <v>463</v>
      </c>
      <c r="CB10" s="560">
        <v>110</v>
      </c>
      <c r="CC10" s="559">
        <f>ROUND(ROUND(10.8*0.85,2)*0.49*110,0)</f>
        <v>495</v>
      </c>
      <c r="CD10" s="560">
        <v>155</v>
      </c>
      <c r="CE10" s="559">
        <f>ROUND(ROUND(10.8*0.85,2)*0.49*155,0)</f>
        <v>697</v>
      </c>
      <c r="CF10" s="560">
        <v>254</v>
      </c>
      <c r="CG10" s="559">
        <f>ROUND(ROUND(10.8*0.85,2)*0.49*254,0)</f>
        <v>1143</v>
      </c>
      <c r="CH10" s="560">
        <v>320</v>
      </c>
      <c r="CI10" s="559">
        <f>ROUND(ROUND(10.8*0.85,2)*0.49*320,0)</f>
        <v>1439</v>
      </c>
      <c r="CJ10" s="560">
        <v>334</v>
      </c>
      <c r="CK10" s="559">
        <f>ROUND(ROUND(10.8*0.85,2)*0.49*334,0)</f>
        <v>1502</v>
      </c>
      <c r="CL10" s="560">
        <v>301</v>
      </c>
      <c r="CM10" s="559">
        <f>ROUND(ROUND(10.8*0.85,2)*0.49*301,0)</f>
        <v>1354</v>
      </c>
      <c r="CN10" s="560">
        <v>222</v>
      </c>
      <c r="CO10" s="559">
        <f>ROUND(ROUND(10.8*0.85,2)*0.49*222,0)</f>
        <v>999</v>
      </c>
      <c r="CP10" s="560">
        <v>130</v>
      </c>
      <c r="CQ10" s="559">
        <f>ROUND(ROUND(10.8*0.85,2)*0.49*130,0)</f>
        <v>585</v>
      </c>
      <c r="CR10" s="560">
        <v>32</v>
      </c>
      <c r="CS10" s="559">
        <f>ROUND(ROUND(10.8*0.85,2)*0.49*32,0)</f>
        <v>144</v>
      </c>
      <c r="CT10" s="560">
        <v>0</v>
      </c>
      <c r="CU10" s="559">
        <f>ROUND(ROUND(10.8*0.85,2)*0.49*0,0)</f>
        <v>0</v>
      </c>
      <c r="CV10" s="560">
        <v>0</v>
      </c>
      <c r="CW10" s="559">
        <f>ROUND(ROUND(10.8*0.85,2)*0.49*0,0)</f>
        <v>0</v>
      </c>
      <c r="CX10" s="560">
        <v>0</v>
      </c>
      <c r="CY10" s="559">
        <f>ROUND(ROUND(10.8*0.85,2)*0.49*0,0)</f>
        <v>0</v>
      </c>
      <c r="CZ10" s="560">
        <v>0</v>
      </c>
      <c r="DA10" s="559">
        <f>ROUND(ROUND(10.8*0.85,2)*0.49*0,0)</f>
        <v>0</v>
      </c>
      <c r="DB10" s="560">
        <v>0</v>
      </c>
      <c r="DC10" s="559">
        <f>ROUND(ROUND(10.8*0.85,2)*0.49*0,0)</f>
        <v>0</v>
      </c>
      <c r="DD10" s="560">
        <v>0</v>
      </c>
      <c r="DE10" s="561">
        <f>ROUND(ROUND(10.8*0.85,2)*0.49*0,0)</f>
        <v>0</v>
      </c>
      <c r="DF10" s="562"/>
      <c r="DG10" s="552"/>
      <c r="DH10" s="553"/>
      <c r="DI10" s="554"/>
      <c r="DJ10" s="555"/>
      <c r="DK10" s="553"/>
      <c r="DL10" s="554"/>
      <c r="DM10" s="556">
        <v>0</v>
      </c>
      <c r="DN10" s="557">
        <f>ROUND(ROUND(10.8*0.85,2)*0.49*0,0)</f>
        <v>0</v>
      </c>
      <c r="DO10" s="558">
        <v>0</v>
      </c>
      <c r="DP10" s="559">
        <f>ROUND(ROUND(10.8*0.85,2)*0.49*0,0)</f>
        <v>0</v>
      </c>
      <c r="DQ10" s="560">
        <v>0</v>
      </c>
      <c r="DR10" s="559">
        <f>ROUND(ROUND(10.8*0.85,2)*0.49*0,0)</f>
        <v>0</v>
      </c>
      <c r="DS10" s="560">
        <v>0</v>
      </c>
      <c r="DT10" s="559">
        <f>ROUND(ROUND(10.8*0.85,2)*0.49*0,0)</f>
        <v>0</v>
      </c>
      <c r="DU10" s="560">
        <v>0</v>
      </c>
      <c r="DV10" s="559">
        <f>ROUND(ROUND(10.8*0.85,2)*0.49*0,0)</f>
        <v>0</v>
      </c>
      <c r="DW10" s="560">
        <v>0</v>
      </c>
      <c r="DX10" s="559">
        <f>ROUND(ROUND(10.8*0.85,2)*0.49*0,0)</f>
        <v>0</v>
      </c>
      <c r="DY10" s="560">
        <v>0</v>
      </c>
      <c r="DZ10" s="559">
        <f>ROUND(ROUND(10.8*0.85,2)*0.49*0,0)</f>
        <v>0</v>
      </c>
      <c r="EA10" s="560">
        <v>0</v>
      </c>
      <c r="EB10" s="559">
        <f>ROUND(ROUND(10.8*0.85,2)*0.49*0,0)</f>
        <v>0</v>
      </c>
      <c r="EC10" s="560">
        <v>88</v>
      </c>
      <c r="ED10" s="559">
        <f>ROUND(ROUND(10.8*0.85,2)*0.49*88,0)</f>
        <v>396</v>
      </c>
      <c r="EE10" s="560">
        <v>170</v>
      </c>
      <c r="EF10" s="559">
        <f>ROUND(ROUND(10.8*0.85,2)*0.49*170,0)</f>
        <v>765</v>
      </c>
      <c r="EG10" s="560">
        <v>327</v>
      </c>
      <c r="EH10" s="559">
        <f>ROUND(ROUND(10.8*0.85,2)*0.49*327,0)</f>
        <v>1471</v>
      </c>
      <c r="EI10" s="560">
        <v>436</v>
      </c>
      <c r="EJ10" s="559">
        <f>ROUND(ROUND(10.8*0.85,2)*0.49*436,0)</f>
        <v>1961</v>
      </c>
      <c r="EK10" s="560">
        <v>480</v>
      </c>
      <c r="EL10" s="559">
        <f>ROUND(ROUND(10.8*0.85,2)*0.49*480,0)</f>
        <v>2159</v>
      </c>
      <c r="EM10" s="560">
        <v>473</v>
      </c>
      <c r="EN10" s="559">
        <f>ROUND(ROUND(10.8*0.85,2)*0.49*473,0)</f>
        <v>2128</v>
      </c>
      <c r="EO10" s="560">
        <v>403</v>
      </c>
      <c r="EP10" s="559">
        <f>ROUND(ROUND(10.8*0.85,2)*0.49*403,0)</f>
        <v>1813</v>
      </c>
      <c r="EQ10" s="560">
        <v>276</v>
      </c>
      <c r="ER10" s="559">
        <f>ROUND(ROUND(10.8*0.85,2)*0.49*276,0)</f>
        <v>1242</v>
      </c>
      <c r="ES10" s="560">
        <v>131</v>
      </c>
      <c r="ET10" s="559">
        <f>ROUND(ROUND(10.8*0.85,2)*0.49*131,0)</f>
        <v>589</v>
      </c>
      <c r="EU10" s="560">
        <v>0</v>
      </c>
      <c r="EV10" s="559">
        <f>ROUND(ROUND(10.8*0.85,2)*0.49*0,0)</f>
        <v>0</v>
      </c>
      <c r="EW10" s="560">
        <v>0</v>
      </c>
      <c r="EX10" s="559">
        <f>ROUND(ROUND(10.8*0.85,2)*0.49*0,0)</f>
        <v>0</v>
      </c>
      <c r="EY10" s="560">
        <v>0</v>
      </c>
      <c r="EZ10" s="559">
        <f>ROUND(ROUND(10.8*0.85,2)*0.49*0,0)</f>
        <v>0</v>
      </c>
      <c r="FA10" s="560">
        <v>0</v>
      </c>
      <c r="FB10" s="559">
        <f>ROUND(ROUND(10.8*0.85,2)*0.49*0,0)</f>
        <v>0</v>
      </c>
      <c r="FC10" s="560">
        <v>0</v>
      </c>
      <c r="FD10" s="559">
        <f>ROUND(ROUND(10.8*0.85,2)*0.49*0,0)</f>
        <v>0</v>
      </c>
      <c r="FE10" s="560">
        <v>0</v>
      </c>
      <c r="FF10" s="559">
        <f>ROUND(ROUND(10.8*0.85,2)*0.49*0,0)</f>
        <v>0</v>
      </c>
      <c r="FG10" s="560">
        <v>0</v>
      </c>
      <c r="FH10" s="561">
        <f>ROUND(ROUND(10.8*0.85,2)*0.49*0,0)</f>
        <v>0</v>
      </c>
      <c r="FI10" s="563"/>
      <c r="FJ10" s="564"/>
      <c r="FK10" s="553"/>
      <c r="FL10" s="554"/>
      <c r="FM10" s="555"/>
      <c r="FN10" s="553"/>
      <c r="FO10" s="554"/>
      <c r="FP10" s="565"/>
      <c r="FQ10" s="558"/>
      <c r="FR10" s="557" t="s">
        <v>859</v>
      </c>
      <c r="FS10" s="566"/>
      <c r="FT10" s="558"/>
      <c r="FU10" s="567" t="s">
        <v>629</v>
      </c>
      <c r="FV10" s="568" t="s">
        <v>301</v>
      </c>
      <c r="FW10" s="1299"/>
      <c r="FX10" s="1281" t="s">
        <v>302</v>
      </c>
      <c r="FY10" s="1300"/>
      <c r="FZ10" s="1283" t="s">
        <v>303</v>
      </c>
      <c r="GA10" s="1301"/>
      <c r="GB10" s="1285" t="s">
        <v>952</v>
      </c>
      <c r="GC10" s="1302"/>
      <c r="GD10" s="576" t="s">
        <v>953</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t="s">
        <v>229</v>
      </c>
      <c r="C11" s="582" t="s">
        <v>74</v>
      </c>
      <c r="D11" s="583">
        <f>ROUND(8.1*0.85,2)</f>
        <v>6.89</v>
      </c>
      <c r="E11" s="581" t="s">
        <v>868</v>
      </c>
      <c r="F11" s="582"/>
      <c r="G11" s="584">
        <v>0</v>
      </c>
      <c r="H11" s="585">
        <f>ROUND(ROUND(8.1*0.85,2)*0.49*0,0)</f>
        <v>0</v>
      </c>
      <c r="I11" s="586">
        <v>0</v>
      </c>
      <c r="J11" s="587">
        <f>ROUND(ROUND(8.1*0.85,2)*0.49*0,0)</f>
        <v>0</v>
      </c>
      <c r="K11" s="588">
        <v>0</v>
      </c>
      <c r="L11" s="587">
        <f>ROUND(ROUND(8.1*0.85,2)*0.49*0,0)</f>
        <v>0</v>
      </c>
      <c r="M11" s="588">
        <v>0</v>
      </c>
      <c r="N11" s="587">
        <f>ROUND(ROUND(8.1*0.85,2)*0.49*0,0)</f>
        <v>0</v>
      </c>
      <c r="O11" s="588">
        <v>0</v>
      </c>
      <c r="P11" s="587">
        <f>ROUND(ROUND(8.1*0.85,2)*0.49*0,0)</f>
        <v>0</v>
      </c>
      <c r="Q11" s="588">
        <v>0</v>
      </c>
      <c r="R11" s="587">
        <f>ROUND(ROUND(8.1*0.85,2)*0.49*0,0)</f>
        <v>0</v>
      </c>
      <c r="S11" s="588">
        <v>0</v>
      </c>
      <c r="T11" s="587">
        <f>ROUND(ROUND(8.1*0.85,2)*0.49*0,0)</f>
        <v>0</v>
      </c>
      <c r="U11" s="588">
        <v>0</v>
      </c>
      <c r="V11" s="587">
        <f>ROUND(ROUND(8.1*0.85,2)*0.49*0,0)</f>
        <v>0</v>
      </c>
      <c r="W11" s="588">
        <v>116</v>
      </c>
      <c r="X11" s="587">
        <f>ROUND(ROUND(8.1*0.85,2)*0.49*116,0)</f>
        <v>392</v>
      </c>
      <c r="Y11" s="588">
        <v>130</v>
      </c>
      <c r="Z11" s="587">
        <f>ROUND(ROUND(8.1*0.85,2)*0.49*130,0)</f>
        <v>439</v>
      </c>
      <c r="AA11" s="588">
        <v>135</v>
      </c>
      <c r="AB11" s="587">
        <f>ROUND(ROUND(8.1*0.85,2)*0.49*135,0)</f>
        <v>456</v>
      </c>
      <c r="AC11" s="588">
        <v>136</v>
      </c>
      <c r="AD11" s="587">
        <f>ROUND(ROUND(8.1*0.85,2)*0.49*136,0)</f>
        <v>459</v>
      </c>
      <c r="AE11" s="588">
        <v>148</v>
      </c>
      <c r="AF11" s="587">
        <f>ROUND(ROUND(8.1*0.85,2)*0.49*148,0)</f>
        <v>500</v>
      </c>
      <c r="AG11" s="588">
        <v>242</v>
      </c>
      <c r="AH11" s="587">
        <f>ROUND(ROUND(8.1*0.85,2)*0.49*242,0)</f>
        <v>817</v>
      </c>
      <c r="AI11" s="588">
        <v>308</v>
      </c>
      <c r="AJ11" s="587">
        <f>ROUND(ROUND(8.1*0.85,2)*0.49*308,0)</f>
        <v>1040</v>
      </c>
      <c r="AK11" s="588">
        <v>299</v>
      </c>
      <c r="AL11" s="587">
        <f>ROUND(ROUND(8.1*0.85,2)*0.49*299,0)</f>
        <v>1009</v>
      </c>
      <c r="AM11" s="588">
        <v>232</v>
      </c>
      <c r="AN11" s="587">
        <f>ROUND(ROUND(8.1*0.85,2)*0.49*232,0)</f>
        <v>783</v>
      </c>
      <c r="AO11" s="588">
        <v>66</v>
      </c>
      <c r="AP11" s="587">
        <f>ROUND(ROUND(8.1*0.85,2)*0.49*66,0)</f>
        <v>223</v>
      </c>
      <c r="AQ11" s="588">
        <v>0</v>
      </c>
      <c r="AR11" s="587">
        <f>ROUND(ROUND(8.1*0.85,2)*0.49*0,0)</f>
        <v>0</v>
      </c>
      <c r="AS11" s="588">
        <v>0</v>
      </c>
      <c r="AT11" s="587">
        <f>ROUND(ROUND(8.1*0.85,2)*0.49*0,0)</f>
        <v>0</v>
      </c>
      <c r="AU11" s="588">
        <v>0</v>
      </c>
      <c r="AV11" s="587">
        <f>ROUND(ROUND(8.1*0.85,2)*0.49*0,0)</f>
        <v>0</v>
      </c>
      <c r="AW11" s="588">
        <v>0</v>
      </c>
      <c r="AX11" s="587">
        <f>ROUND(ROUND(8.1*0.85,2)*0.49*0,0)</f>
        <v>0</v>
      </c>
      <c r="AY11" s="588">
        <v>0</v>
      </c>
      <c r="AZ11" s="587">
        <f>ROUND(ROUND(8.1*0.85,2)*0.49*0,0)</f>
        <v>0</v>
      </c>
      <c r="BA11" s="588">
        <v>0</v>
      </c>
      <c r="BB11" s="589">
        <f>ROUND(ROUND(8.1*0.85,2)*0.49*0,0)</f>
        <v>0</v>
      </c>
      <c r="BC11" s="562"/>
      <c r="BD11" s="552"/>
      <c r="BE11" s="581"/>
      <c r="BF11" s="582"/>
      <c r="BG11" s="583"/>
      <c r="BH11" s="581"/>
      <c r="BI11" s="582"/>
      <c r="BJ11" s="584">
        <v>0</v>
      </c>
      <c r="BK11" s="585">
        <f>ROUND(ROUND(8.1*0.85,2)*0.49*0,0)</f>
        <v>0</v>
      </c>
      <c r="BL11" s="586">
        <v>0</v>
      </c>
      <c r="BM11" s="587">
        <f>ROUND(ROUND(8.1*0.85,2)*0.49*0,0)</f>
        <v>0</v>
      </c>
      <c r="BN11" s="588">
        <v>0</v>
      </c>
      <c r="BO11" s="587">
        <f>ROUND(ROUND(8.1*0.85,2)*0.49*0,0)</f>
        <v>0</v>
      </c>
      <c r="BP11" s="588">
        <v>0</v>
      </c>
      <c r="BQ11" s="587">
        <f>ROUND(ROUND(8.1*0.85,2)*0.49*0,0)</f>
        <v>0</v>
      </c>
      <c r="BR11" s="588">
        <v>0</v>
      </c>
      <c r="BS11" s="587">
        <f>ROUND(ROUND(8.1*0.85,2)*0.49*0,0)</f>
        <v>0</v>
      </c>
      <c r="BT11" s="588">
        <v>0</v>
      </c>
      <c r="BU11" s="587">
        <f>ROUND(ROUND(8.1*0.85,2)*0.49*0,0)</f>
        <v>0</v>
      </c>
      <c r="BV11" s="588">
        <v>0</v>
      </c>
      <c r="BW11" s="587">
        <f>ROUND(ROUND(8.1*0.85,2)*0.49*0,0)</f>
        <v>0</v>
      </c>
      <c r="BX11" s="588">
        <v>0</v>
      </c>
      <c r="BY11" s="587">
        <f>ROUND(ROUND(8.1*0.85,2)*0.49*0,0)</f>
        <v>0</v>
      </c>
      <c r="BZ11" s="588">
        <v>103</v>
      </c>
      <c r="CA11" s="587">
        <f>ROUND(ROUND(8.1*0.85,2)*0.49*103,0)</f>
        <v>348</v>
      </c>
      <c r="CB11" s="588">
        <v>110</v>
      </c>
      <c r="CC11" s="587">
        <f>ROUND(ROUND(8.1*0.85,2)*0.49*110,0)</f>
        <v>371</v>
      </c>
      <c r="CD11" s="588">
        <v>111</v>
      </c>
      <c r="CE11" s="587">
        <f>ROUND(ROUND(8.1*0.85,2)*0.49*111,0)</f>
        <v>375</v>
      </c>
      <c r="CF11" s="588">
        <v>110</v>
      </c>
      <c r="CG11" s="587">
        <f>ROUND(ROUND(8.1*0.85,2)*0.49*110,0)</f>
        <v>371</v>
      </c>
      <c r="CH11" s="588">
        <v>134</v>
      </c>
      <c r="CI11" s="587">
        <f>ROUND(ROUND(8.1*0.85,2)*0.49*134,0)</f>
        <v>452</v>
      </c>
      <c r="CJ11" s="588">
        <v>295</v>
      </c>
      <c r="CK11" s="587">
        <f>ROUND(ROUND(8.1*0.85,2)*0.49*295,0)</f>
        <v>996</v>
      </c>
      <c r="CL11" s="588">
        <v>444</v>
      </c>
      <c r="CM11" s="587">
        <f>ROUND(ROUND(8.1*0.85,2)*0.49*444,0)</f>
        <v>1499</v>
      </c>
      <c r="CN11" s="588">
        <v>495</v>
      </c>
      <c r="CO11" s="587">
        <f>ROUND(ROUND(8.1*0.85,2)*0.49*495,0)</f>
        <v>1671</v>
      </c>
      <c r="CP11" s="588">
        <v>476</v>
      </c>
      <c r="CQ11" s="587">
        <f>ROUND(ROUND(8.1*0.85,2)*0.49*476,0)</f>
        <v>1607</v>
      </c>
      <c r="CR11" s="588">
        <v>256</v>
      </c>
      <c r="CS11" s="587">
        <f>ROUND(ROUND(8.1*0.85,2)*0.49*256,0)</f>
        <v>864</v>
      </c>
      <c r="CT11" s="588">
        <v>0</v>
      </c>
      <c r="CU11" s="587">
        <f>ROUND(ROUND(8.1*0.85,2)*0.49*0,0)</f>
        <v>0</v>
      </c>
      <c r="CV11" s="588">
        <v>0</v>
      </c>
      <c r="CW11" s="587">
        <f>ROUND(ROUND(8.1*0.85,2)*0.49*0,0)</f>
        <v>0</v>
      </c>
      <c r="CX11" s="588">
        <v>0</v>
      </c>
      <c r="CY11" s="587">
        <f>ROUND(ROUND(8.1*0.85,2)*0.49*0,0)</f>
        <v>0</v>
      </c>
      <c r="CZ11" s="588">
        <v>0</v>
      </c>
      <c r="DA11" s="587">
        <f>ROUND(ROUND(8.1*0.85,2)*0.49*0,0)</f>
        <v>0</v>
      </c>
      <c r="DB11" s="588">
        <v>0</v>
      </c>
      <c r="DC11" s="587">
        <f>ROUND(ROUND(8.1*0.85,2)*0.49*0,0)</f>
        <v>0</v>
      </c>
      <c r="DD11" s="588">
        <v>0</v>
      </c>
      <c r="DE11" s="589">
        <f>ROUND(ROUND(8.1*0.85,2)*0.49*0,0)</f>
        <v>0</v>
      </c>
      <c r="DF11" s="562"/>
      <c r="DG11" s="552"/>
      <c r="DH11" s="581"/>
      <c r="DI11" s="582"/>
      <c r="DJ11" s="583"/>
      <c r="DK11" s="581"/>
      <c r="DL11" s="582"/>
      <c r="DM11" s="584">
        <v>0</v>
      </c>
      <c r="DN11" s="585">
        <f>ROUND(ROUND(8.1*0.85,2)*0.49*0,0)</f>
        <v>0</v>
      </c>
      <c r="DO11" s="586">
        <v>0</v>
      </c>
      <c r="DP11" s="587">
        <f>ROUND(ROUND(8.1*0.85,2)*0.49*0,0)</f>
        <v>0</v>
      </c>
      <c r="DQ11" s="588">
        <v>0</v>
      </c>
      <c r="DR11" s="587">
        <f>ROUND(ROUND(8.1*0.85,2)*0.49*0,0)</f>
        <v>0</v>
      </c>
      <c r="DS11" s="588">
        <v>0</v>
      </c>
      <c r="DT11" s="587">
        <f>ROUND(ROUND(8.1*0.85,2)*0.49*0,0)</f>
        <v>0</v>
      </c>
      <c r="DU11" s="588">
        <v>0</v>
      </c>
      <c r="DV11" s="587">
        <f>ROUND(ROUND(8.1*0.85,2)*0.49*0,0)</f>
        <v>0</v>
      </c>
      <c r="DW11" s="588">
        <v>0</v>
      </c>
      <c r="DX11" s="587">
        <f>ROUND(ROUND(8.1*0.85,2)*0.49*0,0)</f>
        <v>0</v>
      </c>
      <c r="DY11" s="588">
        <v>0</v>
      </c>
      <c r="DZ11" s="587">
        <f>ROUND(ROUND(8.1*0.85,2)*0.49*0,0)</f>
        <v>0</v>
      </c>
      <c r="EA11" s="588">
        <v>0</v>
      </c>
      <c r="EB11" s="587">
        <f>ROUND(ROUND(8.1*0.85,2)*0.49*0,0)</f>
        <v>0</v>
      </c>
      <c r="EC11" s="588">
        <v>88</v>
      </c>
      <c r="ED11" s="587">
        <f>ROUND(ROUND(8.1*0.85,2)*0.49*88,0)</f>
        <v>297</v>
      </c>
      <c r="EE11" s="588">
        <v>97</v>
      </c>
      <c r="EF11" s="587">
        <f>ROUND(ROUND(8.1*0.85,2)*0.49*97,0)</f>
        <v>327</v>
      </c>
      <c r="EG11" s="588">
        <v>101</v>
      </c>
      <c r="EH11" s="587">
        <f>ROUND(ROUND(8.1*0.85,2)*0.49*101,0)</f>
        <v>341</v>
      </c>
      <c r="EI11" s="588">
        <v>101</v>
      </c>
      <c r="EJ11" s="587">
        <f>ROUND(ROUND(8.1*0.85,2)*0.49*101,0)</f>
        <v>341</v>
      </c>
      <c r="EK11" s="588">
        <v>98</v>
      </c>
      <c r="EL11" s="587">
        <f>ROUND(ROUND(8.1*0.85,2)*0.49*98,0)</f>
        <v>331</v>
      </c>
      <c r="EM11" s="588">
        <v>224</v>
      </c>
      <c r="EN11" s="587">
        <f>ROUND(ROUND(8.1*0.85,2)*0.49*224,0)</f>
        <v>756</v>
      </c>
      <c r="EO11" s="588">
        <v>378</v>
      </c>
      <c r="EP11" s="587">
        <f>ROUND(ROUND(8.1*0.85,2)*0.49*378,0)</f>
        <v>1276</v>
      </c>
      <c r="EQ11" s="588">
        <v>397</v>
      </c>
      <c r="ER11" s="587">
        <f>ROUND(ROUND(8.1*0.85,2)*0.49*397,0)</f>
        <v>1340</v>
      </c>
      <c r="ES11" s="588">
        <v>282</v>
      </c>
      <c r="ET11" s="587">
        <f>ROUND(ROUND(8.1*0.85,2)*0.49*282,0)</f>
        <v>952</v>
      </c>
      <c r="EU11" s="588">
        <v>3</v>
      </c>
      <c r="EV11" s="587">
        <f>ROUND(ROUND(8.1*0.85,2)*0.49*3,0)</f>
        <v>10</v>
      </c>
      <c r="EW11" s="588">
        <v>0</v>
      </c>
      <c r="EX11" s="587">
        <f>ROUND(ROUND(8.1*0.85,2)*0.49*0,0)</f>
        <v>0</v>
      </c>
      <c r="EY11" s="588">
        <v>0</v>
      </c>
      <c r="EZ11" s="587">
        <f>ROUND(ROUND(8.1*0.85,2)*0.49*0,0)</f>
        <v>0</v>
      </c>
      <c r="FA11" s="588">
        <v>0</v>
      </c>
      <c r="FB11" s="587">
        <f>ROUND(ROUND(8.1*0.85,2)*0.49*0,0)</f>
        <v>0</v>
      </c>
      <c r="FC11" s="588">
        <v>0</v>
      </c>
      <c r="FD11" s="587">
        <f>ROUND(ROUND(8.1*0.85,2)*0.49*0,0)</f>
        <v>0</v>
      </c>
      <c r="FE11" s="588">
        <v>0</v>
      </c>
      <c r="FF11" s="587">
        <f>ROUND(ROUND(8.1*0.85,2)*0.49*0,0)</f>
        <v>0</v>
      </c>
      <c r="FG11" s="588">
        <v>0</v>
      </c>
      <c r="FH11" s="589">
        <f>ROUND(ROUND(8.1*0.85,2)*0.49*0,0)</f>
        <v>0</v>
      </c>
      <c r="FI11" s="563"/>
      <c r="FJ11" s="564"/>
      <c r="FK11" s="581"/>
      <c r="FL11" s="582"/>
      <c r="FM11" s="583"/>
      <c r="FN11" s="581"/>
      <c r="FO11" s="582"/>
      <c r="FP11" s="590"/>
      <c r="FQ11" s="586"/>
      <c r="FR11" s="585" t="s">
        <v>859</v>
      </c>
      <c r="FS11" s="591"/>
      <c r="FT11" s="586"/>
      <c r="FU11" s="592" t="s">
        <v>629</v>
      </c>
      <c r="FV11" s="593"/>
      <c r="FW11" s="594"/>
      <c r="FX11" s="595"/>
      <c r="FY11" s="596"/>
      <c r="FZ11" s="597"/>
      <c r="GA11" s="598"/>
      <c r="GB11" s="599"/>
      <c r="GC11" s="600"/>
      <c r="GD11" s="599"/>
      <c r="GE11" s="601"/>
      <c r="GF11" s="499"/>
      <c r="GG11" s="602"/>
      <c r="GH11" s="602"/>
      <c r="GI11" s="602"/>
      <c r="GJ11" s="529"/>
      <c r="GK11" s="580" t="s">
        <v>829</v>
      </c>
      <c r="GL11" s="413"/>
      <c r="GM11" s="483"/>
      <c r="GN11" s="486"/>
      <c r="GO11" s="483"/>
      <c r="GP11" s="413"/>
      <c r="GQ11" s="529"/>
      <c r="GR11" s="529"/>
      <c r="GS11" s="529"/>
      <c r="GT11" s="548"/>
      <c r="GU11" s="580" t="s">
        <v>691</v>
      </c>
      <c r="GV11" s="413"/>
      <c r="GW11" s="483"/>
      <c r="GX11" s="486"/>
      <c r="GY11" s="483"/>
      <c r="GZ11" s="413"/>
      <c r="HA11" s="530"/>
      <c r="HB11" s="530"/>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629</v>
      </c>
      <c r="FS12" s="591"/>
      <c r="FT12" s="586"/>
      <c r="FU12" s="592" t="s">
        <v>629</v>
      </c>
      <c r="FV12" s="593"/>
      <c r="FW12" s="594"/>
      <c r="FX12" s="595"/>
      <c r="FY12" s="596"/>
      <c r="FZ12" s="597"/>
      <c r="GA12" s="598"/>
      <c r="GB12" s="599"/>
      <c r="GC12" s="600"/>
      <c r="GD12" s="599"/>
      <c r="GE12" s="601"/>
      <c r="GF12" s="499"/>
      <c r="GG12" s="602"/>
      <c r="GH12" s="602"/>
      <c r="GI12" s="602"/>
      <c r="GJ12" s="413"/>
      <c r="GK12" s="603" t="s">
        <v>384</v>
      </c>
      <c r="GL12" s="604"/>
      <c r="GM12" s="605" t="s">
        <v>527</v>
      </c>
      <c r="GN12" s="606" t="s">
        <v>831</v>
      </c>
      <c r="GO12" s="607" t="s">
        <v>529</v>
      </c>
      <c r="GP12" s="608" t="s">
        <v>692</v>
      </c>
      <c r="GQ12" s="607" t="s">
        <v>693</v>
      </c>
      <c r="GR12" s="607" t="s">
        <v>694</v>
      </c>
      <c r="GS12" s="609"/>
      <c r="GT12" s="548"/>
      <c r="GU12" s="603" t="s">
        <v>380</v>
      </c>
      <c r="GV12" s="604"/>
      <c r="GW12" s="605" t="s">
        <v>527</v>
      </c>
      <c r="GX12" s="610" t="s">
        <v>534</v>
      </c>
      <c r="GY12" s="611"/>
      <c r="GZ12" s="612" t="s">
        <v>832</v>
      </c>
      <c r="HA12" s="613" t="s">
        <v>535</v>
      </c>
      <c r="HB12" s="614"/>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630</v>
      </c>
      <c r="FS13" s="626"/>
      <c r="FT13" s="621"/>
      <c r="FU13" s="627" t="s">
        <v>630</v>
      </c>
      <c r="FV13" s="593"/>
      <c r="FW13" s="594"/>
      <c r="FX13" s="595"/>
      <c r="FY13" s="596"/>
      <c r="FZ13" s="597"/>
      <c r="GA13" s="598"/>
      <c r="GB13" s="599"/>
      <c r="GC13" s="600"/>
      <c r="GD13" s="599"/>
      <c r="GE13" s="601"/>
      <c r="GF13" s="499"/>
      <c r="GG13" s="602"/>
      <c r="GH13" s="602"/>
      <c r="GI13" s="602"/>
      <c r="GJ13" s="413"/>
      <c r="GK13" s="628">
        <v>209</v>
      </c>
      <c r="GL13" s="629"/>
      <c r="GM13" s="630" t="s">
        <v>775</v>
      </c>
      <c r="GN13" s="631">
        <v>18.899999999999999</v>
      </c>
      <c r="GO13" s="632">
        <v>0</v>
      </c>
      <c r="GP13" s="632">
        <v>1</v>
      </c>
      <c r="GQ13" s="633">
        <v>0</v>
      </c>
      <c r="GR13" s="634">
        <v>18.899999999999999</v>
      </c>
      <c r="GS13" s="578"/>
      <c r="GT13" s="413"/>
      <c r="GU13" s="628">
        <v>209</v>
      </c>
      <c r="GV13" s="629"/>
      <c r="GW13" s="635" t="s">
        <v>698</v>
      </c>
      <c r="GX13" s="636">
        <v>10.8</v>
      </c>
      <c r="GY13" s="637"/>
      <c r="GZ13" s="638">
        <v>0.65</v>
      </c>
      <c r="HA13" s="639">
        <v>7.02</v>
      </c>
      <c r="HB13" s="640"/>
      <c r="HC13" s="530"/>
      <c r="HD13" s="799"/>
      <c r="HE13" s="437"/>
      <c r="HF13" s="386"/>
      <c r="HG13" s="386"/>
    </row>
    <row r="14" spans="1:353" ht="20.100000000000001" customHeight="1">
      <c r="A14" s="641"/>
      <c r="B14" s="642"/>
      <c r="C14" s="642"/>
      <c r="D14" s="643" t="s">
        <v>930</v>
      </c>
      <c r="E14" s="642"/>
      <c r="F14" s="642"/>
      <c r="G14" s="644"/>
      <c r="H14" s="645">
        <f>SUM(H10:H13)</f>
        <v>0</v>
      </c>
      <c r="I14" s="735"/>
      <c r="J14" s="645">
        <f>SUM(J10:J13)</f>
        <v>0</v>
      </c>
      <c r="K14" s="735"/>
      <c r="L14" s="645">
        <f>SUM(L10:L13)</f>
        <v>0</v>
      </c>
      <c r="M14" s="735"/>
      <c r="N14" s="645">
        <f>SUM(N10:N13)</f>
        <v>0</v>
      </c>
      <c r="O14" s="735"/>
      <c r="P14" s="645">
        <f>SUM(P10:P13)</f>
        <v>0</v>
      </c>
      <c r="Q14" s="735"/>
      <c r="R14" s="645">
        <f>SUM(R10:R13)</f>
        <v>0</v>
      </c>
      <c r="S14" s="735"/>
      <c r="T14" s="645">
        <f>SUM(T10:T13)</f>
        <v>0</v>
      </c>
      <c r="U14" s="735"/>
      <c r="V14" s="645">
        <f>SUM(V10:V13)</f>
        <v>0</v>
      </c>
      <c r="W14" s="735"/>
      <c r="X14" s="645">
        <f>SUM(X10:X13)</f>
        <v>914</v>
      </c>
      <c r="Y14" s="735"/>
      <c r="Z14" s="645">
        <f>SUM(Z10:Z13)</f>
        <v>1024</v>
      </c>
      <c r="AA14" s="735"/>
      <c r="AB14" s="645">
        <f>SUM(AB10:AB13)</f>
        <v>1189</v>
      </c>
      <c r="AC14" s="735"/>
      <c r="AD14" s="645">
        <f>SUM(AD10:AD13)</f>
        <v>1489</v>
      </c>
      <c r="AE14" s="735"/>
      <c r="AF14" s="645">
        <f>SUM(AF10:AF13)</f>
        <v>1710</v>
      </c>
      <c r="AG14" s="735"/>
      <c r="AH14" s="645">
        <f>SUM(AH10:AH13)</f>
        <v>2018</v>
      </c>
      <c r="AI14" s="735"/>
      <c r="AJ14" s="645">
        <f>SUM(AJ10:AJ13)</f>
        <v>2048</v>
      </c>
      <c r="AK14" s="735"/>
      <c r="AL14" s="645">
        <f>SUM(AL10:AL13)</f>
        <v>1711</v>
      </c>
      <c r="AM14" s="735"/>
      <c r="AN14" s="645">
        <f>SUM(AN10:AN13)</f>
        <v>1161</v>
      </c>
      <c r="AO14" s="735"/>
      <c r="AP14" s="645">
        <f>SUM(AP10:AP13)</f>
        <v>295</v>
      </c>
      <c r="AQ14" s="735"/>
      <c r="AR14" s="645">
        <f>SUM(AR10:AR13)</f>
        <v>0</v>
      </c>
      <c r="AS14" s="735"/>
      <c r="AT14" s="645">
        <f>SUM(AT10:AT13)</f>
        <v>0</v>
      </c>
      <c r="AU14" s="735"/>
      <c r="AV14" s="645">
        <f>SUM(AV10:AV13)</f>
        <v>0</v>
      </c>
      <c r="AW14" s="735"/>
      <c r="AX14" s="645">
        <f>SUM(AX10:AX13)</f>
        <v>0</v>
      </c>
      <c r="AY14" s="735"/>
      <c r="AZ14" s="645">
        <f>SUM(AZ10:AZ13)</f>
        <v>0</v>
      </c>
      <c r="BA14" s="735"/>
      <c r="BB14" s="647">
        <f>SUM(BB10:BB13)</f>
        <v>0</v>
      </c>
      <c r="BC14" s="648"/>
      <c r="BD14" s="641"/>
      <c r="BE14" s="642"/>
      <c r="BF14" s="642"/>
      <c r="BG14" s="643" t="s">
        <v>306</v>
      </c>
      <c r="BH14" s="642"/>
      <c r="BI14" s="642"/>
      <c r="BJ14" s="644"/>
      <c r="BK14" s="645">
        <f>SUM(BK10:BK13)</f>
        <v>0</v>
      </c>
      <c r="BL14" s="735"/>
      <c r="BM14" s="645">
        <f>SUM(BM10:BM13)</f>
        <v>0</v>
      </c>
      <c r="BN14" s="735"/>
      <c r="BO14" s="645">
        <f>SUM(BO10:BO13)</f>
        <v>0</v>
      </c>
      <c r="BP14" s="735"/>
      <c r="BQ14" s="645">
        <f>SUM(BQ10:BQ13)</f>
        <v>0</v>
      </c>
      <c r="BR14" s="735"/>
      <c r="BS14" s="645">
        <f>SUM(BS10:BS13)</f>
        <v>0</v>
      </c>
      <c r="BT14" s="735"/>
      <c r="BU14" s="645">
        <f>SUM(BU10:BU13)</f>
        <v>0</v>
      </c>
      <c r="BV14" s="735"/>
      <c r="BW14" s="645">
        <f>SUM(BW10:BW13)</f>
        <v>0</v>
      </c>
      <c r="BX14" s="735"/>
      <c r="BY14" s="645">
        <f>SUM(BY10:BY13)</f>
        <v>0</v>
      </c>
      <c r="BZ14" s="735"/>
      <c r="CA14" s="645">
        <f>SUM(CA10:CA13)</f>
        <v>811</v>
      </c>
      <c r="CB14" s="735"/>
      <c r="CC14" s="645">
        <f>SUM(CC10:CC13)</f>
        <v>866</v>
      </c>
      <c r="CD14" s="735"/>
      <c r="CE14" s="645">
        <f>SUM(CE10:CE13)</f>
        <v>1072</v>
      </c>
      <c r="CF14" s="735"/>
      <c r="CG14" s="645">
        <f>SUM(CG10:CG13)</f>
        <v>1514</v>
      </c>
      <c r="CH14" s="735"/>
      <c r="CI14" s="645">
        <f>SUM(CI10:CI13)</f>
        <v>1891</v>
      </c>
      <c r="CJ14" s="735"/>
      <c r="CK14" s="645">
        <f>SUM(CK10:CK13)</f>
        <v>2498</v>
      </c>
      <c r="CL14" s="735"/>
      <c r="CM14" s="645">
        <f>SUM(CM10:CM13)</f>
        <v>2853</v>
      </c>
      <c r="CN14" s="735"/>
      <c r="CO14" s="645">
        <f>SUM(CO10:CO13)</f>
        <v>2670</v>
      </c>
      <c r="CP14" s="735"/>
      <c r="CQ14" s="645">
        <f>SUM(CQ10:CQ13)</f>
        <v>2192</v>
      </c>
      <c r="CR14" s="735"/>
      <c r="CS14" s="645">
        <f>SUM(CS10:CS13)</f>
        <v>1008</v>
      </c>
      <c r="CT14" s="735"/>
      <c r="CU14" s="645">
        <f>SUM(CU10:CU13)</f>
        <v>0</v>
      </c>
      <c r="CV14" s="735"/>
      <c r="CW14" s="645">
        <f>SUM(CW10:CW13)</f>
        <v>0</v>
      </c>
      <c r="CX14" s="735"/>
      <c r="CY14" s="645">
        <f>SUM(CY10:CY13)</f>
        <v>0</v>
      </c>
      <c r="CZ14" s="735"/>
      <c r="DA14" s="645">
        <f>SUM(DA10:DA13)</f>
        <v>0</v>
      </c>
      <c r="DB14" s="735"/>
      <c r="DC14" s="645">
        <f>SUM(DC10:DC13)</f>
        <v>0</v>
      </c>
      <c r="DD14" s="735"/>
      <c r="DE14" s="647">
        <f>SUM(DE10:DE13)</f>
        <v>0</v>
      </c>
      <c r="DF14" s="648"/>
      <c r="DG14" s="641"/>
      <c r="DH14" s="642"/>
      <c r="DI14" s="642"/>
      <c r="DJ14" s="643" t="s">
        <v>750</v>
      </c>
      <c r="DK14" s="642"/>
      <c r="DL14" s="642"/>
      <c r="DM14" s="644"/>
      <c r="DN14" s="645">
        <f>SUM(DN10:DN13)</f>
        <v>0</v>
      </c>
      <c r="DO14" s="735"/>
      <c r="DP14" s="645">
        <f>SUM(DP10:DP13)</f>
        <v>0</v>
      </c>
      <c r="DQ14" s="735"/>
      <c r="DR14" s="645">
        <f>SUM(DR10:DR13)</f>
        <v>0</v>
      </c>
      <c r="DS14" s="735"/>
      <c r="DT14" s="645">
        <f>SUM(DT10:DT13)</f>
        <v>0</v>
      </c>
      <c r="DU14" s="735"/>
      <c r="DV14" s="645">
        <f>SUM(DV10:DV13)</f>
        <v>0</v>
      </c>
      <c r="DW14" s="735"/>
      <c r="DX14" s="645">
        <f>SUM(DX10:DX13)</f>
        <v>0</v>
      </c>
      <c r="DY14" s="735"/>
      <c r="DZ14" s="645">
        <f>SUM(DZ10:DZ13)</f>
        <v>0</v>
      </c>
      <c r="EA14" s="735"/>
      <c r="EB14" s="645">
        <f>SUM(EB10:EB13)</f>
        <v>0</v>
      </c>
      <c r="EC14" s="735"/>
      <c r="ED14" s="645">
        <f>SUM(ED10:ED13)</f>
        <v>693</v>
      </c>
      <c r="EE14" s="735"/>
      <c r="EF14" s="645">
        <f>SUM(EF10:EF13)</f>
        <v>1092</v>
      </c>
      <c r="EG14" s="735"/>
      <c r="EH14" s="645">
        <f>SUM(EH10:EH13)</f>
        <v>1812</v>
      </c>
      <c r="EI14" s="735"/>
      <c r="EJ14" s="645">
        <f>SUM(EJ10:EJ13)</f>
        <v>2302</v>
      </c>
      <c r="EK14" s="735"/>
      <c r="EL14" s="645">
        <f>SUM(EL10:EL13)</f>
        <v>2490</v>
      </c>
      <c r="EM14" s="735"/>
      <c r="EN14" s="645">
        <f>SUM(EN10:EN13)</f>
        <v>2884</v>
      </c>
      <c r="EO14" s="735"/>
      <c r="EP14" s="645">
        <f>SUM(EP10:EP13)</f>
        <v>3089</v>
      </c>
      <c r="EQ14" s="735"/>
      <c r="ER14" s="645">
        <f>SUM(ER10:ER13)</f>
        <v>2582</v>
      </c>
      <c r="ES14" s="735"/>
      <c r="ET14" s="645">
        <f>SUM(ET10:ET13)</f>
        <v>1541</v>
      </c>
      <c r="EU14" s="735"/>
      <c r="EV14" s="645">
        <f>SUM(EV10:EV13)</f>
        <v>10</v>
      </c>
      <c r="EW14" s="735"/>
      <c r="EX14" s="645">
        <f>SUM(EX10:EX13)</f>
        <v>0</v>
      </c>
      <c r="EY14" s="735"/>
      <c r="EZ14" s="645">
        <f>SUM(EZ10:EZ13)</f>
        <v>0</v>
      </c>
      <c r="FA14" s="735"/>
      <c r="FB14" s="645">
        <f>SUM(FB10:FB13)</f>
        <v>0</v>
      </c>
      <c r="FC14" s="735"/>
      <c r="FD14" s="645">
        <f>SUM(FD10:FD13)</f>
        <v>0</v>
      </c>
      <c r="FE14" s="735"/>
      <c r="FF14" s="645">
        <f>SUM(FF10:FF13)</f>
        <v>0</v>
      </c>
      <c r="FG14" s="735"/>
      <c r="FH14" s="647">
        <f>SUM(FH10:FH13)</f>
        <v>0</v>
      </c>
      <c r="FI14" s="649"/>
      <c r="FJ14" s="564"/>
      <c r="FK14" s="642"/>
      <c r="FL14" s="642"/>
      <c r="FM14" s="643" t="s">
        <v>306</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v>209</v>
      </c>
      <c r="GV14" s="629"/>
      <c r="GW14" s="635" t="s">
        <v>942</v>
      </c>
      <c r="GX14" s="636">
        <v>8.1</v>
      </c>
      <c r="GY14" s="637"/>
      <c r="GZ14" s="638">
        <v>0.3</v>
      </c>
      <c r="HA14" s="639">
        <v>2.4300000000000002</v>
      </c>
      <c r="HB14" s="640"/>
      <c r="HC14" s="530"/>
      <c r="HD14" s="1278"/>
      <c r="HE14" s="415"/>
      <c r="HF14" s="415"/>
      <c r="HG14" s="415"/>
    </row>
    <row r="15" spans="1:353" ht="24" customHeight="1">
      <c r="A15" s="532" t="s">
        <v>307</v>
      </c>
      <c r="B15" s="658" t="s">
        <v>290</v>
      </c>
      <c r="C15" s="659" t="s">
        <v>291</v>
      </c>
      <c r="D15" s="660" t="s">
        <v>633</v>
      </c>
      <c r="E15" s="660" t="s">
        <v>309</v>
      </c>
      <c r="F15" s="661" t="s">
        <v>310</v>
      </c>
      <c r="G15" s="662" t="s">
        <v>860</v>
      </c>
      <c r="H15" s="663" t="s">
        <v>861</v>
      </c>
      <c r="I15" s="664" t="s">
        <v>313</v>
      </c>
      <c r="J15" s="663" t="s">
        <v>635</v>
      </c>
      <c r="K15" s="664" t="s">
        <v>313</v>
      </c>
      <c r="L15" s="663" t="s">
        <v>861</v>
      </c>
      <c r="M15" s="664" t="s">
        <v>313</v>
      </c>
      <c r="N15" s="663" t="s">
        <v>635</v>
      </c>
      <c r="O15" s="664" t="s">
        <v>313</v>
      </c>
      <c r="P15" s="663" t="s">
        <v>861</v>
      </c>
      <c r="Q15" s="664" t="s">
        <v>313</v>
      </c>
      <c r="R15" s="663" t="s">
        <v>861</v>
      </c>
      <c r="S15" s="664" t="s">
        <v>313</v>
      </c>
      <c r="T15" s="663" t="s">
        <v>861</v>
      </c>
      <c r="U15" s="664" t="s">
        <v>313</v>
      </c>
      <c r="V15" s="663" t="s">
        <v>637</v>
      </c>
      <c r="W15" s="664" t="s">
        <v>313</v>
      </c>
      <c r="X15" s="663" t="s">
        <v>635</v>
      </c>
      <c r="Y15" s="664" t="s">
        <v>313</v>
      </c>
      <c r="Z15" s="663" t="s">
        <v>861</v>
      </c>
      <c r="AA15" s="664" t="s">
        <v>313</v>
      </c>
      <c r="AB15" s="663" t="s">
        <v>635</v>
      </c>
      <c r="AC15" s="664" t="s">
        <v>313</v>
      </c>
      <c r="AD15" s="663" t="s">
        <v>635</v>
      </c>
      <c r="AE15" s="664" t="s">
        <v>313</v>
      </c>
      <c r="AF15" s="663" t="s">
        <v>635</v>
      </c>
      <c r="AG15" s="664" t="s">
        <v>313</v>
      </c>
      <c r="AH15" s="663" t="s">
        <v>635</v>
      </c>
      <c r="AI15" s="664" t="s">
        <v>313</v>
      </c>
      <c r="AJ15" s="663" t="s">
        <v>861</v>
      </c>
      <c r="AK15" s="664" t="s">
        <v>313</v>
      </c>
      <c r="AL15" s="663" t="s">
        <v>861</v>
      </c>
      <c r="AM15" s="664" t="s">
        <v>313</v>
      </c>
      <c r="AN15" s="663" t="s">
        <v>635</v>
      </c>
      <c r="AO15" s="664" t="s">
        <v>313</v>
      </c>
      <c r="AP15" s="663" t="s">
        <v>635</v>
      </c>
      <c r="AQ15" s="664" t="s">
        <v>313</v>
      </c>
      <c r="AR15" s="663" t="s">
        <v>635</v>
      </c>
      <c r="AS15" s="664" t="s">
        <v>313</v>
      </c>
      <c r="AT15" s="663" t="s">
        <v>635</v>
      </c>
      <c r="AU15" s="664" t="s">
        <v>313</v>
      </c>
      <c r="AV15" s="663" t="s">
        <v>635</v>
      </c>
      <c r="AW15" s="664" t="s">
        <v>313</v>
      </c>
      <c r="AX15" s="663" t="s">
        <v>861</v>
      </c>
      <c r="AY15" s="664" t="s">
        <v>313</v>
      </c>
      <c r="AZ15" s="663" t="s">
        <v>635</v>
      </c>
      <c r="BA15" s="664" t="s">
        <v>313</v>
      </c>
      <c r="BB15" s="665" t="s">
        <v>316</v>
      </c>
      <c r="BC15" s="666"/>
      <c r="BD15" s="532" t="s">
        <v>307</v>
      </c>
      <c r="BE15" s="658" t="s">
        <v>290</v>
      </c>
      <c r="BF15" s="659" t="s">
        <v>291</v>
      </c>
      <c r="BG15" s="660" t="s">
        <v>855</v>
      </c>
      <c r="BH15" s="660" t="s">
        <v>309</v>
      </c>
      <c r="BI15" s="661" t="s">
        <v>310</v>
      </c>
      <c r="BJ15" s="662" t="s">
        <v>860</v>
      </c>
      <c r="BK15" s="663" t="s">
        <v>861</v>
      </c>
      <c r="BL15" s="664" t="s">
        <v>313</v>
      </c>
      <c r="BM15" s="663" t="s">
        <v>861</v>
      </c>
      <c r="BN15" s="664" t="s">
        <v>313</v>
      </c>
      <c r="BO15" s="663" t="s">
        <v>635</v>
      </c>
      <c r="BP15" s="664" t="s">
        <v>313</v>
      </c>
      <c r="BQ15" s="663" t="s">
        <v>637</v>
      </c>
      <c r="BR15" s="664" t="s">
        <v>313</v>
      </c>
      <c r="BS15" s="663" t="s">
        <v>635</v>
      </c>
      <c r="BT15" s="664" t="s">
        <v>313</v>
      </c>
      <c r="BU15" s="663" t="s">
        <v>635</v>
      </c>
      <c r="BV15" s="664" t="s">
        <v>313</v>
      </c>
      <c r="BW15" s="663" t="s">
        <v>635</v>
      </c>
      <c r="BX15" s="664" t="s">
        <v>313</v>
      </c>
      <c r="BY15" s="663" t="s">
        <v>635</v>
      </c>
      <c r="BZ15" s="664" t="s">
        <v>313</v>
      </c>
      <c r="CA15" s="663" t="s">
        <v>635</v>
      </c>
      <c r="CB15" s="664" t="s">
        <v>313</v>
      </c>
      <c r="CC15" s="663" t="s">
        <v>635</v>
      </c>
      <c r="CD15" s="664" t="s">
        <v>313</v>
      </c>
      <c r="CE15" s="663" t="s">
        <v>635</v>
      </c>
      <c r="CF15" s="664" t="s">
        <v>313</v>
      </c>
      <c r="CG15" s="663" t="s">
        <v>861</v>
      </c>
      <c r="CH15" s="664" t="s">
        <v>313</v>
      </c>
      <c r="CI15" s="663" t="s">
        <v>635</v>
      </c>
      <c r="CJ15" s="664" t="s">
        <v>313</v>
      </c>
      <c r="CK15" s="663" t="s">
        <v>637</v>
      </c>
      <c r="CL15" s="664" t="s">
        <v>313</v>
      </c>
      <c r="CM15" s="663" t="s">
        <v>861</v>
      </c>
      <c r="CN15" s="664" t="s">
        <v>313</v>
      </c>
      <c r="CO15" s="663" t="s">
        <v>948</v>
      </c>
      <c r="CP15" s="664" t="s">
        <v>313</v>
      </c>
      <c r="CQ15" s="663" t="s">
        <v>861</v>
      </c>
      <c r="CR15" s="664" t="s">
        <v>313</v>
      </c>
      <c r="CS15" s="663" t="s">
        <v>635</v>
      </c>
      <c r="CT15" s="664" t="s">
        <v>313</v>
      </c>
      <c r="CU15" s="663" t="s">
        <v>635</v>
      </c>
      <c r="CV15" s="664" t="s">
        <v>313</v>
      </c>
      <c r="CW15" s="663" t="s">
        <v>635</v>
      </c>
      <c r="CX15" s="664" t="s">
        <v>313</v>
      </c>
      <c r="CY15" s="663" t="s">
        <v>861</v>
      </c>
      <c r="CZ15" s="664" t="s">
        <v>313</v>
      </c>
      <c r="DA15" s="663" t="s">
        <v>861</v>
      </c>
      <c r="DB15" s="664" t="s">
        <v>313</v>
      </c>
      <c r="DC15" s="663" t="s">
        <v>635</v>
      </c>
      <c r="DD15" s="664" t="s">
        <v>313</v>
      </c>
      <c r="DE15" s="665" t="s">
        <v>316</v>
      </c>
      <c r="DF15" s="666"/>
      <c r="DG15" s="532" t="s">
        <v>307</v>
      </c>
      <c r="DH15" s="667" t="s">
        <v>290</v>
      </c>
      <c r="DI15" s="668" t="s">
        <v>291</v>
      </c>
      <c r="DJ15" s="669" t="s">
        <v>633</v>
      </c>
      <c r="DK15" s="669" t="s">
        <v>309</v>
      </c>
      <c r="DL15" s="670" t="s">
        <v>310</v>
      </c>
      <c r="DM15" s="662" t="s">
        <v>860</v>
      </c>
      <c r="DN15" s="663" t="s">
        <v>861</v>
      </c>
      <c r="DO15" s="664" t="s">
        <v>313</v>
      </c>
      <c r="DP15" s="663" t="s">
        <v>861</v>
      </c>
      <c r="DQ15" s="664" t="s">
        <v>313</v>
      </c>
      <c r="DR15" s="663" t="s">
        <v>861</v>
      </c>
      <c r="DS15" s="664" t="s">
        <v>313</v>
      </c>
      <c r="DT15" s="663" t="s">
        <v>635</v>
      </c>
      <c r="DU15" s="664" t="s">
        <v>313</v>
      </c>
      <c r="DV15" s="663" t="s">
        <v>635</v>
      </c>
      <c r="DW15" s="664" t="s">
        <v>313</v>
      </c>
      <c r="DX15" s="663" t="s">
        <v>861</v>
      </c>
      <c r="DY15" s="664" t="s">
        <v>313</v>
      </c>
      <c r="DZ15" s="663" t="s">
        <v>861</v>
      </c>
      <c r="EA15" s="664" t="s">
        <v>313</v>
      </c>
      <c r="EB15" s="663" t="s">
        <v>635</v>
      </c>
      <c r="EC15" s="664" t="s">
        <v>313</v>
      </c>
      <c r="ED15" s="663" t="s">
        <v>635</v>
      </c>
      <c r="EE15" s="664" t="s">
        <v>313</v>
      </c>
      <c r="EF15" s="663" t="s">
        <v>635</v>
      </c>
      <c r="EG15" s="664" t="s">
        <v>313</v>
      </c>
      <c r="EH15" s="663" t="s">
        <v>635</v>
      </c>
      <c r="EI15" s="664" t="s">
        <v>313</v>
      </c>
      <c r="EJ15" s="663" t="s">
        <v>635</v>
      </c>
      <c r="EK15" s="664" t="s">
        <v>313</v>
      </c>
      <c r="EL15" s="663" t="s">
        <v>637</v>
      </c>
      <c r="EM15" s="664" t="s">
        <v>313</v>
      </c>
      <c r="EN15" s="663" t="s">
        <v>635</v>
      </c>
      <c r="EO15" s="664" t="s">
        <v>313</v>
      </c>
      <c r="EP15" s="663" t="s">
        <v>861</v>
      </c>
      <c r="EQ15" s="664" t="s">
        <v>313</v>
      </c>
      <c r="ER15" s="663" t="s">
        <v>635</v>
      </c>
      <c r="ES15" s="664" t="s">
        <v>313</v>
      </c>
      <c r="ET15" s="663" t="s">
        <v>637</v>
      </c>
      <c r="EU15" s="664" t="s">
        <v>313</v>
      </c>
      <c r="EV15" s="663" t="s">
        <v>861</v>
      </c>
      <c r="EW15" s="664" t="s">
        <v>313</v>
      </c>
      <c r="EX15" s="663" t="s">
        <v>861</v>
      </c>
      <c r="EY15" s="664" t="s">
        <v>313</v>
      </c>
      <c r="EZ15" s="663" t="s">
        <v>637</v>
      </c>
      <c r="FA15" s="664" t="s">
        <v>313</v>
      </c>
      <c r="FB15" s="663" t="s">
        <v>635</v>
      </c>
      <c r="FC15" s="664" t="s">
        <v>313</v>
      </c>
      <c r="FD15" s="663" t="s">
        <v>635</v>
      </c>
      <c r="FE15" s="664" t="s">
        <v>313</v>
      </c>
      <c r="FF15" s="663" t="s">
        <v>861</v>
      </c>
      <c r="FG15" s="664" t="s">
        <v>313</v>
      </c>
      <c r="FH15" s="665" t="s">
        <v>316</v>
      </c>
      <c r="FI15" s="671"/>
      <c r="FJ15" s="542" t="s">
        <v>307</v>
      </c>
      <c r="FK15" s="658" t="s">
        <v>290</v>
      </c>
      <c r="FL15" s="659" t="s">
        <v>291</v>
      </c>
      <c r="FM15" s="660" t="s">
        <v>855</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353" ht="20.100000000000001" customHeight="1">
      <c r="A16" s="552"/>
      <c r="B16" s="554" t="s">
        <v>219</v>
      </c>
      <c r="C16" s="679" t="s">
        <v>72</v>
      </c>
      <c r="D16" s="555">
        <v>28.26</v>
      </c>
      <c r="E16" s="680">
        <v>0.64</v>
      </c>
      <c r="F16" s="681"/>
      <c r="G16" s="682">
        <v>0</v>
      </c>
      <c r="H16" s="559">
        <f>ROUND(28.26*0.64*0,0)</f>
        <v>0</v>
      </c>
      <c r="I16" s="683">
        <v>0</v>
      </c>
      <c r="J16" s="559">
        <f>ROUND(28.26*0.64*0,0)</f>
        <v>0</v>
      </c>
      <c r="K16" s="683">
        <v>0</v>
      </c>
      <c r="L16" s="559">
        <f>ROUND(28.26*0.64*0,0)</f>
        <v>0</v>
      </c>
      <c r="M16" s="683">
        <v>0</v>
      </c>
      <c r="N16" s="559">
        <f>ROUND(28.26*0.64*0,0)</f>
        <v>0</v>
      </c>
      <c r="O16" s="683">
        <v>0</v>
      </c>
      <c r="P16" s="559">
        <f>ROUND(28.26*0.64*0,0)</f>
        <v>0</v>
      </c>
      <c r="Q16" s="683">
        <v>0</v>
      </c>
      <c r="R16" s="559">
        <f>ROUND(28.26*0.64*0,0)</f>
        <v>0</v>
      </c>
      <c r="S16" s="683">
        <v>0</v>
      </c>
      <c r="T16" s="559">
        <f>ROUND(28.26*0.64*0,0)</f>
        <v>0</v>
      </c>
      <c r="U16" s="683">
        <v>0</v>
      </c>
      <c r="V16" s="559">
        <f>ROUND(28.26*0.64*0,0)</f>
        <v>0</v>
      </c>
      <c r="W16" s="683">
        <v>3.1</v>
      </c>
      <c r="X16" s="559">
        <f>ROUND(28.26*0.64*3.1,0)</f>
        <v>56</v>
      </c>
      <c r="Y16" s="683">
        <v>4.9000000000000004</v>
      </c>
      <c r="Z16" s="559">
        <f>ROUND(28.26*0.64*4.9,0)</f>
        <v>89</v>
      </c>
      <c r="AA16" s="683">
        <v>7.1</v>
      </c>
      <c r="AB16" s="559">
        <f>ROUND(28.26*0.64*7.1,0)</f>
        <v>128</v>
      </c>
      <c r="AC16" s="683">
        <v>9.5</v>
      </c>
      <c r="AD16" s="559">
        <f>ROUND(28.26*0.64*9.5,0)</f>
        <v>172</v>
      </c>
      <c r="AE16" s="683">
        <v>11.7</v>
      </c>
      <c r="AF16" s="559">
        <f>ROUND(28.26*0.64*11.7,0)</f>
        <v>212</v>
      </c>
      <c r="AG16" s="683">
        <v>13.5</v>
      </c>
      <c r="AH16" s="559">
        <f>ROUND(28.26*0.64*13.5,0)</f>
        <v>244</v>
      </c>
      <c r="AI16" s="683">
        <v>14.3</v>
      </c>
      <c r="AJ16" s="559">
        <f>ROUND(28.26*0.64*14.3,0)</f>
        <v>259</v>
      </c>
      <c r="AK16" s="683">
        <v>14</v>
      </c>
      <c r="AL16" s="559">
        <f>ROUND(28.26*0.64*14,0)</f>
        <v>253</v>
      </c>
      <c r="AM16" s="683">
        <v>12.7</v>
      </c>
      <c r="AN16" s="559">
        <f>ROUND(28.26*0.64*12.7,0)</f>
        <v>230</v>
      </c>
      <c r="AO16" s="683">
        <v>10.6</v>
      </c>
      <c r="AP16" s="559">
        <f>ROUND(28.26*0.64*10.6,0)</f>
        <v>192</v>
      </c>
      <c r="AQ16" s="683">
        <v>0</v>
      </c>
      <c r="AR16" s="559">
        <f>ROUND(28.26*0.64*0,0)</f>
        <v>0</v>
      </c>
      <c r="AS16" s="683">
        <v>0</v>
      </c>
      <c r="AT16" s="559">
        <f>ROUND(28.26*0.64*0,0)</f>
        <v>0</v>
      </c>
      <c r="AU16" s="683">
        <v>0</v>
      </c>
      <c r="AV16" s="559">
        <f>ROUND(28.26*0.64*0,0)</f>
        <v>0</v>
      </c>
      <c r="AW16" s="683">
        <v>0</v>
      </c>
      <c r="AX16" s="559">
        <f>ROUND(28.26*0.64*0,0)</f>
        <v>0</v>
      </c>
      <c r="AY16" s="683">
        <v>0</v>
      </c>
      <c r="AZ16" s="559">
        <f>ROUND(28.26*0.64*0,0)</f>
        <v>0</v>
      </c>
      <c r="BA16" s="683">
        <v>0</v>
      </c>
      <c r="BB16" s="684">
        <f>ROUND(28.26*0.64*0,0)</f>
        <v>0</v>
      </c>
      <c r="BC16" s="562"/>
      <c r="BD16" s="552"/>
      <c r="BE16" s="554" t="s">
        <v>219</v>
      </c>
      <c r="BF16" s="679" t="s">
        <v>72</v>
      </c>
      <c r="BG16" s="555">
        <v>28.26</v>
      </c>
      <c r="BH16" s="680">
        <v>0.64</v>
      </c>
      <c r="BI16" s="681"/>
      <c r="BJ16" s="682">
        <v>0</v>
      </c>
      <c r="BK16" s="559">
        <f>ROUND(28.26*0.64*0,0)</f>
        <v>0</v>
      </c>
      <c r="BL16" s="683">
        <v>0</v>
      </c>
      <c r="BM16" s="559">
        <f>ROUND(28.26*0.64*0,0)</f>
        <v>0</v>
      </c>
      <c r="BN16" s="683">
        <v>0</v>
      </c>
      <c r="BO16" s="559">
        <f>ROUND(28.26*0.64*0,0)</f>
        <v>0</v>
      </c>
      <c r="BP16" s="683">
        <v>0</v>
      </c>
      <c r="BQ16" s="559">
        <f>ROUND(28.26*0.64*0,0)</f>
        <v>0</v>
      </c>
      <c r="BR16" s="683">
        <v>0</v>
      </c>
      <c r="BS16" s="559">
        <f>ROUND(28.26*0.64*0,0)</f>
        <v>0</v>
      </c>
      <c r="BT16" s="683">
        <v>0</v>
      </c>
      <c r="BU16" s="559">
        <f>ROUND(28.26*0.64*0,0)</f>
        <v>0</v>
      </c>
      <c r="BV16" s="683">
        <v>0</v>
      </c>
      <c r="BW16" s="559">
        <f>ROUND(28.26*0.64*0,0)</f>
        <v>0</v>
      </c>
      <c r="BX16" s="683">
        <v>0</v>
      </c>
      <c r="BY16" s="559">
        <f>ROUND(28.26*0.64*0,0)</f>
        <v>0</v>
      </c>
      <c r="BZ16" s="683">
        <v>2.6</v>
      </c>
      <c r="CA16" s="559">
        <f>ROUND(28.26*0.64*2.6,0)</f>
        <v>47</v>
      </c>
      <c r="CB16" s="683">
        <v>4.4000000000000004</v>
      </c>
      <c r="CC16" s="559">
        <f>ROUND(28.26*0.64*4.4,0)</f>
        <v>80</v>
      </c>
      <c r="CD16" s="683">
        <v>6.7</v>
      </c>
      <c r="CE16" s="559">
        <f>ROUND(28.26*0.64*6.7,0)</f>
        <v>121</v>
      </c>
      <c r="CF16" s="683">
        <v>9.5</v>
      </c>
      <c r="CG16" s="559">
        <f>ROUND(28.26*0.64*9.5,0)</f>
        <v>172</v>
      </c>
      <c r="CH16" s="683">
        <v>12.2</v>
      </c>
      <c r="CI16" s="559">
        <f>ROUND(28.26*0.64*12.2,0)</f>
        <v>221</v>
      </c>
      <c r="CJ16" s="683">
        <v>14.5</v>
      </c>
      <c r="CK16" s="559">
        <f>ROUND(28.26*0.64*14.5,0)</f>
        <v>262</v>
      </c>
      <c r="CL16" s="683">
        <v>15.7</v>
      </c>
      <c r="CM16" s="559">
        <f>ROUND(28.26*0.64*15.7,0)</f>
        <v>284</v>
      </c>
      <c r="CN16" s="683">
        <v>15.8</v>
      </c>
      <c r="CO16" s="559">
        <f>ROUND(28.26*0.64*15.8,0)</f>
        <v>286</v>
      </c>
      <c r="CP16" s="683">
        <v>14.6</v>
      </c>
      <c r="CQ16" s="559">
        <f>ROUND(28.26*0.64*14.6,0)</f>
        <v>264</v>
      </c>
      <c r="CR16" s="683">
        <v>12.4</v>
      </c>
      <c r="CS16" s="559">
        <f>ROUND(28.26*0.64*12.4,0)</f>
        <v>224</v>
      </c>
      <c r="CT16" s="683">
        <v>0</v>
      </c>
      <c r="CU16" s="559">
        <f>ROUND(28.26*0.64*0,0)</f>
        <v>0</v>
      </c>
      <c r="CV16" s="683">
        <v>0</v>
      </c>
      <c r="CW16" s="559">
        <f>ROUND(28.26*0.64*0,0)</f>
        <v>0</v>
      </c>
      <c r="CX16" s="683">
        <v>0</v>
      </c>
      <c r="CY16" s="559">
        <f>ROUND(28.26*0.64*0,0)</f>
        <v>0</v>
      </c>
      <c r="CZ16" s="683">
        <v>0</v>
      </c>
      <c r="DA16" s="559">
        <f>ROUND(28.26*0.64*0,0)</f>
        <v>0</v>
      </c>
      <c r="DB16" s="683">
        <v>0</v>
      </c>
      <c r="DC16" s="559">
        <f>ROUND(28.26*0.64*0,0)</f>
        <v>0</v>
      </c>
      <c r="DD16" s="683">
        <v>0</v>
      </c>
      <c r="DE16" s="684">
        <f>ROUND(28.26*0.64*0,0)</f>
        <v>0</v>
      </c>
      <c r="DF16" s="562"/>
      <c r="DG16" s="552"/>
      <c r="DH16" s="554" t="s">
        <v>219</v>
      </c>
      <c r="DI16" s="679" t="s">
        <v>72</v>
      </c>
      <c r="DJ16" s="555">
        <v>28.26</v>
      </c>
      <c r="DK16" s="680">
        <v>0.64</v>
      </c>
      <c r="DL16" s="681"/>
      <c r="DM16" s="682">
        <v>0</v>
      </c>
      <c r="DN16" s="559">
        <f>ROUND(28.26*0.64*0,0)</f>
        <v>0</v>
      </c>
      <c r="DO16" s="683">
        <v>0</v>
      </c>
      <c r="DP16" s="559">
        <f>ROUND(28.26*0.64*0,0)</f>
        <v>0</v>
      </c>
      <c r="DQ16" s="683">
        <v>0</v>
      </c>
      <c r="DR16" s="559">
        <f>ROUND(28.26*0.64*0,0)</f>
        <v>0</v>
      </c>
      <c r="DS16" s="683">
        <v>0</v>
      </c>
      <c r="DT16" s="559">
        <f>ROUND(28.26*0.64*0,0)</f>
        <v>0</v>
      </c>
      <c r="DU16" s="683">
        <v>0</v>
      </c>
      <c r="DV16" s="559">
        <f>ROUND(28.26*0.64*0,0)</f>
        <v>0</v>
      </c>
      <c r="DW16" s="683">
        <v>0</v>
      </c>
      <c r="DX16" s="559">
        <f>ROUND(28.26*0.64*0,0)</f>
        <v>0</v>
      </c>
      <c r="DY16" s="683">
        <v>0</v>
      </c>
      <c r="DZ16" s="559">
        <f>ROUND(28.26*0.64*0,0)</f>
        <v>0</v>
      </c>
      <c r="EA16" s="683">
        <v>0</v>
      </c>
      <c r="EB16" s="559">
        <f>ROUND(28.26*0.64*0,0)</f>
        <v>0</v>
      </c>
      <c r="EC16" s="683">
        <v>0.2</v>
      </c>
      <c r="ED16" s="559">
        <f>ROUND(28.26*0.64*0.2,0)</f>
        <v>4</v>
      </c>
      <c r="EE16" s="683">
        <v>3.1</v>
      </c>
      <c r="EF16" s="559">
        <f>ROUND(28.26*0.64*3.1,0)</f>
        <v>56</v>
      </c>
      <c r="EG16" s="683">
        <v>6.9</v>
      </c>
      <c r="EH16" s="559">
        <f>ROUND(28.26*0.64*6.9,0)</f>
        <v>125</v>
      </c>
      <c r="EI16" s="683">
        <v>10.9</v>
      </c>
      <c r="EJ16" s="559">
        <f>ROUND(28.26*0.64*10.9,0)</f>
        <v>197</v>
      </c>
      <c r="EK16" s="683">
        <v>14.4</v>
      </c>
      <c r="EL16" s="559">
        <f>ROUND(28.26*0.64*14.4,0)</f>
        <v>260</v>
      </c>
      <c r="EM16" s="683">
        <v>16.899999999999999</v>
      </c>
      <c r="EN16" s="559">
        <f>ROUND(28.26*0.64*16.9,0)</f>
        <v>306</v>
      </c>
      <c r="EO16" s="683">
        <v>18.2</v>
      </c>
      <c r="EP16" s="559">
        <f>ROUND(28.26*0.64*18.2,0)</f>
        <v>329</v>
      </c>
      <c r="EQ16" s="683">
        <v>17.8</v>
      </c>
      <c r="ER16" s="559">
        <f>ROUND(28.26*0.64*17.8,0)</f>
        <v>322</v>
      </c>
      <c r="ES16" s="683">
        <v>15.7</v>
      </c>
      <c r="ET16" s="559">
        <f>ROUND(28.26*0.64*15.7,0)</f>
        <v>284</v>
      </c>
      <c r="EU16" s="683">
        <v>12.1</v>
      </c>
      <c r="EV16" s="559">
        <f>ROUND(28.26*0.64*12.1,0)</f>
        <v>219</v>
      </c>
      <c r="EW16" s="683">
        <v>0</v>
      </c>
      <c r="EX16" s="559">
        <f>ROUND(28.26*0.64*0,0)</f>
        <v>0</v>
      </c>
      <c r="EY16" s="683">
        <v>0</v>
      </c>
      <c r="EZ16" s="559">
        <f>ROUND(28.26*0.64*0,0)</f>
        <v>0</v>
      </c>
      <c r="FA16" s="683">
        <v>0</v>
      </c>
      <c r="FB16" s="559">
        <f>ROUND(28.26*0.64*0,0)</f>
        <v>0</v>
      </c>
      <c r="FC16" s="683">
        <v>0</v>
      </c>
      <c r="FD16" s="559">
        <f>ROUND(28.26*0.64*0,0)</f>
        <v>0</v>
      </c>
      <c r="FE16" s="683">
        <v>0</v>
      </c>
      <c r="FF16" s="559">
        <f>ROUND(28.26*0.64*0,0)</f>
        <v>0</v>
      </c>
      <c r="FG16" s="683">
        <v>0</v>
      </c>
      <c r="FH16" s="684">
        <f>ROUND(28.26*0.64*0,0)</f>
        <v>0</v>
      </c>
      <c r="FI16" s="563"/>
      <c r="FJ16" s="564"/>
      <c r="FK16" s="554" t="s">
        <v>219</v>
      </c>
      <c r="FL16" s="679" t="s">
        <v>72</v>
      </c>
      <c r="FM16" s="555">
        <v>28.26</v>
      </c>
      <c r="FN16" s="680">
        <v>0.64</v>
      </c>
      <c r="FO16" s="681"/>
      <c r="FP16" s="685">
        <v>9</v>
      </c>
      <c r="FQ16" s="686">
        <v>17</v>
      </c>
      <c r="FR16" s="559">
        <f>ROUND(28.26*0.64*17,0)</f>
        <v>307</v>
      </c>
      <c r="FS16" s="687">
        <v>9</v>
      </c>
      <c r="FT16" s="686">
        <v>17.5</v>
      </c>
      <c r="FU16" s="567">
        <f>ROUND(28.26*0.64*17.5,0)</f>
        <v>317</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229</v>
      </c>
      <c r="C17" s="691" t="s">
        <v>72</v>
      </c>
      <c r="D17" s="583">
        <v>10.8</v>
      </c>
      <c r="E17" s="692" t="s">
        <v>867</v>
      </c>
      <c r="F17" s="693"/>
      <c r="G17" s="694">
        <v>0</v>
      </c>
      <c r="H17" s="587">
        <f>ROUND(10.8*4.2*0,0)</f>
        <v>0</v>
      </c>
      <c r="I17" s="695">
        <v>0</v>
      </c>
      <c r="J17" s="587">
        <f>ROUND(10.8*4.2*0,0)</f>
        <v>0</v>
      </c>
      <c r="K17" s="695">
        <v>0</v>
      </c>
      <c r="L17" s="587">
        <f>ROUND(10.8*4.2*0,0)</f>
        <v>0</v>
      </c>
      <c r="M17" s="695">
        <v>0</v>
      </c>
      <c r="N17" s="587">
        <f>ROUND(10.8*4.2*0,0)</f>
        <v>0</v>
      </c>
      <c r="O17" s="695">
        <v>0</v>
      </c>
      <c r="P17" s="587">
        <f>ROUND(10.8*4.2*0,0)</f>
        <v>0</v>
      </c>
      <c r="Q17" s="695">
        <v>0</v>
      </c>
      <c r="R17" s="587">
        <f>ROUND(10.8*4.2*0,0)</f>
        <v>0</v>
      </c>
      <c r="S17" s="695">
        <v>0</v>
      </c>
      <c r="T17" s="587">
        <f>ROUND(10.8*4.2*0,0)</f>
        <v>0</v>
      </c>
      <c r="U17" s="695">
        <v>0</v>
      </c>
      <c r="V17" s="587">
        <f>ROUND(10.8*4.2*0,0)</f>
        <v>0</v>
      </c>
      <c r="W17" s="695">
        <v>3.3</v>
      </c>
      <c r="X17" s="587">
        <f>ROUND(10.8*4.2*3.3,0)</f>
        <v>150</v>
      </c>
      <c r="Y17" s="695">
        <v>4.5</v>
      </c>
      <c r="Z17" s="587">
        <f>ROUND(10.8*4.2*4.5,0)</f>
        <v>204</v>
      </c>
      <c r="AA17" s="695">
        <v>5.2</v>
      </c>
      <c r="AB17" s="587">
        <f>ROUND(10.8*4.2*5.2,0)</f>
        <v>236</v>
      </c>
      <c r="AC17" s="695">
        <v>5.7</v>
      </c>
      <c r="AD17" s="587">
        <f>ROUND(10.8*4.2*5.7,0)</f>
        <v>259</v>
      </c>
      <c r="AE17" s="695">
        <v>5.9</v>
      </c>
      <c r="AF17" s="587">
        <f>ROUND(10.8*4.2*5.9,0)</f>
        <v>268</v>
      </c>
      <c r="AG17" s="695">
        <v>5.9</v>
      </c>
      <c r="AH17" s="587">
        <f>ROUND(10.8*4.2*5.9,0)</f>
        <v>268</v>
      </c>
      <c r="AI17" s="695">
        <v>5.4</v>
      </c>
      <c r="AJ17" s="587">
        <f>ROUND(10.8*4.2*5.4,0)</f>
        <v>245</v>
      </c>
      <c r="AK17" s="695">
        <v>4.9000000000000004</v>
      </c>
      <c r="AL17" s="587">
        <f>ROUND(10.8*4.2*4.9,0)</f>
        <v>222</v>
      </c>
      <c r="AM17" s="695">
        <v>4</v>
      </c>
      <c r="AN17" s="587">
        <f>ROUND(10.8*4.2*4,0)</f>
        <v>181</v>
      </c>
      <c r="AO17" s="695">
        <v>3.3</v>
      </c>
      <c r="AP17" s="587">
        <f>ROUND(10.8*4.2*3.3,0)</f>
        <v>150</v>
      </c>
      <c r="AQ17" s="695">
        <v>0</v>
      </c>
      <c r="AR17" s="587">
        <f>ROUND(10.8*4.2*0,0)</f>
        <v>0</v>
      </c>
      <c r="AS17" s="695">
        <v>0</v>
      </c>
      <c r="AT17" s="587">
        <f>ROUND(10.8*4.2*0,0)</f>
        <v>0</v>
      </c>
      <c r="AU17" s="695">
        <v>0</v>
      </c>
      <c r="AV17" s="587">
        <f>ROUND(10.8*4.2*0,0)</f>
        <v>0</v>
      </c>
      <c r="AW17" s="695">
        <v>0</v>
      </c>
      <c r="AX17" s="587">
        <f>ROUND(10.8*4.2*0,0)</f>
        <v>0</v>
      </c>
      <c r="AY17" s="695">
        <v>0</v>
      </c>
      <c r="AZ17" s="587">
        <f>ROUND(10.8*4.2*0,0)</f>
        <v>0</v>
      </c>
      <c r="BA17" s="695">
        <v>0</v>
      </c>
      <c r="BB17" s="589">
        <f>ROUND(10.8*4.2*0,0)</f>
        <v>0</v>
      </c>
      <c r="BC17" s="562"/>
      <c r="BD17" s="552"/>
      <c r="BE17" s="582" t="s">
        <v>229</v>
      </c>
      <c r="BF17" s="691" t="s">
        <v>72</v>
      </c>
      <c r="BG17" s="583">
        <v>10.8</v>
      </c>
      <c r="BH17" s="692" t="s">
        <v>867</v>
      </c>
      <c r="BI17" s="693"/>
      <c r="BJ17" s="694">
        <v>0</v>
      </c>
      <c r="BK17" s="587">
        <f>ROUND(10.8*4.2*0,0)</f>
        <v>0</v>
      </c>
      <c r="BL17" s="695">
        <v>0</v>
      </c>
      <c r="BM17" s="587">
        <f>ROUND(10.8*4.2*0,0)</f>
        <v>0</v>
      </c>
      <c r="BN17" s="695">
        <v>0</v>
      </c>
      <c r="BO17" s="587">
        <f>ROUND(10.8*4.2*0,0)</f>
        <v>0</v>
      </c>
      <c r="BP17" s="695">
        <v>0</v>
      </c>
      <c r="BQ17" s="587">
        <f>ROUND(10.8*4.2*0,0)</f>
        <v>0</v>
      </c>
      <c r="BR17" s="695">
        <v>0</v>
      </c>
      <c r="BS17" s="587">
        <f>ROUND(10.8*4.2*0,0)</f>
        <v>0</v>
      </c>
      <c r="BT17" s="695">
        <v>0</v>
      </c>
      <c r="BU17" s="587">
        <f>ROUND(10.8*4.2*0,0)</f>
        <v>0</v>
      </c>
      <c r="BV17" s="695">
        <v>0</v>
      </c>
      <c r="BW17" s="587">
        <f>ROUND(10.8*4.2*0,0)</f>
        <v>0</v>
      </c>
      <c r="BX17" s="695">
        <v>0</v>
      </c>
      <c r="BY17" s="587">
        <f>ROUND(10.8*4.2*0,0)</f>
        <v>0</v>
      </c>
      <c r="BZ17" s="695">
        <v>3.1</v>
      </c>
      <c r="CA17" s="587">
        <f>ROUND(10.8*4.2*3.1,0)</f>
        <v>141</v>
      </c>
      <c r="CB17" s="695">
        <v>4.0999999999999996</v>
      </c>
      <c r="CC17" s="587">
        <f>ROUND(10.8*4.2*4.1,0)</f>
        <v>186</v>
      </c>
      <c r="CD17" s="695">
        <v>5</v>
      </c>
      <c r="CE17" s="587">
        <f>ROUND(10.8*4.2*5,0)</f>
        <v>227</v>
      </c>
      <c r="CF17" s="695">
        <v>5.4</v>
      </c>
      <c r="CG17" s="587">
        <f>ROUND(10.8*4.2*5.4,0)</f>
        <v>245</v>
      </c>
      <c r="CH17" s="695">
        <v>5.6</v>
      </c>
      <c r="CI17" s="587">
        <f>ROUND(10.8*4.2*5.6,0)</f>
        <v>254</v>
      </c>
      <c r="CJ17" s="695">
        <v>5.4</v>
      </c>
      <c r="CK17" s="587">
        <f>ROUND(10.8*4.2*5.4,0)</f>
        <v>245</v>
      </c>
      <c r="CL17" s="695">
        <v>4.9000000000000004</v>
      </c>
      <c r="CM17" s="587">
        <f>ROUND(10.8*4.2*4.9,0)</f>
        <v>222</v>
      </c>
      <c r="CN17" s="695">
        <v>4.5</v>
      </c>
      <c r="CO17" s="587">
        <f>ROUND(10.8*4.2*4.5,0)</f>
        <v>204</v>
      </c>
      <c r="CP17" s="695">
        <v>4</v>
      </c>
      <c r="CQ17" s="587">
        <f>ROUND(10.8*4.2*4,0)</f>
        <v>181</v>
      </c>
      <c r="CR17" s="695">
        <v>3.1</v>
      </c>
      <c r="CS17" s="587">
        <f>ROUND(10.8*4.2*3.1,0)</f>
        <v>141</v>
      </c>
      <c r="CT17" s="695">
        <v>0</v>
      </c>
      <c r="CU17" s="587">
        <f>ROUND(10.8*4.2*0,0)</f>
        <v>0</v>
      </c>
      <c r="CV17" s="695">
        <v>0</v>
      </c>
      <c r="CW17" s="587">
        <f>ROUND(10.8*4.2*0,0)</f>
        <v>0</v>
      </c>
      <c r="CX17" s="695">
        <v>0</v>
      </c>
      <c r="CY17" s="587">
        <f>ROUND(10.8*4.2*0,0)</f>
        <v>0</v>
      </c>
      <c r="CZ17" s="695">
        <v>0</v>
      </c>
      <c r="DA17" s="587">
        <f>ROUND(10.8*4.2*0,0)</f>
        <v>0</v>
      </c>
      <c r="DB17" s="695">
        <v>0</v>
      </c>
      <c r="DC17" s="587">
        <f>ROUND(10.8*4.2*0,0)</f>
        <v>0</v>
      </c>
      <c r="DD17" s="695">
        <v>0</v>
      </c>
      <c r="DE17" s="589">
        <f>ROUND(10.8*4.2*0,0)</f>
        <v>0</v>
      </c>
      <c r="DF17" s="562"/>
      <c r="DG17" s="552"/>
      <c r="DH17" s="582" t="s">
        <v>229</v>
      </c>
      <c r="DI17" s="691" t="s">
        <v>72</v>
      </c>
      <c r="DJ17" s="583">
        <v>10.8</v>
      </c>
      <c r="DK17" s="692" t="s">
        <v>867</v>
      </c>
      <c r="DL17" s="693"/>
      <c r="DM17" s="694">
        <v>0</v>
      </c>
      <c r="DN17" s="587">
        <f>ROUND(10.8*4.2*0,0)</f>
        <v>0</v>
      </c>
      <c r="DO17" s="695">
        <v>0</v>
      </c>
      <c r="DP17" s="587">
        <f>ROUND(10.8*4.2*0,0)</f>
        <v>0</v>
      </c>
      <c r="DQ17" s="695">
        <v>0</v>
      </c>
      <c r="DR17" s="587">
        <f>ROUND(10.8*4.2*0,0)</f>
        <v>0</v>
      </c>
      <c r="DS17" s="695">
        <v>0</v>
      </c>
      <c r="DT17" s="587">
        <f>ROUND(10.8*4.2*0,0)</f>
        <v>0</v>
      </c>
      <c r="DU17" s="695">
        <v>0</v>
      </c>
      <c r="DV17" s="587">
        <f>ROUND(10.8*4.2*0,0)</f>
        <v>0</v>
      </c>
      <c r="DW17" s="695">
        <v>0</v>
      </c>
      <c r="DX17" s="587">
        <f>ROUND(10.8*4.2*0,0)</f>
        <v>0</v>
      </c>
      <c r="DY17" s="695">
        <v>0</v>
      </c>
      <c r="DZ17" s="587">
        <f>ROUND(10.8*4.2*0,0)</f>
        <v>0</v>
      </c>
      <c r="EA17" s="695">
        <v>0</v>
      </c>
      <c r="EB17" s="587">
        <f>ROUND(10.8*4.2*0,0)</f>
        <v>0</v>
      </c>
      <c r="EC17" s="695">
        <v>0.80000000000000104</v>
      </c>
      <c r="ED17" s="587">
        <f>ROUND(10.8*4.2*0.800000000000001,0)</f>
        <v>36</v>
      </c>
      <c r="EE17" s="695">
        <v>2.1</v>
      </c>
      <c r="EF17" s="587">
        <f>ROUND(10.8*4.2*2.1,0)</f>
        <v>95</v>
      </c>
      <c r="EG17" s="695">
        <v>2.9</v>
      </c>
      <c r="EH17" s="587">
        <f>ROUND(10.8*4.2*2.9,0)</f>
        <v>132</v>
      </c>
      <c r="EI17" s="695">
        <v>3.6</v>
      </c>
      <c r="EJ17" s="587">
        <f>ROUND(10.8*4.2*3.6,0)</f>
        <v>163</v>
      </c>
      <c r="EK17" s="695">
        <v>3.8</v>
      </c>
      <c r="EL17" s="587">
        <f>ROUND(10.8*4.2*3.8,0)</f>
        <v>172</v>
      </c>
      <c r="EM17" s="695">
        <v>3.5</v>
      </c>
      <c r="EN17" s="587">
        <f>ROUND(10.8*4.2*3.5,0)</f>
        <v>159</v>
      </c>
      <c r="EO17" s="695">
        <v>3.1</v>
      </c>
      <c r="EP17" s="587">
        <f>ROUND(10.8*4.2*3.1,0)</f>
        <v>141</v>
      </c>
      <c r="EQ17" s="695">
        <v>2.7</v>
      </c>
      <c r="ER17" s="587">
        <f>ROUND(10.8*4.2*2.7,0)</f>
        <v>122</v>
      </c>
      <c r="ES17" s="695">
        <v>1.7</v>
      </c>
      <c r="ET17" s="587">
        <f>ROUND(10.8*4.2*1.7,0)</f>
        <v>77</v>
      </c>
      <c r="EU17" s="695">
        <v>0.69999999999999896</v>
      </c>
      <c r="EV17" s="587">
        <f>ROUND(10.8*4.2*0.699999999999999,0)</f>
        <v>32</v>
      </c>
      <c r="EW17" s="695">
        <v>0</v>
      </c>
      <c r="EX17" s="587">
        <f>ROUND(10.8*4.2*0,0)</f>
        <v>0</v>
      </c>
      <c r="EY17" s="695">
        <v>0</v>
      </c>
      <c r="EZ17" s="587">
        <f>ROUND(10.8*4.2*0,0)</f>
        <v>0</v>
      </c>
      <c r="FA17" s="695">
        <v>0</v>
      </c>
      <c r="FB17" s="587">
        <f>ROUND(10.8*4.2*0,0)</f>
        <v>0</v>
      </c>
      <c r="FC17" s="695">
        <v>0</v>
      </c>
      <c r="FD17" s="587">
        <f>ROUND(10.8*4.2*0,0)</f>
        <v>0</v>
      </c>
      <c r="FE17" s="695">
        <v>0</v>
      </c>
      <c r="FF17" s="587">
        <f>ROUND(10.8*4.2*0,0)</f>
        <v>0</v>
      </c>
      <c r="FG17" s="695">
        <v>0</v>
      </c>
      <c r="FH17" s="589">
        <f>ROUND(10.8*4.2*0,0)</f>
        <v>0</v>
      </c>
      <c r="FI17" s="563"/>
      <c r="FJ17" s="564"/>
      <c r="FK17" s="582" t="s">
        <v>229</v>
      </c>
      <c r="FL17" s="691" t="s">
        <v>72</v>
      </c>
      <c r="FM17" s="583">
        <v>10.8</v>
      </c>
      <c r="FN17" s="692" t="s">
        <v>867</v>
      </c>
      <c r="FO17" s="693"/>
      <c r="FP17" s="696">
        <v>9</v>
      </c>
      <c r="FQ17" s="697">
        <v>17</v>
      </c>
      <c r="FR17" s="587">
        <f>ROUND(10.8*4.2*17,0)</f>
        <v>771</v>
      </c>
      <c r="FS17" s="698">
        <v>9</v>
      </c>
      <c r="FT17" s="697">
        <v>17.5</v>
      </c>
      <c r="FU17" s="592">
        <f>ROUND(10.8*4.2*17.5,0)</f>
        <v>794</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219</v>
      </c>
      <c r="C18" s="691" t="s">
        <v>74</v>
      </c>
      <c r="D18" s="583">
        <v>18.36</v>
      </c>
      <c r="E18" s="692">
        <v>0.64</v>
      </c>
      <c r="F18" s="693"/>
      <c r="G18" s="694">
        <v>0</v>
      </c>
      <c r="H18" s="587">
        <f>ROUND(18.36*0.64*0,0)</f>
        <v>0</v>
      </c>
      <c r="I18" s="695">
        <v>0</v>
      </c>
      <c r="J18" s="587">
        <f>ROUND(18.36*0.64*0,0)</f>
        <v>0</v>
      </c>
      <c r="K18" s="695">
        <v>0</v>
      </c>
      <c r="L18" s="587">
        <f>ROUND(18.36*0.64*0,0)</f>
        <v>0</v>
      </c>
      <c r="M18" s="695">
        <v>0</v>
      </c>
      <c r="N18" s="587">
        <f>ROUND(18.36*0.64*0,0)</f>
        <v>0</v>
      </c>
      <c r="O18" s="695">
        <v>0</v>
      </c>
      <c r="P18" s="587">
        <f>ROUND(18.36*0.64*0,0)</f>
        <v>0</v>
      </c>
      <c r="Q18" s="695">
        <v>0</v>
      </c>
      <c r="R18" s="587">
        <f>ROUND(18.36*0.64*0,0)</f>
        <v>0</v>
      </c>
      <c r="S18" s="695">
        <v>0</v>
      </c>
      <c r="T18" s="587">
        <f>ROUND(18.36*0.64*0,0)</f>
        <v>0</v>
      </c>
      <c r="U18" s="695">
        <v>0</v>
      </c>
      <c r="V18" s="587">
        <f>ROUND(18.36*0.64*0,0)</f>
        <v>0</v>
      </c>
      <c r="W18" s="695">
        <v>3.1</v>
      </c>
      <c r="X18" s="587">
        <f>ROUND(18.36*0.64*3.1,0)</f>
        <v>36</v>
      </c>
      <c r="Y18" s="695">
        <v>4.8</v>
      </c>
      <c r="Z18" s="587">
        <f>ROUND(18.36*0.64*4.8,0)</f>
        <v>56</v>
      </c>
      <c r="AA18" s="695">
        <v>6.5</v>
      </c>
      <c r="AB18" s="587">
        <f>ROUND(18.36*0.64*6.5,0)</f>
        <v>76</v>
      </c>
      <c r="AC18" s="695">
        <v>7.9</v>
      </c>
      <c r="AD18" s="587">
        <f>ROUND(18.36*0.64*7.9,0)</f>
        <v>93</v>
      </c>
      <c r="AE18" s="695">
        <v>9.1999999999999993</v>
      </c>
      <c r="AF18" s="587">
        <f>ROUND(18.36*0.64*9.2,0)</f>
        <v>108</v>
      </c>
      <c r="AG18" s="695">
        <v>11</v>
      </c>
      <c r="AH18" s="587">
        <f>ROUND(18.36*0.64*11,0)</f>
        <v>129</v>
      </c>
      <c r="AI18" s="695">
        <v>13</v>
      </c>
      <c r="AJ18" s="587">
        <f>ROUND(18.36*0.64*13,0)</f>
        <v>153</v>
      </c>
      <c r="AK18" s="695">
        <v>14.5</v>
      </c>
      <c r="AL18" s="587">
        <f>ROUND(18.36*0.64*14.5,0)</f>
        <v>170</v>
      </c>
      <c r="AM18" s="695">
        <v>14.8</v>
      </c>
      <c r="AN18" s="587">
        <f>ROUND(18.36*0.64*14.8,0)</f>
        <v>174</v>
      </c>
      <c r="AO18" s="695">
        <v>13.6</v>
      </c>
      <c r="AP18" s="587">
        <f>ROUND(18.36*0.64*13.6,0)</f>
        <v>160</v>
      </c>
      <c r="AQ18" s="695">
        <v>0</v>
      </c>
      <c r="AR18" s="587">
        <f>ROUND(18.36*0.64*0,0)</f>
        <v>0</v>
      </c>
      <c r="AS18" s="695">
        <v>0</v>
      </c>
      <c r="AT18" s="587">
        <f>ROUND(18.36*0.64*0,0)</f>
        <v>0</v>
      </c>
      <c r="AU18" s="695">
        <v>0</v>
      </c>
      <c r="AV18" s="587">
        <f>ROUND(18.36*0.64*0,0)</f>
        <v>0</v>
      </c>
      <c r="AW18" s="695">
        <v>0</v>
      </c>
      <c r="AX18" s="587">
        <f>ROUND(18.36*0.64*0,0)</f>
        <v>0</v>
      </c>
      <c r="AY18" s="695">
        <v>0</v>
      </c>
      <c r="AZ18" s="587">
        <f>ROUND(18.36*0.64*0,0)</f>
        <v>0</v>
      </c>
      <c r="BA18" s="695">
        <v>0</v>
      </c>
      <c r="BB18" s="589">
        <f>ROUND(18.36*0.64*0,0)</f>
        <v>0</v>
      </c>
      <c r="BC18" s="562"/>
      <c r="BD18" s="552"/>
      <c r="BE18" s="700" t="s">
        <v>219</v>
      </c>
      <c r="BF18" s="691" t="s">
        <v>74</v>
      </c>
      <c r="BG18" s="583">
        <v>18.36</v>
      </c>
      <c r="BH18" s="692">
        <v>0.64</v>
      </c>
      <c r="BI18" s="693"/>
      <c r="BJ18" s="694">
        <v>0</v>
      </c>
      <c r="BK18" s="587">
        <f>ROUND(18.36*0.64*0,0)</f>
        <v>0</v>
      </c>
      <c r="BL18" s="695">
        <v>0</v>
      </c>
      <c r="BM18" s="587">
        <f>ROUND(18.36*0.64*0,0)</f>
        <v>0</v>
      </c>
      <c r="BN18" s="695">
        <v>0</v>
      </c>
      <c r="BO18" s="587">
        <f>ROUND(18.36*0.64*0,0)</f>
        <v>0</v>
      </c>
      <c r="BP18" s="695">
        <v>0</v>
      </c>
      <c r="BQ18" s="587">
        <f>ROUND(18.36*0.64*0,0)</f>
        <v>0</v>
      </c>
      <c r="BR18" s="695">
        <v>0</v>
      </c>
      <c r="BS18" s="587">
        <f>ROUND(18.36*0.64*0,0)</f>
        <v>0</v>
      </c>
      <c r="BT18" s="695">
        <v>0</v>
      </c>
      <c r="BU18" s="587">
        <f>ROUND(18.36*0.64*0,0)</f>
        <v>0</v>
      </c>
      <c r="BV18" s="695">
        <v>0</v>
      </c>
      <c r="BW18" s="587">
        <f>ROUND(18.36*0.64*0,0)</f>
        <v>0</v>
      </c>
      <c r="BX18" s="695">
        <v>0</v>
      </c>
      <c r="BY18" s="587">
        <f>ROUND(18.36*0.64*0,0)</f>
        <v>0</v>
      </c>
      <c r="BZ18" s="695">
        <v>2.6</v>
      </c>
      <c r="CA18" s="587">
        <f>ROUND(18.36*0.64*2.6,0)</f>
        <v>31</v>
      </c>
      <c r="CB18" s="695">
        <v>4.2</v>
      </c>
      <c r="CC18" s="587">
        <f>ROUND(18.36*0.64*4.2,0)</f>
        <v>49</v>
      </c>
      <c r="CD18" s="695">
        <v>5.7</v>
      </c>
      <c r="CE18" s="587">
        <f>ROUND(18.36*0.64*5.7,0)</f>
        <v>67</v>
      </c>
      <c r="CF18" s="695">
        <v>7</v>
      </c>
      <c r="CG18" s="587">
        <f>ROUND(18.36*0.64*7,0)</f>
        <v>82</v>
      </c>
      <c r="CH18" s="695">
        <v>8.3000000000000007</v>
      </c>
      <c r="CI18" s="587">
        <f>ROUND(18.36*0.64*8.3,0)</f>
        <v>98</v>
      </c>
      <c r="CJ18" s="695">
        <v>10.6</v>
      </c>
      <c r="CK18" s="587">
        <f>ROUND(18.36*0.64*10.6,0)</f>
        <v>125</v>
      </c>
      <c r="CL18" s="695">
        <v>13.8</v>
      </c>
      <c r="CM18" s="587">
        <f>ROUND(18.36*0.64*13.8,0)</f>
        <v>162</v>
      </c>
      <c r="CN18" s="695">
        <v>16.8</v>
      </c>
      <c r="CO18" s="587">
        <f>ROUND(18.36*0.64*16.8,0)</f>
        <v>197</v>
      </c>
      <c r="CP18" s="695">
        <v>18.8</v>
      </c>
      <c r="CQ18" s="587">
        <f>ROUND(18.36*0.64*18.8,0)</f>
        <v>221</v>
      </c>
      <c r="CR18" s="695">
        <v>19.100000000000001</v>
      </c>
      <c r="CS18" s="587">
        <f>ROUND(18.36*0.64*19.1,0)</f>
        <v>224</v>
      </c>
      <c r="CT18" s="695">
        <v>0</v>
      </c>
      <c r="CU18" s="587">
        <f>ROUND(18.36*0.64*0,0)</f>
        <v>0</v>
      </c>
      <c r="CV18" s="695">
        <v>0</v>
      </c>
      <c r="CW18" s="587">
        <f>ROUND(18.36*0.64*0,0)</f>
        <v>0</v>
      </c>
      <c r="CX18" s="695">
        <v>0</v>
      </c>
      <c r="CY18" s="587">
        <f>ROUND(18.36*0.64*0,0)</f>
        <v>0</v>
      </c>
      <c r="CZ18" s="695">
        <v>0</v>
      </c>
      <c r="DA18" s="587">
        <f>ROUND(18.36*0.64*0,0)</f>
        <v>0</v>
      </c>
      <c r="DB18" s="695">
        <v>0</v>
      </c>
      <c r="DC18" s="587">
        <f>ROUND(18.36*0.64*0,0)</f>
        <v>0</v>
      </c>
      <c r="DD18" s="695">
        <v>0</v>
      </c>
      <c r="DE18" s="589">
        <f>ROUND(18.36*0.64*0,0)</f>
        <v>0</v>
      </c>
      <c r="DF18" s="562"/>
      <c r="DG18" s="552"/>
      <c r="DH18" s="700" t="s">
        <v>219</v>
      </c>
      <c r="DI18" s="691" t="s">
        <v>74</v>
      </c>
      <c r="DJ18" s="583">
        <v>18.36</v>
      </c>
      <c r="DK18" s="692">
        <v>0.64</v>
      </c>
      <c r="DL18" s="693"/>
      <c r="DM18" s="694">
        <v>0</v>
      </c>
      <c r="DN18" s="587">
        <f>ROUND(18.36*0.64*0,0)</f>
        <v>0</v>
      </c>
      <c r="DO18" s="695">
        <v>0</v>
      </c>
      <c r="DP18" s="587">
        <f>ROUND(18.36*0.64*0,0)</f>
        <v>0</v>
      </c>
      <c r="DQ18" s="695">
        <v>0</v>
      </c>
      <c r="DR18" s="587">
        <f>ROUND(18.36*0.64*0,0)</f>
        <v>0</v>
      </c>
      <c r="DS18" s="695">
        <v>0</v>
      </c>
      <c r="DT18" s="587">
        <f>ROUND(18.36*0.64*0,0)</f>
        <v>0</v>
      </c>
      <c r="DU18" s="695">
        <v>0</v>
      </c>
      <c r="DV18" s="587">
        <f>ROUND(18.36*0.64*0,0)</f>
        <v>0</v>
      </c>
      <c r="DW18" s="695">
        <v>0</v>
      </c>
      <c r="DX18" s="587">
        <f>ROUND(18.36*0.64*0,0)</f>
        <v>0</v>
      </c>
      <c r="DY18" s="695">
        <v>0</v>
      </c>
      <c r="DZ18" s="587">
        <f>ROUND(18.36*0.64*0,0)</f>
        <v>0</v>
      </c>
      <c r="EA18" s="695">
        <v>0</v>
      </c>
      <c r="EB18" s="587">
        <f>ROUND(18.36*0.64*0,0)</f>
        <v>0</v>
      </c>
      <c r="EC18" s="695">
        <v>0</v>
      </c>
      <c r="ED18" s="587">
        <f>ROUND(18.36*0.64*0,0)</f>
        <v>0</v>
      </c>
      <c r="EE18" s="695">
        <v>1.5</v>
      </c>
      <c r="EF18" s="587">
        <f>ROUND(18.36*0.64*1.5,0)</f>
        <v>18</v>
      </c>
      <c r="EG18" s="695">
        <v>3.1</v>
      </c>
      <c r="EH18" s="587">
        <f>ROUND(18.36*0.64*3.1,0)</f>
        <v>36</v>
      </c>
      <c r="EI18" s="695">
        <v>4.5</v>
      </c>
      <c r="EJ18" s="587">
        <f>ROUND(18.36*0.64*4.5,0)</f>
        <v>53</v>
      </c>
      <c r="EK18" s="695">
        <v>5.8</v>
      </c>
      <c r="EL18" s="587">
        <f>ROUND(18.36*0.64*5.8,0)</f>
        <v>68</v>
      </c>
      <c r="EM18" s="695">
        <v>8</v>
      </c>
      <c r="EN18" s="587">
        <f>ROUND(18.36*0.64*8,0)</f>
        <v>94</v>
      </c>
      <c r="EO18" s="695">
        <v>11</v>
      </c>
      <c r="EP18" s="587">
        <f>ROUND(18.36*0.64*11,0)</f>
        <v>129</v>
      </c>
      <c r="EQ18" s="695">
        <v>13.7</v>
      </c>
      <c r="ER18" s="587">
        <f>ROUND(18.36*0.64*13.7,0)</f>
        <v>161</v>
      </c>
      <c r="ES18" s="695">
        <v>14.7</v>
      </c>
      <c r="ET18" s="587">
        <f>ROUND(18.36*0.64*14.7,0)</f>
        <v>173</v>
      </c>
      <c r="EU18" s="695">
        <v>13.2</v>
      </c>
      <c r="EV18" s="587">
        <f>ROUND(18.36*0.64*13.2,0)</f>
        <v>155</v>
      </c>
      <c r="EW18" s="695">
        <v>0</v>
      </c>
      <c r="EX18" s="587">
        <f>ROUND(18.36*0.64*0,0)</f>
        <v>0</v>
      </c>
      <c r="EY18" s="695">
        <v>0</v>
      </c>
      <c r="EZ18" s="587">
        <f>ROUND(18.36*0.64*0,0)</f>
        <v>0</v>
      </c>
      <c r="FA18" s="695">
        <v>0</v>
      </c>
      <c r="FB18" s="587">
        <f>ROUND(18.36*0.64*0,0)</f>
        <v>0</v>
      </c>
      <c r="FC18" s="695">
        <v>0</v>
      </c>
      <c r="FD18" s="587">
        <f>ROUND(18.36*0.64*0,0)</f>
        <v>0</v>
      </c>
      <c r="FE18" s="695">
        <v>0</v>
      </c>
      <c r="FF18" s="587">
        <f>ROUND(18.36*0.64*0,0)</f>
        <v>0</v>
      </c>
      <c r="FG18" s="695">
        <v>0</v>
      </c>
      <c r="FH18" s="589">
        <f>ROUND(18.36*0.64*0,0)</f>
        <v>0</v>
      </c>
      <c r="FI18" s="563"/>
      <c r="FJ18" s="564"/>
      <c r="FK18" s="700" t="s">
        <v>219</v>
      </c>
      <c r="FL18" s="691" t="s">
        <v>74</v>
      </c>
      <c r="FM18" s="583">
        <v>18.36</v>
      </c>
      <c r="FN18" s="692">
        <v>0.64</v>
      </c>
      <c r="FO18" s="693"/>
      <c r="FP18" s="696">
        <v>9</v>
      </c>
      <c r="FQ18" s="697">
        <v>17</v>
      </c>
      <c r="FR18" s="587">
        <f>ROUND(18.36*0.64*17,0)</f>
        <v>200</v>
      </c>
      <c r="FS18" s="698">
        <v>9</v>
      </c>
      <c r="FT18" s="697">
        <v>17.5</v>
      </c>
      <c r="FU18" s="592">
        <f>ROUND(18.36*0.64*17.5,0)</f>
        <v>206</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t="s">
        <v>229</v>
      </c>
      <c r="C19" s="691" t="s">
        <v>74</v>
      </c>
      <c r="D19" s="583">
        <v>8.1</v>
      </c>
      <c r="E19" s="692" t="s">
        <v>867</v>
      </c>
      <c r="F19" s="693"/>
      <c r="G19" s="694">
        <v>0</v>
      </c>
      <c r="H19" s="587">
        <f>ROUND(8.1*4.2*0,0)</f>
        <v>0</v>
      </c>
      <c r="I19" s="695">
        <v>0</v>
      </c>
      <c r="J19" s="587">
        <f>ROUND(8.1*4.2*0,0)</f>
        <v>0</v>
      </c>
      <c r="K19" s="695">
        <v>0</v>
      </c>
      <c r="L19" s="587">
        <f>ROUND(8.1*4.2*0,0)</f>
        <v>0</v>
      </c>
      <c r="M19" s="695">
        <v>0</v>
      </c>
      <c r="N19" s="587">
        <f>ROUND(8.1*4.2*0,0)</f>
        <v>0</v>
      </c>
      <c r="O19" s="695">
        <v>0</v>
      </c>
      <c r="P19" s="587">
        <f>ROUND(8.1*4.2*0,0)</f>
        <v>0</v>
      </c>
      <c r="Q19" s="695">
        <v>0</v>
      </c>
      <c r="R19" s="587">
        <f>ROUND(8.1*4.2*0,0)</f>
        <v>0</v>
      </c>
      <c r="S19" s="695">
        <v>0</v>
      </c>
      <c r="T19" s="587">
        <f>ROUND(8.1*4.2*0,0)</f>
        <v>0</v>
      </c>
      <c r="U19" s="695">
        <v>0</v>
      </c>
      <c r="V19" s="587">
        <f>ROUND(8.1*4.2*0,0)</f>
        <v>0</v>
      </c>
      <c r="W19" s="695">
        <v>3.3</v>
      </c>
      <c r="X19" s="587">
        <f>ROUND(8.1*4.2*3.3,0)</f>
        <v>112</v>
      </c>
      <c r="Y19" s="695">
        <v>4.5</v>
      </c>
      <c r="Z19" s="587">
        <f>ROUND(8.1*4.2*4.5,0)</f>
        <v>153</v>
      </c>
      <c r="AA19" s="695">
        <v>5.2</v>
      </c>
      <c r="AB19" s="587">
        <f>ROUND(8.1*4.2*5.2,0)</f>
        <v>177</v>
      </c>
      <c r="AC19" s="695">
        <v>5.7</v>
      </c>
      <c r="AD19" s="587">
        <f>ROUND(8.1*4.2*5.7,0)</f>
        <v>194</v>
      </c>
      <c r="AE19" s="695">
        <v>5.9</v>
      </c>
      <c r="AF19" s="587">
        <f>ROUND(8.1*4.2*5.9,0)</f>
        <v>201</v>
      </c>
      <c r="AG19" s="695">
        <v>5.9</v>
      </c>
      <c r="AH19" s="587">
        <f>ROUND(8.1*4.2*5.9,0)</f>
        <v>201</v>
      </c>
      <c r="AI19" s="695">
        <v>5.4</v>
      </c>
      <c r="AJ19" s="587">
        <f>ROUND(8.1*4.2*5.4,0)</f>
        <v>184</v>
      </c>
      <c r="AK19" s="695">
        <v>4.9000000000000004</v>
      </c>
      <c r="AL19" s="587">
        <f>ROUND(8.1*4.2*4.9,0)</f>
        <v>167</v>
      </c>
      <c r="AM19" s="695">
        <v>4</v>
      </c>
      <c r="AN19" s="587">
        <f>ROUND(8.1*4.2*4,0)</f>
        <v>136</v>
      </c>
      <c r="AO19" s="695">
        <v>3.3</v>
      </c>
      <c r="AP19" s="587">
        <f>ROUND(8.1*4.2*3.3,0)</f>
        <v>112</v>
      </c>
      <c r="AQ19" s="695">
        <v>0</v>
      </c>
      <c r="AR19" s="587">
        <f>ROUND(8.1*4.2*0,0)</f>
        <v>0</v>
      </c>
      <c r="AS19" s="695">
        <v>0</v>
      </c>
      <c r="AT19" s="587">
        <f>ROUND(8.1*4.2*0,0)</f>
        <v>0</v>
      </c>
      <c r="AU19" s="695">
        <v>0</v>
      </c>
      <c r="AV19" s="587">
        <f>ROUND(8.1*4.2*0,0)</f>
        <v>0</v>
      </c>
      <c r="AW19" s="695">
        <v>0</v>
      </c>
      <c r="AX19" s="587">
        <f>ROUND(8.1*4.2*0,0)</f>
        <v>0</v>
      </c>
      <c r="AY19" s="695">
        <v>0</v>
      </c>
      <c r="AZ19" s="587">
        <f>ROUND(8.1*4.2*0,0)</f>
        <v>0</v>
      </c>
      <c r="BA19" s="695">
        <v>0</v>
      </c>
      <c r="BB19" s="589">
        <f>ROUND(8.1*4.2*0,0)</f>
        <v>0</v>
      </c>
      <c r="BC19" s="562"/>
      <c r="BD19" s="552"/>
      <c r="BE19" s="700" t="s">
        <v>229</v>
      </c>
      <c r="BF19" s="691" t="s">
        <v>74</v>
      </c>
      <c r="BG19" s="583">
        <v>8.1</v>
      </c>
      <c r="BH19" s="692" t="s">
        <v>867</v>
      </c>
      <c r="BI19" s="693"/>
      <c r="BJ19" s="694">
        <v>0</v>
      </c>
      <c r="BK19" s="587">
        <f>ROUND(8.1*4.2*0,0)</f>
        <v>0</v>
      </c>
      <c r="BL19" s="695">
        <v>0</v>
      </c>
      <c r="BM19" s="587">
        <f>ROUND(8.1*4.2*0,0)</f>
        <v>0</v>
      </c>
      <c r="BN19" s="695">
        <v>0</v>
      </c>
      <c r="BO19" s="587">
        <f>ROUND(8.1*4.2*0,0)</f>
        <v>0</v>
      </c>
      <c r="BP19" s="695">
        <v>0</v>
      </c>
      <c r="BQ19" s="587">
        <f>ROUND(8.1*4.2*0,0)</f>
        <v>0</v>
      </c>
      <c r="BR19" s="695">
        <v>0</v>
      </c>
      <c r="BS19" s="587">
        <f>ROUND(8.1*4.2*0,0)</f>
        <v>0</v>
      </c>
      <c r="BT19" s="695">
        <v>0</v>
      </c>
      <c r="BU19" s="587">
        <f>ROUND(8.1*4.2*0,0)</f>
        <v>0</v>
      </c>
      <c r="BV19" s="695">
        <v>0</v>
      </c>
      <c r="BW19" s="587">
        <f>ROUND(8.1*4.2*0,0)</f>
        <v>0</v>
      </c>
      <c r="BX19" s="695">
        <v>0</v>
      </c>
      <c r="BY19" s="587">
        <f>ROUND(8.1*4.2*0,0)</f>
        <v>0</v>
      </c>
      <c r="BZ19" s="695">
        <v>3.1</v>
      </c>
      <c r="CA19" s="587">
        <f>ROUND(8.1*4.2*3.1,0)</f>
        <v>105</v>
      </c>
      <c r="CB19" s="695">
        <v>4.0999999999999996</v>
      </c>
      <c r="CC19" s="587">
        <f>ROUND(8.1*4.2*4.1,0)</f>
        <v>139</v>
      </c>
      <c r="CD19" s="695">
        <v>5</v>
      </c>
      <c r="CE19" s="587">
        <f>ROUND(8.1*4.2*5,0)</f>
        <v>170</v>
      </c>
      <c r="CF19" s="695">
        <v>5.4</v>
      </c>
      <c r="CG19" s="587">
        <f>ROUND(8.1*4.2*5.4,0)</f>
        <v>184</v>
      </c>
      <c r="CH19" s="695">
        <v>5.6</v>
      </c>
      <c r="CI19" s="587">
        <f>ROUND(8.1*4.2*5.6,0)</f>
        <v>191</v>
      </c>
      <c r="CJ19" s="695">
        <v>5.4</v>
      </c>
      <c r="CK19" s="587">
        <f>ROUND(8.1*4.2*5.4,0)</f>
        <v>184</v>
      </c>
      <c r="CL19" s="695">
        <v>4.9000000000000004</v>
      </c>
      <c r="CM19" s="587">
        <f>ROUND(8.1*4.2*4.9,0)</f>
        <v>167</v>
      </c>
      <c r="CN19" s="695">
        <v>4.5</v>
      </c>
      <c r="CO19" s="587">
        <f>ROUND(8.1*4.2*4.5,0)</f>
        <v>153</v>
      </c>
      <c r="CP19" s="695">
        <v>4</v>
      </c>
      <c r="CQ19" s="587">
        <f>ROUND(8.1*4.2*4,0)</f>
        <v>136</v>
      </c>
      <c r="CR19" s="695">
        <v>3.1</v>
      </c>
      <c r="CS19" s="587">
        <f>ROUND(8.1*4.2*3.1,0)</f>
        <v>105</v>
      </c>
      <c r="CT19" s="695">
        <v>0</v>
      </c>
      <c r="CU19" s="587">
        <f>ROUND(8.1*4.2*0,0)</f>
        <v>0</v>
      </c>
      <c r="CV19" s="695">
        <v>0</v>
      </c>
      <c r="CW19" s="587">
        <f>ROUND(8.1*4.2*0,0)</f>
        <v>0</v>
      </c>
      <c r="CX19" s="695">
        <v>0</v>
      </c>
      <c r="CY19" s="587">
        <f>ROUND(8.1*4.2*0,0)</f>
        <v>0</v>
      </c>
      <c r="CZ19" s="695">
        <v>0</v>
      </c>
      <c r="DA19" s="587">
        <f>ROUND(8.1*4.2*0,0)</f>
        <v>0</v>
      </c>
      <c r="DB19" s="695">
        <v>0</v>
      </c>
      <c r="DC19" s="587">
        <f>ROUND(8.1*4.2*0,0)</f>
        <v>0</v>
      </c>
      <c r="DD19" s="695">
        <v>0</v>
      </c>
      <c r="DE19" s="589">
        <f>ROUND(8.1*4.2*0,0)</f>
        <v>0</v>
      </c>
      <c r="DF19" s="562"/>
      <c r="DG19" s="552"/>
      <c r="DH19" s="700" t="s">
        <v>229</v>
      </c>
      <c r="DI19" s="691" t="s">
        <v>74</v>
      </c>
      <c r="DJ19" s="583">
        <v>8.1</v>
      </c>
      <c r="DK19" s="692" t="s">
        <v>867</v>
      </c>
      <c r="DL19" s="693"/>
      <c r="DM19" s="694">
        <v>0</v>
      </c>
      <c r="DN19" s="587">
        <f>ROUND(8.1*4.2*0,0)</f>
        <v>0</v>
      </c>
      <c r="DO19" s="695">
        <v>0</v>
      </c>
      <c r="DP19" s="587">
        <f>ROUND(8.1*4.2*0,0)</f>
        <v>0</v>
      </c>
      <c r="DQ19" s="695">
        <v>0</v>
      </c>
      <c r="DR19" s="587">
        <f>ROUND(8.1*4.2*0,0)</f>
        <v>0</v>
      </c>
      <c r="DS19" s="695">
        <v>0</v>
      </c>
      <c r="DT19" s="587">
        <f>ROUND(8.1*4.2*0,0)</f>
        <v>0</v>
      </c>
      <c r="DU19" s="695">
        <v>0</v>
      </c>
      <c r="DV19" s="587">
        <f>ROUND(8.1*4.2*0,0)</f>
        <v>0</v>
      </c>
      <c r="DW19" s="695">
        <v>0</v>
      </c>
      <c r="DX19" s="587">
        <f>ROUND(8.1*4.2*0,0)</f>
        <v>0</v>
      </c>
      <c r="DY19" s="695">
        <v>0</v>
      </c>
      <c r="DZ19" s="587">
        <f>ROUND(8.1*4.2*0,0)</f>
        <v>0</v>
      </c>
      <c r="EA19" s="695">
        <v>0</v>
      </c>
      <c r="EB19" s="587">
        <f>ROUND(8.1*4.2*0,0)</f>
        <v>0</v>
      </c>
      <c r="EC19" s="695">
        <v>0.80000000000000104</v>
      </c>
      <c r="ED19" s="587">
        <f>ROUND(8.1*4.2*0.800000000000001,0)</f>
        <v>27</v>
      </c>
      <c r="EE19" s="695">
        <v>2.1</v>
      </c>
      <c r="EF19" s="587">
        <f>ROUND(8.1*4.2*2.1,0)</f>
        <v>71</v>
      </c>
      <c r="EG19" s="695">
        <v>2.9</v>
      </c>
      <c r="EH19" s="587">
        <f>ROUND(8.1*4.2*2.9,0)</f>
        <v>99</v>
      </c>
      <c r="EI19" s="695">
        <v>3.6</v>
      </c>
      <c r="EJ19" s="587">
        <f>ROUND(8.1*4.2*3.6,0)</f>
        <v>122</v>
      </c>
      <c r="EK19" s="695">
        <v>3.8</v>
      </c>
      <c r="EL19" s="587">
        <f>ROUND(8.1*4.2*3.8,0)</f>
        <v>129</v>
      </c>
      <c r="EM19" s="695">
        <v>3.5</v>
      </c>
      <c r="EN19" s="587">
        <f>ROUND(8.1*4.2*3.5,0)</f>
        <v>119</v>
      </c>
      <c r="EO19" s="695">
        <v>3.1</v>
      </c>
      <c r="EP19" s="587">
        <f>ROUND(8.1*4.2*3.1,0)</f>
        <v>105</v>
      </c>
      <c r="EQ19" s="695">
        <v>2.7</v>
      </c>
      <c r="ER19" s="587">
        <f>ROUND(8.1*4.2*2.7,0)</f>
        <v>92</v>
      </c>
      <c r="ES19" s="695">
        <v>1.7</v>
      </c>
      <c r="ET19" s="587">
        <f>ROUND(8.1*4.2*1.7,0)</f>
        <v>58</v>
      </c>
      <c r="EU19" s="695">
        <v>0.69999999999999896</v>
      </c>
      <c r="EV19" s="587">
        <f>ROUND(8.1*4.2*0.699999999999999,0)</f>
        <v>24</v>
      </c>
      <c r="EW19" s="695">
        <v>0</v>
      </c>
      <c r="EX19" s="587">
        <f>ROUND(8.1*4.2*0,0)</f>
        <v>0</v>
      </c>
      <c r="EY19" s="695">
        <v>0</v>
      </c>
      <c r="EZ19" s="587">
        <f>ROUND(8.1*4.2*0,0)</f>
        <v>0</v>
      </c>
      <c r="FA19" s="695">
        <v>0</v>
      </c>
      <c r="FB19" s="587">
        <f>ROUND(8.1*4.2*0,0)</f>
        <v>0</v>
      </c>
      <c r="FC19" s="695">
        <v>0</v>
      </c>
      <c r="FD19" s="587">
        <f>ROUND(8.1*4.2*0,0)</f>
        <v>0</v>
      </c>
      <c r="FE19" s="695">
        <v>0</v>
      </c>
      <c r="FF19" s="587">
        <f>ROUND(8.1*4.2*0,0)</f>
        <v>0</v>
      </c>
      <c r="FG19" s="695">
        <v>0</v>
      </c>
      <c r="FH19" s="589">
        <f>ROUND(8.1*4.2*0,0)</f>
        <v>0</v>
      </c>
      <c r="FI19" s="563"/>
      <c r="FJ19" s="564"/>
      <c r="FK19" s="700" t="s">
        <v>229</v>
      </c>
      <c r="FL19" s="691" t="s">
        <v>74</v>
      </c>
      <c r="FM19" s="583">
        <v>8.1</v>
      </c>
      <c r="FN19" s="692" t="s">
        <v>867</v>
      </c>
      <c r="FO19" s="693"/>
      <c r="FP19" s="696">
        <v>9</v>
      </c>
      <c r="FQ19" s="697">
        <v>17</v>
      </c>
      <c r="FR19" s="587">
        <f>ROUND(8.1*4.2*17,0)</f>
        <v>578</v>
      </c>
      <c r="FS19" s="698">
        <v>9</v>
      </c>
      <c r="FT19" s="697">
        <v>17.5</v>
      </c>
      <c r="FU19" s="592">
        <f>ROUND(8.1*4.2*17.5,0)</f>
        <v>595</v>
      </c>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t="s">
        <v>250</v>
      </c>
      <c r="C20" s="691"/>
      <c r="D20" s="583">
        <v>20.16</v>
      </c>
      <c r="E20" s="692">
        <v>2.35</v>
      </c>
      <c r="F20" s="693"/>
      <c r="G20" s="694">
        <v>0</v>
      </c>
      <c r="H20" s="587">
        <f>ROUND(20.16*2.35*0,0)</f>
        <v>0</v>
      </c>
      <c r="I20" s="695">
        <v>0</v>
      </c>
      <c r="J20" s="587">
        <f>ROUND(20.16*2.35*0,0)</f>
        <v>0</v>
      </c>
      <c r="K20" s="695">
        <v>0</v>
      </c>
      <c r="L20" s="587">
        <f>ROUND(20.16*2.35*0,0)</f>
        <v>0</v>
      </c>
      <c r="M20" s="695">
        <v>0</v>
      </c>
      <c r="N20" s="587">
        <f>ROUND(20.16*2.35*0,0)</f>
        <v>0</v>
      </c>
      <c r="O20" s="695">
        <v>0</v>
      </c>
      <c r="P20" s="587">
        <f>ROUND(20.16*2.35*0,0)</f>
        <v>0</v>
      </c>
      <c r="Q20" s="695">
        <v>0</v>
      </c>
      <c r="R20" s="587">
        <f>ROUND(20.16*2.35*0,0)</f>
        <v>0</v>
      </c>
      <c r="S20" s="695">
        <v>0</v>
      </c>
      <c r="T20" s="587">
        <f>ROUND(20.16*2.35*0,0)</f>
        <v>0</v>
      </c>
      <c r="U20" s="695">
        <v>0</v>
      </c>
      <c r="V20" s="587">
        <f>ROUND(20.16*2.35*0,0)</f>
        <v>0</v>
      </c>
      <c r="W20" s="695">
        <v>1</v>
      </c>
      <c r="X20" s="587">
        <f>ROUND(20.16*2.35*1,0)</f>
        <v>47</v>
      </c>
      <c r="Y20" s="695">
        <v>1.3</v>
      </c>
      <c r="Z20" s="587">
        <f>ROUND(20.16*2.35*1.3,0)</f>
        <v>62</v>
      </c>
      <c r="AA20" s="695">
        <v>1.6</v>
      </c>
      <c r="AB20" s="587">
        <f>ROUND(20.16*2.35*1.6,0)</f>
        <v>76</v>
      </c>
      <c r="AC20" s="695">
        <v>1.7</v>
      </c>
      <c r="AD20" s="587">
        <f>ROUND(20.16*2.35*1.7,0)</f>
        <v>81</v>
      </c>
      <c r="AE20" s="695">
        <v>1.8</v>
      </c>
      <c r="AF20" s="587">
        <f>ROUND(20.16*2.35*1.8,0)</f>
        <v>85</v>
      </c>
      <c r="AG20" s="695">
        <v>1.8</v>
      </c>
      <c r="AH20" s="587">
        <f>ROUND(20.16*2.35*1.8,0)</f>
        <v>85</v>
      </c>
      <c r="AI20" s="695">
        <v>1.6</v>
      </c>
      <c r="AJ20" s="587">
        <f>ROUND(20.16*2.35*1.6,0)</f>
        <v>76</v>
      </c>
      <c r="AK20" s="695">
        <v>1.5</v>
      </c>
      <c r="AL20" s="587">
        <f>ROUND(20.16*2.35*1.5,0)</f>
        <v>71</v>
      </c>
      <c r="AM20" s="695">
        <v>1.2</v>
      </c>
      <c r="AN20" s="587">
        <f>ROUND(20.16*2.35*1.2,0)</f>
        <v>57</v>
      </c>
      <c r="AO20" s="695">
        <v>1</v>
      </c>
      <c r="AP20" s="587">
        <f>ROUND(20.16*2.35*1,0)</f>
        <v>47</v>
      </c>
      <c r="AQ20" s="695">
        <v>0</v>
      </c>
      <c r="AR20" s="587">
        <f>ROUND(20.16*2.35*0,0)</f>
        <v>0</v>
      </c>
      <c r="AS20" s="695">
        <v>0</v>
      </c>
      <c r="AT20" s="587">
        <f>ROUND(20.16*2.35*0,0)</f>
        <v>0</v>
      </c>
      <c r="AU20" s="695">
        <v>0</v>
      </c>
      <c r="AV20" s="587">
        <f>ROUND(20.16*2.35*0,0)</f>
        <v>0</v>
      </c>
      <c r="AW20" s="695">
        <v>0</v>
      </c>
      <c r="AX20" s="587">
        <f>ROUND(20.16*2.35*0,0)</f>
        <v>0</v>
      </c>
      <c r="AY20" s="695">
        <v>0</v>
      </c>
      <c r="AZ20" s="587">
        <f>ROUND(20.16*2.35*0,0)</f>
        <v>0</v>
      </c>
      <c r="BA20" s="695">
        <v>0</v>
      </c>
      <c r="BB20" s="589">
        <f>ROUND(20.16*2.35*0,0)</f>
        <v>0</v>
      </c>
      <c r="BC20" s="562"/>
      <c r="BD20" s="552"/>
      <c r="BE20" s="700" t="s">
        <v>250</v>
      </c>
      <c r="BF20" s="691"/>
      <c r="BG20" s="583">
        <v>20.16</v>
      </c>
      <c r="BH20" s="692">
        <v>2.35</v>
      </c>
      <c r="BI20" s="693"/>
      <c r="BJ20" s="694">
        <v>0</v>
      </c>
      <c r="BK20" s="587">
        <f>ROUND(20.16*2.35*0,0)</f>
        <v>0</v>
      </c>
      <c r="BL20" s="695">
        <v>0</v>
      </c>
      <c r="BM20" s="587">
        <f>ROUND(20.16*2.35*0,0)</f>
        <v>0</v>
      </c>
      <c r="BN20" s="695">
        <v>0</v>
      </c>
      <c r="BO20" s="587">
        <f>ROUND(20.16*2.35*0,0)</f>
        <v>0</v>
      </c>
      <c r="BP20" s="695">
        <v>0</v>
      </c>
      <c r="BQ20" s="587">
        <f>ROUND(20.16*2.35*0,0)</f>
        <v>0</v>
      </c>
      <c r="BR20" s="695">
        <v>0</v>
      </c>
      <c r="BS20" s="587">
        <f>ROUND(20.16*2.35*0,0)</f>
        <v>0</v>
      </c>
      <c r="BT20" s="695">
        <v>0</v>
      </c>
      <c r="BU20" s="587">
        <f>ROUND(20.16*2.35*0,0)</f>
        <v>0</v>
      </c>
      <c r="BV20" s="695">
        <v>0</v>
      </c>
      <c r="BW20" s="587">
        <f>ROUND(20.16*2.35*0,0)</f>
        <v>0</v>
      </c>
      <c r="BX20" s="695">
        <v>0</v>
      </c>
      <c r="BY20" s="587">
        <f>ROUND(20.16*2.35*0,0)</f>
        <v>0</v>
      </c>
      <c r="BZ20" s="695">
        <v>0.9</v>
      </c>
      <c r="CA20" s="587">
        <f>ROUND(20.16*2.35*0.9,0)</f>
        <v>43</v>
      </c>
      <c r="CB20" s="695">
        <v>1.2</v>
      </c>
      <c r="CC20" s="587">
        <f>ROUND(20.16*2.35*1.2,0)</f>
        <v>57</v>
      </c>
      <c r="CD20" s="695">
        <v>1.5</v>
      </c>
      <c r="CE20" s="587">
        <f>ROUND(20.16*2.35*1.5,0)</f>
        <v>71</v>
      </c>
      <c r="CF20" s="695">
        <v>1.6</v>
      </c>
      <c r="CG20" s="587">
        <f>ROUND(20.16*2.35*1.6,0)</f>
        <v>76</v>
      </c>
      <c r="CH20" s="695">
        <v>1.7</v>
      </c>
      <c r="CI20" s="587">
        <f>ROUND(20.16*2.35*1.7,0)</f>
        <v>81</v>
      </c>
      <c r="CJ20" s="695">
        <v>1.6</v>
      </c>
      <c r="CK20" s="587">
        <f>ROUND(20.16*2.35*1.6,0)</f>
        <v>76</v>
      </c>
      <c r="CL20" s="695">
        <v>1.5</v>
      </c>
      <c r="CM20" s="587">
        <f>ROUND(20.16*2.35*1.5,0)</f>
        <v>71</v>
      </c>
      <c r="CN20" s="695">
        <v>1.3</v>
      </c>
      <c r="CO20" s="587">
        <f>ROUND(20.16*2.35*1.3,0)</f>
        <v>62</v>
      </c>
      <c r="CP20" s="695">
        <v>1.2</v>
      </c>
      <c r="CQ20" s="587">
        <f>ROUND(20.16*2.35*1.2,0)</f>
        <v>57</v>
      </c>
      <c r="CR20" s="695">
        <v>0.9</v>
      </c>
      <c r="CS20" s="587">
        <f>ROUND(20.16*2.35*0.9,0)</f>
        <v>43</v>
      </c>
      <c r="CT20" s="695">
        <v>0</v>
      </c>
      <c r="CU20" s="587">
        <f>ROUND(20.16*2.35*0,0)</f>
        <v>0</v>
      </c>
      <c r="CV20" s="695">
        <v>0</v>
      </c>
      <c r="CW20" s="587">
        <f>ROUND(20.16*2.35*0,0)</f>
        <v>0</v>
      </c>
      <c r="CX20" s="695">
        <v>0</v>
      </c>
      <c r="CY20" s="587">
        <f>ROUND(20.16*2.35*0,0)</f>
        <v>0</v>
      </c>
      <c r="CZ20" s="695">
        <v>0</v>
      </c>
      <c r="DA20" s="587">
        <f>ROUND(20.16*2.35*0,0)</f>
        <v>0</v>
      </c>
      <c r="DB20" s="695">
        <v>0</v>
      </c>
      <c r="DC20" s="587">
        <f>ROUND(20.16*2.35*0,0)</f>
        <v>0</v>
      </c>
      <c r="DD20" s="695">
        <v>0</v>
      </c>
      <c r="DE20" s="589">
        <f>ROUND(20.16*2.35*0,0)</f>
        <v>0</v>
      </c>
      <c r="DF20" s="562"/>
      <c r="DG20" s="552"/>
      <c r="DH20" s="700" t="s">
        <v>250</v>
      </c>
      <c r="DI20" s="691"/>
      <c r="DJ20" s="583">
        <v>20.16</v>
      </c>
      <c r="DK20" s="692">
        <v>2.35</v>
      </c>
      <c r="DL20" s="693"/>
      <c r="DM20" s="694">
        <v>0</v>
      </c>
      <c r="DN20" s="587">
        <f>ROUND(20.16*2.35*0,0)</f>
        <v>0</v>
      </c>
      <c r="DO20" s="695">
        <v>0</v>
      </c>
      <c r="DP20" s="587">
        <f>ROUND(20.16*2.35*0,0)</f>
        <v>0</v>
      </c>
      <c r="DQ20" s="695">
        <v>0</v>
      </c>
      <c r="DR20" s="587">
        <f>ROUND(20.16*2.35*0,0)</f>
        <v>0</v>
      </c>
      <c r="DS20" s="695">
        <v>0</v>
      </c>
      <c r="DT20" s="587">
        <f>ROUND(20.16*2.35*0,0)</f>
        <v>0</v>
      </c>
      <c r="DU20" s="695">
        <v>0</v>
      </c>
      <c r="DV20" s="587">
        <f>ROUND(20.16*2.35*0,0)</f>
        <v>0</v>
      </c>
      <c r="DW20" s="695">
        <v>0</v>
      </c>
      <c r="DX20" s="587">
        <f>ROUND(20.16*2.35*0,0)</f>
        <v>0</v>
      </c>
      <c r="DY20" s="695">
        <v>0</v>
      </c>
      <c r="DZ20" s="587">
        <f>ROUND(20.16*2.35*0,0)</f>
        <v>0</v>
      </c>
      <c r="EA20" s="695">
        <v>0</v>
      </c>
      <c r="EB20" s="587">
        <f>ROUND(20.16*2.35*0,0)</f>
        <v>0</v>
      </c>
      <c r="EC20" s="695">
        <v>0.2</v>
      </c>
      <c r="ED20" s="587">
        <f>ROUND(20.16*2.35*0.2,0)</f>
        <v>9</v>
      </c>
      <c r="EE20" s="695">
        <v>0.6</v>
      </c>
      <c r="EF20" s="587">
        <f>ROUND(20.16*2.35*0.6,0)</f>
        <v>28</v>
      </c>
      <c r="EG20" s="695">
        <v>0.9</v>
      </c>
      <c r="EH20" s="587">
        <f>ROUND(20.16*2.35*0.9,0)</f>
        <v>43</v>
      </c>
      <c r="EI20" s="695">
        <v>1.1000000000000001</v>
      </c>
      <c r="EJ20" s="587">
        <f>ROUND(20.16*2.35*1.1,0)</f>
        <v>52</v>
      </c>
      <c r="EK20" s="695">
        <v>1.1000000000000001</v>
      </c>
      <c r="EL20" s="587">
        <f>ROUND(20.16*2.35*1.1,0)</f>
        <v>52</v>
      </c>
      <c r="EM20" s="695">
        <v>1</v>
      </c>
      <c r="EN20" s="587">
        <f>ROUND(20.16*2.35*1,0)</f>
        <v>47</v>
      </c>
      <c r="EO20" s="695">
        <v>0.9</v>
      </c>
      <c r="EP20" s="587">
        <f>ROUND(20.16*2.35*0.9,0)</f>
        <v>43</v>
      </c>
      <c r="EQ20" s="695">
        <v>0.8</v>
      </c>
      <c r="ER20" s="587">
        <f>ROUND(20.16*2.35*0.8,0)</f>
        <v>38</v>
      </c>
      <c r="ES20" s="695">
        <v>0.5</v>
      </c>
      <c r="ET20" s="587">
        <f>ROUND(20.16*2.35*0.5,0)</f>
        <v>24</v>
      </c>
      <c r="EU20" s="695">
        <v>0.2</v>
      </c>
      <c r="EV20" s="587">
        <f>ROUND(20.16*2.35*0.2,0)</f>
        <v>9</v>
      </c>
      <c r="EW20" s="695">
        <v>0</v>
      </c>
      <c r="EX20" s="587">
        <f>ROUND(20.16*2.35*0,0)</f>
        <v>0</v>
      </c>
      <c r="EY20" s="695">
        <v>0</v>
      </c>
      <c r="EZ20" s="587">
        <f>ROUND(20.16*2.35*0,0)</f>
        <v>0</v>
      </c>
      <c r="FA20" s="695">
        <v>0</v>
      </c>
      <c r="FB20" s="587">
        <f>ROUND(20.16*2.35*0,0)</f>
        <v>0</v>
      </c>
      <c r="FC20" s="695">
        <v>0</v>
      </c>
      <c r="FD20" s="587">
        <f>ROUND(20.16*2.35*0,0)</f>
        <v>0</v>
      </c>
      <c r="FE20" s="695">
        <v>0</v>
      </c>
      <c r="FF20" s="587">
        <f>ROUND(20.16*2.35*0,0)</f>
        <v>0</v>
      </c>
      <c r="FG20" s="695">
        <v>0</v>
      </c>
      <c r="FH20" s="589">
        <f>ROUND(20.16*2.35*0,0)</f>
        <v>0</v>
      </c>
      <c r="FI20" s="563"/>
      <c r="FJ20" s="564"/>
      <c r="FK20" s="700" t="s">
        <v>250</v>
      </c>
      <c r="FL20" s="691"/>
      <c r="FM20" s="583">
        <v>20.16</v>
      </c>
      <c r="FN20" s="692">
        <v>2.35</v>
      </c>
      <c r="FO20" s="693"/>
      <c r="FP20" s="696">
        <v>9</v>
      </c>
      <c r="FQ20" s="697">
        <v>5.0999999999999996</v>
      </c>
      <c r="FR20" s="587">
        <f>ROUND(20.16*2.35*5.1,0)</f>
        <v>242</v>
      </c>
      <c r="FS20" s="698">
        <v>9</v>
      </c>
      <c r="FT20" s="697">
        <v>5.2</v>
      </c>
      <c r="FU20" s="592">
        <f>ROUND(20.16*2.35*5.2,0)</f>
        <v>246</v>
      </c>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t="s">
        <v>238</v>
      </c>
      <c r="C21" s="691"/>
      <c r="D21" s="583">
        <v>71.2</v>
      </c>
      <c r="E21" s="692">
        <v>0.47</v>
      </c>
      <c r="F21" s="693"/>
      <c r="G21" s="694">
        <v>0</v>
      </c>
      <c r="H21" s="587">
        <f>ROUND(71.2*0.47*0,0)</f>
        <v>0</v>
      </c>
      <c r="I21" s="695">
        <v>0</v>
      </c>
      <c r="J21" s="587">
        <f>ROUND(71.2*0.47*0,0)</f>
        <v>0</v>
      </c>
      <c r="K21" s="695">
        <v>0</v>
      </c>
      <c r="L21" s="587">
        <f>ROUND(71.2*0.47*0,0)</f>
        <v>0</v>
      </c>
      <c r="M21" s="695">
        <v>0</v>
      </c>
      <c r="N21" s="587">
        <f>ROUND(71.2*0.47*0,0)</f>
        <v>0</v>
      </c>
      <c r="O21" s="695">
        <v>0</v>
      </c>
      <c r="P21" s="587">
        <f>ROUND(71.2*0.47*0,0)</f>
        <v>0</v>
      </c>
      <c r="Q21" s="695">
        <v>0</v>
      </c>
      <c r="R21" s="587">
        <f>ROUND(71.2*0.47*0,0)</f>
        <v>0</v>
      </c>
      <c r="S21" s="695">
        <v>0</v>
      </c>
      <c r="T21" s="587">
        <f>ROUND(71.2*0.47*0,0)</f>
        <v>0</v>
      </c>
      <c r="U21" s="695">
        <v>0</v>
      </c>
      <c r="V21" s="587">
        <f>ROUND(71.2*0.47*0,0)</f>
        <v>0</v>
      </c>
      <c r="W21" s="695">
        <v>3.3</v>
      </c>
      <c r="X21" s="587">
        <f>ROUND(71.2*0.47*3.3,0)</f>
        <v>110</v>
      </c>
      <c r="Y21" s="695">
        <v>3.2</v>
      </c>
      <c r="Z21" s="587">
        <f>ROUND(71.2*0.47*3.2,0)</f>
        <v>107</v>
      </c>
      <c r="AA21" s="695">
        <v>3.2</v>
      </c>
      <c r="AB21" s="587">
        <f>ROUND(71.2*0.47*3.2,0)</f>
        <v>107</v>
      </c>
      <c r="AC21" s="695">
        <v>3.3</v>
      </c>
      <c r="AD21" s="587">
        <f>ROUND(71.2*0.47*3.3,0)</f>
        <v>110</v>
      </c>
      <c r="AE21" s="695">
        <v>3.7</v>
      </c>
      <c r="AF21" s="587">
        <f>ROUND(71.2*0.47*3.7,0)</f>
        <v>124</v>
      </c>
      <c r="AG21" s="695">
        <v>4.3</v>
      </c>
      <c r="AH21" s="587">
        <f>ROUND(71.2*0.47*4.3,0)</f>
        <v>144</v>
      </c>
      <c r="AI21" s="695">
        <v>5</v>
      </c>
      <c r="AJ21" s="587">
        <f>ROUND(71.2*0.47*5,0)</f>
        <v>167</v>
      </c>
      <c r="AK21" s="695">
        <v>5.8</v>
      </c>
      <c r="AL21" s="587">
        <f>ROUND(71.2*0.47*5.8,0)</f>
        <v>194</v>
      </c>
      <c r="AM21" s="695">
        <v>6.6</v>
      </c>
      <c r="AN21" s="587">
        <f>ROUND(71.2*0.47*6.6,0)</f>
        <v>221</v>
      </c>
      <c r="AO21" s="695">
        <v>7.4</v>
      </c>
      <c r="AP21" s="587">
        <f>ROUND(71.2*0.47*7.4,0)</f>
        <v>248</v>
      </c>
      <c r="AQ21" s="695">
        <v>0</v>
      </c>
      <c r="AR21" s="587">
        <f>ROUND(71.2*0.47*0,0)</f>
        <v>0</v>
      </c>
      <c r="AS21" s="695">
        <v>0</v>
      </c>
      <c r="AT21" s="587">
        <f>ROUND(71.2*0.47*0,0)</f>
        <v>0</v>
      </c>
      <c r="AU21" s="695">
        <v>0</v>
      </c>
      <c r="AV21" s="587">
        <f>ROUND(71.2*0.47*0,0)</f>
        <v>0</v>
      </c>
      <c r="AW21" s="695">
        <v>0</v>
      </c>
      <c r="AX21" s="587">
        <f>ROUND(71.2*0.47*0,0)</f>
        <v>0</v>
      </c>
      <c r="AY21" s="695">
        <v>0</v>
      </c>
      <c r="AZ21" s="587">
        <f>ROUND(71.2*0.47*0,0)</f>
        <v>0</v>
      </c>
      <c r="BA21" s="695">
        <v>0</v>
      </c>
      <c r="BB21" s="589">
        <f>ROUND(71.2*0.47*0,0)</f>
        <v>0</v>
      </c>
      <c r="BC21" s="562"/>
      <c r="BD21" s="552"/>
      <c r="BE21" s="700" t="s">
        <v>238</v>
      </c>
      <c r="BF21" s="691"/>
      <c r="BG21" s="583">
        <v>71.2</v>
      </c>
      <c r="BH21" s="692">
        <v>0.47</v>
      </c>
      <c r="BI21" s="693"/>
      <c r="BJ21" s="694">
        <v>0</v>
      </c>
      <c r="BK21" s="587">
        <f>ROUND(71.2*0.47*0,0)</f>
        <v>0</v>
      </c>
      <c r="BL21" s="695">
        <v>0</v>
      </c>
      <c r="BM21" s="587">
        <f>ROUND(71.2*0.47*0,0)</f>
        <v>0</v>
      </c>
      <c r="BN21" s="695">
        <v>0</v>
      </c>
      <c r="BO21" s="587">
        <f>ROUND(71.2*0.47*0,0)</f>
        <v>0</v>
      </c>
      <c r="BP21" s="695">
        <v>0</v>
      </c>
      <c r="BQ21" s="587">
        <f>ROUND(71.2*0.47*0,0)</f>
        <v>0</v>
      </c>
      <c r="BR21" s="695">
        <v>0</v>
      </c>
      <c r="BS21" s="587">
        <f>ROUND(71.2*0.47*0,0)</f>
        <v>0</v>
      </c>
      <c r="BT21" s="695">
        <v>0</v>
      </c>
      <c r="BU21" s="587">
        <f>ROUND(71.2*0.47*0,0)</f>
        <v>0</v>
      </c>
      <c r="BV21" s="695">
        <v>0</v>
      </c>
      <c r="BW21" s="587">
        <f>ROUND(71.2*0.47*0,0)</f>
        <v>0</v>
      </c>
      <c r="BX21" s="695">
        <v>0</v>
      </c>
      <c r="BY21" s="587">
        <f>ROUND(71.2*0.47*0,0)</f>
        <v>0</v>
      </c>
      <c r="BZ21" s="695">
        <v>3.2</v>
      </c>
      <c r="CA21" s="587">
        <f>ROUND(71.2*0.47*3.2,0)</f>
        <v>107</v>
      </c>
      <c r="CB21" s="695">
        <v>3</v>
      </c>
      <c r="CC21" s="587">
        <f>ROUND(71.2*0.47*3,0)</f>
        <v>100</v>
      </c>
      <c r="CD21" s="695">
        <v>3</v>
      </c>
      <c r="CE21" s="587">
        <f>ROUND(71.2*0.47*3,0)</f>
        <v>100</v>
      </c>
      <c r="CF21" s="695">
        <v>3.1</v>
      </c>
      <c r="CG21" s="587">
        <f>ROUND(71.2*0.47*3.1,0)</f>
        <v>104</v>
      </c>
      <c r="CH21" s="695">
        <v>3.4</v>
      </c>
      <c r="CI21" s="587">
        <f>ROUND(71.2*0.47*3.4,0)</f>
        <v>114</v>
      </c>
      <c r="CJ21" s="695">
        <v>4</v>
      </c>
      <c r="CK21" s="587">
        <f>ROUND(71.2*0.47*4,0)</f>
        <v>134</v>
      </c>
      <c r="CL21" s="695">
        <v>4.8</v>
      </c>
      <c r="CM21" s="587">
        <f>ROUND(71.2*0.47*4.8,0)</f>
        <v>161</v>
      </c>
      <c r="CN21" s="695">
        <v>5.8</v>
      </c>
      <c r="CO21" s="587">
        <f>ROUND(71.2*0.47*5.8,0)</f>
        <v>194</v>
      </c>
      <c r="CP21" s="695">
        <v>6.7</v>
      </c>
      <c r="CQ21" s="587">
        <f>ROUND(71.2*0.47*6.7,0)</f>
        <v>224</v>
      </c>
      <c r="CR21" s="695">
        <v>7.6</v>
      </c>
      <c r="CS21" s="587">
        <f>ROUND(71.2*0.47*7.6,0)</f>
        <v>254</v>
      </c>
      <c r="CT21" s="695">
        <v>0</v>
      </c>
      <c r="CU21" s="587">
        <f>ROUND(71.2*0.47*0,0)</f>
        <v>0</v>
      </c>
      <c r="CV21" s="695">
        <v>0</v>
      </c>
      <c r="CW21" s="587">
        <f>ROUND(71.2*0.47*0,0)</f>
        <v>0</v>
      </c>
      <c r="CX21" s="695">
        <v>0</v>
      </c>
      <c r="CY21" s="587">
        <f>ROUND(71.2*0.47*0,0)</f>
        <v>0</v>
      </c>
      <c r="CZ21" s="695">
        <v>0</v>
      </c>
      <c r="DA21" s="587">
        <f>ROUND(71.2*0.47*0,0)</f>
        <v>0</v>
      </c>
      <c r="DB21" s="695">
        <v>0</v>
      </c>
      <c r="DC21" s="587">
        <f>ROUND(71.2*0.47*0,0)</f>
        <v>0</v>
      </c>
      <c r="DD21" s="695">
        <v>0</v>
      </c>
      <c r="DE21" s="589">
        <f>ROUND(71.2*0.47*0,0)</f>
        <v>0</v>
      </c>
      <c r="DF21" s="562"/>
      <c r="DG21" s="552"/>
      <c r="DH21" s="700" t="s">
        <v>238</v>
      </c>
      <c r="DI21" s="691"/>
      <c r="DJ21" s="583">
        <v>71.2</v>
      </c>
      <c r="DK21" s="692">
        <v>0.47</v>
      </c>
      <c r="DL21" s="693"/>
      <c r="DM21" s="694">
        <v>0</v>
      </c>
      <c r="DN21" s="587">
        <f>ROUND(71.2*0.47*0,0)</f>
        <v>0</v>
      </c>
      <c r="DO21" s="695">
        <v>0</v>
      </c>
      <c r="DP21" s="587">
        <f>ROUND(71.2*0.47*0,0)</f>
        <v>0</v>
      </c>
      <c r="DQ21" s="695">
        <v>0</v>
      </c>
      <c r="DR21" s="587">
        <f>ROUND(71.2*0.47*0,0)</f>
        <v>0</v>
      </c>
      <c r="DS21" s="695">
        <v>0</v>
      </c>
      <c r="DT21" s="587">
        <f>ROUND(71.2*0.47*0,0)</f>
        <v>0</v>
      </c>
      <c r="DU21" s="695">
        <v>0</v>
      </c>
      <c r="DV21" s="587">
        <f>ROUND(71.2*0.47*0,0)</f>
        <v>0</v>
      </c>
      <c r="DW21" s="695">
        <v>0</v>
      </c>
      <c r="DX21" s="587">
        <f>ROUND(71.2*0.47*0,0)</f>
        <v>0</v>
      </c>
      <c r="DY21" s="695">
        <v>0</v>
      </c>
      <c r="DZ21" s="587">
        <f>ROUND(71.2*0.47*0,0)</f>
        <v>0</v>
      </c>
      <c r="EA21" s="695">
        <v>0</v>
      </c>
      <c r="EB21" s="587">
        <f>ROUND(71.2*0.47*0,0)</f>
        <v>0</v>
      </c>
      <c r="EC21" s="695">
        <v>1.8</v>
      </c>
      <c r="ED21" s="587">
        <f>ROUND(71.2*0.47*1.8,0)</f>
        <v>60</v>
      </c>
      <c r="EE21" s="695">
        <v>1.5</v>
      </c>
      <c r="EF21" s="587">
        <f>ROUND(71.2*0.47*1.5,0)</f>
        <v>50</v>
      </c>
      <c r="EG21" s="695">
        <v>1.4</v>
      </c>
      <c r="EH21" s="587">
        <f>ROUND(71.2*0.47*1.4,0)</f>
        <v>47</v>
      </c>
      <c r="EI21" s="695">
        <v>1.6</v>
      </c>
      <c r="EJ21" s="587">
        <f>ROUND(71.2*0.47*1.6,0)</f>
        <v>54</v>
      </c>
      <c r="EK21" s="695">
        <v>2.1</v>
      </c>
      <c r="EL21" s="587">
        <f>ROUND(71.2*0.47*2.1,0)</f>
        <v>70</v>
      </c>
      <c r="EM21" s="695">
        <v>2.9</v>
      </c>
      <c r="EN21" s="587">
        <f>ROUND(71.2*0.47*2.9,0)</f>
        <v>97</v>
      </c>
      <c r="EO21" s="695">
        <v>4</v>
      </c>
      <c r="EP21" s="587">
        <f>ROUND(71.2*0.47*4,0)</f>
        <v>134</v>
      </c>
      <c r="EQ21" s="695">
        <v>5.3</v>
      </c>
      <c r="ER21" s="587">
        <f>ROUND(71.2*0.47*5.3,0)</f>
        <v>177</v>
      </c>
      <c r="ES21" s="695">
        <v>6.5</v>
      </c>
      <c r="ET21" s="587">
        <f>ROUND(71.2*0.47*6.5,0)</f>
        <v>218</v>
      </c>
      <c r="EU21" s="695">
        <v>7.6</v>
      </c>
      <c r="EV21" s="587">
        <f>ROUND(71.2*0.47*7.6,0)</f>
        <v>254</v>
      </c>
      <c r="EW21" s="695">
        <v>0</v>
      </c>
      <c r="EX21" s="587">
        <f>ROUND(71.2*0.47*0,0)</f>
        <v>0</v>
      </c>
      <c r="EY21" s="695">
        <v>0</v>
      </c>
      <c r="EZ21" s="587">
        <f>ROUND(71.2*0.47*0,0)</f>
        <v>0</v>
      </c>
      <c r="FA21" s="695">
        <v>0</v>
      </c>
      <c r="FB21" s="587">
        <f>ROUND(71.2*0.47*0,0)</f>
        <v>0</v>
      </c>
      <c r="FC21" s="695">
        <v>0</v>
      </c>
      <c r="FD21" s="587">
        <f>ROUND(71.2*0.47*0,0)</f>
        <v>0</v>
      </c>
      <c r="FE21" s="695">
        <v>0</v>
      </c>
      <c r="FF21" s="587">
        <f>ROUND(71.2*0.47*0,0)</f>
        <v>0</v>
      </c>
      <c r="FG21" s="695">
        <v>0</v>
      </c>
      <c r="FH21" s="589">
        <f>ROUND(71.2*0.47*0,0)</f>
        <v>0</v>
      </c>
      <c r="FI21" s="563"/>
      <c r="FJ21" s="564"/>
      <c r="FK21" s="700" t="s">
        <v>238</v>
      </c>
      <c r="FL21" s="691"/>
      <c r="FM21" s="583">
        <v>71.2</v>
      </c>
      <c r="FN21" s="692">
        <v>0.47</v>
      </c>
      <c r="FO21" s="693"/>
      <c r="FP21" s="696">
        <v>9</v>
      </c>
      <c r="FQ21" s="697">
        <v>17</v>
      </c>
      <c r="FR21" s="587">
        <f>ROUND(71.2*0.47*17,0)</f>
        <v>569</v>
      </c>
      <c r="FS21" s="698">
        <v>9</v>
      </c>
      <c r="FT21" s="697">
        <v>17.5</v>
      </c>
      <c r="FU21" s="592">
        <f>ROUND(71.2*0.47*17.5,0)</f>
        <v>586</v>
      </c>
      <c r="FV21" s="593"/>
      <c r="FW21" s="594"/>
      <c r="FX21" s="595"/>
      <c r="FY21" s="596"/>
      <c r="FZ21" s="597"/>
      <c r="GA21" s="598"/>
      <c r="GB21" s="599"/>
      <c r="GC21" s="600"/>
      <c r="GD21" s="599"/>
      <c r="GE21" s="601"/>
      <c r="GF21" s="688"/>
      <c r="GG21" s="602"/>
      <c r="GH21" s="602"/>
      <c r="GI21" s="602"/>
      <c r="GJ21" s="409"/>
      <c r="GK21" s="701" t="s">
        <v>536</v>
      </c>
      <c r="GL21" s="702"/>
      <c r="GM21" s="703"/>
      <c r="GN21" s="638">
        <v>18.899999999999999</v>
      </c>
      <c r="GO21" s="704"/>
      <c r="GP21" s="705"/>
      <c r="GQ21" s="633">
        <v>0</v>
      </c>
      <c r="GR21" s="634">
        <v>18.899999999999999</v>
      </c>
      <c r="GS21" s="578"/>
      <c r="GT21" s="677"/>
      <c r="GU21" s="701" t="s">
        <v>536</v>
      </c>
      <c r="GV21" s="702"/>
      <c r="GW21" s="703"/>
      <c r="GX21" s="706">
        <v>18.899999999999999</v>
      </c>
      <c r="GY21" s="707"/>
      <c r="GZ21" s="704"/>
      <c r="HA21" s="708">
        <v>9.4499999999999993</v>
      </c>
      <c r="HB21" s="709"/>
      <c r="HC21" s="710"/>
      <c r="HD21" s="562"/>
      <c r="HE21" s="615"/>
      <c r="HF21" s="615"/>
      <c r="HG21" s="415"/>
    </row>
    <row r="22" spans="1:218" ht="20.100000000000001" customHeight="1">
      <c r="A22" s="552"/>
      <c r="B22" s="700" t="s">
        <v>261</v>
      </c>
      <c r="C22" s="691"/>
      <c r="D22" s="583">
        <v>71.2</v>
      </c>
      <c r="E22" s="692">
        <v>2.84</v>
      </c>
      <c r="F22" s="693"/>
      <c r="G22" s="694">
        <v>0</v>
      </c>
      <c r="H22" s="587">
        <f>ROUND(71.2*2.84*0,0)</f>
        <v>0</v>
      </c>
      <c r="I22" s="695">
        <v>0</v>
      </c>
      <c r="J22" s="587">
        <f>ROUND(71.2*2.84*0,0)</f>
        <v>0</v>
      </c>
      <c r="K22" s="695">
        <v>0</v>
      </c>
      <c r="L22" s="587">
        <f>ROUND(71.2*2.84*0,0)</f>
        <v>0</v>
      </c>
      <c r="M22" s="695">
        <v>0</v>
      </c>
      <c r="N22" s="587">
        <f>ROUND(71.2*2.84*0,0)</f>
        <v>0</v>
      </c>
      <c r="O22" s="695">
        <v>0</v>
      </c>
      <c r="P22" s="587">
        <f>ROUND(71.2*2.84*0,0)</f>
        <v>0</v>
      </c>
      <c r="Q22" s="695">
        <v>0</v>
      </c>
      <c r="R22" s="587">
        <f>ROUND(71.2*2.84*0,0)</f>
        <v>0</v>
      </c>
      <c r="S22" s="695">
        <v>0</v>
      </c>
      <c r="T22" s="587">
        <f>ROUND(71.2*2.84*0,0)</f>
        <v>0</v>
      </c>
      <c r="U22" s="695">
        <v>0</v>
      </c>
      <c r="V22" s="587">
        <f>ROUND(71.2*2.84*0,0)</f>
        <v>0</v>
      </c>
      <c r="W22" s="695">
        <v>1</v>
      </c>
      <c r="X22" s="587">
        <f>ROUND(71.2*2.84*1,0)</f>
        <v>202</v>
      </c>
      <c r="Y22" s="695">
        <v>1.3</v>
      </c>
      <c r="Z22" s="587">
        <f>ROUND(71.2*2.84*1.3,0)</f>
        <v>263</v>
      </c>
      <c r="AA22" s="695">
        <v>1.6</v>
      </c>
      <c r="AB22" s="587">
        <f>ROUND(71.2*2.84*1.6,0)</f>
        <v>324</v>
      </c>
      <c r="AC22" s="695">
        <v>1.7</v>
      </c>
      <c r="AD22" s="587">
        <f>ROUND(71.2*2.84*1.7,0)</f>
        <v>344</v>
      </c>
      <c r="AE22" s="695">
        <v>1.8</v>
      </c>
      <c r="AF22" s="587">
        <f>ROUND(71.2*2.84*1.8,0)</f>
        <v>364</v>
      </c>
      <c r="AG22" s="695">
        <v>1.8</v>
      </c>
      <c r="AH22" s="587">
        <f>ROUND(71.2*2.84*1.8,0)</f>
        <v>364</v>
      </c>
      <c r="AI22" s="695">
        <v>1.6</v>
      </c>
      <c r="AJ22" s="587">
        <f>ROUND(71.2*2.84*1.6,0)</f>
        <v>324</v>
      </c>
      <c r="AK22" s="695">
        <v>1.5</v>
      </c>
      <c r="AL22" s="587">
        <f>ROUND(71.2*2.84*1.5,0)</f>
        <v>303</v>
      </c>
      <c r="AM22" s="695">
        <v>1.2</v>
      </c>
      <c r="AN22" s="587">
        <f>ROUND(71.2*2.84*1.2,0)</f>
        <v>243</v>
      </c>
      <c r="AO22" s="695">
        <v>1</v>
      </c>
      <c r="AP22" s="587">
        <f>ROUND(71.2*2.84*1,0)</f>
        <v>202</v>
      </c>
      <c r="AQ22" s="695">
        <v>0</v>
      </c>
      <c r="AR22" s="587">
        <f>ROUND(71.2*2.84*0,0)</f>
        <v>0</v>
      </c>
      <c r="AS22" s="695">
        <v>0</v>
      </c>
      <c r="AT22" s="587">
        <f>ROUND(71.2*2.84*0,0)</f>
        <v>0</v>
      </c>
      <c r="AU22" s="695">
        <v>0</v>
      </c>
      <c r="AV22" s="587">
        <f>ROUND(71.2*2.84*0,0)</f>
        <v>0</v>
      </c>
      <c r="AW22" s="695">
        <v>0</v>
      </c>
      <c r="AX22" s="587">
        <f>ROUND(71.2*2.84*0,0)</f>
        <v>0</v>
      </c>
      <c r="AY22" s="695">
        <v>0</v>
      </c>
      <c r="AZ22" s="587">
        <f>ROUND(71.2*2.84*0,0)</f>
        <v>0</v>
      </c>
      <c r="BA22" s="695">
        <v>0</v>
      </c>
      <c r="BB22" s="589">
        <f>ROUND(71.2*2.84*0,0)</f>
        <v>0</v>
      </c>
      <c r="BC22" s="562"/>
      <c r="BD22" s="552"/>
      <c r="BE22" s="700" t="s">
        <v>261</v>
      </c>
      <c r="BF22" s="691"/>
      <c r="BG22" s="583">
        <v>71.2</v>
      </c>
      <c r="BH22" s="692">
        <v>2.84</v>
      </c>
      <c r="BI22" s="693"/>
      <c r="BJ22" s="694">
        <v>0</v>
      </c>
      <c r="BK22" s="587">
        <f>ROUND(71.2*2.84*0,0)</f>
        <v>0</v>
      </c>
      <c r="BL22" s="695">
        <v>0</v>
      </c>
      <c r="BM22" s="587">
        <f>ROUND(71.2*2.84*0,0)</f>
        <v>0</v>
      </c>
      <c r="BN22" s="695">
        <v>0</v>
      </c>
      <c r="BO22" s="587">
        <f>ROUND(71.2*2.84*0,0)</f>
        <v>0</v>
      </c>
      <c r="BP22" s="695">
        <v>0</v>
      </c>
      <c r="BQ22" s="587">
        <f>ROUND(71.2*2.84*0,0)</f>
        <v>0</v>
      </c>
      <c r="BR22" s="695">
        <v>0</v>
      </c>
      <c r="BS22" s="587">
        <f>ROUND(71.2*2.84*0,0)</f>
        <v>0</v>
      </c>
      <c r="BT22" s="695">
        <v>0</v>
      </c>
      <c r="BU22" s="587">
        <f>ROUND(71.2*2.84*0,0)</f>
        <v>0</v>
      </c>
      <c r="BV22" s="695">
        <v>0</v>
      </c>
      <c r="BW22" s="587">
        <f>ROUND(71.2*2.84*0,0)</f>
        <v>0</v>
      </c>
      <c r="BX22" s="695">
        <v>0</v>
      </c>
      <c r="BY22" s="587">
        <f>ROUND(71.2*2.84*0,0)</f>
        <v>0</v>
      </c>
      <c r="BZ22" s="695">
        <v>0.9</v>
      </c>
      <c r="CA22" s="587">
        <f>ROUND(71.2*2.84*0.9,0)</f>
        <v>182</v>
      </c>
      <c r="CB22" s="695">
        <v>1.2</v>
      </c>
      <c r="CC22" s="587">
        <f>ROUND(71.2*2.84*1.2,0)</f>
        <v>243</v>
      </c>
      <c r="CD22" s="695">
        <v>1.5</v>
      </c>
      <c r="CE22" s="587">
        <f>ROUND(71.2*2.84*1.5,0)</f>
        <v>303</v>
      </c>
      <c r="CF22" s="695">
        <v>1.6</v>
      </c>
      <c r="CG22" s="587">
        <f>ROUND(71.2*2.84*1.6,0)</f>
        <v>324</v>
      </c>
      <c r="CH22" s="695">
        <v>1.7</v>
      </c>
      <c r="CI22" s="587">
        <f>ROUND(71.2*2.84*1.7,0)</f>
        <v>344</v>
      </c>
      <c r="CJ22" s="695">
        <v>1.6</v>
      </c>
      <c r="CK22" s="587">
        <f>ROUND(71.2*2.84*1.6,0)</f>
        <v>324</v>
      </c>
      <c r="CL22" s="695">
        <v>1.5</v>
      </c>
      <c r="CM22" s="587">
        <f>ROUND(71.2*2.84*1.5,0)</f>
        <v>303</v>
      </c>
      <c r="CN22" s="695">
        <v>1.3</v>
      </c>
      <c r="CO22" s="587">
        <f>ROUND(71.2*2.84*1.3,0)</f>
        <v>263</v>
      </c>
      <c r="CP22" s="695">
        <v>1.2</v>
      </c>
      <c r="CQ22" s="587">
        <f>ROUND(71.2*2.84*1.2,0)</f>
        <v>243</v>
      </c>
      <c r="CR22" s="695">
        <v>0.9</v>
      </c>
      <c r="CS22" s="587">
        <f>ROUND(71.2*2.84*0.9,0)</f>
        <v>182</v>
      </c>
      <c r="CT22" s="695">
        <v>0</v>
      </c>
      <c r="CU22" s="587">
        <f>ROUND(71.2*2.84*0,0)</f>
        <v>0</v>
      </c>
      <c r="CV22" s="695">
        <v>0</v>
      </c>
      <c r="CW22" s="587">
        <f>ROUND(71.2*2.84*0,0)</f>
        <v>0</v>
      </c>
      <c r="CX22" s="695">
        <v>0</v>
      </c>
      <c r="CY22" s="587">
        <f>ROUND(71.2*2.84*0,0)</f>
        <v>0</v>
      </c>
      <c r="CZ22" s="695">
        <v>0</v>
      </c>
      <c r="DA22" s="587">
        <f>ROUND(71.2*2.84*0,0)</f>
        <v>0</v>
      </c>
      <c r="DB22" s="695">
        <v>0</v>
      </c>
      <c r="DC22" s="587">
        <f>ROUND(71.2*2.84*0,0)</f>
        <v>0</v>
      </c>
      <c r="DD22" s="695">
        <v>0</v>
      </c>
      <c r="DE22" s="589">
        <f>ROUND(71.2*2.84*0,0)</f>
        <v>0</v>
      </c>
      <c r="DF22" s="562"/>
      <c r="DG22" s="552"/>
      <c r="DH22" s="700" t="s">
        <v>261</v>
      </c>
      <c r="DI22" s="691"/>
      <c r="DJ22" s="583">
        <v>71.2</v>
      </c>
      <c r="DK22" s="692">
        <v>2.84</v>
      </c>
      <c r="DL22" s="693"/>
      <c r="DM22" s="694">
        <v>0</v>
      </c>
      <c r="DN22" s="587">
        <f>ROUND(71.2*2.84*0,0)</f>
        <v>0</v>
      </c>
      <c r="DO22" s="695">
        <v>0</v>
      </c>
      <c r="DP22" s="587">
        <f>ROUND(71.2*2.84*0,0)</f>
        <v>0</v>
      </c>
      <c r="DQ22" s="695">
        <v>0</v>
      </c>
      <c r="DR22" s="587">
        <f>ROUND(71.2*2.84*0,0)</f>
        <v>0</v>
      </c>
      <c r="DS22" s="695">
        <v>0</v>
      </c>
      <c r="DT22" s="587">
        <f>ROUND(71.2*2.84*0,0)</f>
        <v>0</v>
      </c>
      <c r="DU22" s="695">
        <v>0</v>
      </c>
      <c r="DV22" s="587">
        <f>ROUND(71.2*2.84*0,0)</f>
        <v>0</v>
      </c>
      <c r="DW22" s="695">
        <v>0</v>
      </c>
      <c r="DX22" s="587">
        <f>ROUND(71.2*2.84*0,0)</f>
        <v>0</v>
      </c>
      <c r="DY22" s="695">
        <v>0</v>
      </c>
      <c r="DZ22" s="587">
        <f>ROUND(71.2*2.84*0,0)</f>
        <v>0</v>
      </c>
      <c r="EA22" s="695">
        <v>0</v>
      </c>
      <c r="EB22" s="587">
        <f>ROUND(71.2*2.84*0,0)</f>
        <v>0</v>
      </c>
      <c r="EC22" s="695">
        <v>0.2</v>
      </c>
      <c r="ED22" s="587">
        <f>ROUND(71.2*2.84*0.2,0)</f>
        <v>40</v>
      </c>
      <c r="EE22" s="695">
        <v>0.6</v>
      </c>
      <c r="EF22" s="587">
        <f>ROUND(71.2*2.84*0.6,0)</f>
        <v>121</v>
      </c>
      <c r="EG22" s="695">
        <v>0.9</v>
      </c>
      <c r="EH22" s="587">
        <f>ROUND(71.2*2.84*0.9,0)</f>
        <v>182</v>
      </c>
      <c r="EI22" s="695">
        <v>1.1000000000000001</v>
      </c>
      <c r="EJ22" s="587">
        <f>ROUND(71.2*2.84*1.1,0)</f>
        <v>222</v>
      </c>
      <c r="EK22" s="695">
        <v>1.1000000000000001</v>
      </c>
      <c r="EL22" s="587">
        <f>ROUND(71.2*2.84*1.1,0)</f>
        <v>222</v>
      </c>
      <c r="EM22" s="695">
        <v>1</v>
      </c>
      <c r="EN22" s="587">
        <f>ROUND(71.2*2.84*1,0)</f>
        <v>202</v>
      </c>
      <c r="EO22" s="695">
        <v>0.9</v>
      </c>
      <c r="EP22" s="587">
        <f>ROUND(71.2*2.84*0.9,0)</f>
        <v>182</v>
      </c>
      <c r="EQ22" s="695">
        <v>0.8</v>
      </c>
      <c r="ER22" s="587">
        <f>ROUND(71.2*2.84*0.8,0)</f>
        <v>162</v>
      </c>
      <c r="ES22" s="695">
        <v>0.5</v>
      </c>
      <c r="ET22" s="587">
        <f>ROUND(71.2*2.84*0.5,0)</f>
        <v>101</v>
      </c>
      <c r="EU22" s="695">
        <v>0.2</v>
      </c>
      <c r="EV22" s="587">
        <f>ROUND(71.2*2.84*0.2,0)</f>
        <v>40</v>
      </c>
      <c r="EW22" s="695">
        <v>0</v>
      </c>
      <c r="EX22" s="587">
        <f>ROUND(71.2*2.84*0,0)</f>
        <v>0</v>
      </c>
      <c r="EY22" s="695">
        <v>0</v>
      </c>
      <c r="EZ22" s="587">
        <f>ROUND(71.2*2.84*0,0)</f>
        <v>0</v>
      </c>
      <c r="FA22" s="695">
        <v>0</v>
      </c>
      <c r="FB22" s="587">
        <f>ROUND(71.2*2.84*0,0)</f>
        <v>0</v>
      </c>
      <c r="FC22" s="695">
        <v>0</v>
      </c>
      <c r="FD22" s="587">
        <f>ROUND(71.2*2.84*0,0)</f>
        <v>0</v>
      </c>
      <c r="FE22" s="695">
        <v>0</v>
      </c>
      <c r="FF22" s="587">
        <f>ROUND(71.2*2.84*0,0)</f>
        <v>0</v>
      </c>
      <c r="FG22" s="695">
        <v>0</v>
      </c>
      <c r="FH22" s="589">
        <f>ROUND(71.2*2.84*0,0)</f>
        <v>0</v>
      </c>
      <c r="FI22" s="563"/>
      <c r="FJ22" s="564"/>
      <c r="FK22" s="700" t="s">
        <v>261</v>
      </c>
      <c r="FL22" s="691"/>
      <c r="FM22" s="583">
        <v>71.2</v>
      </c>
      <c r="FN22" s="692">
        <v>2.84</v>
      </c>
      <c r="FO22" s="693"/>
      <c r="FP22" s="696">
        <v>9</v>
      </c>
      <c r="FQ22" s="697">
        <v>5.0999999999999996</v>
      </c>
      <c r="FR22" s="587">
        <f>ROUND(71.2*2.84*5.1,0)</f>
        <v>1031</v>
      </c>
      <c r="FS22" s="698">
        <v>9</v>
      </c>
      <c r="FT22" s="697">
        <v>5.2</v>
      </c>
      <c r="FU22" s="592">
        <f>ROUND(71.2*2.84*5.2,0)</f>
        <v>1051</v>
      </c>
      <c r="FV22" s="593"/>
      <c r="FW22" s="594"/>
      <c r="FX22" s="595"/>
      <c r="FY22" s="596"/>
      <c r="FZ22" s="597"/>
      <c r="GA22" s="598"/>
      <c r="GB22" s="599"/>
      <c r="GC22" s="600"/>
      <c r="GD22" s="599"/>
      <c r="GE22" s="601"/>
      <c r="GF22" s="688"/>
      <c r="GG22" s="602"/>
      <c r="GH22" s="602"/>
      <c r="GI22" s="602"/>
      <c r="GJ22" s="530"/>
      <c r="GK22" s="711" t="s">
        <v>700</v>
      </c>
      <c r="GL22" s="712"/>
      <c r="GM22" s="712"/>
      <c r="GN22" s="713"/>
      <c r="GO22" s="633">
        <v>0</v>
      </c>
      <c r="GP22" s="633">
        <v>1</v>
      </c>
      <c r="GQ22" s="714"/>
      <c r="GR22" s="715"/>
      <c r="GS22" s="578"/>
      <c r="GT22" s="677"/>
      <c r="GU22" s="711" t="s">
        <v>539</v>
      </c>
      <c r="GV22" s="712"/>
      <c r="GW22" s="712"/>
      <c r="GX22" s="712"/>
      <c r="GY22" s="713"/>
      <c r="GZ22" s="633">
        <v>0.5</v>
      </c>
      <c r="HA22" s="716"/>
      <c r="HB22" s="717"/>
      <c r="HC22" s="413"/>
      <c r="HD22" s="562"/>
      <c r="HE22" s="415"/>
      <c r="HF22" s="415"/>
      <c r="HG22" s="415"/>
    </row>
    <row r="23" spans="1:218" ht="20.100000000000001" customHeight="1">
      <c r="A23" s="552"/>
      <c r="B23" s="700"/>
      <c r="C23" s="691"/>
      <c r="D23" s="583"/>
      <c r="E23" s="692"/>
      <c r="F23" s="693"/>
      <c r="G23" s="694"/>
      <c r="H23" s="587"/>
      <c r="I23" s="695"/>
      <c r="J23" s="587"/>
      <c r="K23" s="695"/>
      <c r="L23" s="587"/>
      <c r="M23" s="695"/>
      <c r="N23" s="587"/>
      <c r="O23" s="695"/>
      <c r="P23" s="587"/>
      <c r="Q23" s="695"/>
      <c r="R23" s="587"/>
      <c r="S23" s="695"/>
      <c r="T23" s="587"/>
      <c r="U23" s="695"/>
      <c r="V23" s="587"/>
      <c r="W23" s="695"/>
      <c r="X23" s="587"/>
      <c r="Y23" s="695"/>
      <c r="Z23" s="587"/>
      <c r="AA23" s="695"/>
      <c r="AB23" s="587"/>
      <c r="AC23" s="695"/>
      <c r="AD23" s="587"/>
      <c r="AE23" s="695"/>
      <c r="AF23" s="587"/>
      <c r="AG23" s="695"/>
      <c r="AH23" s="587"/>
      <c r="AI23" s="695"/>
      <c r="AJ23" s="587"/>
      <c r="AK23" s="695"/>
      <c r="AL23" s="587"/>
      <c r="AM23" s="695"/>
      <c r="AN23" s="587"/>
      <c r="AO23" s="695"/>
      <c r="AP23" s="587"/>
      <c r="AQ23" s="695"/>
      <c r="AR23" s="587"/>
      <c r="AS23" s="695"/>
      <c r="AT23" s="587"/>
      <c r="AU23" s="695"/>
      <c r="AV23" s="587"/>
      <c r="AW23" s="695"/>
      <c r="AX23" s="587"/>
      <c r="AY23" s="695"/>
      <c r="AZ23" s="587"/>
      <c r="BA23" s="695"/>
      <c r="BB23" s="589"/>
      <c r="BC23" s="562"/>
      <c r="BD23" s="552"/>
      <c r="BE23" s="700"/>
      <c r="BF23" s="691"/>
      <c r="BG23" s="583"/>
      <c r="BH23" s="692"/>
      <c r="BI23" s="693"/>
      <c r="BJ23" s="694"/>
      <c r="BK23" s="587"/>
      <c r="BL23" s="695"/>
      <c r="BM23" s="587"/>
      <c r="BN23" s="695"/>
      <c r="BO23" s="587"/>
      <c r="BP23" s="695"/>
      <c r="BQ23" s="587"/>
      <c r="BR23" s="695"/>
      <c r="BS23" s="587"/>
      <c r="BT23" s="695"/>
      <c r="BU23" s="587"/>
      <c r="BV23" s="695"/>
      <c r="BW23" s="587"/>
      <c r="BX23" s="695"/>
      <c r="BY23" s="587"/>
      <c r="BZ23" s="695"/>
      <c r="CA23" s="587"/>
      <c r="CB23" s="695"/>
      <c r="CC23" s="587"/>
      <c r="CD23" s="695"/>
      <c r="CE23" s="587"/>
      <c r="CF23" s="695"/>
      <c r="CG23" s="587"/>
      <c r="CH23" s="695"/>
      <c r="CI23" s="587"/>
      <c r="CJ23" s="695"/>
      <c r="CK23" s="587"/>
      <c r="CL23" s="695"/>
      <c r="CM23" s="587"/>
      <c r="CN23" s="695"/>
      <c r="CO23" s="587"/>
      <c r="CP23" s="695"/>
      <c r="CQ23" s="587"/>
      <c r="CR23" s="695"/>
      <c r="CS23" s="587"/>
      <c r="CT23" s="695"/>
      <c r="CU23" s="587"/>
      <c r="CV23" s="695"/>
      <c r="CW23" s="587"/>
      <c r="CX23" s="695"/>
      <c r="CY23" s="587"/>
      <c r="CZ23" s="695"/>
      <c r="DA23" s="587"/>
      <c r="DB23" s="695"/>
      <c r="DC23" s="587"/>
      <c r="DD23" s="695"/>
      <c r="DE23" s="589"/>
      <c r="DF23" s="562"/>
      <c r="DG23" s="552"/>
      <c r="DH23" s="700"/>
      <c r="DI23" s="691"/>
      <c r="DJ23" s="583"/>
      <c r="DK23" s="692"/>
      <c r="DL23" s="693"/>
      <c r="DM23" s="694"/>
      <c r="DN23" s="587"/>
      <c r="DO23" s="695"/>
      <c r="DP23" s="587"/>
      <c r="DQ23" s="695"/>
      <c r="DR23" s="587"/>
      <c r="DS23" s="695"/>
      <c r="DT23" s="587"/>
      <c r="DU23" s="695"/>
      <c r="DV23" s="587"/>
      <c r="DW23" s="695"/>
      <c r="DX23" s="587"/>
      <c r="DY23" s="695"/>
      <c r="DZ23" s="587"/>
      <c r="EA23" s="695"/>
      <c r="EB23" s="587"/>
      <c r="EC23" s="695"/>
      <c r="ED23" s="587"/>
      <c r="EE23" s="695"/>
      <c r="EF23" s="587"/>
      <c r="EG23" s="695"/>
      <c r="EH23" s="587"/>
      <c r="EI23" s="695"/>
      <c r="EJ23" s="587"/>
      <c r="EK23" s="695"/>
      <c r="EL23" s="587"/>
      <c r="EM23" s="695"/>
      <c r="EN23" s="587"/>
      <c r="EO23" s="695"/>
      <c r="EP23" s="587"/>
      <c r="EQ23" s="695"/>
      <c r="ER23" s="587"/>
      <c r="ES23" s="695"/>
      <c r="ET23" s="587"/>
      <c r="EU23" s="695"/>
      <c r="EV23" s="587"/>
      <c r="EW23" s="695"/>
      <c r="EX23" s="587"/>
      <c r="EY23" s="695"/>
      <c r="EZ23" s="587"/>
      <c r="FA23" s="695"/>
      <c r="FB23" s="587"/>
      <c r="FC23" s="695"/>
      <c r="FD23" s="587"/>
      <c r="FE23" s="695"/>
      <c r="FF23" s="587"/>
      <c r="FG23" s="695"/>
      <c r="FH23" s="589"/>
      <c r="FI23" s="563"/>
      <c r="FJ23" s="564"/>
      <c r="FK23" s="700"/>
      <c r="FL23" s="691"/>
      <c r="FM23" s="583"/>
      <c r="FN23" s="692"/>
      <c r="FO23" s="693"/>
      <c r="FP23" s="696"/>
      <c r="FQ23" s="697"/>
      <c r="FR23" s="587"/>
      <c r="FS23" s="698"/>
      <c r="FT23" s="697"/>
      <c r="FU23" s="592"/>
      <c r="FV23" s="593"/>
      <c r="FW23" s="594"/>
      <c r="FX23" s="595"/>
      <c r="FY23" s="596"/>
      <c r="FZ23" s="597"/>
      <c r="GA23" s="598"/>
      <c r="GB23" s="599"/>
      <c r="GC23" s="600"/>
      <c r="GD23" s="599"/>
      <c r="GE23" s="601"/>
      <c r="GF23" s="688"/>
      <c r="GG23" s="602"/>
      <c r="GH23" s="602"/>
      <c r="GI23" s="602"/>
      <c r="GJ23" s="615"/>
      <c r="GK23" s="580" t="s">
        <v>701</v>
      </c>
      <c r="GL23" s="609"/>
      <c r="GM23" s="718"/>
      <c r="GN23" s="719">
        <v>71.19</v>
      </c>
      <c r="GO23" s="500" t="s">
        <v>904</v>
      </c>
      <c r="GP23" s="719"/>
      <c r="GQ23" s="609"/>
      <c r="GR23" s="615"/>
      <c r="GS23" s="578"/>
      <c r="GT23" s="677"/>
      <c r="GU23" s="609"/>
      <c r="GV23" s="530"/>
      <c r="GW23" s="609"/>
      <c r="GX23" s="609"/>
      <c r="GY23" s="720"/>
      <c r="GZ23" s="721"/>
      <c r="HA23" s="413"/>
      <c r="HB23" s="721" t="s">
        <v>702</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542</v>
      </c>
      <c r="GL24" s="609"/>
      <c r="GM24" s="718"/>
      <c r="GN24" s="719">
        <v>0.27</v>
      </c>
      <c r="GO24" s="719"/>
      <c r="GP24" s="719"/>
      <c r="GQ24" s="609"/>
      <c r="GR24" s="615"/>
      <c r="GS24" s="609"/>
      <c r="GT24" s="677"/>
      <c r="GU24" s="580" t="s">
        <v>704</v>
      </c>
      <c r="GV24" s="609"/>
      <c r="GW24" s="609"/>
      <c r="GX24" s="413"/>
      <c r="GY24" s="722">
        <v>614</v>
      </c>
      <c r="GZ24" s="580" t="s">
        <v>705</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544</v>
      </c>
      <c r="GV25" s="609"/>
      <c r="GW25" s="609"/>
      <c r="GX25" s="413"/>
      <c r="GY25" s="733">
        <v>1</v>
      </c>
      <c r="GZ25" s="580"/>
      <c r="HA25" s="530"/>
      <c r="HB25" s="530"/>
      <c r="HC25" s="530"/>
      <c r="HD25" s="562"/>
      <c r="HE25" s="562"/>
      <c r="HF25" s="415"/>
      <c r="HG25" s="415"/>
    </row>
    <row r="26" spans="1:218" ht="20.100000000000001" customHeight="1">
      <c r="A26" s="641"/>
      <c r="B26" s="642"/>
      <c r="C26" s="642"/>
      <c r="D26" s="642" t="s">
        <v>864</v>
      </c>
      <c r="E26" s="642"/>
      <c r="F26" s="642"/>
      <c r="G26" s="644"/>
      <c r="H26" s="645">
        <f>SUM(H16:H25)</f>
        <v>0</v>
      </c>
      <c r="I26" s="734"/>
      <c r="J26" s="645">
        <f>SUM(J16:J25)</f>
        <v>0</v>
      </c>
      <c r="K26" s="735"/>
      <c r="L26" s="645">
        <f>SUM(L16:L25)</f>
        <v>0</v>
      </c>
      <c r="M26" s="735"/>
      <c r="N26" s="645">
        <f>SUM(N16:N25)</f>
        <v>0</v>
      </c>
      <c r="O26" s="735"/>
      <c r="P26" s="645">
        <f>SUM(P16:P25)</f>
        <v>0</v>
      </c>
      <c r="Q26" s="735"/>
      <c r="R26" s="645">
        <f>SUM(R16:R25)</f>
        <v>0</v>
      </c>
      <c r="S26" s="735"/>
      <c r="T26" s="645">
        <f>SUM(T16:T25)</f>
        <v>0</v>
      </c>
      <c r="U26" s="735"/>
      <c r="V26" s="645">
        <f>SUM(V16:V25)</f>
        <v>0</v>
      </c>
      <c r="W26" s="735"/>
      <c r="X26" s="645">
        <f>SUM(X16:X25)</f>
        <v>713</v>
      </c>
      <c r="Y26" s="735"/>
      <c r="Z26" s="645">
        <f>SUM(Z16:Z25)</f>
        <v>934</v>
      </c>
      <c r="AA26" s="735"/>
      <c r="AB26" s="645">
        <f>SUM(AB16:AB25)</f>
        <v>1124</v>
      </c>
      <c r="AC26" s="735"/>
      <c r="AD26" s="645">
        <f>SUM(AD16:AD25)</f>
        <v>1253</v>
      </c>
      <c r="AE26" s="735"/>
      <c r="AF26" s="645">
        <f>SUM(AF16:AF25)</f>
        <v>1362</v>
      </c>
      <c r="AG26" s="735"/>
      <c r="AH26" s="645">
        <f>SUM(AH16:AH25)</f>
        <v>1435</v>
      </c>
      <c r="AI26" s="735"/>
      <c r="AJ26" s="645">
        <f>SUM(AJ16:AJ25)</f>
        <v>1408</v>
      </c>
      <c r="AK26" s="735"/>
      <c r="AL26" s="645">
        <f>SUM(AL16:AL25)</f>
        <v>1380</v>
      </c>
      <c r="AM26" s="735"/>
      <c r="AN26" s="645">
        <f>SUM(AN16:AN25)</f>
        <v>1242</v>
      </c>
      <c r="AO26" s="735"/>
      <c r="AP26" s="645">
        <f>SUM(AP16:AP25)</f>
        <v>1111</v>
      </c>
      <c r="AQ26" s="735"/>
      <c r="AR26" s="645">
        <f>SUM(AR16:AR25)</f>
        <v>0</v>
      </c>
      <c r="AS26" s="735"/>
      <c r="AT26" s="645">
        <f>SUM(AT16:AT25)</f>
        <v>0</v>
      </c>
      <c r="AU26" s="735"/>
      <c r="AV26" s="645">
        <f>SUM(AV16:AV25)</f>
        <v>0</v>
      </c>
      <c r="AW26" s="735"/>
      <c r="AX26" s="645">
        <f>SUM(AX16:AX25)</f>
        <v>0</v>
      </c>
      <c r="AY26" s="735"/>
      <c r="AZ26" s="645">
        <f>SUM(AZ16:AZ25)</f>
        <v>0</v>
      </c>
      <c r="BA26" s="735"/>
      <c r="BB26" s="647">
        <f>SUM(BB16:BB25)</f>
        <v>0</v>
      </c>
      <c r="BC26" s="648"/>
      <c r="BD26" s="641"/>
      <c r="BE26" s="642"/>
      <c r="BF26" s="642"/>
      <c r="BG26" s="642" t="s">
        <v>641</v>
      </c>
      <c r="BH26" s="642"/>
      <c r="BI26" s="642"/>
      <c r="BJ26" s="644"/>
      <c r="BK26" s="645">
        <f>SUM(BK16:BK25)</f>
        <v>0</v>
      </c>
      <c r="BL26" s="734"/>
      <c r="BM26" s="645">
        <f>SUM(BM16:BM25)</f>
        <v>0</v>
      </c>
      <c r="BN26" s="735"/>
      <c r="BO26" s="645">
        <f>SUM(BO16:BO25)</f>
        <v>0</v>
      </c>
      <c r="BP26" s="735"/>
      <c r="BQ26" s="645">
        <f>SUM(BQ16:BQ25)</f>
        <v>0</v>
      </c>
      <c r="BR26" s="735"/>
      <c r="BS26" s="645">
        <f>SUM(BS16:BS25)</f>
        <v>0</v>
      </c>
      <c r="BT26" s="735"/>
      <c r="BU26" s="645">
        <f>SUM(BU16:BU25)</f>
        <v>0</v>
      </c>
      <c r="BV26" s="735"/>
      <c r="BW26" s="645">
        <f>SUM(BW16:BW25)</f>
        <v>0</v>
      </c>
      <c r="BX26" s="735"/>
      <c r="BY26" s="645">
        <f>SUM(BY16:BY25)</f>
        <v>0</v>
      </c>
      <c r="BZ26" s="735"/>
      <c r="CA26" s="645">
        <f>SUM(CA16:CA25)</f>
        <v>656</v>
      </c>
      <c r="CB26" s="735"/>
      <c r="CC26" s="645">
        <f>SUM(CC16:CC25)</f>
        <v>854</v>
      </c>
      <c r="CD26" s="735"/>
      <c r="CE26" s="645">
        <f>SUM(CE16:CE25)</f>
        <v>1059</v>
      </c>
      <c r="CF26" s="735"/>
      <c r="CG26" s="645">
        <f>SUM(CG16:CG25)</f>
        <v>1187</v>
      </c>
      <c r="CH26" s="735"/>
      <c r="CI26" s="645">
        <f>SUM(CI16:CI25)</f>
        <v>1303</v>
      </c>
      <c r="CJ26" s="735"/>
      <c r="CK26" s="645">
        <f>SUM(CK16:CK25)</f>
        <v>1350</v>
      </c>
      <c r="CL26" s="735"/>
      <c r="CM26" s="645">
        <f>SUM(CM16:CM25)</f>
        <v>1370</v>
      </c>
      <c r="CN26" s="735"/>
      <c r="CO26" s="645">
        <f>SUM(CO16:CO25)</f>
        <v>1359</v>
      </c>
      <c r="CP26" s="735"/>
      <c r="CQ26" s="645">
        <f>SUM(CQ16:CQ25)</f>
        <v>1326</v>
      </c>
      <c r="CR26" s="735"/>
      <c r="CS26" s="645">
        <f>SUM(CS16:CS25)</f>
        <v>1173</v>
      </c>
      <c r="CT26" s="735"/>
      <c r="CU26" s="645">
        <f>SUM(CU16:CU25)</f>
        <v>0</v>
      </c>
      <c r="CV26" s="735"/>
      <c r="CW26" s="645">
        <f>SUM(CW16:CW25)</f>
        <v>0</v>
      </c>
      <c r="CX26" s="735"/>
      <c r="CY26" s="645">
        <f>SUM(CY16:CY25)</f>
        <v>0</v>
      </c>
      <c r="CZ26" s="735"/>
      <c r="DA26" s="645">
        <f>SUM(DA16:DA25)</f>
        <v>0</v>
      </c>
      <c r="DB26" s="735"/>
      <c r="DC26" s="645">
        <f>SUM(DC16:DC25)</f>
        <v>0</v>
      </c>
      <c r="DD26" s="735"/>
      <c r="DE26" s="647">
        <f>SUM(DE16:DE25)</f>
        <v>0</v>
      </c>
      <c r="DF26" s="648"/>
      <c r="DG26" s="641"/>
      <c r="DH26" s="642"/>
      <c r="DI26" s="642"/>
      <c r="DJ26" s="642" t="s">
        <v>864</v>
      </c>
      <c r="DK26" s="642"/>
      <c r="DL26" s="642"/>
      <c r="DM26" s="644"/>
      <c r="DN26" s="645">
        <f>SUM(DN16:DN25)</f>
        <v>0</v>
      </c>
      <c r="DO26" s="734"/>
      <c r="DP26" s="645">
        <f>SUM(DP16:DP25)</f>
        <v>0</v>
      </c>
      <c r="DQ26" s="735"/>
      <c r="DR26" s="645">
        <f>SUM(DR16:DR25)</f>
        <v>0</v>
      </c>
      <c r="DS26" s="735"/>
      <c r="DT26" s="645">
        <f>SUM(DT16:DT25)</f>
        <v>0</v>
      </c>
      <c r="DU26" s="735"/>
      <c r="DV26" s="645">
        <f>SUM(DV16:DV25)</f>
        <v>0</v>
      </c>
      <c r="DW26" s="735"/>
      <c r="DX26" s="645">
        <f>SUM(DX16:DX25)</f>
        <v>0</v>
      </c>
      <c r="DY26" s="735"/>
      <c r="DZ26" s="645">
        <f>SUM(DZ16:DZ25)</f>
        <v>0</v>
      </c>
      <c r="EA26" s="735"/>
      <c r="EB26" s="645">
        <f>SUM(EB16:EB25)</f>
        <v>0</v>
      </c>
      <c r="EC26" s="735"/>
      <c r="ED26" s="645">
        <f>SUM(ED16:ED25)</f>
        <v>176</v>
      </c>
      <c r="EE26" s="735"/>
      <c r="EF26" s="645">
        <f>SUM(EF16:EF25)</f>
        <v>439</v>
      </c>
      <c r="EG26" s="735"/>
      <c r="EH26" s="645">
        <f>SUM(EH16:EH25)</f>
        <v>664</v>
      </c>
      <c r="EI26" s="735"/>
      <c r="EJ26" s="645">
        <f>SUM(EJ16:EJ25)</f>
        <v>863</v>
      </c>
      <c r="EK26" s="735"/>
      <c r="EL26" s="645">
        <f>SUM(EL16:EL25)</f>
        <v>973</v>
      </c>
      <c r="EM26" s="735"/>
      <c r="EN26" s="645">
        <f>SUM(EN16:EN25)</f>
        <v>1024</v>
      </c>
      <c r="EO26" s="735"/>
      <c r="EP26" s="645">
        <f>SUM(EP16:EP25)</f>
        <v>1063</v>
      </c>
      <c r="EQ26" s="735"/>
      <c r="ER26" s="645">
        <f>SUM(ER16:ER25)</f>
        <v>1074</v>
      </c>
      <c r="ES26" s="735"/>
      <c r="ET26" s="645">
        <f>SUM(ET16:ET25)</f>
        <v>935</v>
      </c>
      <c r="EU26" s="735"/>
      <c r="EV26" s="645">
        <f>SUM(EV16:EV25)</f>
        <v>733</v>
      </c>
      <c r="EW26" s="735"/>
      <c r="EX26" s="645">
        <f>SUM(EX16:EX25)</f>
        <v>0</v>
      </c>
      <c r="EY26" s="735"/>
      <c r="EZ26" s="645">
        <f>SUM(EZ16:EZ25)</f>
        <v>0</v>
      </c>
      <c r="FA26" s="735"/>
      <c r="FB26" s="645">
        <f>SUM(FB16:FB25)</f>
        <v>0</v>
      </c>
      <c r="FC26" s="735"/>
      <c r="FD26" s="645">
        <f>SUM(FD16:FD25)</f>
        <v>0</v>
      </c>
      <c r="FE26" s="735"/>
      <c r="FF26" s="645">
        <f>SUM(FF16:FF25)</f>
        <v>0</v>
      </c>
      <c r="FG26" s="735"/>
      <c r="FH26" s="647">
        <f>SUM(FH16:FH25)</f>
        <v>0</v>
      </c>
      <c r="FI26" s="649"/>
      <c r="FJ26" s="564"/>
      <c r="FK26" s="642"/>
      <c r="FL26" s="642"/>
      <c r="FM26" s="642" t="s">
        <v>641</v>
      </c>
      <c r="FN26" s="642"/>
      <c r="FO26" s="642"/>
      <c r="FP26" s="650"/>
      <c r="FQ26" s="651"/>
      <c r="FR26" s="645">
        <f>SUM(FR16:FR25)</f>
        <v>3698</v>
      </c>
      <c r="FS26" s="736"/>
      <c r="FT26" s="651"/>
      <c r="FU26" s="653">
        <f>SUM(FU16:FU25)</f>
        <v>3795</v>
      </c>
      <c r="FV26" s="593"/>
      <c r="FW26" s="594"/>
      <c r="FX26" s="595"/>
      <c r="FY26" s="596"/>
      <c r="FZ26" s="597"/>
      <c r="GA26" s="598"/>
      <c r="GB26" s="599"/>
      <c r="GC26" s="600"/>
      <c r="GD26" s="599"/>
      <c r="GE26" s="601"/>
      <c r="GF26" s="654"/>
      <c r="GG26" s="655"/>
      <c r="GH26" s="655"/>
      <c r="GI26" s="655"/>
      <c r="GJ26" s="615"/>
      <c r="GK26" s="530" t="s">
        <v>545</v>
      </c>
      <c r="GL26" s="615"/>
      <c r="GM26" s="530"/>
      <c r="GN26" s="615"/>
      <c r="GO26" s="530"/>
      <c r="GP26" s="615"/>
      <c r="GQ26" s="615"/>
      <c r="GR26" s="615"/>
      <c r="GS26" s="579"/>
      <c r="GT26" s="677"/>
      <c r="GU26" s="580" t="s">
        <v>834</v>
      </c>
      <c r="GV26" s="609"/>
      <c r="GW26" s="609"/>
      <c r="GX26" s="413"/>
      <c r="GY26" s="733">
        <v>0.5</v>
      </c>
      <c r="GZ26" s="580"/>
      <c r="HA26" s="530"/>
      <c r="HB26" s="530"/>
      <c r="HC26" s="530"/>
      <c r="HD26" s="648"/>
      <c r="HE26" s="415"/>
      <c r="HF26" s="415"/>
      <c r="HG26" s="580"/>
      <c r="HH26" s="648"/>
      <c r="HI26" s="415"/>
      <c r="HJ26" s="415"/>
    </row>
    <row r="27" spans="1:218" ht="20.100000000000001" customHeight="1">
      <c r="A27" s="1292" t="s">
        <v>431</v>
      </c>
      <c r="B27" s="738"/>
      <c r="C27" s="739"/>
      <c r="D27" s="663"/>
      <c r="E27" s="739"/>
      <c r="F27" s="739"/>
      <c r="G27" s="740" t="s">
        <v>958</v>
      </c>
      <c r="H27" s="663" t="s">
        <v>428</v>
      </c>
      <c r="I27" s="741" t="s">
        <v>429</v>
      </c>
      <c r="J27" s="663" t="s">
        <v>428</v>
      </c>
      <c r="K27" s="742" t="s">
        <v>322</v>
      </c>
      <c r="L27" s="663" t="s">
        <v>428</v>
      </c>
      <c r="M27" s="742" t="s">
        <v>322</v>
      </c>
      <c r="N27" s="663" t="s">
        <v>430</v>
      </c>
      <c r="O27" s="742" t="s">
        <v>429</v>
      </c>
      <c r="P27" s="663" t="s">
        <v>428</v>
      </c>
      <c r="Q27" s="742" t="s">
        <v>322</v>
      </c>
      <c r="R27" s="663" t="s">
        <v>430</v>
      </c>
      <c r="S27" s="742" t="s">
        <v>322</v>
      </c>
      <c r="T27" s="663" t="s">
        <v>428</v>
      </c>
      <c r="U27" s="742" t="s">
        <v>429</v>
      </c>
      <c r="V27" s="663" t="s">
        <v>428</v>
      </c>
      <c r="W27" s="742" t="s">
        <v>322</v>
      </c>
      <c r="X27" s="663" t="s">
        <v>428</v>
      </c>
      <c r="Y27" s="742" t="s">
        <v>322</v>
      </c>
      <c r="Z27" s="663" t="s">
        <v>428</v>
      </c>
      <c r="AA27" s="742" t="s">
        <v>322</v>
      </c>
      <c r="AB27" s="663" t="s">
        <v>430</v>
      </c>
      <c r="AC27" s="742" t="s">
        <v>429</v>
      </c>
      <c r="AD27" s="663" t="s">
        <v>430</v>
      </c>
      <c r="AE27" s="742" t="s">
        <v>429</v>
      </c>
      <c r="AF27" s="663" t="s">
        <v>428</v>
      </c>
      <c r="AG27" s="742" t="s">
        <v>429</v>
      </c>
      <c r="AH27" s="663" t="s">
        <v>430</v>
      </c>
      <c r="AI27" s="742" t="s">
        <v>429</v>
      </c>
      <c r="AJ27" s="663" t="s">
        <v>430</v>
      </c>
      <c r="AK27" s="742" t="s">
        <v>429</v>
      </c>
      <c r="AL27" s="663" t="s">
        <v>428</v>
      </c>
      <c r="AM27" s="742" t="s">
        <v>429</v>
      </c>
      <c r="AN27" s="663" t="s">
        <v>430</v>
      </c>
      <c r="AO27" s="742" t="s">
        <v>429</v>
      </c>
      <c r="AP27" s="663" t="s">
        <v>428</v>
      </c>
      <c r="AQ27" s="742" t="s">
        <v>322</v>
      </c>
      <c r="AR27" s="663" t="s">
        <v>430</v>
      </c>
      <c r="AS27" s="742" t="s">
        <v>322</v>
      </c>
      <c r="AT27" s="663" t="s">
        <v>428</v>
      </c>
      <c r="AU27" s="742" t="s">
        <v>322</v>
      </c>
      <c r="AV27" s="663" t="s">
        <v>430</v>
      </c>
      <c r="AW27" s="742" t="s">
        <v>322</v>
      </c>
      <c r="AX27" s="663" t="s">
        <v>428</v>
      </c>
      <c r="AY27" s="742" t="s">
        <v>322</v>
      </c>
      <c r="AZ27" s="663" t="s">
        <v>428</v>
      </c>
      <c r="BA27" s="742" t="s">
        <v>429</v>
      </c>
      <c r="BB27" s="665" t="s">
        <v>430</v>
      </c>
      <c r="BC27" s="723"/>
      <c r="BD27" s="1292" t="s">
        <v>432</v>
      </c>
      <c r="BE27" s="738"/>
      <c r="BF27" s="739"/>
      <c r="BG27" s="663"/>
      <c r="BH27" s="739"/>
      <c r="BI27" s="739"/>
      <c r="BJ27" s="740" t="s">
        <v>322</v>
      </c>
      <c r="BK27" s="663" t="s">
        <v>428</v>
      </c>
      <c r="BL27" s="741" t="s">
        <v>429</v>
      </c>
      <c r="BM27" s="663" t="s">
        <v>430</v>
      </c>
      <c r="BN27" s="742" t="s">
        <v>429</v>
      </c>
      <c r="BO27" s="663" t="s">
        <v>428</v>
      </c>
      <c r="BP27" s="742" t="s">
        <v>322</v>
      </c>
      <c r="BQ27" s="663" t="s">
        <v>428</v>
      </c>
      <c r="BR27" s="742" t="s">
        <v>429</v>
      </c>
      <c r="BS27" s="663" t="s">
        <v>428</v>
      </c>
      <c r="BT27" s="742" t="s">
        <v>322</v>
      </c>
      <c r="BU27" s="663" t="s">
        <v>430</v>
      </c>
      <c r="BV27" s="742" t="s">
        <v>429</v>
      </c>
      <c r="BW27" s="663" t="s">
        <v>428</v>
      </c>
      <c r="BX27" s="742" t="s">
        <v>429</v>
      </c>
      <c r="BY27" s="663" t="s">
        <v>428</v>
      </c>
      <c r="BZ27" s="742" t="s">
        <v>322</v>
      </c>
      <c r="CA27" s="663" t="s">
        <v>428</v>
      </c>
      <c r="CB27" s="742" t="s">
        <v>429</v>
      </c>
      <c r="CC27" s="663" t="s">
        <v>430</v>
      </c>
      <c r="CD27" s="742" t="s">
        <v>429</v>
      </c>
      <c r="CE27" s="663" t="s">
        <v>428</v>
      </c>
      <c r="CF27" s="742" t="s">
        <v>429</v>
      </c>
      <c r="CG27" s="663" t="s">
        <v>428</v>
      </c>
      <c r="CH27" s="742" t="s">
        <v>429</v>
      </c>
      <c r="CI27" s="663" t="s">
        <v>428</v>
      </c>
      <c r="CJ27" s="742" t="s">
        <v>429</v>
      </c>
      <c r="CK27" s="663" t="s">
        <v>430</v>
      </c>
      <c r="CL27" s="742" t="s">
        <v>429</v>
      </c>
      <c r="CM27" s="663" t="s">
        <v>430</v>
      </c>
      <c r="CN27" s="742" t="s">
        <v>322</v>
      </c>
      <c r="CO27" s="663" t="s">
        <v>428</v>
      </c>
      <c r="CP27" s="742" t="s">
        <v>429</v>
      </c>
      <c r="CQ27" s="663" t="s">
        <v>430</v>
      </c>
      <c r="CR27" s="742" t="s">
        <v>322</v>
      </c>
      <c r="CS27" s="663" t="s">
        <v>430</v>
      </c>
      <c r="CT27" s="742" t="s">
        <v>429</v>
      </c>
      <c r="CU27" s="663" t="s">
        <v>428</v>
      </c>
      <c r="CV27" s="742" t="s">
        <v>429</v>
      </c>
      <c r="CW27" s="663" t="s">
        <v>430</v>
      </c>
      <c r="CX27" s="742" t="s">
        <v>429</v>
      </c>
      <c r="CY27" s="663" t="s">
        <v>430</v>
      </c>
      <c r="CZ27" s="742" t="s">
        <v>429</v>
      </c>
      <c r="DA27" s="663" t="s">
        <v>430</v>
      </c>
      <c r="DB27" s="742" t="s">
        <v>322</v>
      </c>
      <c r="DC27" s="663" t="s">
        <v>428</v>
      </c>
      <c r="DD27" s="742" t="s">
        <v>322</v>
      </c>
      <c r="DE27" s="665" t="s">
        <v>428</v>
      </c>
      <c r="DF27" s="723"/>
      <c r="DG27" s="1292" t="s">
        <v>431</v>
      </c>
      <c r="DH27" s="743"/>
      <c r="DI27" s="744"/>
      <c r="DJ27" s="745"/>
      <c r="DK27" s="744"/>
      <c r="DL27" s="744"/>
      <c r="DM27" s="740" t="s">
        <v>429</v>
      </c>
      <c r="DN27" s="663" t="s">
        <v>428</v>
      </c>
      <c r="DO27" s="741" t="s">
        <v>322</v>
      </c>
      <c r="DP27" s="663" t="s">
        <v>430</v>
      </c>
      <c r="DQ27" s="742" t="s">
        <v>429</v>
      </c>
      <c r="DR27" s="663" t="s">
        <v>428</v>
      </c>
      <c r="DS27" s="742" t="s">
        <v>429</v>
      </c>
      <c r="DT27" s="663" t="s">
        <v>428</v>
      </c>
      <c r="DU27" s="742" t="s">
        <v>429</v>
      </c>
      <c r="DV27" s="663" t="s">
        <v>430</v>
      </c>
      <c r="DW27" s="742" t="s">
        <v>429</v>
      </c>
      <c r="DX27" s="663" t="s">
        <v>430</v>
      </c>
      <c r="DY27" s="742" t="s">
        <v>429</v>
      </c>
      <c r="DZ27" s="663" t="s">
        <v>428</v>
      </c>
      <c r="EA27" s="742" t="s">
        <v>429</v>
      </c>
      <c r="EB27" s="663" t="s">
        <v>430</v>
      </c>
      <c r="EC27" s="742" t="s">
        <v>429</v>
      </c>
      <c r="ED27" s="663" t="s">
        <v>428</v>
      </c>
      <c r="EE27" s="742" t="s">
        <v>322</v>
      </c>
      <c r="EF27" s="663" t="s">
        <v>430</v>
      </c>
      <c r="EG27" s="742" t="s">
        <v>322</v>
      </c>
      <c r="EH27" s="663" t="s">
        <v>428</v>
      </c>
      <c r="EI27" s="742" t="s">
        <v>322</v>
      </c>
      <c r="EJ27" s="663" t="s">
        <v>430</v>
      </c>
      <c r="EK27" s="742" t="s">
        <v>322</v>
      </c>
      <c r="EL27" s="663" t="s">
        <v>428</v>
      </c>
      <c r="EM27" s="742" t="s">
        <v>322</v>
      </c>
      <c r="EN27" s="663" t="s">
        <v>428</v>
      </c>
      <c r="EO27" s="742" t="s">
        <v>429</v>
      </c>
      <c r="EP27" s="663" t="s">
        <v>430</v>
      </c>
      <c r="EQ27" s="742" t="s">
        <v>429</v>
      </c>
      <c r="ER27" s="663" t="s">
        <v>428</v>
      </c>
      <c r="ES27" s="742" t="s">
        <v>429</v>
      </c>
      <c r="ET27" s="663" t="s">
        <v>430</v>
      </c>
      <c r="EU27" s="742" t="s">
        <v>322</v>
      </c>
      <c r="EV27" s="663" t="s">
        <v>428</v>
      </c>
      <c r="EW27" s="742" t="s">
        <v>429</v>
      </c>
      <c r="EX27" s="663" t="s">
        <v>428</v>
      </c>
      <c r="EY27" s="742" t="s">
        <v>429</v>
      </c>
      <c r="EZ27" s="663" t="s">
        <v>430</v>
      </c>
      <c r="FA27" s="742" t="s">
        <v>429</v>
      </c>
      <c r="FB27" s="663" t="s">
        <v>428</v>
      </c>
      <c r="FC27" s="742" t="s">
        <v>322</v>
      </c>
      <c r="FD27" s="663" t="s">
        <v>428</v>
      </c>
      <c r="FE27" s="742" t="s">
        <v>429</v>
      </c>
      <c r="FF27" s="663" t="s">
        <v>428</v>
      </c>
      <c r="FG27" s="742" t="s">
        <v>429</v>
      </c>
      <c r="FH27" s="665" t="s">
        <v>428</v>
      </c>
      <c r="FI27" s="746"/>
      <c r="FJ27" s="542" t="s">
        <v>432</v>
      </c>
      <c r="FK27" s="743"/>
      <c r="FL27" s="744"/>
      <c r="FM27" s="745"/>
      <c r="FN27" s="744"/>
      <c r="FO27" s="744"/>
      <c r="FP27" s="747" t="s">
        <v>433</v>
      </c>
      <c r="FQ27" s="673" t="s">
        <v>429</v>
      </c>
      <c r="FR27" s="663" t="s">
        <v>434</v>
      </c>
      <c r="FS27" s="748" t="s">
        <v>433</v>
      </c>
      <c r="FT27" s="673" t="s">
        <v>429</v>
      </c>
      <c r="FU27" s="675" t="s">
        <v>451</v>
      </c>
      <c r="FV27" s="593"/>
      <c r="FW27" s="594"/>
      <c r="FX27" s="595"/>
      <c r="FY27" s="596"/>
      <c r="FZ27" s="597"/>
      <c r="GA27" s="598"/>
      <c r="GB27" s="599"/>
      <c r="GC27" s="600"/>
      <c r="GD27" s="599"/>
      <c r="GE27" s="601"/>
      <c r="GF27" s="749"/>
      <c r="GG27" s="750"/>
      <c r="GH27" s="750"/>
      <c r="GI27" s="750"/>
      <c r="GJ27" s="615"/>
      <c r="GK27" s="530" t="s">
        <v>779</v>
      </c>
      <c r="GL27" s="615"/>
      <c r="GM27" s="615"/>
      <c r="GN27" s="615"/>
      <c r="GO27" s="413"/>
      <c r="GP27" s="751">
        <v>27.3</v>
      </c>
      <c r="GQ27" s="413" t="s">
        <v>707</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437</v>
      </c>
      <c r="C28" s="753"/>
      <c r="D28" s="754">
        <v>55</v>
      </c>
      <c r="E28" s="755">
        <v>18</v>
      </c>
      <c r="F28" s="756" t="s">
        <v>436</v>
      </c>
      <c r="G28" s="757"/>
      <c r="H28" s="559"/>
      <c r="I28" s="758"/>
      <c r="J28" s="559"/>
      <c r="K28" s="758"/>
      <c r="L28" s="559"/>
      <c r="M28" s="758"/>
      <c r="N28" s="559"/>
      <c r="O28" s="758"/>
      <c r="P28" s="559"/>
      <c r="Q28" s="758"/>
      <c r="R28" s="559"/>
      <c r="S28" s="758"/>
      <c r="T28" s="559"/>
      <c r="U28" s="758"/>
      <c r="V28" s="559"/>
      <c r="W28" s="758">
        <v>1</v>
      </c>
      <c r="X28" s="559">
        <v>990</v>
      </c>
      <c r="Y28" s="758">
        <v>1</v>
      </c>
      <c r="Z28" s="559">
        <v>990</v>
      </c>
      <c r="AA28" s="758">
        <v>0.25</v>
      </c>
      <c r="AB28" s="559">
        <v>248</v>
      </c>
      <c r="AC28" s="758">
        <v>1</v>
      </c>
      <c r="AD28" s="559">
        <v>990</v>
      </c>
      <c r="AE28" s="758">
        <v>0.25</v>
      </c>
      <c r="AF28" s="559">
        <v>248</v>
      </c>
      <c r="AG28" s="758">
        <v>1</v>
      </c>
      <c r="AH28" s="559">
        <v>990</v>
      </c>
      <c r="AI28" s="758">
        <v>1</v>
      </c>
      <c r="AJ28" s="559">
        <v>990</v>
      </c>
      <c r="AK28" s="758">
        <v>1</v>
      </c>
      <c r="AL28" s="559">
        <v>990</v>
      </c>
      <c r="AM28" s="758">
        <v>1</v>
      </c>
      <c r="AN28" s="559">
        <v>990</v>
      </c>
      <c r="AO28" s="758">
        <v>1</v>
      </c>
      <c r="AP28" s="559">
        <v>990</v>
      </c>
      <c r="AQ28" s="758"/>
      <c r="AR28" s="559"/>
      <c r="AS28" s="758"/>
      <c r="AT28" s="559"/>
      <c r="AU28" s="758"/>
      <c r="AV28" s="559"/>
      <c r="AW28" s="758"/>
      <c r="AX28" s="559"/>
      <c r="AY28" s="758"/>
      <c r="AZ28" s="559"/>
      <c r="BA28" s="758"/>
      <c r="BB28" s="684"/>
      <c r="BC28" s="562"/>
      <c r="BD28" s="552"/>
      <c r="BE28" s="752" t="s">
        <v>435</v>
      </c>
      <c r="BF28" s="753"/>
      <c r="BG28" s="754">
        <v>55</v>
      </c>
      <c r="BH28" s="755">
        <v>18</v>
      </c>
      <c r="BI28" s="756" t="s">
        <v>436</v>
      </c>
      <c r="BJ28" s="757"/>
      <c r="BK28" s="559"/>
      <c r="BL28" s="758"/>
      <c r="BM28" s="559"/>
      <c r="BN28" s="758"/>
      <c r="BO28" s="559"/>
      <c r="BP28" s="758"/>
      <c r="BQ28" s="559"/>
      <c r="BR28" s="758"/>
      <c r="BS28" s="559"/>
      <c r="BT28" s="758"/>
      <c r="BU28" s="559"/>
      <c r="BV28" s="758"/>
      <c r="BW28" s="559"/>
      <c r="BX28" s="758"/>
      <c r="BY28" s="559"/>
      <c r="BZ28" s="758">
        <v>1</v>
      </c>
      <c r="CA28" s="559">
        <v>990</v>
      </c>
      <c r="CB28" s="758">
        <v>1</v>
      </c>
      <c r="CC28" s="559">
        <v>990</v>
      </c>
      <c r="CD28" s="758">
        <v>0.25</v>
      </c>
      <c r="CE28" s="559">
        <v>248</v>
      </c>
      <c r="CF28" s="758">
        <v>1</v>
      </c>
      <c r="CG28" s="559">
        <v>990</v>
      </c>
      <c r="CH28" s="758">
        <v>0.25</v>
      </c>
      <c r="CI28" s="559">
        <v>248</v>
      </c>
      <c r="CJ28" s="758">
        <v>1</v>
      </c>
      <c r="CK28" s="559">
        <v>990</v>
      </c>
      <c r="CL28" s="758">
        <v>1</v>
      </c>
      <c r="CM28" s="559">
        <v>990</v>
      </c>
      <c r="CN28" s="758">
        <v>1</v>
      </c>
      <c r="CO28" s="559">
        <v>990</v>
      </c>
      <c r="CP28" s="758">
        <v>1</v>
      </c>
      <c r="CQ28" s="559">
        <v>990</v>
      </c>
      <c r="CR28" s="758">
        <v>1</v>
      </c>
      <c r="CS28" s="559">
        <v>990</v>
      </c>
      <c r="CT28" s="758"/>
      <c r="CU28" s="559"/>
      <c r="CV28" s="758"/>
      <c r="CW28" s="559"/>
      <c r="CX28" s="758"/>
      <c r="CY28" s="559"/>
      <c r="CZ28" s="758"/>
      <c r="DA28" s="559"/>
      <c r="DB28" s="758"/>
      <c r="DC28" s="559"/>
      <c r="DD28" s="758"/>
      <c r="DE28" s="684"/>
      <c r="DF28" s="562"/>
      <c r="DG28" s="552"/>
      <c r="DH28" s="752" t="s">
        <v>437</v>
      </c>
      <c r="DI28" s="753"/>
      <c r="DJ28" s="754">
        <v>55</v>
      </c>
      <c r="DK28" s="755">
        <v>18</v>
      </c>
      <c r="DL28" s="756" t="s">
        <v>436</v>
      </c>
      <c r="DM28" s="757"/>
      <c r="DN28" s="559"/>
      <c r="DO28" s="758"/>
      <c r="DP28" s="559"/>
      <c r="DQ28" s="758"/>
      <c r="DR28" s="559"/>
      <c r="DS28" s="758"/>
      <c r="DT28" s="559"/>
      <c r="DU28" s="758"/>
      <c r="DV28" s="559"/>
      <c r="DW28" s="758"/>
      <c r="DX28" s="559"/>
      <c r="DY28" s="758"/>
      <c r="DZ28" s="559"/>
      <c r="EA28" s="758"/>
      <c r="EB28" s="559"/>
      <c r="EC28" s="758">
        <v>1</v>
      </c>
      <c r="ED28" s="559">
        <v>990</v>
      </c>
      <c r="EE28" s="758">
        <v>1</v>
      </c>
      <c r="EF28" s="559">
        <v>990</v>
      </c>
      <c r="EG28" s="758">
        <v>0.25</v>
      </c>
      <c r="EH28" s="559">
        <v>248</v>
      </c>
      <c r="EI28" s="758">
        <v>1</v>
      </c>
      <c r="EJ28" s="559">
        <v>990</v>
      </c>
      <c r="EK28" s="758">
        <v>0.25</v>
      </c>
      <c r="EL28" s="559">
        <v>248</v>
      </c>
      <c r="EM28" s="758">
        <v>1</v>
      </c>
      <c r="EN28" s="559">
        <v>990</v>
      </c>
      <c r="EO28" s="758">
        <v>1</v>
      </c>
      <c r="EP28" s="559">
        <v>990</v>
      </c>
      <c r="EQ28" s="758">
        <v>1</v>
      </c>
      <c r="ER28" s="559">
        <v>990</v>
      </c>
      <c r="ES28" s="758">
        <v>1</v>
      </c>
      <c r="ET28" s="559">
        <v>990</v>
      </c>
      <c r="EU28" s="758">
        <v>1</v>
      </c>
      <c r="EV28" s="559">
        <v>990</v>
      </c>
      <c r="EW28" s="758"/>
      <c r="EX28" s="559"/>
      <c r="EY28" s="758"/>
      <c r="EZ28" s="559"/>
      <c r="FA28" s="758"/>
      <c r="FB28" s="559"/>
      <c r="FC28" s="758"/>
      <c r="FD28" s="559"/>
      <c r="FE28" s="758"/>
      <c r="FF28" s="559"/>
      <c r="FG28" s="758"/>
      <c r="FH28" s="684"/>
      <c r="FI28" s="563"/>
      <c r="FJ28" s="564"/>
      <c r="FK28" s="752" t="s">
        <v>435</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549</v>
      </c>
      <c r="GL28" s="413"/>
      <c r="GM28" s="413"/>
      <c r="GN28" s="413"/>
      <c r="GO28" s="530"/>
      <c r="GP28" s="751">
        <v>28</v>
      </c>
      <c r="GQ28" s="413" t="s">
        <v>550</v>
      </c>
      <c r="GR28" s="733"/>
      <c r="GS28" s="530"/>
      <c r="GT28" s="763"/>
      <c r="GU28" s="580" t="s">
        <v>780</v>
      </c>
      <c r="GV28" s="609"/>
      <c r="GW28" s="530"/>
      <c r="GX28" s="529"/>
      <c r="GY28" s="409"/>
      <c r="GZ28" s="615"/>
      <c r="HA28" s="530"/>
      <c r="HB28" s="530"/>
      <c r="HC28" s="530"/>
      <c r="HD28" s="530"/>
      <c r="HE28" s="415"/>
      <c r="HF28" s="415"/>
      <c r="HG28" s="415"/>
      <c r="HH28" s="415"/>
    </row>
    <row r="29" spans="1:218" ht="20.100000000000001" customHeight="1" thickBot="1">
      <c r="A29" s="552"/>
      <c r="B29" s="764" t="s">
        <v>438</v>
      </c>
      <c r="C29" s="765"/>
      <c r="D29" s="766">
        <v>30</v>
      </c>
      <c r="E29" s="767">
        <v>71.19</v>
      </c>
      <c r="F29" s="768" t="s">
        <v>436</v>
      </c>
      <c r="G29" s="769"/>
      <c r="H29" s="587"/>
      <c r="I29" s="770"/>
      <c r="J29" s="587"/>
      <c r="K29" s="770"/>
      <c r="L29" s="587"/>
      <c r="M29" s="770"/>
      <c r="N29" s="587"/>
      <c r="O29" s="770"/>
      <c r="P29" s="587"/>
      <c r="Q29" s="770"/>
      <c r="R29" s="587"/>
      <c r="S29" s="770"/>
      <c r="T29" s="587"/>
      <c r="U29" s="770"/>
      <c r="V29" s="587"/>
      <c r="W29" s="770">
        <v>1</v>
      </c>
      <c r="X29" s="587">
        <v>2136</v>
      </c>
      <c r="Y29" s="770">
        <v>1</v>
      </c>
      <c r="Z29" s="587">
        <v>2136</v>
      </c>
      <c r="AA29" s="770">
        <v>1</v>
      </c>
      <c r="AB29" s="587">
        <v>2136</v>
      </c>
      <c r="AC29" s="770">
        <v>1</v>
      </c>
      <c r="AD29" s="587">
        <v>2136</v>
      </c>
      <c r="AE29" s="770">
        <v>1</v>
      </c>
      <c r="AF29" s="587">
        <v>2136</v>
      </c>
      <c r="AG29" s="770">
        <v>1</v>
      </c>
      <c r="AH29" s="587">
        <v>2136</v>
      </c>
      <c r="AI29" s="770">
        <v>1</v>
      </c>
      <c r="AJ29" s="587">
        <v>2136</v>
      </c>
      <c r="AK29" s="770">
        <v>1</v>
      </c>
      <c r="AL29" s="587">
        <v>2136</v>
      </c>
      <c r="AM29" s="770">
        <v>1</v>
      </c>
      <c r="AN29" s="587">
        <v>2136</v>
      </c>
      <c r="AO29" s="770">
        <v>1</v>
      </c>
      <c r="AP29" s="587">
        <v>2136</v>
      </c>
      <c r="AQ29" s="770"/>
      <c r="AR29" s="587"/>
      <c r="AS29" s="770"/>
      <c r="AT29" s="587"/>
      <c r="AU29" s="770"/>
      <c r="AV29" s="587"/>
      <c r="AW29" s="770"/>
      <c r="AX29" s="587"/>
      <c r="AY29" s="770"/>
      <c r="AZ29" s="587"/>
      <c r="BA29" s="770"/>
      <c r="BB29" s="589"/>
      <c r="BC29" s="562"/>
      <c r="BD29" s="552"/>
      <c r="BE29" s="764" t="s">
        <v>439</v>
      </c>
      <c r="BF29" s="765"/>
      <c r="BG29" s="766">
        <v>30</v>
      </c>
      <c r="BH29" s="767">
        <v>71.19</v>
      </c>
      <c r="BI29" s="768" t="s">
        <v>436</v>
      </c>
      <c r="BJ29" s="769"/>
      <c r="BK29" s="587"/>
      <c r="BL29" s="770"/>
      <c r="BM29" s="587"/>
      <c r="BN29" s="770"/>
      <c r="BO29" s="587"/>
      <c r="BP29" s="770"/>
      <c r="BQ29" s="587"/>
      <c r="BR29" s="770"/>
      <c r="BS29" s="587"/>
      <c r="BT29" s="770"/>
      <c r="BU29" s="587"/>
      <c r="BV29" s="770"/>
      <c r="BW29" s="587"/>
      <c r="BX29" s="770"/>
      <c r="BY29" s="587"/>
      <c r="BZ29" s="770">
        <v>1</v>
      </c>
      <c r="CA29" s="587">
        <v>2136</v>
      </c>
      <c r="CB29" s="770">
        <v>1</v>
      </c>
      <c r="CC29" s="587">
        <v>2136</v>
      </c>
      <c r="CD29" s="770">
        <v>1</v>
      </c>
      <c r="CE29" s="587">
        <v>2136</v>
      </c>
      <c r="CF29" s="770">
        <v>1</v>
      </c>
      <c r="CG29" s="587">
        <v>2136</v>
      </c>
      <c r="CH29" s="770">
        <v>1</v>
      </c>
      <c r="CI29" s="587">
        <v>2136</v>
      </c>
      <c r="CJ29" s="770">
        <v>1</v>
      </c>
      <c r="CK29" s="587">
        <v>2136</v>
      </c>
      <c r="CL29" s="770">
        <v>1</v>
      </c>
      <c r="CM29" s="587">
        <v>2136</v>
      </c>
      <c r="CN29" s="770">
        <v>1</v>
      </c>
      <c r="CO29" s="587">
        <v>2136</v>
      </c>
      <c r="CP29" s="770">
        <v>1</v>
      </c>
      <c r="CQ29" s="587">
        <v>2136</v>
      </c>
      <c r="CR29" s="770">
        <v>1</v>
      </c>
      <c r="CS29" s="587">
        <v>2136</v>
      </c>
      <c r="CT29" s="770"/>
      <c r="CU29" s="587"/>
      <c r="CV29" s="770"/>
      <c r="CW29" s="587"/>
      <c r="CX29" s="770"/>
      <c r="CY29" s="587"/>
      <c r="CZ29" s="770"/>
      <c r="DA29" s="587"/>
      <c r="DB29" s="770"/>
      <c r="DC29" s="587"/>
      <c r="DD29" s="770"/>
      <c r="DE29" s="589"/>
      <c r="DF29" s="562"/>
      <c r="DG29" s="552"/>
      <c r="DH29" s="764" t="s">
        <v>438</v>
      </c>
      <c r="DI29" s="765"/>
      <c r="DJ29" s="766">
        <v>30</v>
      </c>
      <c r="DK29" s="767">
        <v>71.19</v>
      </c>
      <c r="DL29" s="768" t="s">
        <v>436</v>
      </c>
      <c r="DM29" s="769"/>
      <c r="DN29" s="587"/>
      <c r="DO29" s="770"/>
      <c r="DP29" s="587"/>
      <c r="DQ29" s="770"/>
      <c r="DR29" s="587"/>
      <c r="DS29" s="770"/>
      <c r="DT29" s="587"/>
      <c r="DU29" s="770"/>
      <c r="DV29" s="587"/>
      <c r="DW29" s="770"/>
      <c r="DX29" s="587"/>
      <c r="DY29" s="770"/>
      <c r="DZ29" s="587"/>
      <c r="EA29" s="770"/>
      <c r="EB29" s="587"/>
      <c r="EC29" s="770">
        <v>1</v>
      </c>
      <c r="ED29" s="587">
        <v>2136</v>
      </c>
      <c r="EE29" s="770">
        <v>1</v>
      </c>
      <c r="EF29" s="587">
        <v>2136</v>
      </c>
      <c r="EG29" s="770">
        <v>1</v>
      </c>
      <c r="EH29" s="587">
        <v>2136</v>
      </c>
      <c r="EI29" s="770">
        <v>1</v>
      </c>
      <c r="EJ29" s="587">
        <v>2136</v>
      </c>
      <c r="EK29" s="770">
        <v>1</v>
      </c>
      <c r="EL29" s="587">
        <v>2136</v>
      </c>
      <c r="EM29" s="770">
        <v>1</v>
      </c>
      <c r="EN29" s="587">
        <v>2136</v>
      </c>
      <c r="EO29" s="770">
        <v>1</v>
      </c>
      <c r="EP29" s="587">
        <v>2136</v>
      </c>
      <c r="EQ29" s="770">
        <v>1</v>
      </c>
      <c r="ER29" s="587">
        <v>2136</v>
      </c>
      <c r="ES29" s="770">
        <v>1</v>
      </c>
      <c r="ET29" s="587">
        <v>2136</v>
      </c>
      <c r="EU29" s="770">
        <v>1</v>
      </c>
      <c r="EV29" s="587">
        <v>2136</v>
      </c>
      <c r="EW29" s="770"/>
      <c r="EX29" s="587"/>
      <c r="EY29" s="770"/>
      <c r="EZ29" s="587"/>
      <c r="FA29" s="770"/>
      <c r="FB29" s="587"/>
      <c r="FC29" s="770"/>
      <c r="FD29" s="587"/>
      <c r="FE29" s="770"/>
      <c r="FF29" s="587"/>
      <c r="FG29" s="770"/>
      <c r="FH29" s="589"/>
      <c r="FI29" s="563"/>
      <c r="FJ29" s="564"/>
      <c r="FK29" s="764" t="s">
        <v>439</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552</v>
      </c>
      <c r="GL29" s="774"/>
      <c r="GM29" s="774"/>
      <c r="GN29" s="774"/>
      <c r="GO29" s="615"/>
      <c r="GP29" s="751">
        <v>-0.69999999999999929</v>
      </c>
      <c r="GQ29" s="413" t="s">
        <v>707</v>
      </c>
      <c r="GR29" s="775"/>
      <c r="GS29" s="530"/>
      <c r="GT29" s="763"/>
      <c r="GU29" s="580" t="s">
        <v>553</v>
      </c>
      <c r="GV29" s="609"/>
      <c r="GW29" s="530"/>
      <c r="GX29" s="529"/>
      <c r="GY29" s="409"/>
      <c r="GZ29" s="530"/>
      <c r="HA29" s="580"/>
      <c r="HB29" s="580"/>
      <c r="HC29" s="579"/>
      <c r="HD29" s="530"/>
      <c r="HE29" s="415"/>
      <c r="HF29" s="415"/>
    </row>
    <row r="30" spans="1:218" ht="20.100000000000001" customHeight="1">
      <c r="A30" s="552"/>
      <c r="B30" s="764" t="s">
        <v>440</v>
      </c>
      <c r="C30" s="766"/>
      <c r="D30" s="767">
        <v>0</v>
      </c>
      <c r="E30" s="776"/>
      <c r="F30" s="777"/>
      <c r="G30" s="769"/>
      <c r="H30" s="587"/>
      <c r="I30" s="770"/>
      <c r="J30" s="587"/>
      <c r="K30" s="770"/>
      <c r="L30" s="587"/>
      <c r="M30" s="770"/>
      <c r="N30" s="587"/>
      <c r="O30" s="770"/>
      <c r="P30" s="587"/>
      <c r="Q30" s="770"/>
      <c r="R30" s="587"/>
      <c r="S30" s="770"/>
      <c r="T30" s="587"/>
      <c r="U30" s="770"/>
      <c r="V30" s="587"/>
      <c r="W30" s="770"/>
      <c r="X30" s="587">
        <v>0</v>
      </c>
      <c r="Y30" s="770"/>
      <c r="Z30" s="587">
        <v>0</v>
      </c>
      <c r="AA30" s="770"/>
      <c r="AB30" s="587">
        <v>0</v>
      </c>
      <c r="AC30" s="770"/>
      <c r="AD30" s="587">
        <v>0</v>
      </c>
      <c r="AE30" s="770"/>
      <c r="AF30" s="587">
        <v>0</v>
      </c>
      <c r="AG30" s="770"/>
      <c r="AH30" s="587">
        <v>0</v>
      </c>
      <c r="AI30" s="770"/>
      <c r="AJ30" s="587">
        <v>0</v>
      </c>
      <c r="AK30" s="770"/>
      <c r="AL30" s="587">
        <v>0</v>
      </c>
      <c r="AM30" s="770"/>
      <c r="AN30" s="587">
        <v>0</v>
      </c>
      <c r="AO30" s="770"/>
      <c r="AP30" s="587">
        <v>0</v>
      </c>
      <c r="AQ30" s="770"/>
      <c r="AR30" s="587"/>
      <c r="AS30" s="770"/>
      <c r="AT30" s="587"/>
      <c r="AU30" s="770"/>
      <c r="AV30" s="587"/>
      <c r="AW30" s="770"/>
      <c r="AX30" s="587"/>
      <c r="AY30" s="770"/>
      <c r="AZ30" s="587"/>
      <c r="BA30" s="770"/>
      <c r="BB30" s="589"/>
      <c r="BC30" s="562"/>
      <c r="BD30" s="552"/>
      <c r="BE30" s="764" t="s">
        <v>441</v>
      </c>
      <c r="BF30" s="766">
        <v>0</v>
      </c>
      <c r="BG30" s="767">
        <v>0</v>
      </c>
      <c r="BH30" s="776">
        <v>0</v>
      </c>
      <c r="BI30" s="777"/>
      <c r="BJ30" s="769"/>
      <c r="BK30" s="587"/>
      <c r="BL30" s="770"/>
      <c r="BM30" s="587"/>
      <c r="BN30" s="770"/>
      <c r="BO30" s="587"/>
      <c r="BP30" s="770"/>
      <c r="BQ30" s="587"/>
      <c r="BR30" s="770"/>
      <c r="BS30" s="587"/>
      <c r="BT30" s="770"/>
      <c r="BU30" s="587"/>
      <c r="BV30" s="770"/>
      <c r="BW30" s="587"/>
      <c r="BX30" s="770"/>
      <c r="BY30" s="587"/>
      <c r="BZ30" s="770"/>
      <c r="CA30" s="587">
        <v>0</v>
      </c>
      <c r="CB30" s="770"/>
      <c r="CC30" s="587">
        <v>0</v>
      </c>
      <c r="CD30" s="770"/>
      <c r="CE30" s="587">
        <v>0</v>
      </c>
      <c r="CF30" s="770"/>
      <c r="CG30" s="587">
        <v>0</v>
      </c>
      <c r="CH30" s="770"/>
      <c r="CI30" s="587">
        <v>0</v>
      </c>
      <c r="CJ30" s="770"/>
      <c r="CK30" s="587">
        <v>0</v>
      </c>
      <c r="CL30" s="770"/>
      <c r="CM30" s="587">
        <v>0</v>
      </c>
      <c r="CN30" s="770"/>
      <c r="CO30" s="587">
        <v>0</v>
      </c>
      <c r="CP30" s="770"/>
      <c r="CQ30" s="587">
        <v>0</v>
      </c>
      <c r="CR30" s="770"/>
      <c r="CS30" s="587">
        <v>0</v>
      </c>
      <c r="CT30" s="770"/>
      <c r="CU30" s="587"/>
      <c r="CV30" s="770"/>
      <c r="CW30" s="587"/>
      <c r="CX30" s="770"/>
      <c r="CY30" s="587"/>
      <c r="CZ30" s="770"/>
      <c r="DA30" s="587"/>
      <c r="DB30" s="770"/>
      <c r="DC30" s="587"/>
      <c r="DD30" s="770"/>
      <c r="DE30" s="589"/>
      <c r="DF30" s="562"/>
      <c r="DG30" s="552"/>
      <c r="DH30" s="764" t="s">
        <v>440</v>
      </c>
      <c r="DI30" s="766">
        <v>0</v>
      </c>
      <c r="DJ30" s="767">
        <v>0</v>
      </c>
      <c r="DK30" s="776">
        <v>0</v>
      </c>
      <c r="DL30" s="777"/>
      <c r="DM30" s="769"/>
      <c r="DN30" s="587"/>
      <c r="DO30" s="770"/>
      <c r="DP30" s="587"/>
      <c r="DQ30" s="770"/>
      <c r="DR30" s="587"/>
      <c r="DS30" s="770"/>
      <c r="DT30" s="587"/>
      <c r="DU30" s="770"/>
      <c r="DV30" s="587"/>
      <c r="DW30" s="770"/>
      <c r="DX30" s="587"/>
      <c r="DY30" s="770"/>
      <c r="DZ30" s="587"/>
      <c r="EA30" s="770"/>
      <c r="EB30" s="587"/>
      <c r="EC30" s="770"/>
      <c r="ED30" s="587">
        <v>0</v>
      </c>
      <c r="EE30" s="770"/>
      <c r="EF30" s="587">
        <v>0</v>
      </c>
      <c r="EG30" s="770"/>
      <c r="EH30" s="587">
        <v>0</v>
      </c>
      <c r="EI30" s="770"/>
      <c r="EJ30" s="587">
        <v>0</v>
      </c>
      <c r="EK30" s="770"/>
      <c r="EL30" s="587">
        <v>0</v>
      </c>
      <c r="EM30" s="770"/>
      <c r="EN30" s="587">
        <v>0</v>
      </c>
      <c r="EO30" s="770"/>
      <c r="EP30" s="587">
        <v>0</v>
      </c>
      <c r="EQ30" s="770"/>
      <c r="ER30" s="587">
        <v>0</v>
      </c>
      <c r="ES30" s="770"/>
      <c r="ET30" s="587">
        <v>0</v>
      </c>
      <c r="EU30" s="770"/>
      <c r="EV30" s="587">
        <v>0</v>
      </c>
      <c r="EW30" s="770"/>
      <c r="EX30" s="587"/>
      <c r="EY30" s="770"/>
      <c r="EZ30" s="587"/>
      <c r="FA30" s="770"/>
      <c r="FB30" s="587"/>
      <c r="FC30" s="770"/>
      <c r="FD30" s="587"/>
      <c r="FE30" s="770"/>
      <c r="FF30" s="587"/>
      <c r="FG30" s="770"/>
      <c r="FH30" s="589"/>
      <c r="FI30" s="563"/>
      <c r="FJ30" s="564"/>
      <c r="FK30" s="764" t="s">
        <v>441</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554</v>
      </c>
      <c r="GL30" s="774"/>
      <c r="GM30" s="774"/>
      <c r="GN30" s="774"/>
      <c r="GO30" s="530"/>
      <c r="GP30" s="778">
        <v>-0.44</v>
      </c>
      <c r="GQ30" s="413"/>
      <c r="GR30" s="413"/>
      <c r="GS30" s="530"/>
      <c r="GT30" s="763"/>
      <c r="GU30" s="779" t="s">
        <v>380</v>
      </c>
      <c r="GV30" s="780"/>
      <c r="GW30" s="781" t="s">
        <v>712</v>
      </c>
      <c r="GX30" s="781"/>
      <c r="GY30" s="781"/>
      <c r="GZ30" s="781"/>
      <c r="HA30" s="782"/>
      <c r="HB30" s="783" t="s">
        <v>713</v>
      </c>
      <c r="HC30" s="579"/>
      <c r="HD30" s="562"/>
      <c r="HE30" s="415"/>
      <c r="HF30" s="415"/>
    </row>
    <row r="31" spans="1:218" ht="20.100000000000001" customHeight="1">
      <c r="A31" s="552"/>
      <c r="B31" s="784" t="s">
        <v>442</v>
      </c>
      <c r="C31" s="784"/>
      <c r="D31" s="785"/>
      <c r="E31" s="786"/>
      <c r="F31" s="787"/>
      <c r="G31" s="769"/>
      <c r="H31" s="587"/>
      <c r="I31" s="770"/>
      <c r="J31" s="587"/>
      <c r="K31" s="770"/>
      <c r="L31" s="587"/>
      <c r="M31" s="770"/>
      <c r="N31" s="587"/>
      <c r="O31" s="770"/>
      <c r="P31" s="587"/>
      <c r="Q31" s="770"/>
      <c r="R31" s="587"/>
      <c r="S31" s="770"/>
      <c r="T31" s="587"/>
      <c r="U31" s="770"/>
      <c r="V31" s="587"/>
      <c r="W31" s="770"/>
      <c r="X31" s="587">
        <v>0</v>
      </c>
      <c r="Y31" s="770"/>
      <c r="Z31" s="587">
        <v>0</v>
      </c>
      <c r="AA31" s="770"/>
      <c r="AB31" s="587">
        <v>0</v>
      </c>
      <c r="AC31" s="770"/>
      <c r="AD31" s="587">
        <v>0</v>
      </c>
      <c r="AE31" s="770"/>
      <c r="AF31" s="587">
        <v>0</v>
      </c>
      <c r="AG31" s="770"/>
      <c r="AH31" s="587">
        <v>0</v>
      </c>
      <c r="AI31" s="770"/>
      <c r="AJ31" s="587">
        <v>0</v>
      </c>
      <c r="AK31" s="770"/>
      <c r="AL31" s="587">
        <v>0</v>
      </c>
      <c r="AM31" s="770"/>
      <c r="AN31" s="587">
        <v>0</v>
      </c>
      <c r="AO31" s="770"/>
      <c r="AP31" s="587">
        <v>0</v>
      </c>
      <c r="AQ31" s="770"/>
      <c r="AR31" s="587"/>
      <c r="AS31" s="770"/>
      <c r="AT31" s="587"/>
      <c r="AU31" s="770"/>
      <c r="AV31" s="587"/>
      <c r="AW31" s="770"/>
      <c r="AX31" s="587"/>
      <c r="AY31" s="770"/>
      <c r="AZ31" s="587"/>
      <c r="BA31" s="770"/>
      <c r="BB31" s="589"/>
      <c r="BC31" s="562"/>
      <c r="BD31" s="552"/>
      <c r="BE31" s="784" t="s">
        <v>443</v>
      </c>
      <c r="BF31" s="784"/>
      <c r="BG31" s="785">
        <v>0</v>
      </c>
      <c r="BH31" s="786">
        <v>0</v>
      </c>
      <c r="BI31" s="787"/>
      <c r="BJ31" s="769"/>
      <c r="BK31" s="587"/>
      <c r="BL31" s="770"/>
      <c r="BM31" s="587"/>
      <c r="BN31" s="770"/>
      <c r="BO31" s="587"/>
      <c r="BP31" s="770"/>
      <c r="BQ31" s="587"/>
      <c r="BR31" s="770"/>
      <c r="BS31" s="587"/>
      <c r="BT31" s="770"/>
      <c r="BU31" s="587"/>
      <c r="BV31" s="770"/>
      <c r="BW31" s="587"/>
      <c r="BX31" s="770"/>
      <c r="BY31" s="587"/>
      <c r="BZ31" s="770"/>
      <c r="CA31" s="587">
        <v>0</v>
      </c>
      <c r="CB31" s="770"/>
      <c r="CC31" s="587">
        <v>0</v>
      </c>
      <c r="CD31" s="770"/>
      <c r="CE31" s="587">
        <v>0</v>
      </c>
      <c r="CF31" s="770"/>
      <c r="CG31" s="587">
        <v>0</v>
      </c>
      <c r="CH31" s="770"/>
      <c r="CI31" s="587">
        <v>0</v>
      </c>
      <c r="CJ31" s="770"/>
      <c r="CK31" s="587">
        <v>0</v>
      </c>
      <c r="CL31" s="770"/>
      <c r="CM31" s="587">
        <v>0</v>
      </c>
      <c r="CN31" s="770"/>
      <c r="CO31" s="587">
        <v>0</v>
      </c>
      <c r="CP31" s="770"/>
      <c r="CQ31" s="587">
        <v>0</v>
      </c>
      <c r="CR31" s="770"/>
      <c r="CS31" s="587">
        <v>0</v>
      </c>
      <c r="CT31" s="770"/>
      <c r="CU31" s="587"/>
      <c r="CV31" s="770"/>
      <c r="CW31" s="587"/>
      <c r="CX31" s="770"/>
      <c r="CY31" s="587"/>
      <c r="CZ31" s="770"/>
      <c r="DA31" s="587"/>
      <c r="DB31" s="770"/>
      <c r="DC31" s="587"/>
      <c r="DD31" s="770"/>
      <c r="DE31" s="589"/>
      <c r="DF31" s="562"/>
      <c r="DG31" s="552"/>
      <c r="DH31" s="784" t="s">
        <v>443</v>
      </c>
      <c r="DI31" s="784"/>
      <c r="DJ31" s="785">
        <v>0</v>
      </c>
      <c r="DK31" s="786">
        <v>0</v>
      </c>
      <c r="DL31" s="787"/>
      <c r="DM31" s="769"/>
      <c r="DN31" s="587"/>
      <c r="DO31" s="770"/>
      <c r="DP31" s="587"/>
      <c r="DQ31" s="770"/>
      <c r="DR31" s="587"/>
      <c r="DS31" s="770"/>
      <c r="DT31" s="587"/>
      <c r="DU31" s="770"/>
      <c r="DV31" s="587"/>
      <c r="DW31" s="770"/>
      <c r="DX31" s="587"/>
      <c r="DY31" s="770"/>
      <c r="DZ31" s="587"/>
      <c r="EA31" s="770"/>
      <c r="EB31" s="587"/>
      <c r="EC31" s="770"/>
      <c r="ED31" s="587">
        <v>0</v>
      </c>
      <c r="EE31" s="770"/>
      <c r="EF31" s="587">
        <v>0</v>
      </c>
      <c r="EG31" s="770"/>
      <c r="EH31" s="587">
        <v>0</v>
      </c>
      <c r="EI31" s="770"/>
      <c r="EJ31" s="587">
        <v>0</v>
      </c>
      <c r="EK31" s="770"/>
      <c r="EL31" s="587">
        <v>0</v>
      </c>
      <c r="EM31" s="770"/>
      <c r="EN31" s="587">
        <v>0</v>
      </c>
      <c r="EO31" s="770"/>
      <c r="EP31" s="587">
        <v>0</v>
      </c>
      <c r="EQ31" s="770"/>
      <c r="ER31" s="587">
        <v>0</v>
      </c>
      <c r="ES31" s="770"/>
      <c r="ET31" s="587">
        <v>0</v>
      </c>
      <c r="EU31" s="770"/>
      <c r="EV31" s="587">
        <v>0</v>
      </c>
      <c r="EW31" s="770"/>
      <c r="EX31" s="587"/>
      <c r="EY31" s="770"/>
      <c r="EZ31" s="587"/>
      <c r="FA31" s="770"/>
      <c r="FB31" s="587"/>
      <c r="FC31" s="770"/>
      <c r="FD31" s="587"/>
      <c r="FE31" s="770"/>
      <c r="FF31" s="587"/>
      <c r="FG31" s="770"/>
      <c r="FH31" s="589"/>
      <c r="FI31" s="563"/>
      <c r="FJ31" s="564"/>
      <c r="FK31" s="784" t="s">
        <v>443</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-0.44</v>
      </c>
      <c r="GQ31" s="413"/>
      <c r="GR31" s="413"/>
      <c r="GS31" s="580"/>
      <c r="GT31" s="763"/>
      <c r="GU31" s="779"/>
      <c r="GV31" s="780"/>
      <c r="GW31" s="789" t="s">
        <v>714</v>
      </c>
      <c r="GX31" s="790" t="s">
        <v>715</v>
      </c>
      <c r="GY31" s="791" t="s">
        <v>716</v>
      </c>
      <c r="GZ31" s="792" t="s">
        <v>783</v>
      </c>
      <c r="HA31" s="792" t="s">
        <v>536</v>
      </c>
      <c r="HB31" s="793"/>
      <c r="HC31" s="579"/>
      <c r="HD31" s="562"/>
      <c r="HE31" s="415"/>
      <c r="HF31" s="415"/>
    </row>
    <row r="32" spans="1:218" ht="20.100000000000001" customHeight="1">
      <c r="A32" s="552"/>
      <c r="B32" s="794" t="s">
        <v>669</v>
      </c>
      <c r="C32" s="795"/>
      <c r="D32" s="785"/>
      <c r="E32" s="796"/>
      <c r="F32" s="797"/>
      <c r="G32" s="798"/>
      <c r="H32" s="799"/>
      <c r="I32" s="800"/>
      <c r="J32" s="799"/>
      <c r="K32" s="800"/>
      <c r="L32" s="799"/>
      <c r="M32" s="800"/>
      <c r="N32" s="799"/>
      <c r="O32" s="800"/>
      <c r="P32" s="799"/>
      <c r="Q32" s="800"/>
      <c r="R32" s="799"/>
      <c r="S32" s="800"/>
      <c r="T32" s="799"/>
      <c r="U32" s="800"/>
      <c r="V32" s="799"/>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c r="AS32" s="800"/>
      <c r="AT32" s="799"/>
      <c r="AU32" s="800"/>
      <c r="AV32" s="799"/>
      <c r="AW32" s="800"/>
      <c r="AX32" s="799"/>
      <c r="AY32" s="800"/>
      <c r="AZ32" s="799"/>
      <c r="BA32" s="800"/>
      <c r="BB32" s="801"/>
      <c r="BC32" s="562"/>
      <c r="BD32" s="552"/>
      <c r="BE32" s="794" t="s">
        <v>669</v>
      </c>
      <c r="BF32" s="795"/>
      <c r="BG32" s="785">
        <v>0</v>
      </c>
      <c r="BH32" s="796">
        <v>0</v>
      </c>
      <c r="BI32" s="797"/>
      <c r="BJ32" s="798"/>
      <c r="BK32" s="799"/>
      <c r="BL32" s="800"/>
      <c r="BM32" s="799"/>
      <c r="BN32" s="800"/>
      <c r="BO32" s="799"/>
      <c r="BP32" s="800"/>
      <c r="BQ32" s="799"/>
      <c r="BR32" s="800"/>
      <c r="BS32" s="799"/>
      <c r="BT32" s="800"/>
      <c r="BU32" s="799"/>
      <c r="BV32" s="800"/>
      <c r="BW32" s="799"/>
      <c r="BX32" s="800"/>
      <c r="BY32" s="799"/>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c r="CV32" s="800"/>
      <c r="CW32" s="799"/>
      <c r="CX32" s="800"/>
      <c r="CY32" s="799"/>
      <c r="CZ32" s="800"/>
      <c r="DA32" s="799"/>
      <c r="DB32" s="800"/>
      <c r="DC32" s="799"/>
      <c r="DD32" s="800"/>
      <c r="DE32" s="801"/>
      <c r="DF32" s="562"/>
      <c r="DG32" s="552"/>
      <c r="DH32" s="794" t="s">
        <v>669</v>
      </c>
      <c r="DI32" s="795"/>
      <c r="DJ32" s="785">
        <v>0</v>
      </c>
      <c r="DK32" s="796">
        <v>0</v>
      </c>
      <c r="DL32" s="797"/>
      <c r="DM32" s="798"/>
      <c r="DN32" s="799"/>
      <c r="DO32" s="800"/>
      <c r="DP32" s="799"/>
      <c r="DQ32" s="800"/>
      <c r="DR32" s="799"/>
      <c r="DS32" s="800"/>
      <c r="DT32" s="799"/>
      <c r="DU32" s="800"/>
      <c r="DV32" s="799"/>
      <c r="DW32" s="800"/>
      <c r="DX32" s="799"/>
      <c r="DY32" s="800"/>
      <c r="DZ32" s="799"/>
      <c r="EA32" s="800"/>
      <c r="EB32" s="799"/>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c r="EY32" s="800"/>
      <c r="EZ32" s="799"/>
      <c r="FA32" s="800"/>
      <c r="FB32" s="799"/>
      <c r="FC32" s="800"/>
      <c r="FD32" s="799"/>
      <c r="FE32" s="800"/>
      <c r="FF32" s="799"/>
      <c r="FG32" s="800"/>
      <c r="FH32" s="801"/>
      <c r="FI32" s="563"/>
      <c r="FJ32" s="564"/>
      <c r="FK32" s="794" t="s">
        <v>444</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445</v>
      </c>
      <c r="E33" s="642"/>
      <c r="F33" s="642"/>
      <c r="G33" s="644"/>
      <c r="H33" s="645">
        <v>0</v>
      </c>
      <c r="I33" s="1291"/>
      <c r="J33" s="645">
        <v>0</v>
      </c>
      <c r="K33" s="1291"/>
      <c r="L33" s="645">
        <v>0</v>
      </c>
      <c r="M33" s="1291"/>
      <c r="N33" s="645">
        <v>0</v>
      </c>
      <c r="O33" s="1291"/>
      <c r="P33" s="645">
        <v>0</v>
      </c>
      <c r="Q33" s="1291"/>
      <c r="R33" s="645">
        <v>0</v>
      </c>
      <c r="S33" s="1291"/>
      <c r="T33" s="645">
        <v>0</v>
      </c>
      <c r="U33" s="1291"/>
      <c r="V33" s="645">
        <v>0</v>
      </c>
      <c r="W33" s="1291"/>
      <c r="X33" s="645">
        <v>3126</v>
      </c>
      <c r="Y33" s="1291"/>
      <c r="Z33" s="645">
        <v>3126</v>
      </c>
      <c r="AA33" s="1291"/>
      <c r="AB33" s="645">
        <v>2384</v>
      </c>
      <c r="AC33" s="1291"/>
      <c r="AD33" s="645">
        <v>3126</v>
      </c>
      <c r="AE33" s="1291"/>
      <c r="AF33" s="645">
        <v>2384</v>
      </c>
      <c r="AG33" s="1291"/>
      <c r="AH33" s="645">
        <v>3126</v>
      </c>
      <c r="AI33" s="1291"/>
      <c r="AJ33" s="645">
        <v>3126</v>
      </c>
      <c r="AK33" s="1291"/>
      <c r="AL33" s="645">
        <v>3126</v>
      </c>
      <c r="AM33" s="1291"/>
      <c r="AN33" s="645">
        <v>3126</v>
      </c>
      <c r="AO33" s="1291"/>
      <c r="AP33" s="645">
        <v>3126</v>
      </c>
      <c r="AQ33" s="1291"/>
      <c r="AR33" s="645">
        <v>0</v>
      </c>
      <c r="AS33" s="1291"/>
      <c r="AT33" s="645">
        <v>0</v>
      </c>
      <c r="AU33" s="1291"/>
      <c r="AV33" s="645">
        <v>0</v>
      </c>
      <c r="AW33" s="1291"/>
      <c r="AX33" s="645">
        <v>0</v>
      </c>
      <c r="AY33" s="1291"/>
      <c r="AZ33" s="645">
        <v>0</v>
      </c>
      <c r="BA33" s="1291"/>
      <c r="BB33" s="647">
        <v>0</v>
      </c>
      <c r="BC33" s="648"/>
      <c r="BD33" s="641"/>
      <c r="BE33" s="642"/>
      <c r="BF33" s="642"/>
      <c r="BG33" s="643" t="s">
        <v>445</v>
      </c>
      <c r="BH33" s="642"/>
      <c r="BI33" s="642"/>
      <c r="BJ33" s="644"/>
      <c r="BK33" s="645">
        <v>0</v>
      </c>
      <c r="BL33" s="1291"/>
      <c r="BM33" s="645">
        <v>0</v>
      </c>
      <c r="BN33" s="1291"/>
      <c r="BO33" s="645">
        <v>0</v>
      </c>
      <c r="BP33" s="1291"/>
      <c r="BQ33" s="645">
        <v>0</v>
      </c>
      <c r="BR33" s="1291"/>
      <c r="BS33" s="645">
        <v>0</v>
      </c>
      <c r="BT33" s="1291"/>
      <c r="BU33" s="645">
        <v>0</v>
      </c>
      <c r="BV33" s="1291"/>
      <c r="BW33" s="645">
        <v>0</v>
      </c>
      <c r="BX33" s="1291"/>
      <c r="BY33" s="645">
        <v>0</v>
      </c>
      <c r="BZ33" s="1291"/>
      <c r="CA33" s="645">
        <v>3126</v>
      </c>
      <c r="CB33" s="1291"/>
      <c r="CC33" s="645">
        <v>3126</v>
      </c>
      <c r="CD33" s="1291"/>
      <c r="CE33" s="645">
        <v>2384</v>
      </c>
      <c r="CF33" s="1291"/>
      <c r="CG33" s="645">
        <v>3126</v>
      </c>
      <c r="CH33" s="1291"/>
      <c r="CI33" s="645">
        <v>2384</v>
      </c>
      <c r="CJ33" s="1291"/>
      <c r="CK33" s="645">
        <v>3126</v>
      </c>
      <c r="CL33" s="1291"/>
      <c r="CM33" s="645">
        <v>3126</v>
      </c>
      <c r="CN33" s="1291"/>
      <c r="CO33" s="645">
        <v>3126</v>
      </c>
      <c r="CP33" s="1291"/>
      <c r="CQ33" s="645">
        <v>3126</v>
      </c>
      <c r="CR33" s="1291"/>
      <c r="CS33" s="645">
        <v>3126</v>
      </c>
      <c r="CT33" s="1291"/>
      <c r="CU33" s="645">
        <v>0</v>
      </c>
      <c r="CV33" s="1291"/>
      <c r="CW33" s="645">
        <v>0</v>
      </c>
      <c r="CX33" s="1291"/>
      <c r="CY33" s="645">
        <v>0</v>
      </c>
      <c r="CZ33" s="1291"/>
      <c r="DA33" s="645">
        <v>0</v>
      </c>
      <c r="DB33" s="1291"/>
      <c r="DC33" s="645">
        <v>0</v>
      </c>
      <c r="DD33" s="1291"/>
      <c r="DE33" s="647">
        <v>0</v>
      </c>
      <c r="DF33" s="648"/>
      <c r="DG33" s="641"/>
      <c r="DH33" s="642"/>
      <c r="DI33" s="642"/>
      <c r="DJ33" s="643" t="s">
        <v>445</v>
      </c>
      <c r="DK33" s="642"/>
      <c r="DL33" s="642"/>
      <c r="DM33" s="644"/>
      <c r="DN33" s="645">
        <v>0</v>
      </c>
      <c r="DO33" s="1291"/>
      <c r="DP33" s="645">
        <v>0</v>
      </c>
      <c r="DQ33" s="1291"/>
      <c r="DR33" s="645">
        <v>0</v>
      </c>
      <c r="DS33" s="1291"/>
      <c r="DT33" s="645">
        <v>0</v>
      </c>
      <c r="DU33" s="1291"/>
      <c r="DV33" s="645">
        <v>0</v>
      </c>
      <c r="DW33" s="1291"/>
      <c r="DX33" s="645">
        <v>0</v>
      </c>
      <c r="DY33" s="1291"/>
      <c r="DZ33" s="645">
        <v>0</v>
      </c>
      <c r="EA33" s="1291"/>
      <c r="EB33" s="645">
        <v>0</v>
      </c>
      <c r="EC33" s="1291"/>
      <c r="ED33" s="645">
        <v>3126</v>
      </c>
      <c r="EE33" s="1291"/>
      <c r="EF33" s="645">
        <v>3126</v>
      </c>
      <c r="EG33" s="1291"/>
      <c r="EH33" s="645">
        <v>2384</v>
      </c>
      <c r="EI33" s="1291"/>
      <c r="EJ33" s="645">
        <v>3126</v>
      </c>
      <c r="EK33" s="1291"/>
      <c r="EL33" s="645">
        <v>2384</v>
      </c>
      <c r="EM33" s="1291"/>
      <c r="EN33" s="645">
        <v>3126</v>
      </c>
      <c r="EO33" s="1291"/>
      <c r="EP33" s="645">
        <v>3126</v>
      </c>
      <c r="EQ33" s="1291"/>
      <c r="ER33" s="645">
        <v>3126</v>
      </c>
      <c r="ES33" s="1291"/>
      <c r="ET33" s="645">
        <v>3126</v>
      </c>
      <c r="EU33" s="1291"/>
      <c r="EV33" s="645">
        <v>3126</v>
      </c>
      <c r="EW33" s="1291"/>
      <c r="EX33" s="645">
        <v>0</v>
      </c>
      <c r="EY33" s="1291"/>
      <c r="EZ33" s="645">
        <v>0</v>
      </c>
      <c r="FA33" s="1291"/>
      <c r="FB33" s="645">
        <v>0</v>
      </c>
      <c r="FC33" s="1291"/>
      <c r="FD33" s="645">
        <v>0</v>
      </c>
      <c r="FE33" s="1291"/>
      <c r="FF33" s="645">
        <v>0</v>
      </c>
      <c r="FG33" s="1291"/>
      <c r="FH33" s="647">
        <v>0</v>
      </c>
      <c r="FI33" s="649"/>
      <c r="FJ33" s="564"/>
      <c r="FK33" s="642"/>
      <c r="FL33" s="642"/>
      <c r="FM33" s="643" t="s">
        <v>445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562</v>
      </c>
      <c r="GL33" s="579"/>
      <c r="GM33" s="530"/>
      <c r="GN33" s="579"/>
      <c r="GO33" s="530"/>
      <c r="GP33" s="530"/>
      <c r="GQ33" s="530"/>
      <c r="GR33" s="579"/>
      <c r="GS33" s="530"/>
      <c r="GT33" s="763"/>
      <c r="GU33" s="811">
        <v>209</v>
      </c>
      <c r="GV33" s="812"/>
      <c r="GW33" s="813">
        <v>79.38</v>
      </c>
      <c r="GX33" s="814">
        <v>63.3</v>
      </c>
      <c r="GY33" s="814">
        <v>74.87</v>
      </c>
      <c r="GZ33" s="814">
        <v>0</v>
      </c>
      <c r="HA33" s="814">
        <v>217.55</v>
      </c>
      <c r="HB33" s="815">
        <v>71.19</v>
      </c>
      <c r="HC33" s="413"/>
      <c r="HD33" s="648"/>
      <c r="HE33" s="415"/>
      <c r="HF33" s="415"/>
    </row>
    <row r="34" spans="1:219" ht="20.100000000000001" customHeight="1">
      <c r="A34" s="1293" t="s">
        <v>449</v>
      </c>
      <c r="B34" s="743"/>
      <c r="C34" s="817"/>
      <c r="D34" s="818"/>
      <c r="E34" s="817"/>
      <c r="F34" s="819"/>
      <c r="G34" s="740" t="s">
        <v>448</v>
      </c>
      <c r="H34" s="663" t="s">
        <v>428</v>
      </c>
      <c r="I34" s="741" t="s">
        <v>448</v>
      </c>
      <c r="J34" s="663" t="s">
        <v>428</v>
      </c>
      <c r="K34" s="742" t="s">
        <v>448</v>
      </c>
      <c r="L34" s="663" t="s">
        <v>428</v>
      </c>
      <c r="M34" s="742" t="s">
        <v>447</v>
      </c>
      <c r="N34" s="663" t="s">
        <v>428</v>
      </c>
      <c r="O34" s="742" t="s">
        <v>448</v>
      </c>
      <c r="P34" s="663" t="s">
        <v>428</v>
      </c>
      <c r="Q34" s="742" t="s">
        <v>448</v>
      </c>
      <c r="R34" s="663" t="s">
        <v>428</v>
      </c>
      <c r="S34" s="742" t="s">
        <v>448</v>
      </c>
      <c r="T34" s="663" t="s">
        <v>428</v>
      </c>
      <c r="U34" s="742" t="s">
        <v>447</v>
      </c>
      <c r="V34" s="663" t="s">
        <v>428</v>
      </c>
      <c r="W34" s="742" t="s">
        <v>447</v>
      </c>
      <c r="X34" s="663" t="s">
        <v>430</v>
      </c>
      <c r="Y34" s="742" t="s">
        <v>448</v>
      </c>
      <c r="Z34" s="663" t="s">
        <v>428</v>
      </c>
      <c r="AA34" s="742" t="s">
        <v>447</v>
      </c>
      <c r="AB34" s="663" t="s">
        <v>430</v>
      </c>
      <c r="AC34" s="742" t="s">
        <v>447</v>
      </c>
      <c r="AD34" s="663" t="s">
        <v>428</v>
      </c>
      <c r="AE34" s="742" t="s">
        <v>448</v>
      </c>
      <c r="AF34" s="663" t="s">
        <v>428</v>
      </c>
      <c r="AG34" s="742" t="s">
        <v>447</v>
      </c>
      <c r="AH34" s="663" t="s">
        <v>428</v>
      </c>
      <c r="AI34" s="742" t="s">
        <v>447</v>
      </c>
      <c r="AJ34" s="663" t="s">
        <v>428</v>
      </c>
      <c r="AK34" s="742" t="s">
        <v>447</v>
      </c>
      <c r="AL34" s="663" t="s">
        <v>430</v>
      </c>
      <c r="AM34" s="742" t="s">
        <v>448</v>
      </c>
      <c r="AN34" s="663" t="s">
        <v>430</v>
      </c>
      <c r="AO34" s="742" t="s">
        <v>448</v>
      </c>
      <c r="AP34" s="663" t="s">
        <v>428</v>
      </c>
      <c r="AQ34" s="742" t="s">
        <v>448</v>
      </c>
      <c r="AR34" s="663" t="s">
        <v>430</v>
      </c>
      <c r="AS34" s="742" t="s">
        <v>448</v>
      </c>
      <c r="AT34" s="663" t="s">
        <v>430</v>
      </c>
      <c r="AU34" s="742" t="s">
        <v>448</v>
      </c>
      <c r="AV34" s="663" t="s">
        <v>428</v>
      </c>
      <c r="AW34" s="742" t="s">
        <v>447</v>
      </c>
      <c r="AX34" s="663" t="s">
        <v>430</v>
      </c>
      <c r="AY34" s="742" t="s">
        <v>448</v>
      </c>
      <c r="AZ34" s="663" t="s">
        <v>428</v>
      </c>
      <c r="BA34" s="742" t="s">
        <v>448</v>
      </c>
      <c r="BB34" s="665" t="s">
        <v>428</v>
      </c>
      <c r="BC34" s="723"/>
      <c r="BD34" s="1293" t="s">
        <v>446</v>
      </c>
      <c r="BE34" s="820"/>
      <c r="BF34" s="821"/>
      <c r="BG34" s="822"/>
      <c r="BH34" s="821"/>
      <c r="BI34" s="823"/>
      <c r="BJ34" s="740" t="s">
        <v>447</v>
      </c>
      <c r="BK34" s="663" t="s">
        <v>428</v>
      </c>
      <c r="BL34" s="741" t="s">
        <v>447</v>
      </c>
      <c r="BM34" s="663" t="s">
        <v>428</v>
      </c>
      <c r="BN34" s="742" t="s">
        <v>448</v>
      </c>
      <c r="BO34" s="663" t="s">
        <v>428</v>
      </c>
      <c r="BP34" s="742" t="s">
        <v>448</v>
      </c>
      <c r="BQ34" s="663" t="s">
        <v>430</v>
      </c>
      <c r="BR34" s="742" t="s">
        <v>448</v>
      </c>
      <c r="BS34" s="663" t="s">
        <v>430</v>
      </c>
      <c r="BT34" s="742" t="s">
        <v>447</v>
      </c>
      <c r="BU34" s="663" t="s">
        <v>430</v>
      </c>
      <c r="BV34" s="742" t="s">
        <v>447</v>
      </c>
      <c r="BW34" s="663" t="s">
        <v>430</v>
      </c>
      <c r="BX34" s="742" t="s">
        <v>448</v>
      </c>
      <c r="BY34" s="663" t="s">
        <v>428</v>
      </c>
      <c r="BZ34" s="742" t="s">
        <v>447</v>
      </c>
      <c r="CA34" s="663" t="s">
        <v>428</v>
      </c>
      <c r="CB34" s="742" t="s">
        <v>448</v>
      </c>
      <c r="CC34" s="663" t="s">
        <v>428</v>
      </c>
      <c r="CD34" s="742" t="s">
        <v>447</v>
      </c>
      <c r="CE34" s="663" t="s">
        <v>430</v>
      </c>
      <c r="CF34" s="742" t="s">
        <v>448</v>
      </c>
      <c r="CG34" s="663" t="s">
        <v>428</v>
      </c>
      <c r="CH34" s="742" t="s">
        <v>448</v>
      </c>
      <c r="CI34" s="663" t="s">
        <v>428</v>
      </c>
      <c r="CJ34" s="742" t="s">
        <v>447</v>
      </c>
      <c r="CK34" s="663" t="s">
        <v>428</v>
      </c>
      <c r="CL34" s="742" t="s">
        <v>448</v>
      </c>
      <c r="CM34" s="663" t="s">
        <v>430</v>
      </c>
      <c r="CN34" s="742" t="s">
        <v>448</v>
      </c>
      <c r="CO34" s="663" t="s">
        <v>428</v>
      </c>
      <c r="CP34" s="742" t="s">
        <v>448</v>
      </c>
      <c r="CQ34" s="663" t="s">
        <v>428</v>
      </c>
      <c r="CR34" s="742" t="s">
        <v>448</v>
      </c>
      <c r="CS34" s="663" t="s">
        <v>428</v>
      </c>
      <c r="CT34" s="742" t="s">
        <v>448</v>
      </c>
      <c r="CU34" s="663" t="s">
        <v>430</v>
      </c>
      <c r="CV34" s="742" t="s">
        <v>448</v>
      </c>
      <c r="CW34" s="663" t="s">
        <v>430</v>
      </c>
      <c r="CX34" s="742" t="s">
        <v>447</v>
      </c>
      <c r="CY34" s="663" t="s">
        <v>428</v>
      </c>
      <c r="CZ34" s="742" t="s">
        <v>448</v>
      </c>
      <c r="DA34" s="663" t="s">
        <v>430</v>
      </c>
      <c r="DB34" s="742" t="s">
        <v>447</v>
      </c>
      <c r="DC34" s="663" t="s">
        <v>430</v>
      </c>
      <c r="DD34" s="742" t="s">
        <v>448</v>
      </c>
      <c r="DE34" s="665" t="s">
        <v>428</v>
      </c>
      <c r="DF34" s="723"/>
      <c r="DG34" s="1293" t="s">
        <v>449</v>
      </c>
      <c r="DH34" s="738"/>
      <c r="DI34" s="824"/>
      <c r="DJ34" s="825"/>
      <c r="DK34" s="824"/>
      <c r="DL34" s="826"/>
      <c r="DM34" s="740" t="s">
        <v>448</v>
      </c>
      <c r="DN34" s="663" t="s">
        <v>430</v>
      </c>
      <c r="DO34" s="741" t="s">
        <v>447</v>
      </c>
      <c r="DP34" s="663" t="s">
        <v>430</v>
      </c>
      <c r="DQ34" s="742" t="s">
        <v>447</v>
      </c>
      <c r="DR34" s="663" t="s">
        <v>428</v>
      </c>
      <c r="DS34" s="742" t="s">
        <v>448</v>
      </c>
      <c r="DT34" s="663" t="s">
        <v>428</v>
      </c>
      <c r="DU34" s="742" t="s">
        <v>447</v>
      </c>
      <c r="DV34" s="663" t="s">
        <v>428</v>
      </c>
      <c r="DW34" s="742" t="s">
        <v>447</v>
      </c>
      <c r="DX34" s="663" t="s">
        <v>428</v>
      </c>
      <c r="DY34" s="742" t="s">
        <v>447</v>
      </c>
      <c r="DZ34" s="663" t="s">
        <v>430</v>
      </c>
      <c r="EA34" s="742" t="s">
        <v>448</v>
      </c>
      <c r="EB34" s="663" t="s">
        <v>430</v>
      </c>
      <c r="EC34" s="742" t="s">
        <v>448</v>
      </c>
      <c r="ED34" s="663" t="s">
        <v>428</v>
      </c>
      <c r="EE34" s="742" t="s">
        <v>448</v>
      </c>
      <c r="EF34" s="663" t="s">
        <v>430</v>
      </c>
      <c r="EG34" s="742" t="s">
        <v>448</v>
      </c>
      <c r="EH34" s="663" t="s">
        <v>430</v>
      </c>
      <c r="EI34" s="742" t="s">
        <v>448</v>
      </c>
      <c r="EJ34" s="663" t="s">
        <v>428</v>
      </c>
      <c r="EK34" s="742" t="s">
        <v>447</v>
      </c>
      <c r="EL34" s="663" t="s">
        <v>430</v>
      </c>
      <c r="EM34" s="742" t="s">
        <v>448</v>
      </c>
      <c r="EN34" s="663" t="s">
        <v>428</v>
      </c>
      <c r="EO34" s="742" t="s">
        <v>448</v>
      </c>
      <c r="EP34" s="663" t="s">
        <v>428</v>
      </c>
      <c r="EQ34" s="742" t="s">
        <v>447</v>
      </c>
      <c r="ER34" s="663" t="s">
        <v>428</v>
      </c>
      <c r="ES34" s="742" t="s">
        <v>447</v>
      </c>
      <c r="ET34" s="663" t="s">
        <v>430</v>
      </c>
      <c r="EU34" s="742" t="s">
        <v>447</v>
      </c>
      <c r="EV34" s="663" t="s">
        <v>430</v>
      </c>
      <c r="EW34" s="742" t="s">
        <v>447</v>
      </c>
      <c r="EX34" s="663" t="s">
        <v>428</v>
      </c>
      <c r="EY34" s="742" t="s">
        <v>448</v>
      </c>
      <c r="EZ34" s="663" t="s">
        <v>430</v>
      </c>
      <c r="FA34" s="742" t="s">
        <v>448</v>
      </c>
      <c r="FB34" s="663" t="s">
        <v>428</v>
      </c>
      <c r="FC34" s="742" t="s">
        <v>448</v>
      </c>
      <c r="FD34" s="663" t="s">
        <v>430</v>
      </c>
      <c r="FE34" s="742" t="s">
        <v>447</v>
      </c>
      <c r="FF34" s="663" t="s">
        <v>428</v>
      </c>
      <c r="FG34" s="742" t="s">
        <v>448</v>
      </c>
      <c r="FH34" s="665" t="s">
        <v>428</v>
      </c>
      <c r="FI34" s="746"/>
      <c r="FJ34" s="827" t="s">
        <v>446</v>
      </c>
      <c r="FK34" s="738"/>
      <c r="FL34" s="824"/>
      <c r="FM34" s="825"/>
      <c r="FN34" s="824"/>
      <c r="FO34" s="826"/>
      <c r="FP34" s="747" t="s">
        <v>433</v>
      </c>
      <c r="FQ34" s="673" t="s">
        <v>448</v>
      </c>
      <c r="FR34" s="663" t="s">
        <v>434</v>
      </c>
      <c r="FS34" s="748" t="s">
        <v>450</v>
      </c>
      <c r="FT34" s="673" t="s">
        <v>448</v>
      </c>
      <c r="FU34" s="675" t="s">
        <v>434</v>
      </c>
      <c r="FV34" s="593"/>
      <c r="FW34" s="594"/>
      <c r="FX34" s="806"/>
      <c r="FY34" s="596"/>
      <c r="FZ34" s="807"/>
      <c r="GA34" s="598"/>
      <c r="GB34" s="808"/>
      <c r="GC34" s="600"/>
      <c r="GD34" s="808"/>
      <c r="GE34" s="601"/>
      <c r="GF34" s="749"/>
      <c r="GG34" s="750"/>
      <c r="GH34" s="750"/>
      <c r="GI34" s="750"/>
      <c r="GJ34" s="579"/>
      <c r="GK34" s="828" t="s">
        <v>959</v>
      </c>
      <c r="GL34" s="828"/>
      <c r="GM34" s="828"/>
      <c r="GN34" s="828"/>
      <c r="GO34" s="828"/>
      <c r="GP34" s="828"/>
      <c r="GQ34" s="615">
        <v>9</v>
      </c>
      <c r="GR34" s="579" t="s">
        <v>705</v>
      </c>
      <c r="GS34" s="580"/>
      <c r="GT34" s="763"/>
      <c r="GU34" s="829"/>
      <c r="GV34" s="830"/>
      <c r="GW34" s="831"/>
      <c r="GX34" s="633"/>
      <c r="GY34" s="633"/>
      <c r="GZ34" s="633"/>
      <c r="HA34" s="633"/>
      <c r="HB34" s="634"/>
      <c r="HC34" s="530"/>
      <c r="HD34" s="723"/>
      <c r="HE34" s="415"/>
      <c r="HF34" s="415"/>
    </row>
    <row r="35" spans="1:219" ht="20.100000000000001" customHeight="1">
      <c r="A35" s="832"/>
      <c r="B35" s="466" t="s">
        <v>767</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790</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327</v>
      </c>
      <c r="E36" s="642"/>
      <c r="F36" s="642"/>
      <c r="G36" s="845"/>
      <c r="H36" s="1294">
        <v>0</v>
      </c>
      <c r="I36" s="1295"/>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1296">
        <v>0</v>
      </c>
      <c r="BC36" s="648"/>
      <c r="BD36" s="832"/>
      <c r="BE36" s="642"/>
      <c r="BF36" s="642"/>
      <c r="BG36" s="643" t="s">
        <v>327</v>
      </c>
      <c r="BH36" s="642"/>
      <c r="BI36" s="642"/>
      <c r="BJ36" s="845"/>
      <c r="BK36" s="1294">
        <v>0</v>
      </c>
      <c r="BL36" s="1295"/>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1296">
        <v>0</v>
      </c>
      <c r="DF36" s="648"/>
      <c r="DG36" s="832"/>
      <c r="DH36" s="642"/>
      <c r="DI36" s="642"/>
      <c r="DJ36" s="643" t="s">
        <v>327</v>
      </c>
      <c r="DK36" s="642"/>
      <c r="DL36" s="642"/>
      <c r="DM36" s="845"/>
      <c r="DN36" s="1294">
        <v>0</v>
      </c>
      <c r="DO36" s="1295"/>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1296">
        <v>0</v>
      </c>
      <c r="FI36" s="649"/>
      <c r="FJ36" s="841"/>
      <c r="FK36" s="642"/>
      <c r="FL36" s="642"/>
      <c r="FM36" s="643" t="s">
        <v>453</v>
      </c>
      <c r="FN36" s="642"/>
      <c r="FO36" s="642"/>
      <c r="FP36" s="650"/>
      <c r="FQ36" s="1295"/>
      <c r="FR36" s="1294">
        <v>0</v>
      </c>
      <c r="FS36" s="1297"/>
      <c r="FT36" s="1295"/>
      <c r="FU36" s="1298">
        <v>0</v>
      </c>
      <c r="FV36" s="593"/>
      <c r="FW36" s="594"/>
      <c r="FX36" s="806"/>
      <c r="FY36" s="596"/>
      <c r="FZ36" s="807"/>
      <c r="GA36" s="598"/>
      <c r="GB36" s="808"/>
      <c r="GC36" s="600"/>
      <c r="GD36" s="808"/>
      <c r="GE36" s="601"/>
      <c r="GF36" s="654"/>
      <c r="GG36" s="655"/>
      <c r="GH36" s="655"/>
      <c r="GI36" s="655"/>
      <c r="GJ36" s="530"/>
      <c r="GK36" s="828" t="s">
        <v>960</v>
      </c>
      <c r="GL36" s="828"/>
      <c r="GM36" s="828"/>
      <c r="GN36" s="828"/>
      <c r="GO36" s="828"/>
      <c r="GP36" s="828"/>
      <c r="GQ36" s="615">
        <v>19.3</v>
      </c>
      <c r="GR36" s="579" t="s">
        <v>705</v>
      </c>
      <c r="GS36" s="530"/>
      <c r="GT36" s="763"/>
      <c r="GU36" s="829"/>
      <c r="GV36" s="830"/>
      <c r="GW36" s="831"/>
      <c r="GX36" s="633"/>
      <c r="GY36" s="633"/>
      <c r="GZ36" s="633"/>
      <c r="HA36" s="633"/>
      <c r="HB36" s="634"/>
      <c r="HC36" s="530"/>
      <c r="HD36" s="648"/>
      <c r="HE36" s="415"/>
      <c r="HF36" s="415"/>
    </row>
    <row r="37" spans="1:219" ht="24" customHeight="1">
      <c r="A37" s="853" t="s">
        <v>454</v>
      </c>
      <c r="B37" s="854"/>
      <c r="C37" s="855" t="s">
        <v>455</v>
      </c>
      <c r="D37" s="856"/>
      <c r="E37" s="857" t="s">
        <v>456</v>
      </c>
      <c r="F37" s="858"/>
      <c r="G37" s="662" t="s">
        <v>448</v>
      </c>
      <c r="H37" s="663" t="s">
        <v>328</v>
      </c>
      <c r="I37" s="664" t="s">
        <v>447</v>
      </c>
      <c r="J37" s="663" t="s">
        <v>459</v>
      </c>
      <c r="K37" s="664" t="s">
        <v>447</v>
      </c>
      <c r="L37" s="663" t="s">
        <v>459</v>
      </c>
      <c r="M37" s="664" t="s">
        <v>447</v>
      </c>
      <c r="N37" s="663" t="s">
        <v>458</v>
      </c>
      <c r="O37" s="664" t="s">
        <v>447</v>
      </c>
      <c r="P37" s="663" t="s">
        <v>459</v>
      </c>
      <c r="Q37" s="664" t="s">
        <v>448</v>
      </c>
      <c r="R37" s="663" t="s">
        <v>459</v>
      </c>
      <c r="S37" s="664" t="s">
        <v>448</v>
      </c>
      <c r="T37" s="663" t="s">
        <v>459</v>
      </c>
      <c r="U37" s="664" t="s">
        <v>447</v>
      </c>
      <c r="V37" s="663" t="s">
        <v>459</v>
      </c>
      <c r="W37" s="664" t="s">
        <v>448</v>
      </c>
      <c r="X37" s="663" t="s">
        <v>458</v>
      </c>
      <c r="Y37" s="664" t="s">
        <v>447</v>
      </c>
      <c r="Z37" s="663" t="s">
        <v>459</v>
      </c>
      <c r="AA37" s="664" t="s">
        <v>448</v>
      </c>
      <c r="AB37" s="663" t="s">
        <v>458</v>
      </c>
      <c r="AC37" s="664" t="s">
        <v>447</v>
      </c>
      <c r="AD37" s="663" t="s">
        <v>458</v>
      </c>
      <c r="AE37" s="664" t="s">
        <v>447</v>
      </c>
      <c r="AF37" s="663" t="s">
        <v>458</v>
      </c>
      <c r="AG37" s="664" t="s">
        <v>448</v>
      </c>
      <c r="AH37" s="663" t="s">
        <v>458</v>
      </c>
      <c r="AI37" s="664" t="s">
        <v>448</v>
      </c>
      <c r="AJ37" s="663" t="s">
        <v>458</v>
      </c>
      <c r="AK37" s="664" t="s">
        <v>447</v>
      </c>
      <c r="AL37" s="663" t="s">
        <v>459</v>
      </c>
      <c r="AM37" s="664" t="s">
        <v>448</v>
      </c>
      <c r="AN37" s="663" t="s">
        <v>458</v>
      </c>
      <c r="AO37" s="664" t="s">
        <v>447</v>
      </c>
      <c r="AP37" s="663" t="s">
        <v>459</v>
      </c>
      <c r="AQ37" s="664" t="s">
        <v>448</v>
      </c>
      <c r="AR37" s="663" t="s">
        <v>458</v>
      </c>
      <c r="AS37" s="664" t="s">
        <v>448</v>
      </c>
      <c r="AT37" s="663" t="s">
        <v>459</v>
      </c>
      <c r="AU37" s="664" t="s">
        <v>448</v>
      </c>
      <c r="AV37" s="663" t="s">
        <v>459</v>
      </c>
      <c r="AW37" s="664" t="s">
        <v>448</v>
      </c>
      <c r="AX37" s="663" t="s">
        <v>458</v>
      </c>
      <c r="AY37" s="664" t="s">
        <v>447</v>
      </c>
      <c r="AZ37" s="663" t="s">
        <v>458</v>
      </c>
      <c r="BA37" s="664" t="s">
        <v>448</v>
      </c>
      <c r="BB37" s="665" t="s">
        <v>459</v>
      </c>
      <c r="BC37" s="723"/>
      <c r="BD37" s="853" t="s">
        <v>462</v>
      </c>
      <c r="BE37" s="854"/>
      <c r="BF37" s="855" t="s">
        <v>460</v>
      </c>
      <c r="BG37" s="856"/>
      <c r="BH37" s="857" t="s">
        <v>456</v>
      </c>
      <c r="BI37" s="858"/>
      <c r="BJ37" s="662" t="s">
        <v>448</v>
      </c>
      <c r="BK37" s="663" t="s">
        <v>328</v>
      </c>
      <c r="BL37" s="664" t="s">
        <v>447</v>
      </c>
      <c r="BM37" s="663" t="s">
        <v>459</v>
      </c>
      <c r="BN37" s="664" t="s">
        <v>448</v>
      </c>
      <c r="BO37" s="663" t="s">
        <v>459</v>
      </c>
      <c r="BP37" s="664" t="s">
        <v>447</v>
      </c>
      <c r="BQ37" s="663" t="s">
        <v>458</v>
      </c>
      <c r="BR37" s="664" t="s">
        <v>447</v>
      </c>
      <c r="BS37" s="663" t="s">
        <v>458</v>
      </c>
      <c r="BT37" s="664" t="s">
        <v>447</v>
      </c>
      <c r="BU37" s="663" t="s">
        <v>459</v>
      </c>
      <c r="BV37" s="664" t="s">
        <v>447</v>
      </c>
      <c r="BW37" s="663" t="s">
        <v>458</v>
      </c>
      <c r="BX37" s="664" t="s">
        <v>448</v>
      </c>
      <c r="BY37" s="663" t="s">
        <v>459</v>
      </c>
      <c r="BZ37" s="664" t="s">
        <v>447</v>
      </c>
      <c r="CA37" s="663" t="s">
        <v>458</v>
      </c>
      <c r="CB37" s="664" t="s">
        <v>448</v>
      </c>
      <c r="CC37" s="663" t="s">
        <v>459</v>
      </c>
      <c r="CD37" s="664" t="s">
        <v>448</v>
      </c>
      <c r="CE37" s="663" t="s">
        <v>459</v>
      </c>
      <c r="CF37" s="664" t="s">
        <v>448</v>
      </c>
      <c r="CG37" s="663" t="s">
        <v>458</v>
      </c>
      <c r="CH37" s="664" t="s">
        <v>448</v>
      </c>
      <c r="CI37" s="663" t="s">
        <v>458</v>
      </c>
      <c r="CJ37" s="664" t="s">
        <v>448</v>
      </c>
      <c r="CK37" s="663" t="s">
        <v>459</v>
      </c>
      <c r="CL37" s="664" t="s">
        <v>447</v>
      </c>
      <c r="CM37" s="663" t="s">
        <v>458</v>
      </c>
      <c r="CN37" s="664" t="s">
        <v>448</v>
      </c>
      <c r="CO37" s="663" t="s">
        <v>459</v>
      </c>
      <c r="CP37" s="664" t="s">
        <v>447</v>
      </c>
      <c r="CQ37" s="663" t="s">
        <v>458</v>
      </c>
      <c r="CR37" s="664" t="s">
        <v>448</v>
      </c>
      <c r="CS37" s="663" t="s">
        <v>458</v>
      </c>
      <c r="CT37" s="664" t="s">
        <v>447</v>
      </c>
      <c r="CU37" s="663" t="s">
        <v>458</v>
      </c>
      <c r="CV37" s="664" t="s">
        <v>447</v>
      </c>
      <c r="CW37" s="663" t="s">
        <v>458</v>
      </c>
      <c r="CX37" s="664" t="s">
        <v>448</v>
      </c>
      <c r="CY37" s="663" t="s">
        <v>459</v>
      </c>
      <c r="CZ37" s="664" t="s">
        <v>448</v>
      </c>
      <c r="DA37" s="663" t="s">
        <v>458</v>
      </c>
      <c r="DB37" s="664" t="s">
        <v>447</v>
      </c>
      <c r="DC37" s="663" t="s">
        <v>459</v>
      </c>
      <c r="DD37" s="664" t="s">
        <v>448</v>
      </c>
      <c r="DE37" s="665" t="s">
        <v>459</v>
      </c>
      <c r="DF37" s="723"/>
      <c r="DG37" s="853" t="s">
        <v>462</v>
      </c>
      <c r="DH37" s="854"/>
      <c r="DI37" s="855" t="s">
        <v>455</v>
      </c>
      <c r="DJ37" s="856"/>
      <c r="DK37" s="857" t="s">
        <v>456</v>
      </c>
      <c r="DL37" s="858"/>
      <c r="DM37" s="662" t="s">
        <v>448</v>
      </c>
      <c r="DN37" s="663" t="s">
        <v>328</v>
      </c>
      <c r="DO37" s="664" t="s">
        <v>447</v>
      </c>
      <c r="DP37" s="663" t="s">
        <v>458</v>
      </c>
      <c r="DQ37" s="664" t="s">
        <v>448</v>
      </c>
      <c r="DR37" s="663" t="s">
        <v>459</v>
      </c>
      <c r="DS37" s="664" t="s">
        <v>448</v>
      </c>
      <c r="DT37" s="663" t="s">
        <v>459</v>
      </c>
      <c r="DU37" s="664" t="s">
        <v>447</v>
      </c>
      <c r="DV37" s="663" t="s">
        <v>459</v>
      </c>
      <c r="DW37" s="664" t="s">
        <v>448</v>
      </c>
      <c r="DX37" s="663" t="s">
        <v>458</v>
      </c>
      <c r="DY37" s="664" t="s">
        <v>448</v>
      </c>
      <c r="DZ37" s="663" t="s">
        <v>459</v>
      </c>
      <c r="EA37" s="664" t="s">
        <v>448</v>
      </c>
      <c r="EB37" s="663" t="s">
        <v>458</v>
      </c>
      <c r="EC37" s="664" t="s">
        <v>447</v>
      </c>
      <c r="ED37" s="663" t="s">
        <v>458</v>
      </c>
      <c r="EE37" s="664" t="s">
        <v>448</v>
      </c>
      <c r="EF37" s="663" t="s">
        <v>458</v>
      </c>
      <c r="EG37" s="664" t="s">
        <v>448</v>
      </c>
      <c r="EH37" s="663" t="s">
        <v>458</v>
      </c>
      <c r="EI37" s="664" t="s">
        <v>448</v>
      </c>
      <c r="EJ37" s="663" t="s">
        <v>458</v>
      </c>
      <c r="EK37" s="664" t="s">
        <v>447</v>
      </c>
      <c r="EL37" s="663" t="s">
        <v>459</v>
      </c>
      <c r="EM37" s="664" t="s">
        <v>448</v>
      </c>
      <c r="EN37" s="663" t="s">
        <v>458</v>
      </c>
      <c r="EO37" s="664" t="s">
        <v>447</v>
      </c>
      <c r="EP37" s="663" t="s">
        <v>459</v>
      </c>
      <c r="EQ37" s="664" t="s">
        <v>448</v>
      </c>
      <c r="ER37" s="663" t="s">
        <v>458</v>
      </c>
      <c r="ES37" s="664" t="s">
        <v>448</v>
      </c>
      <c r="ET37" s="663" t="s">
        <v>459</v>
      </c>
      <c r="EU37" s="664" t="s">
        <v>448</v>
      </c>
      <c r="EV37" s="663" t="s">
        <v>459</v>
      </c>
      <c r="EW37" s="664" t="s">
        <v>448</v>
      </c>
      <c r="EX37" s="663" t="s">
        <v>458</v>
      </c>
      <c r="EY37" s="664" t="s">
        <v>447</v>
      </c>
      <c r="EZ37" s="663" t="s">
        <v>458</v>
      </c>
      <c r="FA37" s="664" t="s">
        <v>448</v>
      </c>
      <c r="FB37" s="663" t="s">
        <v>459</v>
      </c>
      <c r="FC37" s="664" t="s">
        <v>447</v>
      </c>
      <c r="FD37" s="663" t="s">
        <v>458</v>
      </c>
      <c r="FE37" s="664" t="s">
        <v>447</v>
      </c>
      <c r="FF37" s="663" t="s">
        <v>458</v>
      </c>
      <c r="FG37" s="664" t="s">
        <v>447</v>
      </c>
      <c r="FH37" s="665" t="s">
        <v>459</v>
      </c>
      <c r="FI37" s="746"/>
      <c r="FJ37" s="827" t="s">
        <v>454</v>
      </c>
      <c r="FK37" s="854"/>
      <c r="FL37" s="855" t="s">
        <v>460</v>
      </c>
      <c r="FM37" s="856"/>
      <c r="FN37" s="857" t="s">
        <v>461</v>
      </c>
      <c r="FO37" s="858"/>
      <c r="FP37" s="672"/>
      <c r="FQ37" s="859" t="s">
        <v>311</v>
      </c>
      <c r="FR37" s="663" t="s">
        <v>458</v>
      </c>
      <c r="FS37" s="674"/>
      <c r="FT37" s="859" t="s">
        <v>463</v>
      </c>
      <c r="FU37" s="675" t="s">
        <v>459</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464</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c r="FM38" s="865"/>
      <c r="FN38" s="866">
        <v>0</v>
      </c>
      <c r="FO38" s="867"/>
      <c r="FP38" s="685"/>
      <c r="FQ38" s="686"/>
      <c r="FR38" s="559">
        <v>0</v>
      </c>
      <c r="FS38" s="687"/>
      <c r="FT38" s="686"/>
      <c r="FU38" s="567">
        <v>0</v>
      </c>
      <c r="FV38" s="593"/>
      <c r="FW38" s="594"/>
      <c r="FX38" s="806"/>
      <c r="FY38" s="596"/>
      <c r="FZ38" s="807"/>
      <c r="GA38" s="598"/>
      <c r="GB38" s="808"/>
      <c r="GC38" s="600"/>
      <c r="GD38" s="808"/>
      <c r="GE38" s="601"/>
      <c r="GF38" s="688"/>
      <c r="GG38" s="602"/>
      <c r="GH38" s="602"/>
      <c r="GI38" s="602"/>
      <c r="GJ38" s="580"/>
      <c r="GK38" s="413" t="s">
        <v>719</v>
      </c>
      <c r="GL38" s="409"/>
      <c r="GM38" s="413"/>
      <c r="GN38" s="409"/>
      <c r="GO38" s="413"/>
      <c r="GP38" s="413"/>
      <c r="GQ38" s="413"/>
      <c r="GR38" s="413"/>
      <c r="GS38" s="580"/>
      <c r="GT38" s="861"/>
      <c r="GU38" s="872" t="s">
        <v>536</v>
      </c>
      <c r="GV38" s="873"/>
      <c r="GW38" s="873"/>
      <c r="GX38" s="873"/>
      <c r="GY38" s="873"/>
      <c r="GZ38" s="874"/>
      <c r="HA38" s="633">
        <v>217.55</v>
      </c>
      <c r="HB38" s="875">
        <v>71.19</v>
      </c>
      <c r="HC38" s="530"/>
      <c r="HD38" s="530"/>
      <c r="HE38" s="387"/>
      <c r="HF38" s="387"/>
      <c r="HK38" s="415"/>
    </row>
    <row r="39" spans="1:219" ht="20.100000000000001" customHeight="1">
      <c r="A39" s="832"/>
      <c r="B39" s="876" t="s">
        <v>465</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409"/>
      <c r="GK39" s="885"/>
      <c r="GL39" s="886"/>
      <c r="GM39" s="887" t="s">
        <v>881</v>
      </c>
      <c r="GN39" s="886"/>
      <c r="GO39" s="887" t="s">
        <v>837</v>
      </c>
      <c r="GP39" s="886"/>
      <c r="GQ39" s="887" t="s">
        <v>789</v>
      </c>
      <c r="GR39" s="888"/>
      <c r="GS39" s="413"/>
      <c r="GT39" s="689"/>
      <c r="GU39" s="530" t="s">
        <v>786</v>
      </c>
      <c r="GV39" s="530"/>
      <c r="GW39" s="530"/>
      <c r="GX39" s="530"/>
      <c r="GY39" s="530"/>
      <c r="GZ39" s="530"/>
      <c r="HA39" s="690">
        <v>3.06</v>
      </c>
      <c r="HB39" s="579"/>
      <c r="HC39" s="530"/>
      <c r="HD39" s="562"/>
    </row>
    <row r="40" spans="1:219" ht="20.100000000000001" customHeight="1">
      <c r="A40" s="889"/>
      <c r="B40" s="642"/>
      <c r="C40" s="642"/>
      <c r="D40" s="643" t="s">
        <v>329</v>
      </c>
      <c r="E40" s="642"/>
      <c r="F40" s="642"/>
      <c r="G40" s="845"/>
      <c r="H40" s="1294">
        <v>0</v>
      </c>
      <c r="I40" s="1295"/>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1296">
        <v>0</v>
      </c>
      <c r="BC40" s="648"/>
      <c r="BD40" s="889"/>
      <c r="BE40" s="642"/>
      <c r="BF40" s="642"/>
      <c r="BG40" s="643" t="s">
        <v>466</v>
      </c>
      <c r="BH40" s="642"/>
      <c r="BI40" s="642"/>
      <c r="BJ40" s="845"/>
      <c r="BK40" s="1294">
        <v>0</v>
      </c>
      <c r="BL40" s="1295"/>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1296">
        <v>0</v>
      </c>
      <c r="DF40" s="648"/>
      <c r="DG40" s="889"/>
      <c r="DH40" s="642"/>
      <c r="DI40" s="642"/>
      <c r="DJ40" s="643" t="s">
        <v>466</v>
      </c>
      <c r="DK40" s="642"/>
      <c r="DL40" s="642"/>
      <c r="DM40" s="845"/>
      <c r="DN40" s="1294">
        <v>0</v>
      </c>
      <c r="DO40" s="1295"/>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1296">
        <v>0</v>
      </c>
      <c r="FI40" s="649"/>
      <c r="FJ40" s="841"/>
      <c r="FK40" s="642"/>
      <c r="FL40" s="642"/>
      <c r="FM40" s="643" t="s">
        <v>466</v>
      </c>
      <c r="FN40" s="642"/>
      <c r="FO40" s="642"/>
      <c r="FP40" s="650"/>
      <c r="FQ40" s="1295"/>
      <c r="FR40" s="1294">
        <v>0</v>
      </c>
      <c r="FS40" s="1297"/>
      <c r="FT40" s="1295"/>
      <c r="FU40" s="1298">
        <v>0</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796</v>
      </c>
      <c r="GV40" s="530"/>
      <c r="GW40" s="530"/>
      <c r="GX40" s="530"/>
      <c r="GY40" s="530"/>
      <c r="GZ40" s="530"/>
      <c r="HA40" s="894">
        <v>55.1</v>
      </c>
      <c r="HB40" s="413"/>
      <c r="HC40" s="530"/>
      <c r="HD40" s="580"/>
      <c r="HK40" s="415"/>
    </row>
    <row r="41" spans="1:219" ht="20.100000000000001" customHeight="1">
      <c r="A41" s="862" t="s">
        <v>467</v>
      </c>
      <c r="B41" s="738"/>
      <c r="C41" s="895"/>
      <c r="D41" s="895"/>
      <c r="E41" s="895"/>
      <c r="F41" s="896"/>
      <c r="G41" s="740"/>
      <c r="H41" s="663" t="s">
        <v>428</v>
      </c>
      <c r="I41" s="741"/>
      <c r="J41" s="663" t="s">
        <v>428</v>
      </c>
      <c r="K41" s="742"/>
      <c r="L41" s="663" t="s">
        <v>428</v>
      </c>
      <c r="M41" s="742"/>
      <c r="N41" s="663" t="s">
        <v>430</v>
      </c>
      <c r="O41" s="742"/>
      <c r="P41" s="663" t="s">
        <v>428</v>
      </c>
      <c r="Q41" s="742"/>
      <c r="R41" s="663" t="s">
        <v>430</v>
      </c>
      <c r="S41" s="742"/>
      <c r="T41" s="663" t="s">
        <v>428</v>
      </c>
      <c r="U41" s="742"/>
      <c r="V41" s="663" t="s">
        <v>428</v>
      </c>
      <c r="W41" s="742"/>
      <c r="X41" s="663" t="s">
        <v>430</v>
      </c>
      <c r="Y41" s="742" t="s">
        <v>447</v>
      </c>
      <c r="Z41" s="663" t="s">
        <v>430</v>
      </c>
      <c r="AA41" s="742" t="s">
        <v>447</v>
      </c>
      <c r="AB41" s="663" t="s">
        <v>430</v>
      </c>
      <c r="AC41" s="742"/>
      <c r="AD41" s="663" t="s">
        <v>428</v>
      </c>
      <c r="AE41" s="742"/>
      <c r="AF41" s="663" t="s">
        <v>430</v>
      </c>
      <c r="AG41" s="742"/>
      <c r="AH41" s="663" t="s">
        <v>428</v>
      </c>
      <c r="AI41" s="742"/>
      <c r="AJ41" s="663" t="s">
        <v>428</v>
      </c>
      <c r="AK41" s="742"/>
      <c r="AL41" s="663" t="s">
        <v>430</v>
      </c>
      <c r="AM41" s="742"/>
      <c r="AN41" s="663" t="s">
        <v>428</v>
      </c>
      <c r="AO41" s="742"/>
      <c r="AP41" s="663" t="s">
        <v>430</v>
      </c>
      <c r="AQ41" s="742"/>
      <c r="AR41" s="663" t="s">
        <v>428</v>
      </c>
      <c r="AS41" s="742"/>
      <c r="AT41" s="663" t="s">
        <v>430</v>
      </c>
      <c r="AU41" s="742"/>
      <c r="AV41" s="663" t="s">
        <v>428</v>
      </c>
      <c r="AW41" s="742"/>
      <c r="AX41" s="663" t="s">
        <v>428</v>
      </c>
      <c r="AY41" s="742"/>
      <c r="AZ41" s="663" t="s">
        <v>430</v>
      </c>
      <c r="BA41" s="742"/>
      <c r="BB41" s="665" t="s">
        <v>430</v>
      </c>
      <c r="BC41" s="723"/>
      <c r="BD41" s="862" t="s">
        <v>467</v>
      </c>
      <c r="BE41" s="738"/>
      <c r="BF41" s="895"/>
      <c r="BG41" s="895"/>
      <c r="BH41" s="895"/>
      <c r="BI41" s="896"/>
      <c r="BJ41" s="740"/>
      <c r="BK41" s="663" t="s">
        <v>430</v>
      </c>
      <c r="BL41" s="741"/>
      <c r="BM41" s="663" t="s">
        <v>428</v>
      </c>
      <c r="BN41" s="742"/>
      <c r="BO41" s="663" t="s">
        <v>430</v>
      </c>
      <c r="BP41" s="742"/>
      <c r="BQ41" s="663" t="s">
        <v>428</v>
      </c>
      <c r="BR41" s="742"/>
      <c r="BS41" s="663" t="s">
        <v>430</v>
      </c>
      <c r="BT41" s="742"/>
      <c r="BU41" s="663" t="s">
        <v>428</v>
      </c>
      <c r="BV41" s="742"/>
      <c r="BW41" s="663" t="s">
        <v>430</v>
      </c>
      <c r="BX41" s="742"/>
      <c r="BY41" s="663" t="s">
        <v>428</v>
      </c>
      <c r="BZ41" s="742"/>
      <c r="CA41" s="663" t="s">
        <v>428</v>
      </c>
      <c r="CB41" s="742" t="s">
        <v>447</v>
      </c>
      <c r="CC41" s="663" t="s">
        <v>428</v>
      </c>
      <c r="CD41" s="742" t="s">
        <v>448</v>
      </c>
      <c r="CE41" s="663" t="s">
        <v>428</v>
      </c>
      <c r="CF41" s="742"/>
      <c r="CG41" s="663" t="s">
        <v>430</v>
      </c>
      <c r="CH41" s="742"/>
      <c r="CI41" s="663" t="s">
        <v>430</v>
      </c>
      <c r="CJ41" s="742"/>
      <c r="CK41" s="663" t="s">
        <v>430</v>
      </c>
      <c r="CL41" s="742"/>
      <c r="CM41" s="663" t="s">
        <v>428</v>
      </c>
      <c r="CN41" s="742"/>
      <c r="CO41" s="663" t="s">
        <v>428</v>
      </c>
      <c r="CP41" s="742"/>
      <c r="CQ41" s="663" t="s">
        <v>430</v>
      </c>
      <c r="CR41" s="742"/>
      <c r="CS41" s="663" t="s">
        <v>428</v>
      </c>
      <c r="CT41" s="742"/>
      <c r="CU41" s="663" t="s">
        <v>430</v>
      </c>
      <c r="CV41" s="742"/>
      <c r="CW41" s="663" t="s">
        <v>428</v>
      </c>
      <c r="CX41" s="742"/>
      <c r="CY41" s="663" t="s">
        <v>430</v>
      </c>
      <c r="CZ41" s="742"/>
      <c r="DA41" s="663" t="s">
        <v>428</v>
      </c>
      <c r="DB41" s="742"/>
      <c r="DC41" s="663" t="s">
        <v>428</v>
      </c>
      <c r="DD41" s="742"/>
      <c r="DE41" s="665" t="s">
        <v>430</v>
      </c>
      <c r="DF41" s="723"/>
      <c r="DG41" s="862" t="s">
        <v>468</v>
      </c>
      <c r="DH41" s="738"/>
      <c r="DI41" s="895"/>
      <c r="DJ41" s="895"/>
      <c r="DK41" s="895"/>
      <c r="DL41" s="896"/>
      <c r="DM41" s="740"/>
      <c r="DN41" s="663" t="s">
        <v>428</v>
      </c>
      <c r="DO41" s="741"/>
      <c r="DP41" s="663" t="s">
        <v>428</v>
      </c>
      <c r="DQ41" s="742"/>
      <c r="DR41" s="663" t="s">
        <v>430</v>
      </c>
      <c r="DS41" s="742"/>
      <c r="DT41" s="663" t="s">
        <v>430</v>
      </c>
      <c r="DU41" s="742"/>
      <c r="DV41" s="663" t="s">
        <v>428</v>
      </c>
      <c r="DW41" s="742"/>
      <c r="DX41" s="663" t="s">
        <v>430</v>
      </c>
      <c r="DY41" s="742"/>
      <c r="DZ41" s="663" t="s">
        <v>428</v>
      </c>
      <c r="EA41" s="742"/>
      <c r="EB41" s="663" t="s">
        <v>430</v>
      </c>
      <c r="EC41" s="742"/>
      <c r="ED41" s="663" t="s">
        <v>428</v>
      </c>
      <c r="EE41" s="742" t="s">
        <v>448</v>
      </c>
      <c r="EF41" s="663" t="s">
        <v>428</v>
      </c>
      <c r="EG41" s="742" t="s">
        <v>448</v>
      </c>
      <c r="EH41" s="663" t="s">
        <v>428</v>
      </c>
      <c r="EI41" s="742"/>
      <c r="EJ41" s="663" t="s">
        <v>428</v>
      </c>
      <c r="EK41" s="742"/>
      <c r="EL41" s="663" t="s">
        <v>430</v>
      </c>
      <c r="EM41" s="742"/>
      <c r="EN41" s="663" t="s">
        <v>430</v>
      </c>
      <c r="EO41" s="742"/>
      <c r="EP41" s="663" t="s">
        <v>430</v>
      </c>
      <c r="EQ41" s="742"/>
      <c r="ER41" s="663" t="s">
        <v>428</v>
      </c>
      <c r="ES41" s="742"/>
      <c r="ET41" s="663" t="s">
        <v>428</v>
      </c>
      <c r="EU41" s="742"/>
      <c r="EV41" s="663" t="s">
        <v>430</v>
      </c>
      <c r="EW41" s="742"/>
      <c r="EX41" s="663" t="s">
        <v>428</v>
      </c>
      <c r="EY41" s="742"/>
      <c r="EZ41" s="663" t="s">
        <v>430</v>
      </c>
      <c r="FA41" s="742"/>
      <c r="FB41" s="663" t="s">
        <v>428</v>
      </c>
      <c r="FC41" s="742"/>
      <c r="FD41" s="663" t="s">
        <v>430</v>
      </c>
      <c r="FE41" s="742"/>
      <c r="FF41" s="663" t="s">
        <v>428</v>
      </c>
      <c r="FG41" s="742"/>
      <c r="FH41" s="665" t="s">
        <v>428</v>
      </c>
      <c r="FI41" s="746"/>
      <c r="FJ41" s="827" t="s">
        <v>468</v>
      </c>
      <c r="FK41" s="743"/>
      <c r="FL41" s="897"/>
      <c r="FM41" s="897"/>
      <c r="FN41" s="897"/>
      <c r="FO41" s="898"/>
      <c r="FP41" s="747"/>
      <c r="FQ41" s="673"/>
      <c r="FR41" s="663" t="s">
        <v>434</v>
      </c>
      <c r="FS41" s="748"/>
      <c r="FT41" s="673"/>
      <c r="FU41" s="675" t="s">
        <v>434</v>
      </c>
      <c r="FV41" s="593"/>
      <c r="FW41" s="594"/>
      <c r="FX41" s="806"/>
      <c r="FY41" s="596"/>
      <c r="FZ41" s="807"/>
      <c r="GA41" s="598"/>
      <c r="GB41" s="808"/>
      <c r="GC41" s="600"/>
      <c r="GD41" s="808"/>
      <c r="GE41" s="601"/>
      <c r="GF41" s="749"/>
      <c r="GG41" s="750"/>
      <c r="GH41" s="750"/>
      <c r="GI41" s="750"/>
      <c r="GJ41" s="580"/>
      <c r="GK41" s="899" t="s">
        <v>720</v>
      </c>
      <c r="GL41" s="900"/>
      <c r="GM41" s="901" t="s">
        <v>838</v>
      </c>
      <c r="GN41" s="901"/>
      <c r="GO41" s="901" t="s">
        <v>576</v>
      </c>
      <c r="GP41" s="901"/>
      <c r="GQ41" s="901"/>
      <c r="GR41" s="902"/>
      <c r="GS41" s="861"/>
      <c r="GT41" s="689"/>
      <c r="GU41" s="530" t="s">
        <v>611</v>
      </c>
      <c r="GV41" s="530"/>
      <c r="GW41" s="530"/>
      <c r="GX41" s="530"/>
      <c r="GY41" s="530"/>
      <c r="GZ41" s="530"/>
      <c r="HA41" s="894">
        <v>38</v>
      </c>
      <c r="HB41" s="413"/>
      <c r="HC41" s="530"/>
      <c r="HD41" s="409"/>
    </row>
    <row r="42" spans="1:219" ht="20.100000000000001" customHeight="1">
      <c r="A42" s="832"/>
      <c r="B42" s="903" t="s">
        <v>469</v>
      </c>
      <c r="C42" s="904"/>
      <c r="D42" s="904"/>
      <c r="E42" s="905"/>
      <c r="F42" s="906"/>
      <c r="G42" s="836"/>
      <c r="H42" s="837"/>
      <c r="I42" s="838"/>
      <c r="J42" s="799"/>
      <c r="K42" s="839"/>
      <c r="L42" s="799"/>
      <c r="M42" s="839"/>
      <c r="N42" s="799"/>
      <c r="O42" s="839"/>
      <c r="P42" s="799"/>
      <c r="Q42" s="839"/>
      <c r="R42" s="799"/>
      <c r="S42" s="839"/>
      <c r="T42" s="799"/>
      <c r="U42" s="839"/>
      <c r="V42" s="799"/>
      <c r="W42" s="839"/>
      <c r="X42" s="799">
        <v>2015</v>
      </c>
      <c r="Y42" s="839"/>
      <c r="Z42" s="799">
        <v>1310</v>
      </c>
      <c r="AA42" s="839"/>
      <c r="AB42" s="799">
        <v>1281</v>
      </c>
      <c r="AC42" s="839"/>
      <c r="AD42" s="799">
        <v>1253</v>
      </c>
      <c r="AE42" s="839"/>
      <c r="AF42" s="799">
        <v>1224</v>
      </c>
      <c r="AG42" s="839"/>
      <c r="AH42" s="799">
        <v>1203</v>
      </c>
      <c r="AI42" s="839"/>
      <c r="AJ42" s="799">
        <v>1182</v>
      </c>
      <c r="AK42" s="839"/>
      <c r="AL42" s="799">
        <v>1160</v>
      </c>
      <c r="AM42" s="839"/>
      <c r="AN42" s="799">
        <v>1139</v>
      </c>
      <c r="AO42" s="839"/>
      <c r="AP42" s="799">
        <v>1125</v>
      </c>
      <c r="AQ42" s="839"/>
      <c r="AR42" s="799"/>
      <c r="AS42" s="839"/>
      <c r="AT42" s="799"/>
      <c r="AU42" s="839"/>
      <c r="AV42" s="799"/>
      <c r="AW42" s="839"/>
      <c r="AX42" s="799"/>
      <c r="AY42" s="839"/>
      <c r="AZ42" s="799"/>
      <c r="BA42" s="839"/>
      <c r="BB42" s="840"/>
      <c r="BC42" s="562"/>
      <c r="BD42" s="832"/>
      <c r="BE42" s="907" t="s">
        <v>469</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2015</v>
      </c>
      <c r="CB42" s="839"/>
      <c r="CC42" s="799">
        <v>1310</v>
      </c>
      <c r="CD42" s="839"/>
      <c r="CE42" s="799">
        <v>1281</v>
      </c>
      <c r="CF42" s="839"/>
      <c r="CG42" s="799">
        <v>1253</v>
      </c>
      <c r="CH42" s="839"/>
      <c r="CI42" s="799">
        <v>1224</v>
      </c>
      <c r="CJ42" s="839"/>
      <c r="CK42" s="799">
        <v>1203</v>
      </c>
      <c r="CL42" s="839"/>
      <c r="CM42" s="799">
        <v>1182</v>
      </c>
      <c r="CN42" s="839"/>
      <c r="CO42" s="799">
        <v>1160</v>
      </c>
      <c r="CP42" s="839"/>
      <c r="CQ42" s="799">
        <v>1139</v>
      </c>
      <c r="CR42" s="839"/>
      <c r="CS42" s="799">
        <v>1125</v>
      </c>
      <c r="CT42" s="839"/>
      <c r="CU42" s="799"/>
      <c r="CV42" s="839"/>
      <c r="CW42" s="799"/>
      <c r="CX42" s="839"/>
      <c r="CY42" s="799"/>
      <c r="CZ42" s="839"/>
      <c r="DA42" s="799"/>
      <c r="DB42" s="839"/>
      <c r="DC42" s="799"/>
      <c r="DD42" s="839"/>
      <c r="DE42" s="840"/>
      <c r="DF42" s="562"/>
      <c r="DG42" s="832"/>
      <c r="DH42" s="907" t="s">
        <v>470</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2015</v>
      </c>
      <c r="EE42" s="839"/>
      <c r="EF42" s="799">
        <v>1310</v>
      </c>
      <c r="EG42" s="839"/>
      <c r="EH42" s="799">
        <v>1281</v>
      </c>
      <c r="EI42" s="839"/>
      <c r="EJ42" s="799">
        <v>1253</v>
      </c>
      <c r="EK42" s="839"/>
      <c r="EL42" s="799">
        <v>1224</v>
      </c>
      <c r="EM42" s="839"/>
      <c r="EN42" s="799">
        <v>1203</v>
      </c>
      <c r="EO42" s="839"/>
      <c r="EP42" s="799">
        <v>1182</v>
      </c>
      <c r="EQ42" s="839"/>
      <c r="ER42" s="799">
        <v>1160</v>
      </c>
      <c r="ES42" s="839"/>
      <c r="ET42" s="799">
        <v>1139</v>
      </c>
      <c r="EU42" s="839"/>
      <c r="EV42" s="799">
        <v>1125</v>
      </c>
      <c r="EW42" s="839"/>
      <c r="EX42" s="799"/>
      <c r="EY42" s="839"/>
      <c r="EZ42" s="799"/>
      <c r="FA42" s="839"/>
      <c r="FB42" s="799"/>
      <c r="FC42" s="839"/>
      <c r="FD42" s="799"/>
      <c r="FE42" s="839"/>
      <c r="FF42" s="799"/>
      <c r="FG42" s="839"/>
      <c r="FH42" s="840"/>
      <c r="FI42" s="563"/>
      <c r="FJ42" s="841"/>
      <c r="FK42" s="907" t="s">
        <v>470</v>
      </c>
      <c r="FL42" s="904"/>
      <c r="FM42" s="904"/>
      <c r="FN42" s="905"/>
      <c r="FO42" s="906"/>
      <c r="FP42" s="842"/>
      <c r="FQ42" s="838"/>
      <c r="FR42" s="837">
        <v>2527</v>
      </c>
      <c r="FS42" s="843"/>
      <c r="FT42" s="838"/>
      <c r="FU42" s="805">
        <v>2527</v>
      </c>
      <c r="FV42" s="593"/>
      <c r="FW42" s="594"/>
      <c r="FX42" s="806"/>
      <c r="FY42" s="596"/>
      <c r="FZ42" s="807"/>
      <c r="GA42" s="598"/>
      <c r="GB42" s="808"/>
      <c r="GC42" s="600"/>
      <c r="GD42" s="808"/>
      <c r="GE42" s="601"/>
      <c r="GF42" s="844"/>
      <c r="GG42" s="602"/>
      <c r="GH42" s="602"/>
      <c r="GI42" s="602"/>
      <c r="GJ42" s="409"/>
      <c r="GK42" s="908"/>
      <c r="GL42" s="909"/>
      <c r="GM42" s="910">
        <v>9</v>
      </c>
      <c r="GN42" s="910"/>
      <c r="GO42" s="910">
        <v>19.3</v>
      </c>
      <c r="GP42" s="910"/>
      <c r="GQ42" s="910">
        <v>28.3</v>
      </c>
      <c r="GR42" s="911"/>
      <c r="GS42" s="580"/>
      <c r="GT42" s="500"/>
      <c r="GU42" s="500"/>
      <c r="GV42" s="500"/>
      <c r="GW42" s="579"/>
      <c r="GX42" s="579"/>
      <c r="GY42" s="579"/>
      <c r="GZ42" s="578"/>
      <c r="HA42" s="500"/>
      <c r="HB42" s="500"/>
      <c r="HC42" s="530"/>
      <c r="HD42" s="530"/>
    </row>
    <row r="43" spans="1:219" ht="20.100000000000001" customHeight="1">
      <c r="A43" s="832"/>
      <c r="B43" s="912" t="s">
        <v>471</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472</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471</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471</v>
      </c>
      <c r="FL43" s="913"/>
      <c r="FM43" s="913"/>
      <c r="FN43" s="913"/>
      <c r="FO43" s="914"/>
      <c r="FP43" s="696"/>
      <c r="FQ43" s="697"/>
      <c r="FR43" s="587">
        <v>0</v>
      </c>
      <c r="FS43" s="698"/>
      <c r="FT43" s="697"/>
      <c r="FU43" s="592">
        <v>0</v>
      </c>
      <c r="FV43" s="918"/>
      <c r="FW43" s="919"/>
      <c r="FX43" s="920"/>
      <c r="FY43" s="921"/>
      <c r="FZ43" s="922"/>
      <c r="GA43" s="923"/>
      <c r="GB43" s="924"/>
      <c r="GC43" s="925"/>
      <c r="GD43" s="924"/>
      <c r="GE43" s="926"/>
      <c r="GF43" s="688"/>
      <c r="GG43" s="602"/>
      <c r="GH43" s="602"/>
      <c r="GI43" s="602"/>
      <c r="GJ43" s="927"/>
      <c r="GK43" s="928" t="s">
        <v>721</v>
      </c>
      <c r="GL43" s="929"/>
      <c r="GM43" s="930" t="s">
        <v>839</v>
      </c>
      <c r="GN43" s="930"/>
      <c r="GO43" s="930" t="s">
        <v>578</v>
      </c>
      <c r="GP43" s="930"/>
      <c r="GQ43" s="930"/>
      <c r="GR43" s="931"/>
      <c r="GS43" s="580"/>
      <c r="GT43" s="609"/>
      <c r="GU43" s="530" t="s">
        <v>722</v>
      </c>
      <c r="GV43" s="413"/>
      <c r="GW43" s="409"/>
      <c r="GX43" s="413"/>
      <c r="GY43" s="413"/>
      <c r="GZ43" s="413"/>
      <c r="HA43" s="409"/>
      <c r="HB43" s="413"/>
      <c r="HC43" s="932"/>
      <c r="HD43" s="415"/>
    </row>
    <row r="44" spans="1:219" ht="20.100000000000001" customHeight="1" thickBot="1">
      <c r="A44" s="933"/>
      <c r="B44" s="642"/>
      <c r="C44" s="642"/>
      <c r="D44" s="643" t="s">
        <v>672</v>
      </c>
      <c r="E44" s="642"/>
      <c r="F44" s="642"/>
      <c r="G44" s="845"/>
      <c r="H44" s="1294">
        <v>0</v>
      </c>
      <c r="I44" s="1295"/>
      <c r="J44" s="848">
        <v>0</v>
      </c>
      <c r="K44" s="849"/>
      <c r="L44" s="848">
        <v>0</v>
      </c>
      <c r="M44" s="849"/>
      <c r="N44" s="848">
        <v>0</v>
      </c>
      <c r="O44" s="849"/>
      <c r="P44" s="848">
        <v>0</v>
      </c>
      <c r="Q44" s="849"/>
      <c r="R44" s="848">
        <v>0</v>
      </c>
      <c r="S44" s="849"/>
      <c r="T44" s="848">
        <v>0</v>
      </c>
      <c r="U44" s="849"/>
      <c r="V44" s="848">
        <v>0</v>
      </c>
      <c r="W44" s="849"/>
      <c r="X44" s="848">
        <v>2015</v>
      </c>
      <c r="Y44" s="849"/>
      <c r="Z44" s="848">
        <v>1310</v>
      </c>
      <c r="AA44" s="849"/>
      <c r="AB44" s="848">
        <v>1281</v>
      </c>
      <c r="AC44" s="849"/>
      <c r="AD44" s="848">
        <v>1253</v>
      </c>
      <c r="AE44" s="849"/>
      <c r="AF44" s="848">
        <v>1224</v>
      </c>
      <c r="AG44" s="849"/>
      <c r="AH44" s="848">
        <v>1203</v>
      </c>
      <c r="AI44" s="849"/>
      <c r="AJ44" s="848">
        <v>1182</v>
      </c>
      <c r="AK44" s="849"/>
      <c r="AL44" s="848">
        <v>1160</v>
      </c>
      <c r="AM44" s="849"/>
      <c r="AN44" s="848">
        <v>1139</v>
      </c>
      <c r="AO44" s="849"/>
      <c r="AP44" s="848">
        <v>1125</v>
      </c>
      <c r="AQ44" s="849"/>
      <c r="AR44" s="848">
        <v>0</v>
      </c>
      <c r="AS44" s="849"/>
      <c r="AT44" s="848">
        <v>0</v>
      </c>
      <c r="AU44" s="849"/>
      <c r="AV44" s="848">
        <v>0</v>
      </c>
      <c r="AW44" s="849"/>
      <c r="AX44" s="848">
        <v>0</v>
      </c>
      <c r="AY44" s="849"/>
      <c r="AZ44" s="848">
        <v>0</v>
      </c>
      <c r="BA44" s="849"/>
      <c r="BB44" s="1296">
        <v>0</v>
      </c>
      <c r="BC44" s="648"/>
      <c r="BD44" s="933"/>
      <c r="BE44" s="642"/>
      <c r="BF44" s="642"/>
      <c r="BG44" s="643" t="s">
        <v>672</v>
      </c>
      <c r="BH44" s="642"/>
      <c r="BI44" s="642"/>
      <c r="BJ44" s="845"/>
      <c r="BK44" s="1294">
        <v>0</v>
      </c>
      <c r="BL44" s="1295"/>
      <c r="BM44" s="848">
        <v>0</v>
      </c>
      <c r="BN44" s="849"/>
      <c r="BO44" s="848">
        <v>0</v>
      </c>
      <c r="BP44" s="849"/>
      <c r="BQ44" s="848">
        <v>0</v>
      </c>
      <c r="BR44" s="849"/>
      <c r="BS44" s="848">
        <v>0</v>
      </c>
      <c r="BT44" s="849"/>
      <c r="BU44" s="848">
        <v>0</v>
      </c>
      <c r="BV44" s="849"/>
      <c r="BW44" s="848">
        <v>0</v>
      </c>
      <c r="BX44" s="849"/>
      <c r="BY44" s="848">
        <v>0</v>
      </c>
      <c r="BZ44" s="849"/>
      <c r="CA44" s="848">
        <v>2015</v>
      </c>
      <c r="CB44" s="849"/>
      <c r="CC44" s="848">
        <v>1310</v>
      </c>
      <c r="CD44" s="849"/>
      <c r="CE44" s="848">
        <v>1281</v>
      </c>
      <c r="CF44" s="849"/>
      <c r="CG44" s="848">
        <v>1253</v>
      </c>
      <c r="CH44" s="849"/>
      <c r="CI44" s="848">
        <v>1224</v>
      </c>
      <c r="CJ44" s="849"/>
      <c r="CK44" s="848">
        <v>1203</v>
      </c>
      <c r="CL44" s="849"/>
      <c r="CM44" s="848">
        <v>1182</v>
      </c>
      <c r="CN44" s="849"/>
      <c r="CO44" s="848">
        <v>1160</v>
      </c>
      <c r="CP44" s="849"/>
      <c r="CQ44" s="848">
        <v>1139</v>
      </c>
      <c r="CR44" s="849"/>
      <c r="CS44" s="848">
        <v>1125</v>
      </c>
      <c r="CT44" s="849"/>
      <c r="CU44" s="848">
        <v>0</v>
      </c>
      <c r="CV44" s="849"/>
      <c r="CW44" s="848">
        <v>0</v>
      </c>
      <c r="CX44" s="849"/>
      <c r="CY44" s="848">
        <v>0</v>
      </c>
      <c r="CZ44" s="849"/>
      <c r="DA44" s="848">
        <v>0</v>
      </c>
      <c r="DB44" s="849"/>
      <c r="DC44" s="848">
        <v>0</v>
      </c>
      <c r="DD44" s="849"/>
      <c r="DE44" s="1296">
        <v>0</v>
      </c>
      <c r="DF44" s="648"/>
      <c r="DG44" s="933"/>
      <c r="DH44" s="642"/>
      <c r="DI44" s="642"/>
      <c r="DJ44" s="643" t="s">
        <v>330</v>
      </c>
      <c r="DK44" s="642"/>
      <c r="DL44" s="642"/>
      <c r="DM44" s="845"/>
      <c r="DN44" s="1294">
        <v>0</v>
      </c>
      <c r="DO44" s="1295"/>
      <c r="DP44" s="848">
        <v>0</v>
      </c>
      <c r="DQ44" s="849"/>
      <c r="DR44" s="848">
        <v>0</v>
      </c>
      <c r="DS44" s="849"/>
      <c r="DT44" s="848">
        <v>0</v>
      </c>
      <c r="DU44" s="849"/>
      <c r="DV44" s="848">
        <v>0</v>
      </c>
      <c r="DW44" s="849"/>
      <c r="DX44" s="848">
        <v>0</v>
      </c>
      <c r="DY44" s="849"/>
      <c r="DZ44" s="848">
        <v>0</v>
      </c>
      <c r="EA44" s="849"/>
      <c r="EB44" s="848">
        <v>0</v>
      </c>
      <c r="EC44" s="849"/>
      <c r="ED44" s="848">
        <v>2015</v>
      </c>
      <c r="EE44" s="849"/>
      <c r="EF44" s="848">
        <v>1310</v>
      </c>
      <c r="EG44" s="849"/>
      <c r="EH44" s="848">
        <v>1281</v>
      </c>
      <c r="EI44" s="849"/>
      <c r="EJ44" s="848">
        <v>1253</v>
      </c>
      <c r="EK44" s="849"/>
      <c r="EL44" s="848">
        <v>1224</v>
      </c>
      <c r="EM44" s="849"/>
      <c r="EN44" s="848">
        <v>1203</v>
      </c>
      <c r="EO44" s="849"/>
      <c r="EP44" s="848">
        <v>1182</v>
      </c>
      <c r="EQ44" s="849"/>
      <c r="ER44" s="848">
        <v>1160</v>
      </c>
      <c r="ES44" s="849"/>
      <c r="ET44" s="848">
        <v>1139</v>
      </c>
      <c r="EU44" s="849"/>
      <c r="EV44" s="848">
        <v>1125</v>
      </c>
      <c r="EW44" s="849"/>
      <c r="EX44" s="848">
        <v>0</v>
      </c>
      <c r="EY44" s="849"/>
      <c r="EZ44" s="848">
        <v>0</v>
      </c>
      <c r="FA44" s="849"/>
      <c r="FB44" s="848">
        <v>0</v>
      </c>
      <c r="FC44" s="849"/>
      <c r="FD44" s="848">
        <v>0</v>
      </c>
      <c r="FE44" s="849"/>
      <c r="FF44" s="848">
        <v>0</v>
      </c>
      <c r="FG44" s="849"/>
      <c r="FH44" s="1296">
        <v>0</v>
      </c>
      <c r="FI44" s="649"/>
      <c r="FJ44" s="934"/>
      <c r="FK44" s="642"/>
      <c r="FL44" s="642"/>
      <c r="FM44" s="643" t="s">
        <v>672</v>
      </c>
      <c r="FN44" s="642"/>
      <c r="FO44" s="642"/>
      <c r="FP44" s="650"/>
      <c r="FQ44" s="1295"/>
      <c r="FR44" s="1294">
        <v>2527</v>
      </c>
      <c r="FS44" s="1297"/>
      <c r="FT44" s="1295"/>
      <c r="FU44" s="1298">
        <v>2527</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5.9</v>
      </c>
      <c r="GN44" s="935"/>
      <c r="GO44" s="935">
        <v>13</v>
      </c>
      <c r="GP44" s="935"/>
      <c r="GQ44" s="910">
        <v>18.899999999999999</v>
      </c>
      <c r="GR44" s="911"/>
      <c r="GS44" s="936"/>
      <c r="GT44" s="937"/>
      <c r="GU44" s="530" t="s">
        <v>723</v>
      </c>
      <c r="GV44" s="615"/>
      <c r="GW44" s="615"/>
      <c r="GX44" s="615"/>
      <c r="GY44" s="413"/>
      <c r="GZ44" s="413"/>
      <c r="HA44" s="751">
        <v>1.5</v>
      </c>
      <c r="HB44" s="413" t="s">
        <v>550</v>
      </c>
      <c r="HC44" s="938"/>
      <c r="HD44" s="415"/>
    </row>
    <row r="45" spans="1:219" ht="20.100000000000001" customHeight="1" thickTop="1">
      <c r="A45" s="939" t="s">
        <v>673</v>
      </c>
      <c r="B45" s="940"/>
      <c r="C45" s="940"/>
      <c r="D45" s="940"/>
      <c r="E45" s="940"/>
      <c r="F45" s="941"/>
      <c r="G45" s="942"/>
      <c r="H45" s="943">
        <v>0</v>
      </c>
      <c r="I45" s="944"/>
      <c r="J45" s="943">
        <v>0</v>
      </c>
      <c r="K45" s="944"/>
      <c r="L45" s="943">
        <v>0</v>
      </c>
      <c r="M45" s="944"/>
      <c r="N45" s="943">
        <v>0</v>
      </c>
      <c r="O45" s="944"/>
      <c r="P45" s="943">
        <v>0</v>
      </c>
      <c r="Q45" s="944"/>
      <c r="R45" s="943">
        <v>0</v>
      </c>
      <c r="S45" s="944"/>
      <c r="T45" s="943">
        <v>0</v>
      </c>
      <c r="U45" s="944"/>
      <c r="V45" s="943">
        <v>0</v>
      </c>
      <c r="W45" s="944"/>
      <c r="X45" s="943">
        <v>6768</v>
      </c>
      <c r="Y45" s="944"/>
      <c r="Z45" s="943">
        <v>6394</v>
      </c>
      <c r="AA45" s="944"/>
      <c r="AB45" s="943">
        <v>5978</v>
      </c>
      <c r="AC45" s="944"/>
      <c r="AD45" s="943">
        <v>7121</v>
      </c>
      <c r="AE45" s="944"/>
      <c r="AF45" s="943">
        <v>6680</v>
      </c>
      <c r="AG45" s="944"/>
      <c r="AH45" s="943">
        <v>7782</v>
      </c>
      <c r="AI45" s="944"/>
      <c r="AJ45" s="943">
        <v>7764</v>
      </c>
      <c r="AK45" s="944"/>
      <c r="AL45" s="943">
        <v>7377</v>
      </c>
      <c r="AM45" s="944"/>
      <c r="AN45" s="943">
        <v>6668</v>
      </c>
      <c r="AO45" s="944"/>
      <c r="AP45" s="943">
        <v>5657</v>
      </c>
      <c r="AQ45" s="944"/>
      <c r="AR45" s="943">
        <v>0</v>
      </c>
      <c r="AS45" s="944"/>
      <c r="AT45" s="943">
        <v>0</v>
      </c>
      <c r="AU45" s="944"/>
      <c r="AV45" s="943">
        <v>0</v>
      </c>
      <c r="AW45" s="944"/>
      <c r="AX45" s="943">
        <v>0</v>
      </c>
      <c r="AY45" s="944"/>
      <c r="AZ45" s="943">
        <v>0</v>
      </c>
      <c r="BA45" s="944"/>
      <c r="BB45" s="945">
        <v>0</v>
      </c>
      <c r="BC45" s="648"/>
      <c r="BD45" s="939" t="s">
        <v>476</v>
      </c>
      <c r="BE45" s="940"/>
      <c r="BF45" s="940"/>
      <c r="BG45" s="940"/>
      <c r="BH45" s="940"/>
      <c r="BI45" s="941"/>
      <c r="BJ45" s="942"/>
      <c r="BK45" s="943">
        <v>0</v>
      </c>
      <c r="BL45" s="944"/>
      <c r="BM45" s="943">
        <v>0</v>
      </c>
      <c r="BN45" s="944"/>
      <c r="BO45" s="943">
        <v>0</v>
      </c>
      <c r="BP45" s="944"/>
      <c r="BQ45" s="943">
        <v>0</v>
      </c>
      <c r="BR45" s="944"/>
      <c r="BS45" s="943">
        <v>0</v>
      </c>
      <c r="BT45" s="944"/>
      <c r="BU45" s="943">
        <v>0</v>
      </c>
      <c r="BV45" s="944"/>
      <c r="BW45" s="943">
        <v>0</v>
      </c>
      <c r="BX45" s="944"/>
      <c r="BY45" s="943">
        <v>0</v>
      </c>
      <c r="BZ45" s="944"/>
      <c r="CA45" s="943">
        <v>6608</v>
      </c>
      <c r="CB45" s="944"/>
      <c r="CC45" s="943">
        <v>6156</v>
      </c>
      <c r="CD45" s="944"/>
      <c r="CE45" s="943">
        <v>5796</v>
      </c>
      <c r="CF45" s="944"/>
      <c r="CG45" s="943">
        <v>7080</v>
      </c>
      <c r="CH45" s="944"/>
      <c r="CI45" s="943">
        <v>6802</v>
      </c>
      <c r="CJ45" s="944"/>
      <c r="CK45" s="943">
        <v>8177</v>
      </c>
      <c r="CL45" s="944"/>
      <c r="CM45" s="943">
        <v>8531</v>
      </c>
      <c r="CN45" s="944"/>
      <c r="CO45" s="943">
        <v>8315</v>
      </c>
      <c r="CP45" s="944"/>
      <c r="CQ45" s="943">
        <v>7783</v>
      </c>
      <c r="CR45" s="944"/>
      <c r="CS45" s="943">
        <v>6432</v>
      </c>
      <c r="CT45" s="944"/>
      <c r="CU45" s="943">
        <v>0</v>
      </c>
      <c r="CV45" s="944"/>
      <c r="CW45" s="943">
        <v>0</v>
      </c>
      <c r="CX45" s="944"/>
      <c r="CY45" s="943">
        <v>0</v>
      </c>
      <c r="CZ45" s="944"/>
      <c r="DA45" s="943">
        <v>0</v>
      </c>
      <c r="DB45" s="944"/>
      <c r="DC45" s="943">
        <v>0</v>
      </c>
      <c r="DD45" s="944"/>
      <c r="DE45" s="945">
        <v>0</v>
      </c>
      <c r="DF45" s="648"/>
      <c r="DG45" s="939" t="s">
        <v>673</v>
      </c>
      <c r="DH45" s="940"/>
      <c r="DI45" s="940"/>
      <c r="DJ45" s="940"/>
      <c r="DK45" s="940"/>
      <c r="DL45" s="941"/>
      <c r="DM45" s="942"/>
      <c r="DN45" s="943">
        <v>0</v>
      </c>
      <c r="DO45" s="944"/>
      <c r="DP45" s="943">
        <v>0</v>
      </c>
      <c r="DQ45" s="944"/>
      <c r="DR45" s="943">
        <v>0</v>
      </c>
      <c r="DS45" s="944"/>
      <c r="DT45" s="943">
        <v>0</v>
      </c>
      <c r="DU45" s="944"/>
      <c r="DV45" s="943">
        <v>0</v>
      </c>
      <c r="DW45" s="944"/>
      <c r="DX45" s="943">
        <v>0</v>
      </c>
      <c r="DY45" s="944"/>
      <c r="DZ45" s="943">
        <v>0</v>
      </c>
      <c r="EA45" s="944"/>
      <c r="EB45" s="943">
        <v>0</v>
      </c>
      <c r="EC45" s="944"/>
      <c r="ED45" s="943">
        <v>6010</v>
      </c>
      <c r="EE45" s="944"/>
      <c r="EF45" s="943">
        <v>5967</v>
      </c>
      <c r="EG45" s="944"/>
      <c r="EH45" s="943">
        <v>6141</v>
      </c>
      <c r="EI45" s="944"/>
      <c r="EJ45" s="943">
        <v>7544</v>
      </c>
      <c r="EK45" s="944"/>
      <c r="EL45" s="943">
        <v>7071</v>
      </c>
      <c r="EM45" s="944"/>
      <c r="EN45" s="943">
        <v>8237</v>
      </c>
      <c r="EO45" s="944"/>
      <c r="EP45" s="943">
        <v>8460</v>
      </c>
      <c r="EQ45" s="944"/>
      <c r="ER45" s="943">
        <v>7942</v>
      </c>
      <c r="ES45" s="944"/>
      <c r="ET45" s="943">
        <v>6741</v>
      </c>
      <c r="EU45" s="944"/>
      <c r="EV45" s="943">
        <v>4994</v>
      </c>
      <c r="EW45" s="944"/>
      <c r="EX45" s="943">
        <v>0</v>
      </c>
      <c r="EY45" s="944"/>
      <c r="EZ45" s="943">
        <v>0</v>
      </c>
      <c r="FA45" s="944"/>
      <c r="FB45" s="943">
        <v>0</v>
      </c>
      <c r="FC45" s="944"/>
      <c r="FD45" s="943">
        <v>0</v>
      </c>
      <c r="FE45" s="944"/>
      <c r="FF45" s="943">
        <v>0</v>
      </c>
      <c r="FG45" s="944"/>
      <c r="FH45" s="945">
        <v>0</v>
      </c>
      <c r="FI45" s="648"/>
      <c r="FJ45" s="939" t="s">
        <v>673</v>
      </c>
      <c r="FK45" s="940"/>
      <c r="FL45" s="940"/>
      <c r="FM45" s="940"/>
      <c r="FN45" s="940"/>
      <c r="FO45" s="941"/>
      <c r="FP45" s="946"/>
      <c r="FQ45" s="947"/>
      <c r="FR45" s="943">
        <v>6225</v>
      </c>
      <c r="FS45" s="948"/>
      <c r="FT45" s="947"/>
      <c r="FU45" s="949">
        <v>6322</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724</v>
      </c>
      <c r="GV45" s="413"/>
      <c r="GW45" s="413"/>
      <c r="GX45" s="413"/>
      <c r="GY45" s="530"/>
      <c r="GZ45" s="733"/>
      <c r="HA45" s="751">
        <v>19</v>
      </c>
      <c r="HB45" s="413" t="s">
        <v>707</v>
      </c>
      <c r="HC45" s="938"/>
      <c r="HD45" s="415"/>
    </row>
    <row r="46" spans="1:219" ht="20.100000000000001" customHeight="1">
      <c r="A46" s="954" t="s">
        <v>336</v>
      </c>
      <c r="B46" s="955"/>
      <c r="C46" s="955"/>
      <c r="D46" s="955"/>
      <c r="E46" s="955"/>
      <c r="F46" s="956"/>
      <c r="G46" s="957" t="s">
        <v>477</v>
      </c>
      <c r="H46" s="958"/>
      <c r="I46" s="1287" t="s">
        <v>477</v>
      </c>
      <c r="J46" s="958"/>
      <c r="K46" s="1287" t="s">
        <v>477</v>
      </c>
      <c r="L46" s="958"/>
      <c r="M46" s="1287" t="s">
        <v>477</v>
      </c>
      <c r="N46" s="958"/>
      <c r="O46" s="1287" t="s">
        <v>477</v>
      </c>
      <c r="P46" s="958"/>
      <c r="Q46" s="1287" t="s">
        <v>477</v>
      </c>
      <c r="R46" s="958"/>
      <c r="S46" s="1287" t="s">
        <v>477</v>
      </c>
      <c r="T46" s="958"/>
      <c r="U46" s="1287" t="s">
        <v>477</v>
      </c>
      <c r="V46" s="958"/>
      <c r="W46" s="1287" t="s">
        <v>477</v>
      </c>
      <c r="X46" s="958"/>
      <c r="Y46" s="1287" t="s">
        <v>477</v>
      </c>
      <c r="Z46" s="958"/>
      <c r="AA46" s="1287" t="s">
        <v>477</v>
      </c>
      <c r="AB46" s="958"/>
      <c r="AC46" s="1287" t="s">
        <v>477</v>
      </c>
      <c r="AD46" s="958"/>
      <c r="AE46" s="1287" t="s">
        <v>477</v>
      </c>
      <c r="AF46" s="958"/>
      <c r="AG46" s="1287" t="s">
        <v>477</v>
      </c>
      <c r="AH46" s="958"/>
      <c r="AI46" s="1287" t="s">
        <v>477</v>
      </c>
      <c r="AJ46" s="958"/>
      <c r="AK46" s="1287" t="s">
        <v>477</v>
      </c>
      <c r="AL46" s="958"/>
      <c r="AM46" s="1287" t="s">
        <v>477</v>
      </c>
      <c r="AN46" s="958"/>
      <c r="AO46" s="1287" t="s">
        <v>477</v>
      </c>
      <c r="AP46" s="958"/>
      <c r="AQ46" s="1287" t="s">
        <v>477</v>
      </c>
      <c r="AR46" s="958"/>
      <c r="AS46" s="1287" t="s">
        <v>477</v>
      </c>
      <c r="AT46" s="958"/>
      <c r="AU46" s="1287" t="s">
        <v>477</v>
      </c>
      <c r="AV46" s="958"/>
      <c r="AW46" s="1287" t="s">
        <v>477</v>
      </c>
      <c r="AX46" s="958"/>
      <c r="AY46" s="1287" t="s">
        <v>477</v>
      </c>
      <c r="AZ46" s="960"/>
      <c r="BA46" s="961" t="s">
        <v>477</v>
      </c>
      <c r="BB46" s="962"/>
      <c r="BC46" s="963"/>
      <c r="BD46" s="954" t="s">
        <v>336</v>
      </c>
      <c r="BE46" s="955"/>
      <c r="BF46" s="955"/>
      <c r="BG46" s="955"/>
      <c r="BH46" s="955"/>
      <c r="BI46" s="956"/>
      <c r="BJ46" s="957" t="s">
        <v>477</v>
      </c>
      <c r="BK46" s="958"/>
      <c r="BL46" s="1287" t="s">
        <v>477</v>
      </c>
      <c r="BM46" s="958"/>
      <c r="BN46" s="1287" t="s">
        <v>477</v>
      </c>
      <c r="BO46" s="958"/>
      <c r="BP46" s="1287" t="s">
        <v>477</v>
      </c>
      <c r="BQ46" s="958"/>
      <c r="BR46" s="1287" t="s">
        <v>477</v>
      </c>
      <c r="BS46" s="958"/>
      <c r="BT46" s="1287" t="s">
        <v>477</v>
      </c>
      <c r="BU46" s="958"/>
      <c r="BV46" s="1287" t="s">
        <v>477</v>
      </c>
      <c r="BW46" s="958"/>
      <c r="BX46" s="1287" t="s">
        <v>477</v>
      </c>
      <c r="BY46" s="958"/>
      <c r="BZ46" s="1287" t="s">
        <v>477</v>
      </c>
      <c r="CA46" s="958"/>
      <c r="CB46" s="1287" t="s">
        <v>477</v>
      </c>
      <c r="CC46" s="958"/>
      <c r="CD46" s="1287" t="s">
        <v>477</v>
      </c>
      <c r="CE46" s="958"/>
      <c r="CF46" s="1287" t="s">
        <v>477</v>
      </c>
      <c r="CG46" s="958"/>
      <c r="CH46" s="1287" t="s">
        <v>477</v>
      </c>
      <c r="CI46" s="958"/>
      <c r="CJ46" s="1287" t="s">
        <v>477</v>
      </c>
      <c r="CK46" s="958"/>
      <c r="CL46" s="1287" t="s">
        <v>477</v>
      </c>
      <c r="CM46" s="958"/>
      <c r="CN46" s="1287" t="s">
        <v>477</v>
      </c>
      <c r="CO46" s="958"/>
      <c r="CP46" s="1287" t="s">
        <v>477</v>
      </c>
      <c r="CQ46" s="958"/>
      <c r="CR46" s="1287" t="s">
        <v>477</v>
      </c>
      <c r="CS46" s="958"/>
      <c r="CT46" s="1287" t="s">
        <v>477</v>
      </c>
      <c r="CU46" s="958"/>
      <c r="CV46" s="1287" t="s">
        <v>477</v>
      </c>
      <c r="CW46" s="958"/>
      <c r="CX46" s="1287" t="s">
        <v>477</v>
      </c>
      <c r="CY46" s="958"/>
      <c r="CZ46" s="1287" t="s">
        <v>477</v>
      </c>
      <c r="DA46" s="958"/>
      <c r="DB46" s="1287" t="s">
        <v>477</v>
      </c>
      <c r="DC46" s="960"/>
      <c r="DD46" s="961" t="s">
        <v>477</v>
      </c>
      <c r="DE46" s="962"/>
      <c r="DF46" s="963"/>
      <c r="DG46" s="954" t="s">
        <v>674</v>
      </c>
      <c r="DH46" s="955"/>
      <c r="DI46" s="955"/>
      <c r="DJ46" s="955"/>
      <c r="DK46" s="955"/>
      <c r="DL46" s="956"/>
      <c r="DM46" s="957" t="s">
        <v>477</v>
      </c>
      <c r="DN46" s="958"/>
      <c r="DO46" s="1287" t="s">
        <v>477</v>
      </c>
      <c r="DP46" s="958"/>
      <c r="DQ46" s="1287" t="s">
        <v>477</v>
      </c>
      <c r="DR46" s="958"/>
      <c r="DS46" s="1287" t="s">
        <v>477</v>
      </c>
      <c r="DT46" s="958"/>
      <c r="DU46" s="1287" t="s">
        <v>477</v>
      </c>
      <c r="DV46" s="958"/>
      <c r="DW46" s="1287" t="s">
        <v>477</v>
      </c>
      <c r="DX46" s="958"/>
      <c r="DY46" s="1287" t="s">
        <v>477</v>
      </c>
      <c r="DZ46" s="958"/>
      <c r="EA46" s="1287" t="s">
        <v>477</v>
      </c>
      <c r="EB46" s="958"/>
      <c r="EC46" s="1287" t="s">
        <v>477</v>
      </c>
      <c r="ED46" s="958"/>
      <c r="EE46" s="1287" t="s">
        <v>477</v>
      </c>
      <c r="EF46" s="958"/>
      <c r="EG46" s="1287" t="s">
        <v>477</v>
      </c>
      <c r="EH46" s="958"/>
      <c r="EI46" s="1287" t="s">
        <v>477</v>
      </c>
      <c r="EJ46" s="958"/>
      <c r="EK46" s="1287" t="s">
        <v>477</v>
      </c>
      <c r="EL46" s="958"/>
      <c r="EM46" s="1287" t="s">
        <v>477</v>
      </c>
      <c r="EN46" s="958"/>
      <c r="EO46" s="1287" t="s">
        <v>477</v>
      </c>
      <c r="EP46" s="958"/>
      <c r="EQ46" s="1287" t="s">
        <v>477</v>
      </c>
      <c r="ER46" s="958"/>
      <c r="ES46" s="1287" t="s">
        <v>477</v>
      </c>
      <c r="ET46" s="958"/>
      <c r="EU46" s="1287" t="s">
        <v>477</v>
      </c>
      <c r="EV46" s="958"/>
      <c r="EW46" s="1287" t="s">
        <v>477</v>
      </c>
      <c r="EX46" s="958"/>
      <c r="EY46" s="1287" t="s">
        <v>477</v>
      </c>
      <c r="EZ46" s="958"/>
      <c r="FA46" s="1287" t="s">
        <v>477</v>
      </c>
      <c r="FB46" s="958"/>
      <c r="FC46" s="1287" t="s">
        <v>477</v>
      </c>
      <c r="FD46" s="958"/>
      <c r="FE46" s="1287" t="s">
        <v>477</v>
      </c>
      <c r="FF46" s="960"/>
      <c r="FG46" s="961" t="s">
        <v>477</v>
      </c>
      <c r="FH46" s="962"/>
      <c r="FI46" s="963"/>
      <c r="FJ46" s="954" t="s">
        <v>480</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t="s">
        <v>584</v>
      </c>
      <c r="GL46" s="413"/>
      <c r="GM46" s="750"/>
      <c r="GN46" s="750"/>
      <c r="GO46" s="750"/>
      <c r="GP46" s="750"/>
      <c r="GQ46" s="750"/>
      <c r="GR46" s="861"/>
      <c r="GS46" s="580"/>
      <c r="GT46" s="763"/>
      <c r="GU46" s="774" t="s">
        <v>582</v>
      </c>
      <c r="GV46" s="774"/>
      <c r="GW46" s="774"/>
      <c r="GX46" s="774"/>
      <c r="GY46" s="615"/>
      <c r="GZ46" s="775"/>
      <c r="HA46" s="751">
        <v>17.5</v>
      </c>
      <c r="HB46" s="413" t="s">
        <v>550</v>
      </c>
      <c r="HC46" s="938"/>
      <c r="HD46" s="415"/>
    </row>
    <row r="47" spans="1:219" ht="20.100000000000001" customHeight="1" thickBot="1">
      <c r="A47" s="970" t="s">
        <v>768</v>
      </c>
      <c r="B47" s="971"/>
      <c r="C47" s="971"/>
      <c r="D47" s="972"/>
      <c r="E47" s="973"/>
      <c r="F47" s="973"/>
      <c r="G47" s="974"/>
      <c r="H47" s="975">
        <v>0</v>
      </c>
      <c r="I47" s="976"/>
      <c r="J47" s="975">
        <v>0</v>
      </c>
      <c r="K47" s="976"/>
      <c r="L47" s="975">
        <v>0</v>
      </c>
      <c r="M47" s="976"/>
      <c r="N47" s="975">
        <v>0</v>
      </c>
      <c r="O47" s="976"/>
      <c r="P47" s="975">
        <v>0</v>
      </c>
      <c r="Q47" s="976"/>
      <c r="R47" s="975">
        <v>0</v>
      </c>
      <c r="S47" s="976"/>
      <c r="T47" s="975">
        <v>0</v>
      </c>
      <c r="U47" s="976"/>
      <c r="V47" s="975">
        <v>0</v>
      </c>
      <c r="W47" s="976"/>
      <c r="X47" s="975">
        <v>7106</v>
      </c>
      <c r="Y47" s="976"/>
      <c r="Z47" s="975">
        <v>6714</v>
      </c>
      <c r="AA47" s="976"/>
      <c r="AB47" s="975">
        <v>6277</v>
      </c>
      <c r="AC47" s="976"/>
      <c r="AD47" s="975">
        <v>7477</v>
      </c>
      <c r="AE47" s="976"/>
      <c r="AF47" s="975">
        <v>7014</v>
      </c>
      <c r="AG47" s="976"/>
      <c r="AH47" s="975">
        <v>8171</v>
      </c>
      <c r="AI47" s="976"/>
      <c r="AJ47" s="975">
        <v>8152</v>
      </c>
      <c r="AK47" s="976"/>
      <c r="AL47" s="975">
        <v>7746</v>
      </c>
      <c r="AM47" s="976"/>
      <c r="AN47" s="975">
        <v>7001</v>
      </c>
      <c r="AO47" s="976"/>
      <c r="AP47" s="975">
        <v>5940</v>
      </c>
      <c r="AQ47" s="976"/>
      <c r="AR47" s="975">
        <v>0</v>
      </c>
      <c r="AS47" s="976"/>
      <c r="AT47" s="975">
        <v>0</v>
      </c>
      <c r="AU47" s="976"/>
      <c r="AV47" s="975">
        <v>0</v>
      </c>
      <c r="AW47" s="976"/>
      <c r="AX47" s="975">
        <v>0</v>
      </c>
      <c r="AY47" s="977"/>
      <c r="AZ47" s="978">
        <v>0</v>
      </c>
      <c r="BA47" s="979"/>
      <c r="BB47" s="980">
        <v>0</v>
      </c>
      <c r="BC47" s="981"/>
      <c r="BD47" s="970" t="s">
        <v>337</v>
      </c>
      <c r="BE47" s="971"/>
      <c r="BF47" s="971"/>
      <c r="BG47" s="972"/>
      <c r="BH47" s="973"/>
      <c r="BI47" s="973"/>
      <c r="BJ47" s="974"/>
      <c r="BK47" s="975">
        <v>0</v>
      </c>
      <c r="BL47" s="976"/>
      <c r="BM47" s="975">
        <v>0</v>
      </c>
      <c r="BN47" s="976"/>
      <c r="BO47" s="975">
        <v>0</v>
      </c>
      <c r="BP47" s="976"/>
      <c r="BQ47" s="975">
        <v>0</v>
      </c>
      <c r="BR47" s="976"/>
      <c r="BS47" s="975">
        <v>0</v>
      </c>
      <c r="BT47" s="976"/>
      <c r="BU47" s="975">
        <v>0</v>
      </c>
      <c r="BV47" s="976"/>
      <c r="BW47" s="975">
        <v>0</v>
      </c>
      <c r="BX47" s="976"/>
      <c r="BY47" s="975">
        <v>0</v>
      </c>
      <c r="BZ47" s="976"/>
      <c r="CA47" s="975">
        <v>6938</v>
      </c>
      <c r="CB47" s="976"/>
      <c r="CC47" s="975">
        <v>6464</v>
      </c>
      <c r="CD47" s="976"/>
      <c r="CE47" s="975">
        <v>6086</v>
      </c>
      <c r="CF47" s="976"/>
      <c r="CG47" s="975">
        <v>7434</v>
      </c>
      <c r="CH47" s="976"/>
      <c r="CI47" s="975">
        <v>7142</v>
      </c>
      <c r="CJ47" s="976"/>
      <c r="CK47" s="975">
        <v>8586</v>
      </c>
      <c r="CL47" s="976"/>
      <c r="CM47" s="975">
        <v>8958</v>
      </c>
      <c r="CN47" s="976"/>
      <c r="CO47" s="975">
        <v>8731</v>
      </c>
      <c r="CP47" s="976"/>
      <c r="CQ47" s="975">
        <v>8172</v>
      </c>
      <c r="CR47" s="976"/>
      <c r="CS47" s="975">
        <v>6754</v>
      </c>
      <c r="CT47" s="976"/>
      <c r="CU47" s="975">
        <v>0</v>
      </c>
      <c r="CV47" s="976"/>
      <c r="CW47" s="975">
        <v>0</v>
      </c>
      <c r="CX47" s="976"/>
      <c r="CY47" s="975">
        <v>0</v>
      </c>
      <c r="CZ47" s="976"/>
      <c r="DA47" s="975">
        <v>0</v>
      </c>
      <c r="DB47" s="977"/>
      <c r="DC47" s="978">
        <v>0</v>
      </c>
      <c r="DD47" s="979"/>
      <c r="DE47" s="980">
        <v>0</v>
      </c>
      <c r="DF47" s="981"/>
      <c r="DG47" s="970" t="s">
        <v>337</v>
      </c>
      <c r="DH47" s="971"/>
      <c r="DI47" s="971"/>
      <c r="DJ47" s="972"/>
      <c r="DK47" s="973"/>
      <c r="DL47" s="973"/>
      <c r="DM47" s="974"/>
      <c r="DN47" s="975">
        <v>0</v>
      </c>
      <c r="DO47" s="976"/>
      <c r="DP47" s="975">
        <v>0</v>
      </c>
      <c r="DQ47" s="976"/>
      <c r="DR47" s="975">
        <v>0</v>
      </c>
      <c r="DS47" s="976"/>
      <c r="DT47" s="975">
        <v>0</v>
      </c>
      <c r="DU47" s="976"/>
      <c r="DV47" s="975">
        <v>0</v>
      </c>
      <c r="DW47" s="976"/>
      <c r="DX47" s="975">
        <v>0</v>
      </c>
      <c r="DY47" s="976"/>
      <c r="DZ47" s="975">
        <v>0</v>
      </c>
      <c r="EA47" s="976"/>
      <c r="EB47" s="975">
        <v>0</v>
      </c>
      <c r="EC47" s="976"/>
      <c r="ED47" s="975">
        <v>6311</v>
      </c>
      <c r="EE47" s="976"/>
      <c r="EF47" s="975">
        <v>6265</v>
      </c>
      <c r="EG47" s="976"/>
      <c r="EH47" s="975">
        <v>6448</v>
      </c>
      <c r="EI47" s="976"/>
      <c r="EJ47" s="975">
        <v>7921</v>
      </c>
      <c r="EK47" s="976"/>
      <c r="EL47" s="975">
        <v>7425</v>
      </c>
      <c r="EM47" s="976"/>
      <c r="EN47" s="975">
        <v>8649</v>
      </c>
      <c r="EO47" s="976"/>
      <c r="EP47" s="975">
        <v>8883</v>
      </c>
      <c r="EQ47" s="976"/>
      <c r="ER47" s="975">
        <v>8339</v>
      </c>
      <c r="ES47" s="976"/>
      <c r="ET47" s="975">
        <v>7078</v>
      </c>
      <c r="EU47" s="976"/>
      <c r="EV47" s="975">
        <v>5244</v>
      </c>
      <c r="EW47" s="976"/>
      <c r="EX47" s="975">
        <v>0</v>
      </c>
      <c r="EY47" s="976"/>
      <c r="EZ47" s="975">
        <v>0</v>
      </c>
      <c r="FA47" s="976"/>
      <c r="FB47" s="975">
        <v>0</v>
      </c>
      <c r="FC47" s="976"/>
      <c r="FD47" s="975">
        <v>0</v>
      </c>
      <c r="FE47" s="977"/>
      <c r="FF47" s="978">
        <v>0</v>
      </c>
      <c r="FG47" s="979"/>
      <c r="FH47" s="980">
        <v>0</v>
      </c>
      <c r="FI47" s="981"/>
      <c r="FJ47" s="970" t="s">
        <v>768</v>
      </c>
      <c r="FK47" s="971"/>
      <c r="FL47" s="971"/>
      <c r="FM47" s="972"/>
      <c r="FN47" s="973"/>
      <c r="FO47" s="973"/>
      <c r="FP47" s="982"/>
      <c r="FQ47" s="983"/>
      <c r="FR47" s="975">
        <v>6225</v>
      </c>
      <c r="FS47" s="984"/>
      <c r="FT47" s="983"/>
      <c r="FU47" s="985">
        <v>6322</v>
      </c>
      <c r="FV47" s="986">
        <v>14</v>
      </c>
      <c r="FW47" s="975">
        <v>8171</v>
      </c>
      <c r="FX47" s="987">
        <v>15</v>
      </c>
      <c r="FY47" s="975">
        <v>8958</v>
      </c>
      <c r="FZ47" s="987">
        <v>15</v>
      </c>
      <c r="GA47" s="975">
        <v>8883</v>
      </c>
      <c r="GB47" s="988" t="s">
        <v>951</v>
      </c>
      <c r="GC47" s="975">
        <v>8958</v>
      </c>
      <c r="GD47" s="988" t="s">
        <v>368</v>
      </c>
      <c r="GE47" s="989">
        <v>6225</v>
      </c>
      <c r="GF47" s="688"/>
      <c r="GG47" s="990"/>
      <c r="GH47" s="990"/>
      <c r="GI47" s="990"/>
      <c r="GJ47" s="893"/>
      <c r="GK47" s="413" t="s">
        <v>840</v>
      </c>
      <c r="GL47" s="893"/>
      <c r="GM47" s="530"/>
      <c r="GN47" s="893"/>
      <c r="GO47" s="530"/>
      <c r="GP47" s="530"/>
      <c r="GQ47" s="530"/>
      <c r="GR47" s="893"/>
      <c r="GS47" s="530"/>
      <c r="GT47" s="763"/>
      <c r="GU47" s="774" t="s">
        <v>585</v>
      </c>
      <c r="GV47" s="774"/>
      <c r="GW47" s="774"/>
      <c r="GX47" s="774"/>
      <c r="GY47" s="530"/>
      <c r="GZ47" s="413"/>
      <c r="HA47" s="778">
        <v>-0.15</v>
      </c>
      <c r="HB47" s="413"/>
      <c r="HC47" s="981"/>
      <c r="HD47" s="415"/>
    </row>
    <row r="48" spans="1:219" ht="20.100000000000001" customHeight="1">
      <c r="A48" s="991" t="s">
        <v>482</v>
      </c>
      <c r="B48" s="992" t="s">
        <v>483</v>
      </c>
      <c r="C48" s="895"/>
      <c r="D48" s="825"/>
      <c r="E48" s="825"/>
      <c r="F48" s="826"/>
      <c r="G48" s="740" t="s">
        <v>484</v>
      </c>
      <c r="H48" s="663" t="s">
        <v>428</v>
      </c>
      <c r="I48" s="742" t="s">
        <v>484</v>
      </c>
      <c r="J48" s="993" t="s">
        <v>430</v>
      </c>
      <c r="K48" s="742" t="s">
        <v>484</v>
      </c>
      <c r="L48" s="993" t="s">
        <v>430</v>
      </c>
      <c r="M48" s="742" t="s">
        <v>678</v>
      </c>
      <c r="N48" s="993" t="s">
        <v>428</v>
      </c>
      <c r="O48" s="742" t="s">
        <v>484</v>
      </c>
      <c r="P48" s="993" t="s">
        <v>430</v>
      </c>
      <c r="Q48" s="742" t="s">
        <v>678</v>
      </c>
      <c r="R48" s="993" t="s">
        <v>428</v>
      </c>
      <c r="S48" s="742" t="s">
        <v>484</v>
      </c>
      <c r="T48" s="993" t="s">
        <v>428</v>
      </c>
      <c r="U48" s="742" t="s">
        <v>484</v>
      </c>
      <c r="V48" s="993" t="s">
        <v>430</v>
      </c>
      <c r="W48" s="742" t="s">
        <v>484</v>
      </c>
      <c r="X48" s="993" t="s">
        <v>430</v>
      </c>
      <c r="Y48" s="742" t="s">
        <v>678</v>
      </c>
      <c r="Z48" s="993" t="s">
        <v>430</v>
      </c>
      <c r="AA48" s="742" t="s">
        <v>484</v>
      </c>
      <c r="AB48" s="993" t="s">
        <v>428</v>
      </c>
      <c r="AC48" s="742" t="s">
        <v>484</v>
      </c>
      <c r="AD48" s="993" t="s">
        <v>428</v>
      </c>
      <c r="AE48" s="742" t="s">
        <v>484</v>
      </c>
      <c r="AF48" s="993" t="s">
        <v>430</v>
      </c>
      <c r="AG48" s="742" t="s">
        <v>484</v>
      </c>
      <c r="AH48" s="993" t="s">
        <v>428</v>
      </c>
      <c r="AI48" s="742" t="s">
        <v>678</v>
      </c>
      <c r="AJ48" s="993" t="s">
        <v>430</v>
      </c>
      <c r="AK48" s="742" t="s">
        <v>484</v>
      </c>
      <c r="AL48" s="993" t="s">
        <v>428</v>
      </c>
      <c r="AM48" s="742" t="s">
        <v>678</v>
      </c>
      <c r="AN48" s="993" t="s">
        <v>430</v>
      </c>
      <c r="AO48" s="742" t="s">
        <v>678</v>
      </c>
      <c r="AP48" s="993" t="s">
        <v>430</v>
      </c>
      <c r="AQ48" s="742" t="s">
        <v>678</v>
      </c>
      <c r="AR48" s="993" t="s">
        <v>428</v>
      </c>
      <c r="AS48" s="742" t="s">
        <v>678</v>
      </c>
      <c r="AT48" s="993" t="s">
        <v>428</v>
      </c>
      <c r="AU48" s="742" t="s">
        <v>678</v>
      </c>
      <c r="AV48" s="993" t="s">
        <v>430</v>
      </c>
      <c r="AW48" s="742" t="s">
        <v>484</v>
      </c>
      <c r="AX48" s="993" t="s">
        <v>428</v>
      </c>
      <c r="AY48" s="742" t="s">
        <v>678</v>
      </c>
      <c r="AZ48" s="994" t="s">
        <v>430</v>
      </c>
      <c r="BA48" s="995" t="s">
        <v>484</v>
      </c>
      <c r="BB48" s="996" t="s">
        <v>428</v>
      </c>
      <c r="BC48" s="932"/>
      <c r="BD48" s="991" t="s">
        <v>676</v>
      </c>
      <c r="BE48" s="992" t="s">
        <v>483</v>
      </c>
      <c r="BF48" s="895"/>
      <c r="BG48" s="825"/>
      <c r="BH48" s="825"/>
      <c r="BI48" s="826"/>
      <c r="BJ48" s="740" t="s">
        <v>678</v>
      </c>
      <c r="BK48" s="663" t="s">
        <v>428</v>
      </c>
      <c r="BL48" s="742" t="s">
        <v>678</v>
      </c>
      <c r="BM48" s="993" t="s">
        <v>428</v>
      </c>
      <c r="BN48" s="742" t="s">
        <v>678</v>
      </c>
      <c r="BO48" s="993" t="s">
        <v>430</v>
      </c>
      <c r="BP48" s="742" t="s">
        <v>678</v>
      </c>
      <c r="BQ48" s="993" t="s">
        <v>430</v>
      </c>
      <c r="BR48" s="742" t="s">
        <v>678</v>
      </c>
      <c r="BS48" s="993" t="s">
        <v>430</v>
      </c>
      <c r="BT48" s="742" t="s">
        <v>484</v>
      </c>
      <c r="BU48" s="993" t="s">
        <v>428</v>
      </c>
      <c r="BV48" s="742" t="s">
        <v>678</v>
      </c>
      <c r="BW48" s="993" t="s">
        <v>430</v>
      </c>
      <c r="BX48" s="742" t="s">
        <v>484</v>
      </c>
      <c r="BY48" s="993" t="s">
        <v>430</v>
      </c>
      <c r="BZ48" s="742" t="s">
        <v>678</v>
      </c>
      <c r="CA48" s="993" t="s">
        <v>428</v>
      </c>
      <c r="CB48" s="742" t="s">
        <v>484</v>
      </c>
      <c r="CC48" s="993" t="s">
        <v>430</v>
      </c>
      <c r="CD48" s="742" t="s">
        <v>678</v>
      </c>
      <c r="CE48" s="993" t="s">
        <v>428</v>
      </c>
      <c r="CF48" s="742" t="s">
        <v>484</v>
      </c>
      <c r="CG48" s="993" t="s">
        <v>428</v>
      </c>
      <c r="CH48" s="742" t="s">
        <v>484</v>
      </c>
      <c r="CI48" s="993" t="s">
        <v>430</v>
      </c>
      <c r="CJ48" s="742" t="s">
        <v>484</v>
      </c>
      <c r="CK48" s="993" t="s">
        <v>430</v>
      </c>
      <c r="CL48" s="742" t="s">
        <v>678</v>
      </c>
      <c r="CM48" s="993" t="s">
        <v>430</v>
      </c>
      <c r="CN48" s="742" t="s">
        <v>484</v>
      </c>
      <c r="CO48" s="993" t="s">
        <v>428</v>
      </c>
      <c r="CP48" s="742" t="s">
        <v>484</v>
      </c>
      <c r="CQ48" s="993" t="s">
        <v>428</v>
      </c>
      <c r="CR48" s="742" t="s">
        <v>484</v>
      </c>
      <c r="CS48" s="993" t="s">
        <v>430</v>
      </c>
      <c r="CT48" s="742" t="s">
        <v>484</v>
      </c>
      <c r="CU48" s="993" t="s">
        <v>428</v>
      </c>
      <c r="CV48" s="742" t="s">
        <v>678</v>
      </c>
      <c r="CW48" s="993" t="s">
        <v>430</v>
      </c>
      <c r="CX48" s="742" t="s">
        <v>484</v>
      </c>
      <c r="CY48" s="993" t="s">
        <v>428</v>
      </c>
      <c r="CZ48" s="742" t="s">
        <v>678</v>
      </c>
      <c r="DA48" s="993" t="s">
        <v>430</v>
      </c>
      <c r="DB48" s="742" t="s">
        <v>678</v>
      </c>
      <c r="DC48" s="994" t="s">
        <v>430</v>
      </c>
      <c r="DD48" s="995" t="s">
        <v>678</v>
      </c>
      <c r="DE48" s="996" t="s">
        <v>428</v>
      </c>
      <c r="DF48" s="932"/>
      <c r="DG48" s="991" t="s">
        <v>676</v>
      </c>
      <c r="DH48" s="992" t="s">
        <v>677</v>
      </c>
      <c r="DI48" s="895"/>
      <c r="DJ48" s="825"/>
      <c r="DK48" s="825"/>
      <c r="DL48" s="826"/>
      <c r="DM48" s="740" t="s">
        <v>678</v>
      </c>
      <c r="DN48" s="663" t="s">
        <v>428</v>
      </c>
      <c r="DO48" s="742" t="s">
        <v>484</v>
      </c>
      <c r="DP48" s="993" t="s">
        <v>430</v>
      </c>
      <c r="DQ48" s="742" t="s">
        <v>678</v>
      </c>
      <c r="DR48" s="993" t="s">
        <v>428</v>
      </c>
      <c r="DS48" s="742" t="s">
        <v>484</v>
      </c>
      <c r="DT48" s="993" t="s">
        <v>428</v>
      </c>
      <c r="DU48" s="742" t="s">
        <v>678</v>
      </c>
      <c r="DV48" s="993" t="s">
        <v>428</v>
      </c>
      <c r="DW48" s="742" t="s">
        <v>678</v>
      </c>
      <c r="DX48" s="993" t="s">
        <v>430</v>
      </c>
      <c r="DY48" s="742" t="s">
        <v>678</v>
      </c>
      <c r="DZ48" s="993" t="s">
        <v>428</v>
      </c>
      <c r="EA48" s="742" t="s">
        <v>484</v>
      </c>
      <c r="EB48" s="993" t="s">
        <v>430</v>
      </c>
      <c r="EC48" s="742" t="s">
        <v>678</v>
      </c>
      <c r="ED48" s="993" t="s">
        <v>430</v>
      </c>
      <c r="EE48" s="742" t="s">
        <v>678</v>
      </c>
      <c r="EF48" s="993" t="s">
        <v>430</v>
      </c>
      <c r="EG48" s="742" t="s">
        <v>484</v>
      </c>
      <c r="EH48" s="993" t="s">
        <v>428</v>
      </c>
      <c r="EI48" s="742" t="s">
        <v>678</v>
      </c>
      <c r="EJ48" s="993" t="s">
        <v>430</v>
      </c>
      <c r="EK48" s="742" t="s">
        <v>484</v>
      </c>
      <c r="EL48" s="993" t="s">
        <v>430</v>
      </c>
      <c r="EM48" s="742" t="s">
        <v>678</v>
      </c>
      <c r="EN48" s="993" t="s">
        <v>428</v>
      </c>
      <c r="EO48" s="742" t="s">
        <v>484</v>
      </c>
      <c r="EP48" s="993" t="s">
        <v>430</v>
      </c>
      <c r="EQ48" s="742" t="s">
        <v>678</v>
      </c>
      <c r="ER48" s="993" t="s">
        <v>428</v>
      </c>
      <c r="ES48" s="742" t="s">
        <v>484</v>
      </c>
      <c r="ET48" s="993" t="s">
        <v>428</v>
      </c>
      <c r="EU48" s="742" t="s">
        <v>484</v>
      </c>
      <c r="EV48" s="993" t="s">
        <v>430</v>
      </c>
      <c r="EW48" s="742" t="s">
        <v>484</v>
      </c>
      <c r="EX48" s="993" t="s">
        <v>430</v>
      </c>
      <c r="EY48" s="742" t="s">
        <v>678</v>
      </c>
      <c r="EZ48" s="993" t="s">
        <v>430</v>
      </c>
      <c r="FA48" s="742" t="s">
        <v>484</v>
      </c>
      <c r="FB48" s="993" t="s">
        <v>428</v>
      </c>
      <c r="FC48" s="742" t="s">
        <v>484</v>
      </c>
      <c r="FD48" s="993" t="s">
        <v>428</v>
      </c>
      <c r="FE48" s="742" t="s">
        <v>484</v>
      </c>
      <c r="FF48" s="994" t="s">
        <v>430</v>
      </c>
      <c r="FG48" s="995" t="s">
        <v>484</v>
      </c>
      <c r="FH48" s="996" t="s">
        <v>428</v>
      </c>
      <c r="FI48" s="932"/>
      <c r="FJ48" s="991" t="s">
        <v>482</v>
      </c>
      <c r="FK48" s="738" t="s">
        <v>483</v>
      </c>
      <c r="FL48" s="895"/>
      <c r="FM48" s="825"/>
      <c r="FN48" s="825"/>
      <c r="FO48" s="826"/>
      <c r="FP48" s="747" t="s">
        <v>433</v>
      </c>
      <c r="FQ48" s="673" t="s">
        <v>678</v>
      </c>
      <c r="FR48" s="663" t="s">
        <v>451</v>
      </c>
      <c r="FS48" s="997" t="s">
        <v>433</v>
      </c>
      <c r="FT48" s="673" t="s">
        <v>484</v>
      </c>
      <c r="FU48" s="998" t="s">
        <v>451</v>
      </c>
      <c r="FV48" s="999"/>
      <c r="FW48" s="993" t="s">
        <v>323</v>
      </c>
      <c r="FX48" s="997"/>
      <c r="FY48" s="993" t="s">
        <v>323</v>
      </c>
      <c r="FZ48" s="997"/>
      <c r="GA48" s="993" t="s">
        <v>323</v>
      </c>
      <c r="GB48" s="997"/>
      <c r="GC48" s="993" t="s">
        <v>323</v>
      </c>
      <c r="GD48" s="997"/>
      <c r="GE48" s="1000" t="s">
        <v>324</v>
      </c>
      <c r="GF48" s="688"/>
      <c r="GG48" s="655"/>
      <c r="GH48" s="655"/>
      <c r="GI48" s="655"/>
      <c r="GJ48" s="530"/>
      <c r="GK48" s="615" t="s">
        <v>841</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437</v>
      </c>
      <c r="C49" s="1002"/>
      <c r="D49" s="754">
        <v>66</v>
      </c>
      <c r="E49" s="755">
        <v>18</v>
      </c>
      <c r="F49" s="1003" t="s">
        <v>436</v>
      </c>
      <c r="G49" s="757"/>
      <c r="H49" s="559"/>
      <c r="I49" s="758"/>
      <c r="J49" s="559"/>
      <c r="K49" s="758"/>
      <c r="L49" s="559"/>
      <c r="M49" s="758"/>
      <c r="N49" s="559"/>
      <c r="O49" s="758"/>
      <c r="P49" s="559"/>
      <c r="Q49" s="758"/>
      <c r="R49" s="559"/>
      <c r="S49" s="758"/>
      <c r="T49" s="559"/>
      <c r="U49" s="758"/>
      <c r="V49" s="559"/>
      <c r="W49" s="758">
        <v>1</v>
      </c>
      <c r="X49" s="559">
        <v>1188</v>
      </c>
      <c r="Y49" s="758">
        <v>1</v>
      </c>
      <c r="Z49" s="559">
        <v>1188</v>
      </c>
      <c r="AA49" s="758">
        <v>0.25</v>
      </c>
      <c r="AB49" s="559">
        <v>297</v>
      </c>
      <c r="AC49" s="758">
        <v>1</v>
      </c>
      <c r="AD49" s="559">
        <v>1188</v>
      </c>
      <c r="AE49" s="758">
        <v>0.25</v>
      </c>
      <c r="AF49" s="559">
        <v>297</v>
      </c>
      <c r="AG49" s="758">
        <v>1</v>
      </c>
      <c r="AH49" s="559">
        <v>1188</v>
      </c>
      <c r="AI49" s="758">
        <v>1</v>
      </c>
      <c r="AJ49" s="559">
        <v>1188</v>
      </c>
      <c r="AK49" s="758">
        <v>1</v>
      </c>
      <c r="AL49" s="559">
        <v>1188</v>
      </c>
      <c r="AM49" s="758">
        <v>1</v>
      </c>
      <c r="AN49" s="559">
        <v>1188</v>
      </c>
      <c r="AO49" s="758">
        <v>1</v>
      </c>
      <c r="AP49" s="559">
        <v>1188</v>
      </c>
      <c r="AQ49" s="758"/>
      <c r="AR49" s="559"/>
      <c r="AS49" s="758"/>
      <c r="AT49" s="559"/>
      <c r="AU49" s="758"/>
      <c r="AV49" s="559"/>
      <c r="AW49" s="758"/>
      <c r="AX49" s="559"/>
      <c r="AY49" s="1004"/>
      <c r="AZ49" s="1005"/>
      <c r="BA49" s="1006"/>
      <c r="BB49" s="1007"/>
      <c r="BC49" s="938"/>
      <c r="BD49" s="1001"/>
      <c r="BE49" s="752" t="s">
        <v>437</v>
      </c>
      <c r="BF49" s="1002"/>
      <c r="BG49" s="754"/>
      <c r="BH49" s="755">
        <v>18</v>
      </c>
      <c r="BI49" s="1003" t="s">
        <v>436</v>
      </c>
      <c r="BJ49" s="757"/>
      <c r="BK49" s="559"/>
      <c r="BL49" s="758"/>
      <c r="BM49" s="559"/>
      <c r="BN49" s="758"/>
      <c r="BO49" s="559"/>
      <c r="BP49" s="758"/>
      <c r="BQ49" s="559"/>
      <c r="BR49" s="758"/>
      <c r="BS49" s="559"/>
      <c r="BT49" s="758"/>
      <c r="BU49" s="559"/>
      <c r="BV49" s="758"/>
      <c r="BW49" s="559"/>
      <c r="BX49" s="758"/>
      <c r="BY49" s="559"/>
      <c r="BZ49" s="758">
        <v>1</v>
      </c>
      <c r="CA49" s="559">
        <v>1188</v>
      </c>
      <c r="CB49" s="758">
        <v>1</v>
      </c>
      <c r="CC49" s="559">
        <v>1188</v>
      </c>
      <c r="CD49" s="758">
        <v>0.25</v>
      </c>
      <c r="CE49" s="559">
        <v>297</v>
      </c>
      <c r="CF49" s="758">
        <v>1</v>
      </c>
      <c r="CG49" s="559">
        <v>1188</v>
      </c>
      <c r="CH49" s="758">
        <v>0.25</v>
      </c>
      <c r="CI49" s="559">
        <v>297</v>
      </c>
      <c r="CJ49" s="758">
        <v>1</v>
      </c>
      <c r="CK49" s="559">
        <v>1188</v>
      </c>
      <c r="CL49" s="758">
        <v>1</v>
      </c>
      <c r="CM49" s="559">
        <v>1188</v>
      </c>
      <c r="CN49" s="758">
        <v>1</v>
      </c>
      <c r="CO49" s="559">
        <v>1188</v>
      </c>
      <c r="CP49" s="758">
        <v>1</v>
      </c>
      <c r="CQ49" s="559">
        <v>1188</v>
      </c>
      <c r="CR49" s="758">
        <v>1</v>
      </c>
      <c r="CS49" s="559">
        <v>1188</v>
      </c>
      <c r="CT49" s="758"/>
      <c r="CU49" s="559"/>
      <c r="CV49" s="758"/>
      <c r="CW49" s="559"/>
      <c r="CX49" s="758"/>
      <c r="CY49" s="559"/>
      <c r="CZ49" s="758"/>
      <c r="DA49" s="559"/>
      <c r="DB49" s="1004"/>
      <c r="DC49" s="1005"/>
      <c r="DD49" s="1006"/>
      <c r="DE49" s="1007"/>
      <c r="DF49" s="938"/>
      <c r="DG49" s="1001"/>
      <c r="DH49" s="752" t="s">
        <v>435</v>
      </c>
      <c r="DI49" s="1002"/>
      <c r="DJ49" s="754"/>
      <c r="DK49" s="755">
        <v>18</v>
      </c>
      <c r="DL49" s="1003" t="s">
        <v>436</v>
      </c>
      <c r="DM49" s="757"/>
      <c r="DN49" s="559"/>
      <c r="DO49" s="758"/>
      <c r="DP49" s="559"/>
      <c r="DQ49" s="758"/>
      <c r="DR49" s="559"/>
      <c r="DS49" s="758"/>
      <c r="DT49" s="559"/>
      <c r="DU49" s="758"/>
      <c r="DV49" s="559"/>
      <c r="DW49" s="758"/>
      <c r="DX49" s="559"/>
      <c r="DY49" s="758"/>
      <c r="DZ49" s="559"/>
      <c r="EA49" s="758"/>
      <c r="EB49" s="559"/>
      <c r="EC49" s="758">
        <v>1</v>
      </c>
      <c r="ED49" s="559">
        <v>1188</v>
      </c>
      <c r="EE49" s="758">
        <v>1</v>
      </c>
      <c r="EF49" s="559">
        <v>1188</v>
      </c>
      <c r="EG49" s="758">
        <v>0.25</v>
      </c>
      <c r="EH49" s="559">
        <v>297</v>
      </c>
      <c r="EI49" s="758">
        <v>1</v>
      </c>
      <c r="EJ49" s="559">
        <v>1188</v>
      </c>
      <c r="EK49" s="758">
        <v>0.25</v>
      </c>
      <c r="EL49" s="559">
        <v>297</v>
      </c>
      <c r="EM49" s="758">
        <v>1</v>
      </c>
      <c r="EN49" s="559">
        <v>1188</v>
      </c>
      <c r="EO49" s="758">
        <v>1</v>
      </c>
      <c r="EP49" s="559">
        <v>1188</v>
      </c>
      <c r="EQ49" s="758">
        <v>1</v>
      </c>
      <c r="ER49" s="559">
        <v>1188</v>
      </c>
      <c r="ES49" s="758">
        <v>1</v>
      </c>
      <c r="ET49" s="559">
        <v>1188</v>
      </c>
      <c r="EU49" s="758">
        <v>1</v>
      </c>
      <c r="EV49" s="559">
        <v>1188</v>
      </c>
      <c r="EW49" s="758"/>
      <c r="EX49" s="559"/>
      <c r="EY49" s="758"/>
      <c r="EZ49" s="559"/>
      <c r="FA49" s="758"/>
      <c r="FB49" s="559"/>
      <c r="FC49" s="758"/>
      <c r="FD49" s="559"/>
      <c r="FE49" s="1004"/>
      <c r="FF49" s="1005"/>
      <c r="FG49" s="1006"/>
      <c r="FH49" s="1007"/>
      <c r="FI49" s="938"/>
      <c r="FJ49" s="1001"/>
      <c r="FK49" s="752" t="s">
        <v>435</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842</v>
      </c>
      <c r="GL49" s="580"/>
      <c r="GM49" s="413"/>
      <c r="GN49" s="580"/>
      <c r="GO49" s="413"/>
      <c r="GP49" s="413"/>
      <c r="GQ49" s="413"/>
      <c r="GR49" s="580"/>
      <c r="GS49" s="530"/>
      <c r="GT49" s="861"/>
      <c r="GU49" s="530" t="s">
        <v>784</v>
      </c>
      <c r="GV49" s="615"/>
      <c r="GW49" s="530"/>
      <c r="GX49" s="615"/>
      <c r="GY49" s="530"/>
      <c r="GZ49" s="391"/>
      <c r="HA49" s="580"/>
      <c r="HB49" s="391"/>
      <c r="HC49" s="1017"/>
      <c r="HD49" s="415"/>
    </row>
    <row r="50" spans="1:212" ht="20.100000000000001" customHeight="1">
      <c r="A50" s="1001"/>
      <c r="B50" s="764" t="s">
        <v>446</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446</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446</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446</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843</v>
      </c>
      <c r="GL50" s="580"/>
      <c r="GM50" s="413"/>
      <c r="GN50" s="580"/>
      <c r="GO50" s="413"/>
      <c r="GP50" s="413"/>
      <c r="GQ50" s="413"/>
      <c r="GR50" s="580"/>
      <c r="GS50" s="953"/>
      <c r="GT50" s="937"/>
      <c r="GU50" s="580" t="s">
        <v>905</v>
      </c>
      <c r="GV50" s="580"/>
      <c r="GW50" s="580"/>
      <c r="GX50" s="580"/>
      <c r="GY50" s="615"/>
      <c r="GZ50" s="579"/>
      <c r="HA50" s="615">
        <v>26.8</v>
      </c>
      <c r="HB50" s="579" t="s">
        <v>319</v>
      </c>
      <c r="HC50" s="1038"/>
      <c r="HD50" s="415"/>
    </row>
    <row r="51" spans="1:212" ht="20.100000000000001" customHeight="1" thickBot="1">
      <c r="A51" s="1039"/>
      <c r="B51" s="466" t="s">
        <v>679</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679</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506</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506</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433</v>
      </c>
      <c r="GM51" s="1047" t="s">
        <v>590</v>
      </c>
      <c r="GN51" s="1048" t="s">
        <v>343</v>
      </c>
      <c r="GO51" s="1049" t="s">
        <v>788</v>
      </c>
      <c r="GP51" s="1049" t="s">
        <v>592</v>
      </c>
      <c r="GQ51" s="1050" t="s">
        <v>572</v>
      </c>
      <c r="GR51" s="733"/>
      <c r="GS51" s="953"/>
      <c r="GT51" s="763"/>
      <c r="GU51" s="580" t="s">
        <v>845</v>
      </c>
      <c r="GV51" s="580"/>
      <c r="GW51" s="580"/>
      <c r="GX51" s="580"/>
      <c r="GY51" s="413"/>
      <c r="GZ51" s="1051"/>
      <c r="HA51" s="615">
        <v>26.8</v>
      </c>
      <c r="HB51" s="579" t="s">
        <v>319</v>
      </c>
      <c r="HC51" s="1052"/>
      <c r="HD51" s="415"/>
    </row>
    <row r="52" spans="1:212" ht="20.100000000000001" customHeight="1" thickBot="1">
      <c r="A52" s="1053" t="s">
        <v>680</v>
      </c>
      <c r="B52" s="1054"/>
      <c r="C52" s="1055"/>
      <c r="D52" s="1055"/>
      <c r="E52" s="1056"/>
      <c r="F52" s="1055"/>
      <c r="G52" s="1057"/>
      <c r="H52" s="1058">
        <v>0</v>
      </c>
      <c r="I52" s="1059"/>
      <c r="J52" s="1058">
        <v>0</v>
      </c>
      <c r="K52" s="1059"/>
      <c r="L52" s="1058">
        <v>0</v>
      </c>
      <c r="M52" s="1059"/>
      <c r="N52" s="1058">
        <v>0</v>
      </c>
      <c r="O52" s="1059"/>
      <c r="P52" s="1058">
        <v>0</v>
      </c>
      <c r="Q52" s="1059"/>
      <c r="R52" s="1058">
        <v>0</v>
      </c>
      <c r="S52" s="1059"/>
      <c r="T52" s="1058">
        <v>0</v>
      </c>
      <c r="U52" s="1059"/>
      <c r="V52" s="1058">
        <v>0</v>
      </c>
      <c r="W52" s="1059"/>
      <c r="X52" s="1058">
        <v>1188</v>
      </c>
      <c r="Y52" s="1059"/>
      <c r="Z52" s="1058">
        <v>1188</v>
      </c>
      <c r="AA52" s="1059"/>
      <c r="AB52" s="1058">
        <v>297</v>
      </c>
      <c r="AC52" s="1059"/>
      <c r="AD52" s="1058">
        <v>1188</v>
      </c>
      <c r="AE52" s="1059"/>
      <c r="AF52" s="1058">
        <v>297</v>
      </c>
      <c r="AG52" s="1059"/>
      <c r="AH52" s="1058">
        <v>1188</v>
      </c>
      <c r="AI52" s="1059"/>
      <c r="AJ52" s="1058">
        <v>1188</v>
      </c>
      <c r="AK52" s="1059"/>
      <c r="AL52" s="1058">
        <v>1188</v>
      </c>
      <c r="AM52" s="1059"/>
      <c r="AN52" s="1058">
        <v>1188</v>
      </c>
      <c r="AO52" s="1059"/>
      <c r="AP52" s="1058">
        <v>1188</v>
      </c>
      <c r="AQ52" s="1059"/>
      <c r="AR52" s="1058">
        <v>0</v>
      </c>
      <c r="AS52" s="1059"/>
      <c r="AT52" s="1058">
        <v>0</v>
      </c>
      <c r="AU52" s="1059"/>
      <c r="AV52" s="1058">
        <v>0</v>
      </c>
      <c r="AW52" s="1059"/>
      <c r="AX52" s="1058">
        <v>0</v>
      </c>
      <c r="AY52" s="1060"/>
      <c r="AZ52" s="1061">
        <v>0</v>
      </c>
      <c r="BA52" s="1062"/>
      <c r="BB52" s="1063">
        <v>0</v>
      </c>
      <c r="BC52" s="981"/>
      <c r="BD52" s="1053" t="s">
        <v>680</v>
      </c>
      <c r="BE52" s="1054"/>
      <c r="BF52" s="1055"/>
      <c r="BG52" s="1055"/>
      <c r="BH52" s="1056"/>
      <c r="BI52" s="1055"/>
      <c r="BJ52" s="1057"/>
      <c r="BK52" s="1058">
        <v>0</v>
      </c>
      <c r="BL52" s="1059"/>
      <c r="BM52" s="1058">
        <v>0</v>
      </c>
      <c r="BN52" s="1059"/>
      <c r="BO52" s="1058">
        <v>0</v>
      </c>
      <c r="BP52" s="1059"/>
      <c r="BQ52" s="1058">
        <v>0</v>
      </c>
      <c r="BR52" s="1059"/>
      <c r="BS52" s="1058">
        <v>0</v>
      </c>
      <c r="BT52" s="1059"/>
      <c r="BU52" s="1058">
        <v>0</v>
      </c>
      <c r="BV52" s="1059"/>
      <c r="BW52" s="1058">
        <v>0</v>
      </c>
      <c r="BX52" s="1059"/>
      <c r="BY52" s="1058">
        <v>0</v>
      </c>
      <c r="BZ52" s="1059"/>
      <c r="CA52" s="1058">
        <v>1188</v>
      </c>
      <c r="CB52" s="1059"/>
      <c r="CC52" s="1058">
        <v>1188</v>
      </c>
      <c r="CD52" s="1059"/>
      <c r="CE52" s="1058">
        <v>297</v>
      </c>
      <c r="CF52" s="1059"/>
      <c r="CG52" s="1058">
        <v>1188</v>
      </c>
      <c r="CH52" s="1059"/>
      <c r="CI52" s="1058">
        <v>297</v>
      </c>
      <c r="CJ52" s="1059"/>
      <c r="CK52" s="1058">
        <v>1188</v>
      </c>
      <c r="CL52" s="1059"/>
      <c r="CM52" s="1058">
        <v>1188</v>
      </c>
      <c r="CN52" s="1059"/>
      <c r="CO52" s="1058">
        <v>1188</v>
      </c>
      <c r="CP52" s="1059"/>
      <c r="CQ52" s="1058">
        <v>1188</v>
      </c>
      <c r="CR52" s="1059"/>
      <c r="CS52" s="1058">
        <v>1188</v>
      </c>
      <c r="CT52" s="1059"/>
      <c r="CU52" s="1058">
        <v>0</v>
      </c>
      <c r="CV52" s="1059"/>
      <c r="CW52" s="1058">
        <v>0</v>
      </c>
      <c r="CX52" s="1059"/>
      <c r="CY52" s="1058">
        <v>0</v>
      </c>
      <c r="CZ52" s="1059"/>
      <c r="DA52" s="1058">
        <v>0</v>
      </c>
      <c r="DB52" s="1060"/>
      <c r="DC52" s="1061">
        <v>0</v>
      </c>
      <c r="DD52" s="1062"/>
      <c r="DE52" s="1063">
        <v>0</v>
      </c>
      <c r="DF52" s="981"/>
      <c r="DG52" s="1053" t="s">
        <v>680</v>
      </c>
      <c r="DH52" s="1054"/>
      <c r="DI52" s="1055"/>
      <c r="DJ52" s="1055"/>
      <c r="DK52" s="1056"/>
      <c r="DL52" s="1055"/>
      <c r="DM52" s="1057"/>
      <c r="DN52" s="1058">
        <v>0</v>
      </c>
      <c r="DO52" s="1059"/>
      <c r="DP52" s="1058">
        <v>0</v>
      </c>
      <c r="DQ52" s="1059"/>
      <c r="DR52" s="1058">
        <v>0</v>
      </c>
      <c r="DS52" s="1059"/>
      <c r="DT52" s="1058">
        <v>0</v>
      </c>
      <c r="DU52" s="1059"/>
      <c r="DV52" s="1058">
        <v>0</v>
      </c>
      <c r="DW52" s="1059"/>
      <c r="DX52" s="1058">
        <v>0</v>
      </c>
      <c r="DY52" s="1059"/>
      <c r="DZ52" s="1058">
        <v>0</v>
      </c>
      <c r="EA52" s="1059"/>
      <c r="EB52" s="1058">
        <v>0</v>
      </c>
      <c r="EC52" s="1059"/>
      <c r="ED52" s="1058">
        <v>1188</v>
      </c>
      <c r="EE52" s="1059"/>
      <c r="EF52" s="1058">
        <v>1188</v>
      </c>
      <c r="EG52" s="1059"/>
      <c r="EH52" s="1058">
        <v>297</v>
      </c>
      <c r="EI52" s="1059"/>
      <c r="EJ52" s="1058">
        <v>1188</v>
      </c>
      <c r="EK52" s="1059"/>
      <c r="EL52" s="1058">
        <v>297</v>
      </c>
      <c r="EM52" s="1059"/>
      <c r="EN52" s="1058">
        <v>1188</v>
      </c>
      <c r="EO52" s="1059"/>
      <c r="EP52" s="1058">
        <v>1188</v>
      </c>
      <c r="EQ52" s="1059"/>
      <c r="ER52" s="1058">
        <v>1188</v>
      </c>
      <c r="ES52" s="1059"/>
      <c r="ET52" s="1058">
        <v>1188</v>
      </c>
      <c r="EU52" s="1059"/>
      <c r="EV52" s="1058">
        <v>1188</v>
      </c>
      <c r="EW52" s="1059"/>
      <c r="EX52" s="1058">
        <v>0</v>
      </c>
      <c r="EY52" s="1059"/>
      <c r="EZ52" s="1058">
        <v>0</v>
      </c>
      <c r="FA52" s="1059"/>
      <c r="FB52" s="1058">
        <v>0</v>
      </c>
      <c r="FC52" s="1059"/>
      <c r="FD52" s="1058">
        <v>0</v>
      </c>
      <c r="FE52" s="1060"/>
      <c r="FF52" s="1061">
        <v>0</v>
      </c>
      <c r="FG52" s="1062"/>
      <c r="FH52" s="1063">
        <v>0</v>
      </c>
      <c r="FI52" s="981"/>
      <c r="FJ52" s="1053" t="s">
        <v>680</v>
      </c>
      <c r="FK52" s="1054"/>
      <c r="FL52" s="1055"/>
      <c r="FM52" s="1055"/>
      <c r="FN52" s="1056"/>
      <c r="FO52" s="1055"/>
      <c r="FP52" s="1064"/>
      <c r="FQ52" s="1065"/>
      <c r="FR52" s="1058">
        <v>0</v>
      </c>
      <c r="FS52" s="1066"/>
      <c r="FT52" s="1065"/>
      <c r="FU52" s="1067">
        <v>0</v>
      </c>
      <c r="FV52" s="1068">
        <v>14</v>
      </c>
      <c r="FW52" s="1069">
        <v>1188</v>
      </c>
      <c r="FX52" s="1070">
        <v>15</v>
      </c>
      <c r="FY52" s="1069">
        <v>1188</v>
      </c>
      <c r="FZ52" s="1070">
        <v>15</v>
      </c>
      <c r="GA52" s="1069">
        <v>1188</v>
      </c>
      <c r="GB52" s="1071" t="s">
        <v>951</v>
      </c>
      <c r="GC52" s="1072">
        <v>1188</v>
      </c>
      <c r="GD52" s="1071" t="s">
        <v>368</v>
      </c>
      <c r="GE52" s="1073">
        <v>0</v>
      </c>
      <c r="GF52" s="688"/>
      <c r="GG52" s="990"/>
      <c r="GH52" s="990"/>
      <c r="GI52" s="990"/>
      <c r="GJ52" s="936"/>
      <c r="GK52" s="733"/>
      <c r="GL52" s="1074"/>
      <c r="GM52" s="1075"/>
      <c r="GN52" s="1075"/>
      <c r="GO52" s="1076"/>
      <c r="GP52" s="1076"/>
      <c r="GQ52" s="1077"/>
      <c r="GR52" s="953"/>
      <c r="GS52" s="893"/>
      <c r="GT52" s="861"/>
      <c r="GU52" s="530" t="s">
        <v>790</v>
      </c>
      <c r="GV52" s="733"/>
      <c r="GW52" s="936"/>
      <c r="GX52" s="733"/>
      <c r="GY52" s="413"/>
      <c r="GZ52" s="1078"/>
      <c r="HA52" s="953"/>
      <c r="HB52" s="1078"/>
      <c r="HC52" s="562"/>
      <c r="HD52" s="415"/>
    </row>
    <row r="53" spans="1:212" ht="20.100000000000001" customHeight="1" thickTop="1">
      <c r="A53" s="1079" t="s">
        <v>681</v>
      </c>
      <c r="B53" s="1080"/>
      <c r="C53" s="1081"/>
      <c r="D53" s="1081"/>
      <c r="E53" s="1082"/>
      <c r="F53" s="1083"/>
      <c r="G53" s="1084"/>
      <c r="H53" s="1085">
        <v>0</v>
      </c>
      <c r="I53" s="1086"/>
      <c r="J53" s="1085">
        <v>0</v>
      </c>
      <c r="K53" s="1086"/>
      <c r="L53" s="1085">
        <v>0</v>
      </c>
      <c r="M53" s="1086"/>
      <c r="N53" s="1085">
        <v>0</v>
      </c>
      <c r="O53" s="1086"/>
      <c r="P53" s="1085">
        <v>0</v>
      </c>
      <c r="Q53" s="1086"/>
      <c r="R53" s="1085">
        <v>0</v>
      </c>
      <c r="S53" s="1086"/>
      <c r="T53" s="1085">
        <v>0</v>
      </c>
      <c r="U53" s="1086"/>
      <c r="V53" s="1085">
        <v>0</v>
      </c>
      <c r="W53" s="1086"/>
      <c r="X53" s="1085">
        <v>8294</v>
      </c>
      <c r="Y53" s="1086"/>
      <c r="Z53" s="1085">
        <v>7902</v>
      </c>
      <c r="AA53" s="1086"/>
      <c r="AB53" s="1085">
        <v>6574</v>
      </c>
      <c r="AC53" s="1086"/>
      <c r="AD53" s="1085">
        <v>8665</v>
      </c>
      <c r="AE53" s="1086"/>
      <c r="AF53" s="1085">
        <v>7311</v>
      </c>
      <c r="AG53" s="1086"/>
      <c r="AH53" s="1085">
        <v>9359</v>
      </c>
      <c r="AI53" s="1086"/>
      <c r="AJ53" s="1085">
        <v>9340</v>
      </c>
      <c r="AK53" s="1086"/>
      <c r="AL53" s="1085">
        <v>8934</v>
      </c>
      <c r="AM53" s="1086"/>
      <c r="AN53" s="1085">
        <v>8189</v>
      </c>
      <c r="AO53" s="1086"/>
      <c r="AP53" s="1085">
        <v>7128</v>
      </c>
      <c r="AQ53" s="1086"/>
      <c r="AR53" s="1085">
        <v>0</v>
      </c>
      <c r="AS53" s="1086"/>
      <c r="AT53" s="1085">
        <v>0</v>
      </c>
      <c r="AU53" s="1086"/>
      <c r="AV53" s="1085">
        <v>0</v>
      </c>
      <c r="AW53" s="1086"/>
      <c r="AX53" s="1085">
        <v>0</v>
      </c>
      <c r="AY53" s="1087"/>
      <c r="AZ53" s="1088">
        <v>0</v>
      </c>
      <c r="BA53" s="1089"/>
      <c r="BB53" s="1090">
        <v>0</v>
      </c>
      <c r="BC53" s="981"/>
      <c r="BD53" s="1079" t="s">
        <v>681</v>
      </c>
      <c r="BE53" s="1080"/>
      <c r="BF53" s="1081"/>
      <c r="BG53" s="1081"/>
      <c r="BH53" s="1082"/>
      <c r="BI53" s="1083"/>
      <c r="BJ53" s="1084"/>
      <c r="BK53" s="1085">
        <v>0</v>
      </c>
      <c r="BL53" s="1086"/>
      <c r="BM53" s="1085">
        <v>0</v>
      </c>
      <c r="BN53" s="1086"/>
      <c r="BO53" s="1085">
        <v>0</v>
      </c>
      <c r="BP53" s="1086"/>
      <c r="BQ53" s="1085">
        <v>0</v>
      </c>
      <c r="BR53" s="1086"/>
      <c r="BS53" s="1085">
        <v>0</v>
      </c>
      <c r="BT53" s="1086"/>
      <c r="BU53" s="1085">
        <v>0</v>
      </c>
      <c r="BV53" s="1086"/>
      <c r="BW53" s="1085">
        <v>0</v>
      </c>
      <c r="BX53" s="1086"/>
      <c r="BY53" s="1085">
        <v>0</v>
      </c>
      <c r="BZ53" s="1086"/>
      <c r="CA53" s="1085">
        <v>8126</v>
      </c>
      <c r="CB53" s="1086"/>
      <c r="CC53" s="1085">
        <v>7652</v>
      </c>
      <c r="CD53" s="1086"/>
      <c r="CE53" s="1085">
        <v>6383</v>
      </c>
      <c r="CF53" s="1086"/>
      <c r="CG53" s="1085">
        <v>8622</v>
      </c>
      <c r="CH53" s="1086"/>
      <c r="CI53" s="1085">
        <v>7439</v>
      </c>
      <c r="CJ53" s="1086"/>
      <c r="CK53" s="1085">
        <v>9774</v>
      </c>
      <c r="CL53" s="1086"/>
      <c r="CM53" s="1085">
        <v>10146</v>
      </c>
      <c r="CN53" s="1086"/>
      <c r="CO53" s="1085">
        <v>9919</v>
      </c>
      <c r="CP53" s="1086"/>
      <c r="CQ53" s="1085">
        <v>9360</v>
      </c>
      <c r="CR53" s="1086"/>
      <c r="CS53" s="1085">
        <v>7942</v>
      </c>
      <c r="CT53" s="1086"/>
      <c r="CU53" s="1085">
        <v>0</v>
      </c>
      <c r="CV53" s="1086"/>
      <c r="CW53" s="1085">
        <v>0</v>
      </c>
      <c r="CX53" s="1086"/>
      <c r="CY53" s="1085">
        <v>0</v>
      </c>
      <c r="CZ53" s="1086"/>
      <c r="DA53" s="1085">
        <v>0</v>
      </c>
      <c r="DB53" s="1087"/>
      <c r="DC53" s="1088">
        <v>0</v>
      </c>
      <c r="DD53" s="1089"/>
      <c r="DE53" s="1090">
        <v>0</v>
      </c>
      <c r="DF53" s="981"/>
      <c r="DG53" s="1079" t="s">
        <v>681</v>
      </c>
      <c r="DH53" s="1080"/>
      <c r="DI53" s="1081"/>
      <c r="DJ53" s="1081"/>
      <c r="DK53" s="1082"/>
      <c r="DL53" s="1083"/>
      <c r="DM53" s="1084"/>
      <c r="DN53" s="1085">
        <v>0</v>
      </c>
      <c r="DO53" s="1086"/>
      <c r="DP53" s="1085">
        <v>0</v>
      </c>
      <c r="DQ53" s="1086"/>
      <c r="DR53" s="1085">
        <v>0</v>
      </c>
      <c r="DS53" s="1086"/>
      <c r="DT53" s="1085">
        <v>0</v>
      </c>
      <c r="DU53" s="1086"/>
      <c r="DV53" s="1085">
        <v>0</v>
      </c>
      <c r="DW53" s="1086"/>
      <c r="DX53" s="1085">
        <v>0</v>
      </c>
      <c r="DY53" s="1086"/>
      <c r="DZ53" s="1085">
        <v>0</v>
      </c>
      <c r="EA53" s="1086"/>
      <c r="EB53" s="1085">
        <v>0</v>
      </c>
      <c r="EC53" s="1086"/>
      <c r="ED53" s="1085">
        <v>7499</v>
      </c>
      <c r="EE53" s="1086"/>
      <c r="EF53" s="1085">
        <v>7453</v>
      </c>
      <c r="EG53" s="1086"/>
      <c r="EH53" s="1085">
        <v>6745</v>
      </c>
      <c r="EI53" s="1086"/>
      <c r="EJ53" s="1085">
        <v>9109</v>
      </c>
      <c r="EK53" s="1086"/>
      <c r="EL53" s="1085">
        <v>7722</v>
      </c>
      <c r="EM53" s="1086"/>
      <c r="EN53" s="1085">
        <v>9837</v>
      </c>
      <c r="EO53" s="1086"/>
      <c r="EP53" s="1085">
        <v>10071</v>
      </c>
      <c r="EQ53" s="1086"/>
      <c r="ER53" s="1085">
        <v>9527</v>
      </c>
      <c r="ES53" s="1086"/>
      <c r="ET53" s="1085">
        <v>8266</v>
      </c>
      <c r="EU53" s="1086"/>
      <c r="EV53" s="1085">
        <v>6432</v>
      </c>
      <c r="EW53" s="1086"/>
      <c r="EX53" s="1085">
        <v>0</v>
      </c>
      <c r="EY53" s="1086"/>
      <c r="EZ53" s="1085">
        <v>0</v>
      </c>
      <c r="FA53" s="1086"/>
      <c r="FB53" s="1085">
        <v>0</v>
      </c>
      <c r="FC53" s="1086"/>
      <c r="FD53" s="1085">
        <v>0</v>
      </c>
      <c r="FE53" s="1087"/>
      <c r="FF53" s="1088">
        <v>0</v>
      </c>
      <c r="FG53" s="1089"/>
      <c r="FH53" s="1090">
        <v>0</v>
      </c>
      <c r="FI53" s="981"/>
      <c r="FJ53" s="1079" t="s">
        <v>344</v>
      </c>
      <c r="FK53" s="1080"/>
      <c r="FL53" s="1081"/>
      <c r="FM53" s="1081"/>
      <c r="FN53" s="1082"/>
      <c r="FO53" s="1083"/>
      <c r="FP53" s="1091"/>
      <c r="FQ53" s="1092"/>
      <c r="FR53" s="1085">
        <v>6225</v>
      </c>
      <c r="FS53" s="1093"/>
      <c r="FT53" s="1092"/>
      <c r="FU53" s="1094">
        <v>6322</v>
      </c>
      <c r="FV53" s="1095">
        <v>14</v>
      </c>
      <c r="FW53" s="1096">
        <v>9359</v>
      </c>
      <c r="FX53" s="1097">
        <v>15</v>
      </c>
      <c r="FY53" s="1096">
        <v>10146</v>
      </c>
      <c r="FZ53" s="1097">
        <v>15</v>
      </c>
      <c r="GA53" s="1096">
        <v>10071</v>
      </c>
      <c r="GB53" s="1098" t="s">
        <v>951</v>
      </c>
      <c r="GC53" s="1096">
        <v>10146</v>
      </c>
      <c r="GD53" s="1098" t="s">
        <v>368</v>
      </c>
      <c r="GE53" s="1099">
        <v>6225</v>
      </c>
      <c r="GF53" s="688"/>
      <c r="GG53" s="990"/>
      <c r="GH53" s="990"/>
      <c r="GI53" s="990"/>
      <c r="GJ53" s="953"/>
      <c r="GK53" s="413"/>
      <c r="GL53" s="1100">
        <v>10</v>
      </c>
      <c r="GM53" s="1101">
        <v>1</v>
      </c>
      <c r="GN53" s="1102">
        <v>0.92</v>
      </c>
      <c r="GO53" s="1103">
        <v>5.4</v>
      </c>
      <c r="GP53" s="1103">
        <v>13</v>
      </c>
      <c r="GQ53" s="1104">
        <v>18.399999999999999</v>
      </c>
      <c r="GR53" s="580"/>
      <c r="GS53" s="483"/>
      <c r="GT53" s="861"/>
      <c r="GU53" s="580" t="s">
        <v>961</v>
      </c>
      <c r="GV53" s="580"/>
      <c r="GW53" s="580"/>
      <c r="GX53" s="580"/>
      <c r="GY53" s="413"/>
      <c r="GZ53" s="409"/>
      <c r="HA53" s="615">
        <v>8.6999999999999993</v>
      </c>
      <c r="HB53" s="579" t="s">
        <v>319</v>
      </c>
      <c r="HC53" s="799"/>
      <c r="HD53" s="415"/>
    </row>
    <row r="54" spans="1:212" ht="20.100000000000001" customHeight="1">
      <c r="A54" s="1105" t="s">
        <v>345</v>
      </c>
      <c r="B54" s="1106"/>
      <c r="C54" s="1107"/>
      <c r="D54" s="1108"/>
      <c r="E54" s="1109"/>
      <c r="F54" s="1110"/>
      <c r="G54" s="1111"/>
      <c r="H54" s="1112">
        <v>0</v>
      </c>
      <c r="I54" s="1113"/>
      <c r="J54" s="1112">
        <v>0</v>
      </c>
      <c r="K54" s="1113"/>
      <c r="L54" s="1112">
        <v>0</v>
      </c>
      <c r="M54" s="1113"/>
      <c r="N54" s="1112">
        <v>0</v>
      </c>
      <c r="O54" s="1113"/>
      <c r="P54" s="1112">
        <v>0</v>
      </c>
      <c r="Q54" s="1113"/>
      <c r="R54" s="1112">
        <v>0</v>
      </c>
      <c r="S54" s="1113"/>
      <c r="T54" s="1112">
        <v>0</v>
      </c>
      <c r="U54" s="1113"/>
      <c r="V54" s="1112">
        <v>0</v>
      </c>
      <c r="W54" s="1113"/>
      <c r="X54" s="1112">
        <v>116.5</v>
      </c>
      <c r="Y54" s="1113"/>
      <c r="Z54" s="1112">
        <v>111</v>
      </c>
      <c r="AA54" s="1113"/>
      <c r="AB54" s="1112">
        <v>92.3</v>
      </c>
      <c r="AC54" s="1113"/>
      <c r="AD54" s="1112">
        <v>121.7</v>
      </c>
      <c r="AE54" s="1113"/>
      <c r="AF54" s="1112">
        <v>102.7</v>
      </c>
      <c r="AG54" s="1113"/>
      <c r="AH54" s="1112">
        <v>131.5</v>
      </c>
      <c r="AI54" s="1113"/>
      <c r="AJ54" s="1112">
        <v>131.19999999999999</v>
      </c>
      <c r="AK54" s="1113"/>
      <c r="AL54" s="1112">
        <v>125.5</v>
      </c>
      <c r="AM54" s="1113"/>
      <c r="AN54" s="1112">
        <v>115</v>
      </c>
      <c r="AO54" s="1113"/>
      <c r="AP54" s="1112">
        <v>100.1</v>
      </c>
      <c r="AQ54" s="1113"/>
      <c r="AR54" s="1112">
        <v>0</v>
      </c>
      <c r="AS54" s="1113"/>
      <c r="AT54" s="1112">
        <v>0</v>
      </c>
      <c r="AU54" s="1113"/>
      <c r="AV54" s="1112">
        <v>0</v>
      </c>
      <c r="AW54" s="1113"/>
      <c r="AX54" s="1112">
        <v>0</v>
      </c>
      <c r="AY54" s="1113"/>
      <c r="AZ54" s="1112">
        <v>0</v>
      </c>
      <c r="BA54" s="1113"/>
      <c r="BB54" s="1114">
        <v>0</v>
      </c>
      <c r="BC54" s="1017"/>
      <c r="BD54" s="1105" t="s">
        <v>682</v>
      </c>
      <c r="BE54" s="1106"/>
      <c r="BF54" s="1107"/>
      <c r="BG54" s="1108"/>
      <c r="BH54" s="1109"/>
      <c r="BI54" s="1110"/>
      <c r="BJ54" s="1111"/>
      <c r="BK54" s="1112">
        <v>0</v>
      </c>
      <c r="BL54" s="1113"/>
      <c r="BM54" s="1112">
        <v>0</v>
      </c>
      <c r="BN54" s="1113"/>
      <c r="BO54" s="1112">
        <v>0</v>
      </c>
      <c r="BP54" s="1113"/>
      <c r="BQ54" s="1112">
        <v>0</v>
      </c>
      <c r="BR54" s="1113"/>
      <c r="BS54" s="1112">
        <v>0</v>
      </c>
      <c r="BT54" s="1113"/>
      <c r="BU54" s="1112">
        <v>0</v>
      </c>
      <c r="BV54" s="1113"/>
      <c r="BW54" s="1112">
        <v>0</v>
      </c>
      <c r="BX54" s="1113"/>
      <c r="BY54" s="1112">
        <v>0</v>
      </c>
      <c r="BZ54" s="1113"/>
      <c r="CA54" s="1112">
        <v>114.1</v>
      </c>
      <c r="CB54" s="1113"/>
      <c r="CC54" s="1112">
        <v>107.5</v>
      </c>
      <c r="CD54" s="1113"/>
      <c r="CE54" s="1112">
        <v>89.7</v>
      </c>
      <c r="CF54" s="1113"/>
      <c r="CG54" s="1112">
        <v>121.1</v>
      </c>
      <c r="CH54" s="1113"/>
      <c r="CI54" s="1112">
        <v>104.5</v>
      </c>
      <c r="CJ54" s="1113"/>
      <c r="CK54" s="1112">
        <v>137.30000000000001</v>
      </c>
      <c r="CL54" s="1113"/>
      <c r="CM54" s="1112">
        <v>142.5</v>
      </c>
      <c r="CN54" s="1113"/>
      <c r="CO54" s="1112">
        <v>139.30000000000001</v>
      </c>
      <c r="CP54" s="1113"/>
      <c r="CQ54" s="1112">
        <v>131.5</v>
      </c>
      <c r="CR54" s="1113"/>
      <c r="CS54" s="1112">
        <v>111.6</v>
      </c>
      <c r="CT54" s="1113"/>
      <c r="CU54" s="1112">
        <v>0</v>
      </c>
      <c r="CV54" s="1113"/>
      <c r="CW54" s="1112">
        <v>0</v>
      </c>
      <c r="CX54" s="1113"/>
      <c r="CY54" s="1112">
        <v>0</v>
      </c>
      <c r="CZ54" s="1113"/>
      <c r="DA54" s="1112">
        <v>0</v>
      </c>
      <c r="DB54" s="1113"/>
      <c r="DC54" s="1112">
        <v>0</v>
      </c>
      <c r="DD54" s="1113"/>
      <c r="DE54" s="1114">
        <v>0</v>
      </c>
      <c r="DF54" s="1017"/>
      <c r="DG54" s="1105" t="s">
        <v>682</v>
      </c>
      <c r="DH54" s="1106"/>
      <c r="DI54" s="1107"/>
      <c r="DJ54" s="1108"/>
      <c r="DK54" s="1109"/>
      <c r="DL54" s="1110"/>
      <c r="DM54" s="1111"/>
      <c r="DN54" s="1112">
        <v>0</v>
      </c>
      <c r="DO54" s="1113"/>
      <c r="DP54" s="1112">
        <v>0</v>
      </c>
      <c r="DQ54" s="1113"/>
      <c r="DR54" s="1112">
        <v>0</v>
      </c>
      <c r="DS54" s="1113"/>
      <c r="DT54" s="1112">
        <v>0</v>
      </c>
      <c r="DU54" s="1113"/>
      <c r="DV54" s="1112">
        <v>0</v>
      </c>
      <c r="DW54" s="1113"/>
      <c r="DX54" s="1112">
        <v>0</v>
      </c>
      <c r="DY54" s="1113"/>
      <c r="DZ54" s="1112">
        <v>0</v>
      </c>
      <c r="EA54" s="1113"/>
      <c r="EB54" s="1112">
        <v>0</v>
      </c>
      <c r="EC54" s="1113"/>
      <c r="ED54" s="1112">
        <v>105.3</v>
      </c>
      <c r="EE54" s="1113"/>
      <c r="EF54" s="1112">
        <v>104.7</v>
      </c>
      <c r="EG54" s="1113"/>
      <c r="EH54" s="1112">
        <v>94.7</v>
      </c>
      <c r="EI54" s="1113"/>
      <c r="EJ54" s="1112">
        <v>128</v>
      </c>
      <c r="EK54" s="1113"/>
      <c r="EL54" s="1112">
        <v>108.5</v>
      </c>
      <c r="EM54" s="1113"/>
      <c r="EN54" s="1112">
        <v>138.19999999999999</v>
      </c>
      <c r="EO54" s="1113"/>
      <c r="EP54" s="1112">
        <v>141.5</v>
      </c>
      <c r="EQ54" s="1113"/>
      <c r="ER54" s="1112">
        <v>133.80000000000001</v>
      </c>
      <c r="ES54" s="1113"/>
      <c r="ET54" s="1112">
        <v>116.1</v>
      </c>
      <c r="EU54" s="1113"/>
      <c r="EV54" s="1112">
        <v>90.3</v>
      </c>
      <c r="EW54" s="1113"/>
      <c r="EX54" s="1112">
        <v>0</v>
      </c>
      <c r="EY54" s="1113"/>
      <c r="EZ54" s="1112">
        <v>0</v>
      </c>
      <c r="FA54" s="1113"/>
      <c r="FB54" s="1112">
        <v>0</v>
      </c>
      <c r="FC54" s="1113"/>
      <c r="FD54" s="1112">
        <v>0</v>
      </c>
      <c r="FE54" s="1113"/>
      <c r="FF54" s="1112">
        <v>0</v>
      </c>
      <c r="FG54" s="1113"/>
      <c r="FH54" s="1114">
        <v>0</v>
      </c>
      <c r="FI54" s="1017"/>
      <c r="FJ54" s="1105" t="s">
        <v>345</v>
      </c>
      <c r="FK54" s="1106"/>
      <c r="FL54" s="1107"/>
      <c r="FM54" s="1108"/>
      <c r="FN54" s="1109"/>
      <c r="FO54" s="1110"/>
      <c r="FP54" s="1115"/>
      <c r="FQ54" s="1113"/>
      <c r="FR54" s="1112">
        <v>87.4</v>
      </c>
      <c r="FS54" s="1116"/>
      <c r="FT54" s="1113"/>
      <c r="FU54" s="1117">
        <v>88.8</v>
      </c>
      <c r="FV54" s="1116"/>
      <c r="FW54" s="1112">
        <f>IF(面積=0,0,ROUND(FW53/面積,1))</f>
        <v>131.5</v>
      </c>
      <c r="FX54" s="1116"/>
      <c r="FY54" s="1112">
        <f>IF(面積=0,0,ROUND(FY53/面積,1))</f>
        <v>142.5</v>
      </c>
      <c r="FZ54" s="1116"/>
      <c r="GA54" s="1112">
        <f>IF(面積=0,0,ROUND(GA53/面積,1))</f>
        <v>141.5</v>
      </c>
      <c r="GB54" s="1116"/>
      <c r="GC54" s="1112">
        <f>IF(面積=0,0,ROUND(GC53/面積,1))</f>
        <v>142.5</v>
      </c>
      <c r="GD54" s="1116"/>
      <c r="GE54" s="1114">
        <f>IF(面積=0,0,ROUND(GE53/面積,1))</f>
        <v>87.4</v>
      </c>
      <c r="GF54" s="688"/>
      <c r="GG54" s="937"/>
      <c r="GH54" s="937"/>
      <c r="GI54" s="937"/>
      <c r="GJ54" s="580"/>
      <c r="GK54" s="579"/>
      <c r="GL54" s="1100">
        <v>11</v>
      </c>
      <c r="GM54" s="1101">
        <v>2</v>
      </c>
      <c r="GN54" s="1102">
        <v>0.85</v>
      </c>
      <c r="GO54" s="1103">
        <v>5</v>
      </c>
      <c r="GP54" s="1103">
        <v>13</v>
      </c>
      <c r="GQ54" s="1104">
        <v>18</v>
      </c>
      <c r="GR54" s="530"/>
      <c r="GS54" s="580"/>
      <c r="GT54" s="861"/>
      <c r="GU54" s="1118" t="s">
        <v>847</v>
      </c>
      <c r="GV54" s="1118"/>
      <c r="GW54" s="1118"/>
      <c r="GX54" s="1118"/>
      <c r="GY54" s="775"/>
      <c r="GZ54" s="1119"/>
      <c r="HA54" s="1120">
        <v>35.5</v>
      </c>
      <c r="HB54" s="1121" t="s">
        <v>705</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4.5999999999999996</v>
      </c>
      <c r="GP55" s="1103">
        <v>13</v>
      </c>
      <c r="GQ55" s="1104">
        <v>17.600000000000001</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934</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4.2</v>
      </c>
      <c r="GP56" s="1103">
        <v>13</v>
      </c>
      <c r="GQ56" s="1104">
        <v>17.2</v>
      </c>
      <c r="GR56" s="530"/>
      <c r="GS56" s="529"/>
      <c r="GT56" s="1303"/>
      <c r="GU56" s="578"/>
      <c r="GV56" s="579"/>
      <c r="GW56" s="578"/>
      <c r="GX56" s="579"/>
      <c r="GY56" s="579"/>
      <c r="GZ56" s="500"/>
      <c r="HA56" s="578"/>
      <c r="HB56" s="500"/>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3.9</v>
      </c>
      <c r="GP57" s="1103">
        <v>13</v>
      </c>
      <c r="GQ57" s="1104">
        <v>16.899999999999999</v>
      </c>
      <c r="GR57" s="953"/>
      <c r="GS57" s="529"/>
      <c r="GT57" s="1303"/>
      <c r="GU57" s="578"/>
      <c r="GV57" s="578"/>
      <c r="GW57" s="500"/>
      <c r="GX57" s="1306"/>
      <c r="GY57" s="579"/>
      <c r="GZ57" s="500"/>
      <c r="HA57" s="578"/>
      <c r="HB57" s="500"/>
      <c r="HC57" s="1052"/>
    </row>
    <row r="58" spans="1:212" ht="20.100000000000001" customHeight="1">
      <c r="A58" s="1163" t="s">
        <v>612</v>
      </c>
      <c r="B58" s="1164"/>
      <c r="C58" s="1164"/>
      <c r="D58" s="1164"/>
      <c r="E58" s="1165"/>
      <c r="F58" s="1166"/>
      <c r="G58" s="1167"/>
      <c r="H58" s="1168"/>
      <c r="I58" s="1169"/>
      <c r="J58" s="1168"/>
      <c r="K58" s="1169"/>
      <c r="L58" s="1168"/>
      <c r="M58" s="1169"/>
      <c r="N58" s="1168"/>
      <c r="O58" s="1169"/>
      <c r="P58" s="1168"/>
      <c r="Q58" s="1169"/>
      <c r="R58" s="1168"/>
      <c r="S58" s="1169"/>
      <c r="T58" s="1168"/>
      <c r="U58" s="1169"/>
      <c r="V58" s="1168"/>
      <c r="W58" s="1169"/>
      <c r="X58" s="1168">
        <v>540</v>
      </c>
      <c r="Y58" s="1169"/>
      <c r="Z58" s="1168">
        <v>540</v>
      </c>
      <c r="AA58" s="1169"/>
      <c r="AB58" s="1168">
        <v>540</v>
      </c>
      <c r="AC58" s="1169"/>
      <c r="AD58" s="1168">
        <v>540</v>
      </c>
      <c r="AE58" s="1169"/>
      <c r="AF58" s="1168">
        <v>540</v>
      </c>
      <c r="AG58" s="1169"/>
      <c r="AH58" s="1168">
        <v>540</v>
      </c>
      <c r="AI58" s="1169"/>
      <c r="AJ58" s="1168">
        <v>540</v>
      </c>
      <c r="AK58" s="1169"/>
      <c r="AL58" s="1168">
        <v>540</v>
      </c>
      <c r="AM58" s="1169"/>
      <c r="AN58" s="1168">
        <v>540</v>
      </c>
      <c r="AO58" s="1169"/>
      <c r="AP58" s="1168">
        <v>540</v>
      </c>
      <c r="AQ58" s="1169"/>
      <c r="AR58" s="1168"/>
      <c r="AS58" s="1169"/>
      <c r="AT58" s="1168"/>
      <c r="AU58" s="1169"/>
      <c r="AV58" s="1168"/>
      <c r="AW58" s="1169"/>
      <c r="AX58" s="1168"/>
      <c r="AY58" s="1169"/>
      <c r="AZ58" s="1168"/>
      <c r="BA58" s="1169"/>
      <c r="BB58" s="561"/>
      <c r="BC58" s="563"/>
      <c r="BD58" s="1163" t="s">
        <v>612</v>
      </c>
      <c r="BE58" s="1164"/>
      <c r="BF58" s="1164"/>
      <c r="BG58" s="1164"/>
      <c r="BH58" s="1165"/>
      <c r="BI58" s="1166"/>
      <c r="BJ58" s="1167"/>
      <c r="BK58" s="1168"/>
      <c r="BL58" s="1169"/>
      <c r="BM58" s="1168"/>
      <c r="BN58" s="1169"/>
      <c r="BO58" s="1168"/>
      <c r="BP58" s="1169"/>
      <c r="BQ58" s="1168"/>
      <c r="BR58" s="1169"/>
      <c r="BS58" s="1168"/>
      <c r="BT58" s="1169"/>
      <c r="BU58" s="1168"/>
      <c r="BV58" s="1169"/>
      <c r="BW58" s="1168"/>
      <c r="BX58" s="1169"/>
      <c r="BY58" s="1168"/>
      <c r="BZ58" s="1169"/>
      <c r="CA58" s="1168">
        <v>540</v>
      </c>
      <c r="CB58" s="1169"/>
      <c r="CC58" s="1168">
        <v>540</v>
      </c>
      <c r="CD58" s="1169"/>
      <c r="CE58" s="1168">
        <v>540</v>
      </c>
      <c r="CF58" s="1169"/>
      <c r="CG58" s="1168">
        <v>540</v>
      </c>
      <c r="CH58" s="1169"/>
      <c r="CI58" s="1168">
        <v>540</v>
      </c>
      <c r="CJ58" s="1169"/>
      <c r="CK58" s="1168">
        <v>540</v>
      </c>
      <c r="CL58" s="1169"/>
      <c r="CM58" s="1168">
        <v>540</v>
      </c>
      <c r="CN58" s="1169"/>
      <c r="CO58" s="1168">
        <v>540</v>
      </c>
      <c r="CP58" s="1169"/>
      <c r="CQ58" s="1168">
        <v>540</v>
      </c>
      <c r="CR58" s="1169"/>
      <c r="CS58" s="1168">
        <v>540</v>
      </c>
      <c r="CT58" s="1169"/>
      <c r="CU58" s="1168"/>
      <c r="CV58" s="1169"/>
      <c r="CW58" s="1168"/>
      <c r="CX58" s="1169"/>
      <c r="CY58" s="1168"/>
      <c r="CZ58" s="1169"/>
      <c r="DA58" s="1168"/>
      <c r="DB58" s="1169"/>
      <c r="DC58" s="1168"/>
      <c r="DD58" s="1169"/>
      <c r="DE58" s="561"/>
      <c r="DF58" s="562"/>
      <c r="DG58" s="1163" t="s">
        <v>737</v>
      </c>
      <c r="DH58" s="1164"/>
      <c r="DI58" s="1164"/>
      <c r="DJ58" s="1164"/>
      <c r="DK58" s="1165"/>
      <c r="DL58" s="1166"/>
      <c r="DM58" s="1167"/>
      <c r="DN58" s="1168"/>
      <c r="DO58" s="1169"/>
      <c r="DP58" s="1168"/>
      <c r="DQ58" s="1169"/>
      <c r="DR58" s="1168"/>
      <c r="DS58" s="1169"/>
      <c r="DT58" s="1168"/>
      <c r="DU58" s="1169"/>
      <c r="DV58" s="1168"/>
      <c r="DW58" s="1169"/>
      <c r="DX58" s="1168"/>
      <c r="DY58" s="1169"/>
      <c r="DZ58" s="1168"/>
      <c r="EA58" s="1169"/>
      <c r="EB58" s="1168"/>
      <c r="EC58" s="1169"/>
      <c r="ED58" s="1168">
        <v>540</v>
      </c>
      <c r="EE58" s="1169"/>
      <c r="EF58" s="1168">
        <v>540</v>
      </c>
      <c r="EG58" s="1169"/>
      <c r="EH58" s="1168">
        <v>540</v>
      </c>
      <c r="EI58" s="1169"/>
      <c r="EJ58" s="1168">
        <v>540</v>
      </c>
      <c r="EK58" s="1169"/>
      <c r="EL58" s="1168">
        <v>540</v>
      </c>
      <c r="EM58" s="1169"/>
      <c r="EN58" s="1168">
        <v>540</v>
      </c>
      <c r="EO58" s="1169"/>
      <c r="EP58" s="1168">
        <v>540</v>
      </c>
      <c r="EQ58" s="1169"/>
      <c r="ER58" s="1168">
        <v>540</v>
      </c>
      <c r="ES58" s="1169"/>
      <c r="ET58" s="1168">
        <v>540</v>
      </c>
      <c r="EU58" s="1169"/>
      <c r="EV58" s="1168">
        <v>540</v>
      </c>
      <c r="EW58" s="1169"/>
      <c r="EX58" s="1168"/>
      <c r="EY58" s="1169"/>
      <c r="EZ58" s="1168"/>
      <c r="FA58" s="1169"/>
      <c r="FB58" s="1168"/>
      <c r="FC58" s="1169"/>
      <c r="FD58" s="1168"/>
      <c r="FE58" s="1169"/>
      <c r="FF58" s="1168"/>
      <c r="FG58" s="1169"/>
      <c r="FH58" s="561"/>
      <c r="FI58" s="563"/>
      <c r="FJ58" s="1163" t="s">
        <v>737</v>
      </c>
      <c r="FK58" s="1164"/>
      <c r="FL58" s="1164"/>
      <c r="FM58" s="1164"/>
      <c r="FN58" s="1165"/>
      <c r="FO58" s="1166"/>
      <c r="FP58" s="1170"/>
      <c r="FQ58" s="1171"/>
      <c r="FR58" s="1168">
        <v>540</v>
      </c>
      <c r="FS58" s="1172"/>
      <c r="FT58" s="1171"/>
      <c r="FU58" s="1173">
        <v>540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3.6</v>
      </c>
      <c r="GP58" s="1103">
        <v>13</v>
      </c>
      <c r="GQ58" s="1104">
        <v>16.600000000000001</v>
      </c>
      <c r="GR58" s="953"/>
      <c r="GS58" s="530"/>
      <c r="GT58" s="689"/>
      <c r="GU58" s="500"/>
      <c r="GV58" s="578"/>
      <c r="GW58" s="500"/>
      <c r="GX58" s="1306"/>
      <c r="GY58" s="1304"/>
      <c r="GZ58" s="579"/>
      <c r="HA58" s="578"/>
      <c r="HB58" s="500"/>
      <c r="HC58" s="562"/>
      <c r="HD58" s="1179"/>
    </row>
    <row r="59" spans="1:212" ht="20.100000000000001" customHeight="1">
      <c r="A59" s="1180" t="s">
        <v>738</v>
      </c>
      <c r="B59" s="1181"/>
      <c r="C59" s="1181"/>
      <c r="D59" s="1182" t="s">
        <v>615</v>
      </c>
      <c r="E59" s="1183"/>
      <c r="F59" s="1021"/>
      <c r="G59" s="1184">
        <v>0</v>
      </c>
      <c r="H59" s="585">
        <v>0</v>
      </c>
      <c r="I59" s="1185">
        <v>0</v>
      </c>
      <c r="J59" s="587">
        <v>0</v>
      </c>
      <c r="K59" s="1185">
        <v>0</v>
      </c>
      <c r="L59" s="587">
        <v>0</v>
      </c>
      <c r="M59" s="1185">
        <v>0</v>
      </c>
      <c r="N59" s="587">
        <v>0</v>
      </c>
      <c r="O59" s="1185">
        <v>0</v>
      </c>
      <c r="P59" s="587">
        <v>0</v>
      </c>
      <c r="Q59" s="1185">
        <v>0</v>
      </c>
      <c r="R59" s="587">
        <v>0</v>
      </c>
      <c r="S59" s="1185">
        <v>0</v>
      </c>
      <c r="T59" s="587">
        <v>0</v>
      </c>
      <c r="U59" s="1185">
        <v>0</v>
      </c>
      <c r="V59" s="587">
        <v>0</v>
      </c>
      <c r="W59" s="1185">
        <v>10.4</v>
      </c>
      <c r="X59" s="587">
        <v>1872</v>
      </c>
      <c r="Y59" s="1185">
        <v>10.8</v>
      </c>
      <c r="Z59" s="587">
        <v>1944</v>
      </c>
      <c r="AA59" s="1185">
        <v>11</v>
      </c>
      <c r="AB59" s="587">
        <v>1980</v>
      </c>
      <c r="AC59" s="1185">
        <v>11.5</v>
      </c>
      <c r="AD59" s="587">
        <v>2070</v>
      </c>
      <c r="AE59" s="1185">
        <v>11.4</v>
      </c>
      <c r="AF59" s="587">
        <v>2052</v>
      </c>
      <c r="AG59" s="1185">
        <v>11</v>
      </c>
      <c r="AH59" s="587">
        <v>1980</v>
      </c>
      <c r="AI59" s="1185">
        <v>11</v>
      </c>
      <c r="AJ59" s="587">
        <v>1980</v>
      </c>
      <c r="AK59" s="1185">
        <v>10.9</v>
      </c>
      <c r="AL59" s="587">
        <v>1962</v>
      </c>
      <c r="AM59" s="1185">
        <v>10.6</v>
      </c>
      <c r="AN59" s="587">
        <v>1908</v>
      </c>
      <c r="AO59" s="1185">
        <v>10.3</v>
      </c>
      <c r="AP59" s="587">
        <v>1854</v>
      </c>
      <c r="AQ59" s="1185">
        <v>0</v>
      </c>
      <c r="AR59" s="587">
        <v>0</v>
      </c>
      <c r="AS59" s="1185">
        <v>0</v>
      </c>
      <c r="AT59" s="587">
        <v>0</v>
      </c>
      <c r="AU59" s="1185">
        <v>0</v>
      </c>
      <c r="AV59" s="587">
        <v>0</v>
      </c>
      <c r="AW59" s="1185">
        <v>0</v>
      </c>
      <c r="AX59" s="587">
        <v>0</v>
      </c>
      <c r="AY59" s="1185">
        <v>0</v>
      </c>
      <c r="AZ59" s="587">
        <v>0</v>
      </c>
      <c r="BA59" s="1185">
        <v>0</v>
      </c>
      <c r="BB59" s="589">
        <v>0</v>
      </c>
      <c r="BC59" s="563"/>
      <c r="BD59" s="1180" t="s">
        <v>616</v>
      </c>
      <c r="BE59" s="1181"/>
      <c r="BF59" s="1181"/>
      <c r="BG59" s="1182" t="s">
        <v>615</v>
      </c>
      <c r="BH59" s="1183"/>
      <c r="BI59" s="1021"/>
      <c r="BJ59" s="1184">
        <v>0</v>
      </c>
      <c r="BK59" s="585">
        <v>0</v>
      </c>
      <c r="BL59" s="1185">
        <v>0</v>
      </c>
      <c r="BM59" s="587">
        <v>0</v>
      </c>
      <c r="BN59" s="1185">
        <v>0</v>
      </c>
      <c r="BO59" s="587">
        <v>0</v>
      </c>
      <c r="BP59" s="1185">
        <v>0</v>
      </c>
      <c r="BQ59" s="587">
        <v>0</v>
      </c>
      <c r="BR59" s="1185">
        <v>0</v>
      </c>
      <c r="BS59" s="587">
        <v>0</v>
      </c>
      <c r="BT59" s="1185">
        <v>0</v>
      </c>
      <c r="BU59" s="587">
        <v>0</v>
      </c>
      <c r="BV59" s="1185">
        <v>0</v>
      </c>
      <c r="BW59" s="587">
        <v>0</v>
      </c>
      <c r="BX59" s="1185">
        <v>0</v>
      </c>
      <c r="BY59" s="587">
        <v>0</v>
      </c>
      <c r="BZ59" s="1185">
        <v>8.1999999999999993</v>
      </c>
      <c r="CA59" s="587">
        <v>1476</v>
      </c>
      <c r="CB59" s="1185">
        <v>8.5</v>
      </c>
      <c r="CC59" s="587">
        <v>1530</v>
      </c>
      <c r="CD59" s="1185">
        <v>8.9</v>
      </c>
      <c r="CE59" s="587">
        <v>1602</v>
      </c>
      <c r="CF59" s="1185">
        <v>9.1999999999999993</v>
      </c>
      <c r="CG59" s="587">
        <v>1656</v>
      </c>
      <c r="CH59" s="1185">
        <v>9.4</v>
      </c>
      <c r="CI59" s="587">
        <v>1692</v>
      </c>
      <c r="CJ59" s="1185">
        <v>9.1</v>
      </c>
      <c r="CK59" s="587">
        <v>1638</v>
      </c>
      <c r="CL59" s="1185">
        <v>9</v>
      </c>
      <c r="CM59" s="587">
        <v>1620</v>
      </c>
      <c r="CN59" s="1185">
        <v>8.9</v>
      </c>
      <c r="CO59" s="587">
        <v>1602</v>
      </c>
      <c r="CP59" s="1185">
        <v>8.9</v>
      </c>
      <c r="CQ59" s="587">
        <v>1602</v>
      </c>
      <c r="CR59" s="1185">
        <v>8.6</v>
      </c>
      <c r="CS59" s="587">
        <v>1548</v>
      </c>
      <c r="CT59" s="1185">
        <v>0</v>
      </c>
      <c r="CU59" s="587">
        <v>0</v>
      </c>
      <c r="CV59" s="1185">
        <v>0</v>
      </c>
      <c r="CW59" s="587">
        <v>0</v>
      </c>
      <c r="CX59" s="1185">
        <v>0</v>
      </c>
      <c r="CY59" s="587">
        <v>0</v>
      </c>
      <c r="CZ59" s="1185">
        <v>0</v>
      </c>
      <c r="DA59" s="587">
        <v>0</v>
      </c>
      <c r="DB59" s="1185">
        <v>0</v>
      </c>
      <c r="DC59" s="587">
        <v>0</v>
      </c>
      <c r="DD59" s="1185">
        <v>0</v>
      </c>
      <c r="DE59" s="589">
        <v>0</v>
      </c>
      <c r="DF59" s="562"/>
      <c r="DG59" s="1180" t="s">
        <v>738</v>
      </c>
      <c r="DH59" s="1181"/>
      <c r="DI59" s="1181"/>
      <c r="DJ59" s="1182" t="s">
        <v>615</v>
      </c>
      <c r="DK59" s="1183"/>
      <c r="DL59" s="1021"/>
      <c r="DM59" s="1184">
        <v>0</v>
      </c>
      <c r="DN59" s="585">
        <v>0</v>
      </c>
      <c r="DO59" s="1185">
        <v>0</v>
      </c>
      <c r="DP59" s="587">
        <v>0</v>
      </c>
      <c r="DQ59" s="1185">
        <v>0</v>
      </c>
      <c r="DR59" s="587">
        <v>0</v>
      </c>
      <c r="DS59" s="1185">
        <v>0</v>
      </c>
      <c r="DT59" s="587">
        <v>0</v>
      </c>
      <c r="DU59" s="1185">
        <v>0</v>
      </c>
      <c r="DV59" s="587">
        <v>0</v>
      </c>
      <c r="DW59" s="1185">
        <v>0</v>
      </c>
      <c r="DX59" s="587">
        <v>0</v>
      </c>
      <c r="DY59" s="1185">
        <v>0</v>
      </c>
      <c r="DZ59" s="587">
        <v>0</v>
      </c>
      <c r="EA59" s="1185">
        <v>0</v>
      </c>
      <c r="EB59" s="587">
        <v>0</v>
      </c>
      <c r="EC59" s="1185">
        <v>4.3</v>
      </c>
      <c r="ED59" s="587">
        <v>774</v>
      </c>
      <c r="EE59" s="1185">
        <v>4.8</v>
      </c>
      <c r="EF59" s="587">
        <v>864</v>
      </c>
      <c r="EG59" s="1185">
        <v>4.8</v>
      </c>
      <c r="EH59" s="587">
        <v>864</v>
      </c>
      <c r="EI59" s="1185">
        <v>5</v>
      </c>
      <c r="EJ59" s="587">
        <v>900</v>
      </c>
      <c r="EK59" s="1185">
        <v>4.9000000000000004</v>
      </c>
      <c r="EL59" s="587">
        <v>882</v>
      </c>
      <c r="EM59" s="1185">
        <v>4.7</v>
      </c>
      <c r="EN59" s="587">
        <v>846</v>
      </c>
      <c r="EO59" s="1185">
        <v>4.5999999999999996</v>
      </c>
      <c r="EP59" s="587">
        <v>828</v>
      </c>
      <c r="EQ59" s="1185">
        <v>4.5999999999999996</v>
      </c>
      <c r="ER59" s="587">
        <v>828</v>
      </c>
      <c r="ES59" s="1185">
        <v>4.4000000000000004</v>
      </c>
      <c r="ET59" s="587">
        <v>792</v>
      </c>
      <c r="EU59" s="1185">
        <v>4.5999999999999996</v>
      </c>
      <c r="EV59" s="587">
        <v>828</v>
      </c>
      <c r="EW59" s="1185">
        <v>0</v>
      </c>
      <c r="EX59" s="587">
        <v>0</v>
      </c>
      <c r="EY59" s="1185">
        <v>0</v>
      </c>
      <c r="EZ59" s="587">
        <v>0</v>
      </c>
      <c r="FA59" s="1185">
        <v>0</v>
      </c>
      <c r="FB59" s="587">
        <v>0</v>
      </c>
      <c r="FC59" s="1185">
        <v>0</v>
      </c>
      <c r="FD59" s="587">
        <v>0</v>
      </c>
      <c r="FE59" s="1185">
        <v>0</v>
      </c>
      <c r="FF59" s="587">
        <v>0</v>
      </c>
      <c r="FG59" s="1185">
        <v>0</v>
      </c>
      <c r="FH59" s="589">
        <v>0</v>
      </c>
      <c r="FI59" s="563"/>
      <c r="FJ59" s="1180" t="s">
        <v>616</v>
      </c>
      <c r="FK59" s="1181"/>
      <c r="FL59" s="1181"/>
      <c r="FM59" s="1182" t="s">
        <v>615</v>
      </c>
      <c r="FN59" s="1183"/>
      <c r="FO59" s="1021"/>
      <c r="FP59" s="625">
        <v>9</v>
      </c>
      <c r="FQ59" s="1186">
        <v>12</v>
      </c>
      <c r="FR59" s="1187">
        <v>2160</v>
      </c>
      <c r="FS59" s="1188">
        <v>9</v>
      </c>
      <c r="FT59" s="1186">
        <v>10.4</v>
      </c>
      <c r="FU59" s="1189">
        <v>1872</v>
      </c>
      <c r="FV59" s="1190">
        <v>14</v>
      </c>
      <c r="FW59" s="1191">
        <v>1980</v>
      </c>
      <c r="FX59" s="1192">
        <v>15</v>
      </c>
      <c r="FY59" s="1191">
        <v>1620</v>
      </c>
      <c r="FZ59" s="1192">
        <v>15</v>
      </c>
      <c r="GA59" s="1191">
        <v>828</v>
      </c>
      <c r="GB59" s="1192" t="s">
        <v>962</v>
      </c>
      <c r="GC59" s="1191">
        <v>1620</v>
      </c>
      <c r="GD59" s="1192" t="s">
        <v>739</v>
      </c>
      <c r="GE59" s="1193">
        <v>2160</v>
      </c>
      <c r="GF59" s="688"/>
      <c r="GG59" s="1194"/>
      <c r="GH59" s="1194"/>
      <c r="GI59" s="1194"/>
      <c r="GJ59" s="893"/>
      <c r="GK59" s="409"/>
      <c r="GL59" s="1124">
        <v>16</v>
      </c>
      <c r="GM59" s="1125">
        <v>7</v>
      </c>
      <c r="GN59" s="1102">
        <v>0.56000000000000005</v>
      </c>
      <c r="GO59" s="1103">
        <v>3.3</v>
      </c>
      <c r="GP59" s="1103">
        <v>13</v>
      </c>
      <c r="GQ59" s="1104">
        <v>16.3</v>
      </c>
      <c r="GR59" s="893"/>
      <c r="GS59" s="391"/>
      <c r="GT59" s="1305"/>
      <c r="GU59" s="579"/>
      <c r="GV59" s="500"/>
      <c r="GW59" s="500"/>
      <c r="GX59" s="1306"/>
      <c r="GY59" s="1304"/>
      <c r="GZ59" s="579"/>
      <c r="HA59" s="578"/>
      <c r="HB59" s="500"/>
      <c r="HC59" s="1179"/>
      <c r="HD59" s="1195"/>
    </row>
    <row r="60" spans="1:212" ht="20.100000000000001" customHeight="1">
      <c r="A60" s="1180"/>
      <c r="B60" s="1181"/>
      <c r="C60" s="1181"/>
      <c r="D60" s="1196"/>
      <c r="E60" s="1196"/>
      <c r="F60" s="1197">
        <v>0</v>
      </c>
      <c r="G60" s="584"/>
      <c r="H60" s="585"/>
      <c r="I60" s="588"/>
      <c r="J60" s="587"/>
      <c r="K60" s="588"/>
      <c r="L60" s="587"/>
      <c r="M60" s="588"/>
      <c r="N60" s="587"/>
      <c r="O60" s="588"/>
      <c r="P60" s="587"/>
      <c r="Q60" s="588"/>
      <c r="R60" s="587"/>
      <c r="S60" s="588"/>
      <c r="T60" s="587"/>
      <c r="U60" s="588"/>
      <c r="V60" s="587"/>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c r="AS60" s="588"/>
      <c r="AT60" s="587"/>
      <c r="AU60" s="588"/>
      <c r="AV60" s="587"/>
      <c r="AW60" s="588"/>
      <c r="AX60" s="587"/>
      <c r="AY60" s="588"/>
      <c r="AZ60" s="587"/>
      <c r="BA60" s="588"/>
      <c r="BB60" s="589"/>
      <c r="BC60" s="563"/>
      <c r="BD60" s="1180"/>
      <c r="BE60" s="1181"/>
      <c r="BF60" s="1181"/>
      <c r="BG60" s="1196"/>
      <c r="BH60" s="1196"/>
      <c r="BI60" s="1197"/>
      <c r="BJ60" s="584"/>
      <c r="BK60" s="585"/>
      <c r="BL60" s="588"/>
      <c r="BM60" s="587"/>
      <c r="BN60" s="588"/>
      <c r="BO60" s="587"/>
      <c r="BP60" s="588"/>
      <c r="BQ60" s="587"/>
      <c r="BR60" s="588"/>
      <c r="BS60" s="587"/>
      <c r="BT60" s="588"/>
      <c r="BU60" s="587"/>
      <c r="BV60" s="588"/>
      <c r="BW60" s="587"/>
      <c r="BX60" s="588"/>
      <c r="BY60" s="587"/>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c r="CV60" s="588"/>
      <c r="CW60" s="587"/>
      <c r="CX60" s="588"/>
      <c r="CY60" s="587"/>
      <c r="CZ60" s="588"/>
      <c r="DA60" s="587"/>
      <c r="DB60" s="588"/>
      <c r="DC60" s="587"/>
      <c r="DD60" s="588"/>
      <c r="DE60" s="589"/>
      <c r="DF60" s="562"/>
      <c r="DG60" s="1180"/>
      <c r="DH60" s="1181"/>
      <c r="DI60" s="1181"/>
      <c r="DJ60" s="1196"/>
      <c r="DK60" s="1196"/>
      <c r="DL60" s="1197"/>
      <c r="DM60" s="584"/>
      <c r="DN60" s="585"/>
      <c r="DO60" s="588"/>
      <c r="DP60" s="587"/>
      <c r="DQ60" s="588"/>
      <c r="DR60" s="587"/>
      <c r="DS60" s="588"/>
      <c r="DT60" s="587"/>
      <c r="DU60" s="588"/>
      <c r="DV60" s="587"/>
      <c r="DW60" s="588"/>
      <c r="DX60" s="587"/>
      <c r="DY60" s="588"/>
      <c r="DZ60" s="587"/>
      <c r="EA60" s="588"/>
      <c r="EB60" s="587"/>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c r="EY60" s="588"/>
      <c r="EZ60" s="587"/>
      <c r="FA60" s="588"/>
      <c r="FB60" s="587"/>
      <c r="FC60" s="588"/>
      <c r="FD60" s="587"/>
      <c r="FE60" s="588"/>
      <c r="FF60" s="587"/>
      <c r="FG60" s="588"/>
      <c r="FH60" s="589"/>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3</v>
      </c>
      <c r="GP60" s="1103">
        <v>13</v>
      </c>
      <c r="GQ60" s="1104">
        <v>16</v>
      </c>
      <c r="GR60" s="391"/>
      <c r="GS60" s="483"/>
      <c r="GT60" s="1305"/>
      <c r="GU60" s="500"/>
      <c r="GV60" s="579"/>
      <c r="GW60" s="500"/>
      <c r="GX60" s="579"/>
      <c r="GY60" s="500"/>
      <c r="GZ60" s="500"/>
      <c r="HA60" s="578"/>
      <c r="HB60" s="500"/>
      <c r="HC60" s="1201"/>
      <c r="HD60" s="1038"/>
    </row>
    <row r="61" spans="1:212" ht="20.100000000000001" customHeight="1">
      <c r="A61" s="1202" t="s">
        <v>621</v>
      </c>
      <c r="B61" s="1203"/>
      <c r="C61" s="1203"/>
      <c r="D61" s="1203"/>
      <c r="E61" s="1203"/>
      <c r="F61" s="1204"/>
      <c r="G61" s="1205"/>
      <c r="H61" s="1206">
        <v>0</v>
      </c>
      <c r="I61" s="1207"/>
      <c r="J61" s="1208">
        <v>0</v>
      </c>
      <c r="K61" s="1207"/>
      <c r="L61" s="1208">
        <v>0</v>
      </c>
      <c r="M61" s="1207"/>
      <c r="N61" s="1208">
        <v>0</v>
      </c>
      <c r="O61" s="1207"/>
      <c r="P61" s="1208">
        <v>0</v>
      </c>
      <c r="Q61" s="1207"/>
      <c r="R61" s="1208">
        <v>0</v>
      </c>
      <c r="S61" s="1207"/>
      <c r="T61" s="1208">
        <v>0</v>
      </c>
      <c r="U61" s="1207"/>
      <c r="V61" s="1208">
        <v>0</v>
      </c>
      <c r="W61" s="1207"/>
      <c r="X61" s="1208">
        <v>10166</v>
      </c>
      <c r="Y61" s="1207"/>
      <c r="Z61" s="1208">
        <v>9846</v>
      </c>
      <c r="AA61" s="1207"/>
      <c r="AB61" s="1208">
        <v>8554</v>
      </c>
      <c r="AC61" s="1207"/>
      <c r="AD61" s="1208">
        <v>10735</v>
      </c>
      <c r="AE61" s="1207"/>
      <c r="AF61" s="1208">
        <v>9363</v>
      </c>
      <c r="AG61" s="1207"/>
      <c r="AH61" s="1208">
        <v>11339</v>
      </c>
      <c r="AI61" s="1207"/>
      <c r="AJ61" s="1208">
        <v>11320</v>
      </c>
      <c r="AK61" s="1207"/>
      <c r="AL61" s="1208">
        <v>10896</v>
      </c>
      <c r="AM61" s="1207"/>
      <c r="AN61" s="1208">
        <v>10097</v>
      </c>
      <c r="AO61" s="1207"/>
      <c r="AP61" s="1208">
        <v>8982</v>
      </c>
      <c r="AQ61" s="1207"/>
      <c r="AR61" s="1208">
        <v>0</v>
      </c>
      <c r="AS61" s="1207"/>
      <c r="AT61" s="1208">
        <v>0</v>
      </c>
      <c r="AU61" s="1207"/>
      <c r="AV61" s="1208">
        <v>0</v>
      </c>
      <c r="AW61" s="1207"/>
      <c r="AX61" s="1208">
        <v>0</v>
      </c>
      <c r="AY61" s="1207"/>
      <c r="AZ61" s="1208">
        <v>0</v>
      </c>
      <c r="BA61" s="1207"/>
      <c r="BB61" s="1209">
        <v>0</v>
      </c>
      <c r="BC61" s="563"/>
      <c r="BD61" s="1202" t="s">
        <v>740</v>
      </c>
      <c r="BE61" s="1203"/>
      <c r="BF61" s="1203"/>
      <c r="BG61" s="1203"/>
      <c r="BH61" s="1203"/>
      <c r="BI61" s="1204"/>
      <c r="BJ61" s="1205"/>
      <c r="BK61" s="1206">
        <v>0</v>
      </c>
      <c r="BL61" s="1207"/>
      <c r="BM61" s="1208">
        <v>0</v>
      </c>
      <c r="BN61" s="1207"/>
      <c r="BO61" s="1208">
        <v>0</v>
      </c>
      <c r="BP61" s="1207"/>
      <c r="BQ61" s="1208">
        <v>0</v>
      </c>
      <c r="BR61" s="1207"/>
      <c r="BS61" s="1208">
        <v>0</v>
      </c>
      <c r="BT61" s="1207"/>
      <c r="BU61" s="1208">
        <v>0</v>
      </c>
      <c r="BV61" s="1207"/>
      <c r="BW61" s="1208">
        <v>0</v>
      </c>
      <c r="BX61" s="1207"/>
      <c r="BY61" s="1208">
        <v>0</v>
      </c>
      <c r="BZ61" s="1207"/>
      <c r="CA61" s="1208">
        <v>9602</v>
      </c>
      <c r="CB61" s="1207"/>
      <c r="CC61" s="1208">
        <v>9182</v>
      </c>
      <c r="CD61" s="1207"/>
      <c r="CE61" s="1208">
        <v>7985</v>
      </c>
      <c r="CF61" s="1207"/>
      <c r="CG61" s="1208">
        <v>10278</v>
      </c>
      <c r="CH61" s="1207"/>
      <c r="CI61" s="1208">
        <v>9131</v>
      </c>
      <c r="CJ61" s="1207"/>
      <c r="CK61" s="1208">
        <v>11412</v>
      </c>
      <c r="CL61" s="1207"/>
      <c r="CM61" s="1208">
        <v>11766</v>
      </c>
      <c r="CN61" s="1207"/>
      <c r="CO61" s="1208">
        <v>11521</v>
      </c>
      <c r="CP61" s="1207"/>
      <c r="CQ61" s="1208">
        <v>10962</v>
      </c>
      <c r="CR61" s="1207"/>
      <c r="CS61" s="1208">
        <v>9490</v>
      </c>
      <c r="CT61" s="1207"/>
      <c r="CU61" s="1208">
        <v>0</v>
      </c>
      <c r="CV61" s="1207"/>
      <c r="CW61" s="1208">
        <v>0</v>
      </c>
      <c r="CX61" s="1207"/>
      <c r="CY61" s="1208">
        <v>0</v>
      </c>
      <c r="CZ61" s="1207"/>
      <c r="DA61" s="1208">
        <v>0</v>
      </c>
      <c r="DB61" s="1207"/>
      <c r="DC61" s="1208">
        <v>0</v>
      </c>
      <c r="DD61" s="1207"/>
      <c r="DE61" s="1209">
        <v>0</v>
      </c>
      <c r="DF61" s="562"/>
      <c r="DG61" s="1202" t="s">
        <v>621</v>
      </c>
      <c r="DH61" s="1203"/>
      <c r="DI61" s="1203"/>
      <c r="DJ61" s="1203"/>
      <c r="DK61" s="1203"/>
      <c r="DL61" s="1204"/>
      <c r="DM61" s="1205"/>
      <c r="DN61" s="1206">
        <v>0</v>
      </c>
      <c r="DO61" s="1207"/>
      <c r="DP61" s="1208">
        <v>0</v>
      </c>
      <c r="DQ61" s="1207"/>
      <c r="DR61" s="1208">
        <v>0</v>
      </c>
      <c r="DS61" s="1207"/>
      <c r="DT61" s="1208">
        <v>0</v>
      </c>
      <c r="DU61" s="1207"/>
      <c r="DV61" s="1208">
        <v>0</v>
      </c>
      <c r="DW61" s="1207"/>
      <c r="DX61" s="1208">
        <v>0</v>
      </c>
      <c r="DY61" s="1207"/>
      <c r="DZ61" s="1208">
        <v>0</v>
      </c>
      <c r="EA61" s="1207"/>
      <c r="EB61" s="1208">
        <v>0</v>
      </c>
      <c r="EC61" s="1207"/>
      <c r="ED61" s="1208">
        <v>8273</v>
      </c>
      <c r="EE61" s="1207"/>
      <c r="EF61" s="1208">
        <v>8317</v>
      </c>
      <c r="EG61" s="1207"/>
      <c r="EH61" s="1208">
        <v>7609</v>
      </c>
      <c r="EI61" s="1207"/>
      <c r="EJ61" s="1208">
        <v>10009</v>
      </c>
      <c r="EK61" s="1207"/>
      <c r="EL61" s="1208">
        <v>8604</v>
      </c>
      <c r="EM61" s="1207"/>
      <c r="EN61" s="1208">
        <v>10683</v>
      </c>
      <c r="EO61" s="1207"/>
      <c r="EP61" s="1208">
        <v>10899</v>
      </c>
      <c r="EQ61" s="1207"/>
      <c r="ER61" s="1208">
        <v>10355</v>
      </c>
      <c r="ES61" s="1207"/>
      <c r="ET61" s="1208">
        <v>9058</v>
      </c>
      <c r="EU61" s="1207"/>
      <c r="EV61" s="1208">
        <v>7260</v>
      </c>
      <c r="EW61" s="1207"/>
      <c r="EX61" s="1208">
        <v>0</v>
      </c>
      <c r="EY61" s="1207"/>
      <c r="EZ61" s="1208">
        <v>0</v>
      </c>
      <c r="FA61" s="1207"/>
      <c r="FB61" s="1208">
        <v>0</v>
      </c>
      <c r="FC61" s="1207"/>
      <c r="FD61" s="1208">
        <v>0</v>
      </c>
      <c r="FE61" s="1207"/>
      <c r="FF61" s="1208">
        <v>0</v>
      </c>
      <c r="FG61" s="1207"/>
      <c r="FH61" s="1209">
        <v>0</v>
      </c>
      <c r="FI61" s="563"/>
      <c r="FJ61" s="1202" t="s">
        <v>740</v>
      </c>
      <c r="FK61" s="1203"/>
      <c r="FL61" s="1203"/>
      <c r="FM61" s="1203"/>
      <c r="FN61" s="1203"/>
      <c r="FO61" s="1203"/>
      <c r="FP61" s="1210"/>
      <c r="FQ61" s="1211"/>
      <c r="FR61" s="1212">
        <v>8385</v>
      </c>
      <c r="FS61" s="1213"/>
      <c r="FT61" s="1211"/>
      <c r="FU61" s="1214">
        <v>8194</v>
      </c>
      <c r="FV61" s="1215">
        <v>14</v>
      </c>
      <c r="FW61" s="1216">
        <v>11339</v>
      </c>
      <c r="FX61" s="1217">
        <v>15</v>
      </c>
      <c r="FY61" s="1216">
        <v>11766</v>
      </c>
      <c r="FZ61" s="1217">
        <v>15</v>
      </c>
      <c r="GA61" s="1216">
        <v>10899</v>
      </c>
      <c r="GB61" s="1218" t="s">
        <v>962</v>
      </c>
      <c r="GC61" s="1216">
        <v>11766</v>
      </c>
      <c r="GD61" s="1218" t="s">
        <v>619</v>
      </c>
      <c r="GE61" s="1219">
        <v>8385</v>
      </c>
      <c r="GF61" s="688"/>
      <c r="GG61" s="483"/>
      <c r="GH61" s="483"/>
      <c r="GI61" s="483"/>
      <c r="GJ61" s="483"/>
      <c r="GK61" s="486"/>
      <c r="GL61" s="1124">
        <v>18</v>
      </c>
      <c r="GM61" s="1220">
        <v>9</v>
      </c>
      <c r="GN61" s="1102">
        <v>0.47</v>
      </c>
      <c r="GO61" s="1103">
        <v>2.8</v>
      </c>
      <c r="GP61" s="1103">
        <v>13</v>
      </c>
      <c r="GQ61" s="1104">
        <v>15.8</v>
      </c>
      <c r="GR61" s="483"/>
      <c r="GS61" s="580"/>
      <c r="GT61" s="1305"/>
      <c r="GU61" s="689"/>
      <c r="GV61" s="689"/>
      <c r="GW61" s="689"/>
      <c r="GX61" s="689"/>
      <c r="GY61" s="579"/>
      <c r="GZ61" s="500"/>
      <c r="HA61" s="579"/>
      <c r="HB61" s="500"/>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579"/>
      <c r="GU62" s="689"/>
      <c r="GV62" s="689"/>
      <c r="GW62" s="689"/>
      <c r="GX62" s="689"/>
      <c r="GY62" s="579"/>
      <c r="GZ62" s="500"/>
      <c r="HA62" s="579"/>
      <c r="HB62" s="500"/>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934</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303"/>
      <c r="GK63" s="1303"/>
      <c r="GL63" s="578"/>
      <c r="GM63" s="500"/>
      <c r="GN63" s="578"/>
      <c r="GO63" s="500"/>
      <c r="GP63" s="500"/>
      <c r="GQ63" s="500"/>
      <c r="GR63" s="578"/>
      <c r="GS63" s="530"/>
      <c r="GT63" s="579"/>
      <c r="GU63" s="578"/>
      <c r="GV63" s="500"/>
      <c r="GW63" s="578"/>
      <c r="GX63" s="500"/>
      <c r="GY63" s="500"/>
      <c r="GZ63" s="500"/>
      <c r="HA63" s="579"/>
      <c r="HB63" s="500"/>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00"/>
      <c r="GK64" s="500"/>
      <c r="GL64" s="578"/>
      <c r="GM64" s="500"/>
      <c r="GN64" s="578"/>
      <c r="GO64" s="500"/>
      <c r="GP64" s="500"/>
      <c r="GQ64" s="500"/>
      <c r="GR64" s="578"/>
      <c r="GS64" s="409"/>
      <c r="GT64" s="1305"/>
      <c r="GU64" s="578"/>
      <c r="GV64" s="500"/>
      <c r="GW64" s="578"/>
      <c r="GX64" s="500"/>
      <c r="GY64" s="500"/>
      <c r="GZ64" s="579"/>
      <c r="HA64" s="579"/>
      <c r="HB64" s="579"/>
      <c r="HC64" s="562"/>
    </row>
    <row r="65" spans="1:211" ht="20.100000000000001" customHeight="1">
      <c r="A65" s="1163"/>
      <c r="B65" s="1164"/>
      <c r="C65" s="1164"/>
      <c r="D65" s="1232"/>
      <c r="E65" s="1233"/>
      <c r="F65" s="1234"/>
      <c r="G65" s="1235"/>
      <c r="H65" s="1168"/>
      <c r="I65" s="1236"/>
      <c r="J65" s="1237"/>
      <c r="K65" s="1238"/>
      <c r="L65" s="1237"/>
      <c r="M65" s="1238"/>
      <c r="N65" s="1237"/>
      <c r="O65" s="1238"/>
      <c r="P65" s="1237"/>
      <c r="Q65" s="1238"/>
      <c r="R65" s="1237"/>
      <c r="S65" s="1238"/>
      <c r="T65" s="1237"/>
      <c r="U65" s="1238"/>
      <c r="V65" s="1237"/>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c r="AS65" s="1238"/>
      <c r="AT65" s="1237"/>
      <c r="AU65" s="1238"/>
      <c r="AV65" s="1237"/>
      <c r="AW65" s="1238"/>
      <c r="AX65" s="1237"/>
      <c r="AY65" s="1238"/>
      <c r="AZ65" s="1237"/>
      <c r="BA65" s="1238"/>
      <c r="BB65" s="561"/>
      <c r="BC65" s="563"/>
      <c r="BD65" s="1163"/>
      <c r="BE65" s="1164"/>
      <c r="BF65" s="1164"/>
      <c r="BG65" s="1232"/>
      <c r="BH65" s="1233"/>
      <c r="BI65" s="1234"/>
      <c r="BJ65" s="1235"/>
      <c r="BK65" s="1168"/>
      <c r="BL65" s="1236"/>
      <c r="BM65" s="1237"/>
      <c r="BN65" s="1238"/>
      <c r="BO65" s="1237"/>
      <c r="BP65" s="1238"/>
      <c r="BQ65" s="1237"/>
      <c r="BR65" s="1238"/>
      <c r="BS65" s="1237"/>
      <c r="BT65" s="1238"/>
      <c r="BU65" s="1237"/>
      <c r="BV65" s="1238"/>
      <c r="BW65" s="1237"/>
      <c r="BX65" s="1238"/>
      <c r="BY65" s="1237"/>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c r="CV65" s="1238"/>
      <c r="CW65" s="1237"/>
      <c r="CX65" s="1238"/>
      <c r="CY65" s="1237"/>
      <c r="CZ65" s="1238"/>
      <c r="DA65" s="1237"/>
      <c r="DB65" s="1238"/>
      <c r="DC65" s="1237"/>
      <c r="DD65" s="1238"/>
      <c r="DE65" s="561"/>
      <c r="DF65" s="562"/>
      <c r="DG65" s="1163"/>
      <c r="DH65" s="1164"/>
      <c r="DI65" s="1164"/>
      <c r="DJ65" s="1232"/>
      <c r="DK65" s="1233"/>
      <c r="DL65" s="1234"/>
      <c r="DM65" s="1235"/>
      <c r="DN65" s="1168"/>
      <c r="DO65" s="1236"/>
      <c r="DP65" s="1237"/>
      <c r="DQ65" s="1238"/>
      <c r="DR65" s="1237"/>
      <c r="DS65" s="1238"/>
      <c r="DT65" s="1237"/>
      <c r="DU65" s="1238"/>
      <c r="DV65" s="1237"/>
      <c r="DW65" s="1238"/>
      <c r="DX65" s="1237"/>
      <c r="DY65" s="1238"/>
      <c r="DZ65" s="1237"/>
      <c r="EA65" s="1238"/>
      <c r="EB65" s="1237"/>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c r="EY65" s="1238"/>
      <c r="EZ65" s="1237"/>
      <c r="FA65" s="1238"/>
      <c r="FB65" s="1237"/>
      <c r="FC65" s="1238"/>
      <c r="FD65" s="1237"/>
      <c r="FE65" s="1238"/>
      <c r="FF65" s="1237"/>
      <c r="FG65" s="1238"/>
      <c r="FH65" s="561"/>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391"/>
      <c r="GK65" s="529"/>
      <c r="GL65" s="529"/>
      <c r="GM65" s="529"/>
      <c r="GN65" s="529"/>
      <c r="GO65" s="529"/>
      <c r="GP65" s="529"/>
      <c r="GQ65" s="529"/>
      <c r="GR65" s="529"/>
      <c r="GS65" s="409"/>
      <c r="GT65" s="1305"/>
      <c r="GU65" s="500"/>
      <c r="GV65" s="500"/>
      <c r="GW65" s="500"/>
      <c r="GX65" s="500"/>
      <c r="GY65" s="500"/>
      <c r="GZ65" s="579"/>
      <c r="HA65" s="579"/>
      <c r="HB65" s="579"/>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741</v>
      </c>
      <c r="FK66" s="1203"/>
      <c r="FL66" s="1249"/>
      <c r="FM66" s="1250" t="s">
        <v>624</v>
      </c>
      <c r="FN66" s="1251"/>
      <c r="FO66" s="1204"/>
      <c r="FP66" s="1210">
        <v>9</v>
      </c>
      <c r="FQ66" s="1252">
        <v>1.8</v>
      </c>
      <c r="FR66" s="1253">
        <v>1.2</v>
      </c>
      <c r="FS66" s="1213">
        <v>9</v>
      </c>
      <c r="FT66" s="1252">
        <v>1.1000000000000001</v>
      </c>
      <c r="FU66" s="1254">
        <v>0.7</v>
      </c>
      <c r="FV66" s="1255"/>
      <c r="FW66" s="1256"/>
      <c r="FX66" s="1256"/>
      <c r="FY66" s="1256"/>
      <c r="FZ66" s="1256"/>
      <c r="GA66" s="1256"/>
      <c r="GB66" s="1256"/>
      <c r="GC66" s="1257"/>
      <c r="GD66" s="1213"/>
      <c r="GE66" s="1258">
        <v>1.2</v>
      </c>
      <c r="GF66" s="688"/>
      <c r="GG66" s="391"/>
      <c r="GH66" s="391"/>
      <c r="GI66" s="391"/>
      <c r="GJ66" s="483"/>
      <c r="GK66" s="529"/>
      <c r="GL66" s="530"/>
      <c r="GM66" s="529"/>
      <c r="GN66" s="530"/>
      <c r="GO66" s="529"/>
      <c r="GP66" s="529"/>
      <c r="GQ66" s="529"/>
      <c r="GR66" s="530"/>
      <c r="GT66" s="1305"/>
      <c r="GU66" s="579"/>
      <c r="GV66" s="579"/>
      <c r="GW66" s="579"/>
      <c r="GX66" s="579"/>
      <c r="GY66" s="579"/>
      <c r="GZ66" s="500"/>
      <c r="HA66" s="500"/>
      <c r="HB66" s="500"/>
      <c r="HC66" s="406"/>
    </row>
    <row r="67" spans="1:211" ht="20.100000000000001" customHeight="1" thickBot="1">
      <c r="BC67" s="389"/>
      <c r="DF67" s="389"/>
      <c r="FI67" s="389"/>
      <c r="GD67" s="688"/>
      <c r="GE67" s="799"/>
      <c r="GF67" s="688"/>
      <c r="GG67" s="483"/>
      <c r="GH67" s="483"/>
      <c r="GI67" s="483"/>
      <c r="GJ67" s="391"/>
      <c r="GT67" s="689"/>
      <c r="GU67" s="500"/>
      <c r="GV67" s="500"/>
      <c r="GW67" s="500"/>
      <c r="GX67" s="500"/>
      <c r="GY67" s="500"/>
      <c r="GZ67" s="579"/>
      <c r="HA67" s="578"/>
      <c r="HB67" s="579"/>
      <c r="HC67" s="406"/>
    </row>
    <row r="68" spans="1:211" ht="20.100000000000001" customHeight="1">
      <c r="A68" s="1260" t="s">
        <v>360</v>
      </c>
      <c r="B68" s="1261"/>
      <c r="C68" s="1261"/>
      <c r="D68" s="1261"/>
      <c r="E68" s="825"/>
      <c r="F68" s="825"/>
      <c r="G68" s="1262"/>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f>$G68</f>
        <v>0</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f>$G68</f>
        <v>0</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579"/>
      <c r="GU68" s="1303"/>
      <c r="GV68" s="1303"/>
      <c r="GW68" s="1303"/>
      <c r="GX68" s="1303"/>
      <c r="GY68" s="1121"/>
      <c r="GZ68" s="1304"/>
      <c r="HA68" s="1304"/>
      <c r="HB68" s="1304"/>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19">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973</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9時-18時</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9時-18時</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825</v>
      </c>
      <c r="GZ1" s="376" t="s">
        <v>812</v>
      </c>
      <c r="HA1" s="376"/>
      <c r="HB1" s="379"/>
      <c r="HC1" s="1276" t="s">
        <v>514</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854</v>
      </c>
      <c r="B3" s="394">
        <v>210</v>
      </c>
      <c r="C3" s="395" t="s">
        <v>650</v>
      </c>
      <c r="D3" s="396" t="s">
        <v>976</v>
      </c>
      <c r="E3" s="396"/>
      <c r="F3" s="396"/>
      <c r="G3" s="396"/>
      <c r="H3" s="396"/>
      <c r="I3" s="396"/>
      <c r="J3" s="397"/>
      <c r="K3" s="398" t="s">
        <v>376</v>
      </c>
      <c r="L3" s="399"/>
      <c r="M3" s="398" t="s">
        <v>377</v>
      </c>
      <c r="N3" s="399"/>
      <c r="O3" s="400" t="s">
        <v>378</v>
      </c>
      <c r="P3" s="401"/>
      <c r="Q3" s="401"/>
      <c r="R3" s="401"/>
      <c r="S3" s="401"/>
      <c r="T3" s="401"/>
      <c r="U3" s="401"/>
      <c r="V3" s="402"/>
      <c r="W3" s="403" t="s">
        <v>383</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384</v>
      </c>
      <c r="BE3" s="394">
        <v>210</v>
      </c>
      <c r="BF3" s="395" t="s">
        <v>373</v>
      </c>
      <c r="BG3" s="407" t="s">
        <v>972</v>
      </c>
      <c r="BH3" s="407"/>
      <c r="BI3" s="407"/>
      <c r="BJ3" s="407"/>
      <c r="BK3" s="407"/>
      <c r="BL3" s="407"/>
      <c r="BM3" s="408"/>
      <c r="BN3" s="398" t="s">
        <v>376</v>
      </c>
      <c r="BO3" s="399"/>
      <c r="BP3" s="398" t="s">
        <v>377</v>
      </c>
      <c r="BQ3" s="399"/>
      <c r="BR3" s="400" t="s">
        <v>382</v>
      </c>
      <c r="BS3" s="401"/>
      <c r="BT3" s="401"/>
      <c r="BU3" s="401"/>
      <c r="BV3" s="401"/>
      <c r="BW3" s="401"/>
      <c r="BX3" s="401"/>
      <c r="BY3" s="402"/>
      <c r="BZ3" s="403" t="s">
        <v>379</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384</v>
      </c>
      <c r="DH3" s="394">
        <v>210</v>
      </c>
      <c r="DI3" s="395" t="s">
        <v>373</v>
      </c>
      <c r="DJ3" s="407" t="s">
        <v>972</v>
      </c>
      <c r="DK3" s="407"/>
      <c r="DL3" s="407"/>
      <c r="DM3" s="407"/>
      <c r="DN3" s="407"/>
      <c r="DO3" s="407"/>
      <c r="DP3" s="408"/>
      <c r="DQ3" s="398" t="s">
        <v>376</v>
      </c>
      <c r="DR3" s="399"/>
      <c r="DS3" s="398" t="s">
        <v>385</v>
      </c>
      <c r="DT3" s="399"/>
      <c r="DU3" s="400" t="s">
        <v>378</v>
      </c>
      <c r="DV3" s="401"/>
      <c r="DW3" s="401"/>
      <c r="DX3" s="401"/>
      <c r="DY3" s="401"/>
      <c r="DZ3" s="401"/>
      <c r="EA3" s="401"/>
      <c r="EB3" s="402"/>
      <c r="EC3" s="403" t="s">
        <v>383</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380</v>
      </c>
      <c r="FK3" s="394">
        <v>210</v>
      </c>
      <c r="FL3" s="395" t="s">
        <v>373</v>
      </c>
      <c r="FM3" s="407" t="s">
        <v>972</v>
      </c>
      <c r="FN3" s="407"/>
      <c r="FO3" s="407"/>
      <c r="FP3" s="407"/>
      <c r="FQ3" s="407"/>
      <c r="FR3" s="407"/>
      <c r="FS3" s="408"/>
      <c r="FT3" s="398" t="s">
        <v>376</v>
      </c>
      <c r="FU3" s="399"/>
      <c r="FV3" s="398" t="s">
        <v>385</v>
      </c>
      <c r="FW3" s="399"/>
      <c r="FX3" s="400" t="s">
        <v>1111</v>
      </c>
      <c r="FY3" s="401"/>
      <c r="FZ3" s="401"/>
      <c r="GA3" s="401"/>
      <c r="GB3" s="401"/>
      <c r="GC3" s="401"/>
      <c r="GD3" s="401"/>
      <c r="GE3" s="402"/>
      <c r="GF3" s="403" t="s">
        <v>383</v>
      </c>
      <c r="GG3" s="404"/>
      <c r="GH3" s="405"/>
      <c r="GI3" s="409"/>
      <c r="GJ3" s="410" t="s">
        <v>683</v>
      </c>
      <c r="GK3" s="411"/>
      <c r="GL3" s="411"/>
      <c r="GM3" s="411"/>
      <c r="GN3" s="411"/>
      <c r="GO3" s="411"/>
      <c r="GP3" s="411"/>
      <c r="GQ3" s="411"/>
      <c r="GR3" s="412"/>
      <c r="GS3" s="413"/>
      <c r="GT3" s="410" t="s">
        <v>771</v>
      </c>
      <c r="GU3" s="411"/>
      <c r="GV3" s="411"/>
      <c r="GW3" s="411"/>
      <c r="GX3" s="411"/>
      <c r="GY3" s="411"/>
      <c r="GZ3" s="411"/>
      <c r="HA3" s="411"/>
      <c r="HB3" s="412"/>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387</v>
      </c>
      <c r="P4" s="425"/>
      <c r="Q4" s="426" t="s">
        <v>391</v>
      </c>
      <c r="R4" s="425"/>
      <c r="S4" s="427" t="s">
        <v>392</v>
      </c>
      <c r="T4" s="428"/>
      <c r="U4" s="429" t="s">
        <v>393</v>
      </c>
      <c r="V4" s="430"/>
      <c r="W4" s="431" t="s">
        <v>822</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653</v>
      </c>
      <c r="BS4" s="425"/>
      <c r="BT4" s="426" t="s">
        <v>388</v>
      </c>
      <c r="BU4" s="425"/>
      <c r="BV4" s="427" t="s">
        <v>389</v>
      </c>
      <c r="BW4" s="428"/>
      <c r="BX4" s="429" t="s">
        <v>390</v>
      </c>
      <c r="BY4" s="430"/>
      <c r="BZ4" s="431" t="s">
        <v>822</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653</v>
      </c>
      <c r="DV4" s="425"/>
      <c r="DW4" s="426" t="s">
        <v>391</v>
      </c>
      <c r="DX4" s="425"/>
      <c r="DY4" s="427" t="s">
        <v>392</v>
      </c>
      <c r="DZ4" s="428"/>
      <c r="EA4" s="429" t="s">
        <v>393</v>
      </c>
      <c r="EB4" s="430"/>
      <c r="EC4" s="431" t="s">
        <v>822</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653</v>
      </c>
      <c r="FY4" s="425"/>
      <c r="FZ4" s="426" t="s">
        <v>391</v>
      </c>
      <c r="GA4" s="425"/>
      <c r="GB4" s="427" t="s">
        <v>389</v>
      </c>
      <c r="GC4" s="428"/>
      <c r="GD4" s="429" t="s">
        <v>390</v>
      </c>
      <c r="GE4" s="430"/>
      <c r="GF4" s="431" t="s">
        <v>811</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c r="MO4" s="392" t="s">
        <v>811</v>
      </c>
    </row>
    <row r="5" spans="1:353" ht="24.95" customHeight="1" thickBot="1">
      <c r="A5" s="438" t="s">
        <v>395</v>
      </c>
      <c r="B5" s="439">
        <v>2</v>
      </c>
      <c r="C5" s="440" t="s">
        <v>656</v>
      </c>
      <c r="D5" s="441">
        <v>13.23</v>
      </c>
      <c r="E5" s="442" t="s">
        <v>410</v>
      </c>
      <c r="F5" s="443">
        <v>2.8</v>
      </c>
      <c r="G5" s="444" t="s">
        <v>404</v>
      </c>
      <c r="H5" s="445"/>
      <c r="I5" s="446">
        <v>37.1</v>
      </c>
      <c r="J5" s="447"/>
      <c r="K5" s="448">
        <v>120</v>
      </c>
      <c r="L5" s="449"/>
      <c r="M5" s="448">
        <v>20</v>
      </c>
      <c r="N5" s="449"/>
      <c r="O5" s="450" t="s">
        <v>405</v>
      </c>
      <c r="P5" s="451"/>
      <c r="Q5" s="452" t="s">
        <v>409</v>
      </c>
      <c r="R5" s="453"/>
      <c r="S5" s="454" t="s">
        <v>406</v>
      </c>
      <c r="T5" s="455"/>
      <c r="U5" s="456" t="s">
        <v>407</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408</v>
      </c>
      <c r="BE5" s="439">
        <v>2</v>
      </c>
      <c r="BF5" s="440" t="s">
        <v>278</v>
      </c>
      <c r="BG5" s="441">
        <v>13.23</v>
      </c>
      <c r="BH5" s="442" t="s">
        <v>398</v>
      </c>
      <c r="BI5" s="443">
        <v>2.8</v>
      </c>
      <c r="BJ5" s="444" t="s">
        <v>404</v>
      </c>
      <c r="BK5" s="445"/>
      <c r="BL5" s="446">
        <v>37.1</v>
      </c>
      <c r="BM5" s="447"/>
      <c r="BN5" s="448">
        <v>120</v>
      </c>
      <c r="BO5" s="449"/>
      <c r="BP5" s="448">
        <v>20</v>
      </c>
      <c r="BQ5" s="449"/>
      <c r="BR5" s="450" t="s">
        <v>400</v>
      </c>
      <c r="BS5" s="451"/>
      <c r="BT5" s="452" t="s">
        <v>409</v>
      </c>
      <c r="BU5" s="453"/>
      <c r="BV5" s="454" t="s">
        <v>406</v>
      </c>
      <c r="BW5" s="455"/>
      <c r="BX5" s="456" t="s">
        <v>823</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395</v>
      </c>
      <c r="DH5" s="439">
        <v>2</v>
      </c>
      <c r="DI5" s="440" t="s">
        <v>278</v>
      </c>
      <c r="DJ5" s="441">
        <v>13.23</v>
      </c>
      <c r="DK5" s="442" t="s">
        <v>410</v>
      </c>
      <c r="DL5" s="443">
        <v>2.8</v>
      </c>
      <c r="DM5" s="444" t="s">
        <v>399</v>
      </c>
      <c r="DN5" s="445"/>
      <c r="DO5" s="446">
        <v>37.1</v>
      </c>
      <c r="DP5" s="447"/>
      <c r="DQ5" s="448">
        <v>120</v>
      </c>
      <c r="DR5" s="449"/>
      <c r="DS5" s="448">
        <v>20</v>
      </c>
      <c r="DT5" s="449"/>
      <c r="DU5" s="450" t="s">
        <v>405</v>
      </c>
      <c r="DV5" s="451"/>
      <c r="DW5" s="452" t="s">
        <v>401</v>
      </c>
      <c r="DX5" s="453"/>
      <c r="DY5" s="454" t="s">
        <v>402</v>
      </c>
      <c r="DZ5" s="455"/>
      <c r="EA5" s="456" t="s">
        <v>407</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408</v>
      </c>
      <c r="FK5" s="439">
        <v>2</v>
      </c>
      <c r="FL5" s="440" t="s">
        <v>278</v>
      </c>
      <c r="FM5" s="441">
        <v>13.23</v>
      </c>
      <c r="FN5" s="442" t="s">
        <v>398</v>
      </c>
      <c r="FO5" s="443">
        <v>2.8</v>
      </c>
      <c r="FP5" s="444" t="s">
        <v>404</v>
      </c>
      <c r="FQ5" s="445"/>
      <c r="FR5" s="446">
        <v>37.1</v>
      </c>
      <c r="FS5" s="447"/>
      <c r="FT5" s="448">
        <v>120</v>
      </c>
      <c r="FU5" s="449"/>
      <c r="FV5" s="448">
        <v>20</v>
      </c>
      <c r="FW5" s="449"/>
      <c r="FX5" s="1430" t="s">
        <v>1099</v>
      </c>
      <c r="FY5" s="451"/>
      <c r="FZ5" s="1431" t="s">
        <v>1105</v>
      </c>
      <c r="GA5" s="453"/>
      <c r="GB5" s="1432" t="s">
        <v>1090</v>
      </c>
      <c r="GC5" s="455"/>
      <c r="GD5" s="1433" t="s">
        <v>1095</v>
      </c>
      <c r="GE5" s="457"/>
      <c r="GF5" s="458"/>
      <c r="GG5" s="459"/>
      <c r="GH5" s="460"/>
      <c r="GI5" s="462"/>
      <c r="GJ5" s="409"/>
      <c r="GK5" s="463" t="s">
        <v>685</v>
      </c>
      <c r="GL5" s="463"/>
      <c r="GM5" s="463"/>
      <c r="GN5" s="409" t="s">
        <v>827</v>
      </c>
      <c r="GO5" s="464"/>
      <c r="GP5" s="464"/>
      <c r="GQ5" s="464"/>
      <c r="GR5" s="409"/>
      <c r="GS5" s="409"/>
      <c r="GT5" s="413"/>
      <c r="GU5" s="463" t="s">
        <v>687</v>
      </c>
      <c r="GV5" s="463"/>
      <c r="GW5" s="463"/>
      <c r="GX5" s="409" t="s">
        <v>826</v>
      </c>
      <c r="GY5" s="464"/>
      <c r="GZ5" s="464"/>
      <c r="HA5" s="464"/>
      <c r="HB5" s="409"/>
      <c r="HC5" s="465"/>
      <c r="HD5" s="437"/>
      <c r="HE5" s="437"/>
      <c r="HF5" s="504"/>
      <c r="HG5" s="386"/>
    </row>
    <row r="6" spans="1:353" ht="20.100000000000001" customHeight="1" thickBot="1">
      <c r="A6" s="466" t="s">
        <v>415</v>
      </c>
      <c r="B6" s="467"/>
      <c r="C6" s="468" t="s">
        <v>416</v>
      </c>
      <c r="D6" s="468"/>
      <c r="E6" s="468"/>
      <c r="F6" s="469">
        <v>0</v>
      </c>
      <c r="G6" s="469"/>
      <c r="H6" s="468" t="s">
        <v>417</v>
      </c>
      <c r="I6" s="468"/>
      <c r="J6" s="468"/>
      <c r="K6" s="468"/>
      <c r="L6" s="468"/>
      <c r="M6" s="470">
        <v>0</v>
      </c>
      <c r="N6" s="470"/>
      <c r="O6" s="471"/>
      <c r="P6" s="472"/>
      <c r="Q6" s="472" t="s">
        <v>665</v>
      </c>
      <c r="R6" s="473">
        <v>0</v>
      </c>
      <c r="S6" s="473"/>
      <c r="T6" s="474"/>
      <c r="U6" s="475" t="s">
        <v>419</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29</v>
      </c>
      <c r="BC6" s="479"/>
      <c r="BD6" s="466" t="s">
        <v>664</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875</v>
      </c>
      <c r="DF6" s="481"/>
      <c r="DG6" s="466" t="s">
        <v>415</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423</v>
      </c>
      <c r="FI6" s="481"/>
      <c r="FJ6" s="466" t="s">
        <v>903</v>
      </c>
      <c r="FK6" s="467"/>
      <c r="FL6" s="468" t="s">
        <v>416</v>
      </c>
      <c r="FM6" s="468"/>
      <c r="FN6" s="468"/>
      <c r="FO6" s="469">
        <v>0</v>
      </c>
      <c r="FP6" s="469"/>
      <c r="FQ6" s="468" t="s">
        <v>417</v>
      </c>
      <c r="FR6" s="468"/>
      <c r="FS6" s="468"/>
      <c r="FT6" s="468"/>
      <c r="FU6" s="468"/>
      <c r="FV6" s="470">
        <v>0</v>
      </c>
      <c r="FW6" s="470"/>
      <c r="FX6" s="471"/>
      <c r="FY6" s="472"/>
      <c r="FZ6" s="472" t="s">
        <v>667</v>
      </c>
      <c r="GA6" s="473">
        <v>0</v>
      </c>
      <c r="GB6" s="473"/>
      <c r="GC6" s="474"/>
      <c r="GD6" s="475" t="s">
        <v>668</v>
      </c>
      <c r="GE6" s="476">
        <v>0</v>
      </c>
      <c r="GF6" s="476"/>
      <c r="GG6" s="477"/>
      <c r="GH6" s="472"/>
      <c r="GI6" s="472"/>
      <c r="GJ6" s="483"/>
      <c r="GK6" s="484" t="s">
        <v>828</v>
      </c>
      <c r="GL6" s="484"/>
      <c r="GM6" s="484"/>
      <c r="GN6" s="485">
        <v>2</v>
      </c>
      <c r="GO6" s="486"/>
      <c r="GP6" s="486"/>
      <c r="GQ6" s="486"/>
      <c r="GR6" s="483"/>
      <c r="GS6" s="483"/>
      <c r="GT6" s="413"/>
      <c r="GU6" s="484" t="s">
        <v>773</v>
      </c>
      <c r="GV6" s="484"/>
      <c r="GW6" s="484"/>
      <c r="GX6" s="485">
        <v>2</v>
      </c>
      <c r="GY6" s="413"/>
      <c r="GZ6" s="413"/>
      <c r="HA6" s="486"/>
      <c r="HB6" s="486"/>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469</v>
      </c>
      <c r="GK8" s="528"/>
      <c r="GL8" s="529"/>
      <c r="GM8" s="530"/>
      <c r="GN8" s="529"/>
      <c r="GO8" s="530"/>
      <c r="GP8" s="529"/>
      <c r="GQ8" s="529"/>
      <c r="GR8" s="529"/>
      <c r="GS8" s="529"/>
      <c r="GT8" s="528" t="s">
        <v>470</v>
      </c>
      <c r="GU8" s="528"/>
      <c r="GV8" s="413"/>
      <c r="GW8" s="483"/>
      <c r="GX8" s="486"/>
      <c r="GY8" s="483"/>
      <c r="GZ8" s="486"/>
      <c r="HA8" s="530"/>
      <c r="HB8" s="530"/>
      <c r="HC8" s="530"/>
      <c r="HD8" s="437"/>
      <c r="HE8" s="437"/>
      <c r="HF8" s="1275"/>
      <c r="HG8" s="1275"/>
    </row>
    <row r="9" spans="1:353" ht="22.5" customHeight="1">
      <c r="A9" s="532" t="s">
        <v>289</v>
      </c>
      <c r="B9" s="533" t="s">
        <v>290</v>
      </c>
      <c r="C9" s="534" t="s">
        <v>291</v>
      </c>
      <c r="D9" s="534" t="s">
        <v>963</v>
      </c>
      <c r="E9" s="535" t="s">
        <v>964</v>
      </c>
      <c r="F9" s="536" t="s">
        <v>294</v>
      </c>
      <c r="G9" s="537" t="s">
        <v>965</v>
      </c>
      <c r="H9" s="538" t="s">
        <v>801</v>
      </c>
      <c r="I9" s="539" t="s">
        <v>297</v>
      </c>
      <c r="J9" s="538" t="s">
        <v>966</v>
      </c>
      <c r="K9" s="539" t="s">
        <v>297</v>
      </c>
      <c r="L9" s="538" t="s">
        <v>966</v>
      </c>
      <c r="M9" s="539" t="s">
        <v>297</v>
      </c>
      <c r="N9" s="538" t="s">
        <v>966</v>
      </c>
      <c r="O9" s="539" t="s">
        <v>297</v>
      </c>
      <c r="P9" s="538" t="s">
        <v>966</v>
      </c>
      <c r="Q9" s="539" t="s">
        <v>297</v>
      </c>
      <c r="R9" s="538" t="s">
        <v>801</v>
      </c>
      <c r="S9" s="539" t="s">
        <v>297</v>
      </c>
      <c r="T9" s="538" t="s">
        <v>801</v>
      </c>
      <c r="U9" s="539" t="s">
        <v>297</v>
      </c>
      <c r="V9" s="538" t="s">
        <v>966</v>
      </c>
      <c r="W9" s="539" t="s">
        <v>297</v>
      </c>
      <c r="X9" s="538" t="s">
        <v>966</v>
      </c>
      <c r="Y9" s="539" t="s">
        <v>297</v>
      </c>
      <c r="Z9" s="538" t="s">
        <v>966</v>
      </c>
      <c r="AA9" s="539" t="s">
        <v>297</v>
      </c>
      <c r="AB9" s="538" t="s">
        <v>966</v>
      </c>
      <c r="AC9" s="539" t="s">
        <v>297</v>
      </c>
      <c r="AD9" s="538" t="s">
        <v>966</v>
      </c>
      <c r="AE9" s="539" t="s">
        <v>297</v>
      </c>
      <c r="AF9" s="538" t="s">
        <v>966</v>
      </c>
      <c r="AG9" s="539" t="s">
        <v>297</v>
      </c>
      <c r="AH9" s="538" t="s">
        <v>966</v>
      </c>
      <c r="AI9" s="539" t="s">
        <v>297</v>
      </c>
      <c r="AJ9" s="538" t="s">
        <v>966</v>
      </c>
      <c r="AK9" s="539" t="s">
        <v>297</v>
      </c>
      <c r="AL9" s="538" t="s">
        <v>966</v>
      </c>
      <c r="AM9" s="539" t="s">
        <v>297</v>
      </c>
      <c r="AN9" s="538" t="s">
        <v>966</v>
      </c>
      <c r="AO9" s="539" t="s">
        <v>297</v>
      </c>
      <c r="AP9" s="538" t="s">
        <v>966</v>
      </c>
      <c r="AQ9" s="539" t="s">
        <v>297</v>
      </c>
      <c r="AR9" s="538" t="s">
        <v>966</v>
      </c>
      <c r="AS9" s="539" t="s">
        <v>297</v>
      </c>
      <c r="AT9" s="538" t="s">
        <v>966</v>
      </c>
      <c r="AU9" s="539" t="s">
        <v>297</v>
      </c>
      <c r="AV9" s="538" t="s">
        <v>966</v>
      </c>
      <c r="AW9" s="539" t="s">
        <v>297</v>
      </c>
      <c r="AX9" s="538" t="s">
        <v>966</v>
      </c>
      <c r="AY9" s="539" t="s">
        <v>297</v>
      </c>
      <c r="AZ9" s="538" t="s">
        <v>966</v>
      </c>
      <c r="BA9" s="539" t="s">
        <v>297</v>
      </c>
      <c r="BB9" s="540" t="s">
        <v>298</v>
      </c>
      <c r="BC9" s="503"/>
      <c r="BD9" s="532" t="s">
        <v>289</v>
      </c>
      <c r="BE9" s="533" t="s">
        <v>290</v>
      </c>
      <c r="BF9" s="534" t="s">
        <v>291</v>
      </c>
      <c r="BG9" s="534" t="s">
        <v>963</v>
      </c>
      <c r="BH9" s="535" t="s">
        <v>803</v>
      </c>
      <c r="BI9" s="536" t="s">
        <v>294</v>
      </c>
      <c r="BJ9" s="537" t="s">
        <v>965</v>
      </c>
      <c r="BK9" s="538" t="s">
        <v>966</v>
      </c>
      <c r="BL9" s="539" t="s">
        <v>297</v>
      </c>
      <c r="BM9" s="538" t="s">
        <v>966</v>
      </c>
      <c r="BN9" s="539" t="s">
        <v>297</v>
      </c>
      <c r="BO9" s="538" t="s">
        <v>966</v>
      </c>
      <c r="BP9" s="539" t="s">
        <v>297</v>
      </c>
      <c r="BQ9" s="538" t="s">
        <v>966</v>
      </c>
      <c r="BR9" s="539" t="s">
        <v>297</v>
      </c>
      <c r="BS9" s="538" t="s">
        <v>966</v>
      </c>
      <c r="BT9" s="539" t="s">
        <v>297</v>
      </c>
      <c r="BU9" s="538" t="s">
        <v>966</v>
      </c>
      <c r="BV9" s="539" t="s">
        <v>297</v>
      </c>
      <c r="BW9" s="538" t="s">
        <v>966</v>
      </c>
      <c r="BX9" s="539" t="s">
        <v>297</v>
      </c>
      <c r="BY9" s="538" t="s">
        <v>966</v>
      </c>
      <c r="BZ9" s="539" t="s">
        <v>297</v>
      </c>
      <c r="CA9" s="538" t="s">
        <v>966</v>
      </c>
      <c r="CB9" s="539" t="s">
        <v>297</v>
      </c>
      <c r="CC9" s="538" t="s">
        <v>966</v>
      </c>
      <c r="CD9" s="539" t="s">
        <v>297</v>
      </c>
      <c r="CE9" s="538" t="s">
        <v>966</v>
      </c>
      <c r="CF9" s="539" t="s">
        <v>297</v>
      </c>
      <c r="CG9" s="538" t="s">
        <v>966</v>
      </c>
      <c r="CH9" s="539" t="s">
        <v>297</v>
      </c>
      <c r="CI9" s="538" t="s">
        <v>966</v>
      </c>
      <c r="CJ9" s="539" t="s">
        <v>297</v>
      </c>
      <c r="CK9" s="538" t="s">
        <v>966</v>
      </c>
      <c r="CL9" s="539" t="s">
        <v>297</v>
      </c>
      <c r="CM9" s="538" t="s">
        <v>966</v>
      </c>
      <c r="CN9" s="539" t="s">
        <v>297</v>
      </c>
      <c r="CO9" s="538" t="s">
        <v>966</v>
      </c>
      <c r="CP9" s="539" t="s">
        <v>297</v>
      </c>
      <c r="CQ9" s="538" t="s">
        <v>966</v>
      </c>
      <c r="CR9" s="539" t="s">
        <v>297</v>
      </c>
      <c r="CS9" s="538" t="s">
        <v>966</v>
      </c>
      <c r="CT9" s="539" t="s">
        <v>297</v>
      </c>
      <c r="CU9" s="538" t="s">
        <v>966</v>
      </c>
      <c r="CV9" s="539" t="s">
        <v>297</v>
      </c>
      <c r="CW9" s="538" t="s">
        <v>966</v>
      </c>
      <c r="CX9" s="539" t="s">
        <v>297</v>
      </c>
      <c r="CY9" s="538" t="s">
        <v>966</v>
      </c>
      <c r="CZ9" s="539" t="s">
        <v>297</v>
      </c>
      <c r="DA9" s="538" t="s">
        <v>966</v>
      </c>
      <c r="DB9" s="539" t="s">
        <v>297</v>
      </c>
      <c r="DC9" s="538" t="s">
        <v>966</v>
      </c>
      <c r="DD9" s="539" t="s">
        <v>297</v>
      </c>
      <c r="DE9" s="540" t="s">
        <v>298</v>
      </c>
      <c r="DF9" s="503"/>
      <c r="DG9" s="532" t="s">
        <v>289</v>
      </c>
      <c r="DH9" s="533" t="s">
        <v>290</v>
      </c>
      <c r="DI9" s="534" t="s">
        <v>291</v>
      </c>
      <c r="DJ9" s="534" t="s">
        <v>963</v>
      </c>
      <c r="DK9" s="535" t="s">
        <v>964</v>
      </c>
      <c r="DL9" s="536" t="s">
        <v>294</v>
      </c>
      <c r="DM9" s="537" t="s">
        <v>965</v>
      </c>
      <c r="DN9" s="538" t="s">
        <v>966</v>
      </c>
      <c r="DO9" s="539" t="s">
        <v>297</v>
      </c>
      <c r="DP9" s="538" t="s">
        <v>966</v>
      </c>
      <c r="DQ9" s="539" t="s">
        <v>297</v>
      </c>
      <c r="DR9" s="538" t="s">
        <v>966</v>
      </c>
      <c r="DS9" s="539" t="s">
        <v>297</v>
      </c>
      <c r="DT9" s="538" t="s">
        <v>801</v>
      </c>
      <c r="DU9" s="539" t="s">
        <v>297</v>
      </c>
      <c r="DV9" s="538" t="s">
        <v>966</v>
      </c>
      <c r="DW9" s="539" t="s">
        <v>297</v>
      </c>
      <c r="DX9" s="538" t="s">
        <v>966</v>
      </c>
      <c r="DY9" s="539" t="s">
        <v>297</v>
      </c>
      <c r="DZ9" s="538" t="s">
        <v>966</v>
      </c>
      <c r="EA9" s="539" t="s">
        <v>297</v>
      </c>
      <c r="EB9" s="538" t="s">
        <v>966</v>
      </c>
      <c r="EC9" s="539" t="s">
        <v>297</v>
      </c>
      <c r="ED9" s="538" t="s">
        <v>966</v>
      </c>
      <c r="EE9" s="539" t="s">
        <v>297</v>
      </c>
      <c r="EF9" s="538" t="s">
        <v>966</v>
      </c>
      <c r="EG9" s="539" t="s">
        <v>297</v>
      </c>
      <c r="EH9" s="538" t="s">
        <v>966</v>
      </c>
      <c r="EI9" s="539" t="s">
        <v>297</v>
      </c>
      <c r="EJ9" s="538" t="s">
        <v>801</v>
      </c>
      <c r="EK9" s="539" t="s">
        <v>297</v>
      </c>
      <c r="EL9" s="538" t="s">
        <v>966</v>
      </c>
      <c r="EM9" s="539" t="s">
        <v>297</v>
      </c>
      <c r="EN9" s="538" t="s">
        <v>966</v>
      </c>
      <c r="EO9" s="539" t="s">
        <v>297</v>
      </c>
      <c r="EP9" s="538" t="s">
        <v>966</v>
      </c>
      <c r="EQ9" s="539" t="s">
        <v>297</v>
      </c>
      <c r="ER9" s="538" t="s">
        <v>966</v>
      </c>
      <c r="ES9" s="539" t="s">
        <v>297</v>
      </c>
      <c r="ET9" s="538" t="s">
        <v>966</v>
      </c>
      <c r="EU9" s="539" t="s">
        <v>297</v>
      </c>
      <c r="EV9" s="538" t="s">
        <v>966</v>
      </c>
      <c r="EW9" s="539" t="s">
        <v>297</v>
      </c>
      <c r="EX9" s="538" t="s">
        <v>966</v>
      </c>
      <c r="EY9" s="539" t="s">
        <v>297</v>
      </c>
      <c r="EZ9" s="538" t="s">
        <v>966</v>
      </c>
      <c r="FA9" s="539" t="s">
        <v>297</v>
      </c>
      <c r="FB9" s="538" t="s">
        <v>801</v>
      </c>
      <c r="FC9" s="539" t="s">
        <v>297</v>
      </c>
      <c r="FD9" s="538" t="s">
        <v>966</v>
      </c>
      <c r="FE9" s="539" t="s">
        <v>297</v>
      </c>
      <c r="FF9" s="538" t="s">
        <v>966</v>
      </c>
      <c r="FG9" s="539" t="s">
        <v>297</v>
      </c>
      <c r="FH9" s="540" t="s">
        <v>298</v>
      </c>
      <c r="FI9" s="541"/>
      <c r="FJ9" s="542" t="s">
        <v>289</v>
      </c>
      <c r="FK9" s="533" t="s">
        <v>290</v>
      </c>
      <c r="FL9" s="534" t="s">
        <v>291</v>
      </c>
      <c r="FM9" s="534" t="s">
        <v>963</v>
      </c>
      <c r="FN9" s="535" t="s">
        <v>964</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689</v>
      </c>
      <c r="GL9" s="529"/>
      <c r="GM9" s="530"/>
      <c r="GN9" s="529"/>
      <c r="GO9" s="549">
        <v>0.92</v>
      </c>
      <c r="GP9" s="529"/>
      <c r="GQ9" s="529"/>
      <c r="GR9" s="529"/>
      <c r="GS9" s="529"/>
      <c r="GT9" s="550"/>
      <c r="GU9" s="483" t="s">
        <v>524</v>
      </c>
      <c r="GV9" s="413"/>
      <c r="GW9" s="483"/>
      <c r="GX9" s="551">
        <v>1</v>
      </c>
      <c r="GY9" s="483"/>
      <c r="GZ9" s="486"/>
      <c r="HA9" s="530"/>
      <c r="HB9" s="530"/>
      <c r="HC9" s="530"/>
      <c r="HD9" s="437"/>
      <c r="HE9" s="437"/>
      <c r="HF9" s="1279"/>
      <c r="HG9" s="1279"/>
    </row>
    <row r="10" spans="1:353" ht="20.100000000000001" customHeight="1">
      <c r="A10" s="552"/>
      <c r="B10" s="553" t="s">
        <v>229</v>
      </c>
      <c r="C10" s="554" t="s">
        <v>74</v>
      </c>
      <c r="D10" s="555">
        <f>ROUND(5.4*0.85,2)</f>
        <v>4.59</v>
      </c>
      <c r="E10" s="553" t="s">
        <v>868</v>
      </c>
      <c r="F10" s="554"/>
      <c r="G10" s="556">
        <v>0</v>
      </c>
      <c r="H10" s="557">
        <f>ROUND(ROUND(5.4*0.85,2)*0.49*0,0)</f>
        <v>0</v>
      </c>
      <c r="I10" s="558">
        <v>0</v>
      </c>
      <c r="J10" s="559">
        <f>ROUND(ROUND(5.4*0.85,2)*0.49*0,0)</f>
        <v>0</v>
      </c>
      <c r="K10" s="560">
        <v>0</v>
      </c>
      <c r="L10" s="559">
        <f>ROUND(ROUND(5.4*0.85,2)*0.49*0,0)</f>
        <v>0</v>
      </c>
      <c r="M10" s="560">
        <v>0</v>
      </c>
      <c r="N10" s="559">
        <f>ROUND(ROUND(5.4*0.85,2)*0.49*0,0)</f>
        <v>0</v>
      </c>
      <c r="O10" s="560">
        <v>0</v>
      </c>
      <c r="P10" s="559">
        <f>ROUND(ROUND(5.4*0.85,2)*0.49*0,0)</f>
        <v>0</v>
      </c>
      <c r="Q10" s="560">
        <v>0</v>
      </c>
      <c r="R10" s="559">
        <f>ROUND(ROUND(5.4*0.85,2)*0.49*0,0)</f>
        <v>0</v>
      </c>
      <c r="S10" s="560">
        <v>0</v>
      </c>
      <c r="T10" s="559">
        <f>ROUND(ROUND(5.4*0.85,2)*0.49*0,0)</f>
        <v>0</v>
      </c>
      <c r="U10" s="560">
        <v>0</v>
      </c>
      <c r="V10" s="559">
        <f>ROUND(ROUND(5.4*0.85,2)*0.49*0,0)</f>
        <v>0</v>
      </c>
      <c r="W10" s="560">
        <v>116</v>
      </c>
      <c r="X10" s="559">
        <f>ROUND(ROUND(5.4*0.85,2)*0.49*116,0)</f>
        <v>261</v>
      </c>
      <c r="Y10" s="560">
        <v>130</v>
      </c>
      <c r="Z10" s="559">
        <f>ROUND(ROUND(5.4*0.85,2)*0.49*130,0)</f>
        <v>292</v>
      </c>
      <c r="AA10" s="560">
        <v>135</v>
      </c>
      <c r="AB10" s="559">
        <f>ROUND(ROUND(5.4*0.85,2)*0.49*135,0)</f>
        <v>304</v>
      </c>
      <c r="AC10" s="560">
        <v>136</v>
      </c>
      <c r="AD10" s="559">
        <f>ROUND(ROUND(5.4*0.85,2)*0.49*136,0)</f>
        <v>306</v>
      </c>
      <c r="AE10" s="560">
        <v>148</v>
      </c>
      <c r="AF10" s="559">
        <f>ROUND(ROUND(5.4*0.85,2)*0.49*148,0)</f>
        <v>333</v>
      </c>
      <c r="AG10" s="560">
        <v>242</v>
      </c>
      <c r="AH10" s="559">
        <f>ROUND(ROUND(5.4*0.85,2)*0.49*242,0)</f>
        <v>544</v>
      </c>
      <c r="AI10" s="560">
        <v>308</v>
      </c>
      <c r="AJ10" s="559">
        <f>ROUND(ROUND(5.4*0.85,2)*0.49*308,0)</f>
        <v>693</v>
      </c>
      <c r="AK10" s="560">
        <v>299</v>
      </c>
      <c r="AL10" s="559">
        <f>ROUND(ROUND(5.4*0.85,2)*0.49*299,0)</f>
        <v>672</v>
      </c>
      <c r="AM10" s="560">
        <v>232</v>
      </c>
      <c r="AN10" s="559">
        <f>ROUND(ROUND(5.4*0.85,2)*0.49*232,0)</f>
        <v>522</v>
      </c>
      <c r="AO10" s="560">
        <v>66</v>
      </c>
      <c r="AP10" s="559">
        <f>ROUND(ROUND(5.4*0.85,2)*0.49*66,0)</f>
        <v>148</v>
      </c>
      <c r="AQ10" s="560">
        <v>0</v>
      </c>
      <c r="AR10" s="559">
        <f>ROUND(ROUND(5.4*0.85,2)*0.49*0,0)</f>
        <v>0</v>
      </c>
      <c r="AS10" s="560">
        <v>0</v>
      </c>
      <c r="AT10" s="559">
        <f>ROUND(ROUND(5.4*0.85,2)*0.49*0,0)</f>
        <v>0</v>
      </c>
      <c r="AU10" s="560">
        <v>0</v>
      </c>
      <c r="AV10" s="559">
        <f>ROUND(ROUND(5.4*0.85,2)*0.49*0,0)</f>
        <v>0</v>
      </c>
      <c r="AW10" s="560">
        <v>0</v>
      </c>
      <c r="AX10" s="559">
        <f>ROUND(ROUND(5.4*0.85,2)*0.49*0,0)</f>
        <v>0</v>
      </c>
      <c r="AY10" s="560">
        <v>0</v>
      </c>
      <c r="AZ10" s="559">
        <f>ROUND(ROUND(5.4*0.85,2)*0.49*0,0)</f>
        <v>0</v>
      </c>
      <c r="BA10" s="560">
        <v>0</v>
      </c>
      <c r="BB10" s="561">
        <f>ROUND(ROUND(5.4*0.85,2)*0.49*0,0)</f>
        <v>0</v>
      </c>
      <c r="BC10" s="562"/>
      <c r="BD10" s="552"/>
      <c r="BE10" s="553"/>
      <c r="BF10" s="554"/>
      <c r="BG10" s="555"/>
      <c r="BH10" s="553"/>
      <c r="BI10" s="554"/>
      <c r="BJ10" s="556">
        <v>0</v>
      </c>
      <c r="BK10" s="557">
        <f>ROUND(ROUND(5.4*0.85,2)*0.49*0,0)</f>
        <v>0</v>
      </c>
      <c r="BL10" s="558">
        <v>0</v>
      </c>
      <c r="BM10" s="559">
        <f>ROUND(ROUND(5.4*0.85,2)*0.49*0,0)</f>
        <v>0</v>
      </c>
      <c r="BN10" s="560">
        <v>0</v>
      </c>
      <c r="BO10" s="559">
        <f>ROUND(ROUND(5.4*0.85,2)*0.49*0,0)</f>
        <v>0</v>
      </c>
      <c r="BP10" s="560">
        <v>0</v>
      </c>
      <c r="BQ10" s="559">
        <f>ROUND(ROUND(5.4*0.85,2)*0.49*0,0)</f>
        <v>0</v>
      </c>
      <c r="BR10" s="560">
        <v>0</v>
      </c>
      <c r="BS10" s="559">
        <f>ROUND(ROUND(5.4*0.85,2)*0.49*0,0)</f>
        <v>0</v>
      </c>
      <c r="BT10" s="560">
        <v>0</v>
      </c>
      <c r="BU10" s="559">
        <f>ROUND(ROUND(5.4*0.85,2)*0.49*0,0)</f>
        <v>0</v>
      </c>
      <c r="BV10" s="560">
        <v>0</v>
      </c>
      <c r="BW10" s="559">
        <f>ROUND(ROUND(5.4*0.85,2)*0.49*0,0)</f>
        <v>0</v>
      </c>
      <c r="BX10" s="560">
        <v>0</v>
      </c>
      <c r="BY10" s="559">
        <f>ROUND(ROUND(5.4*0.85,2)*0.49*0,0)</f>
        <v>0</v>
      </c>
      <c r="BZ10" s="560">
        <v>103</v>
      </c>
      <c r="CA10" s="559">
        <f>ROUND(ROUND(5.4*0.85,2)*0.49*103,0)</f>
        <v>232</v>
      </c>
      <c r="CB10" s="560">
        <v>110</v>
      </c>
      <c r="CC10" s="559">
        <f>ROUND(ROUND(5.4*0.85,2)*0.49*110,0)</f>
        <v>247</v>
      </c>
      <c r="CD10" s="560">
        <v>111</v>
      </c>
      <c r="CE10" s="559">
        <f>ROUND(ROUND(5.4*0.85,2)*0.49*111,0)</f>
        <v>250</v>
      </c>
      <c r="CF10" s="560">
        <v>110</v>
      </c>
      <c r="CG10" s="559">
        <f>ROUND(ROUND(5.4*0.85,2)*0.49*110,0)</f>
        <v>247</v>
      </c>
      <c r="CH10" s="560">
        <v>134</v>
      </c>
      <c r="CI10" s="559">
        <f>ROUND(ROUND(5.4*0.85,2)*0.49*134,0)</f>
        <v>301</v>
      </c>
      <c r="CJ10" s="560">
        <v>295</v>
      </c>
      <c r="CK10" s="559">
        <f>ROUND(ROUND(5.4*0.85,2)*0.49*295,0)</f>
        <v>663</v>
      </c>
      <c r="CL10" s="560">
        <v>444</v>
      </c>
      <c r="CM10" s="559">
        <f>ROUND(ROUND(5.4*0.85,2)*0.49*444,0)</f>
        <v>999</v>
      </c>
      <c r="CN10" s="560">
        <v>495</v>
      </c>
      <c r="CO10" s="559">
        <f>ROUND(ROUND(5.4*0.85,2)*0.49*495,0)</f>
        <v>1113</v>
      </c>
      <c r="CP10" s="560">
        <v>476</v>
      </c>
      <c r="CQ10" s="559">
        <f>ROUND(ROUND(5.4*0.85,2)*0.49*476,0)</f>
        <v>1071</v>
      </c>
      <c r="CR10" s="560">
        <v>256</v>
      </c>
      <c r="CS10" s="559">
        <f>ROUND(ROUND(5.4*0.85,2)*0.49*256,0)</f>
        <v>576</v>
      </c>
      <c r="CT10" s="560">
        <v>0</v>
      </c>
      <c r="CU10" s="559">
        <f>ROUND(ROUND(5.4*0.85,2)*0.49*0,0)</f>
        <v>0</v>
      </c>
      <c r="CV10" s="560">
        <v>0</v>
      </c>
      <c r="CW10" s="559">
        <f>ROUND(ROUND(5.4*0.85,2)*0.49*0,0)</f>
        <v>0</v>
      </c>
      <c r="CX10" s="560">
        <v>0</v>
      </c>
      <c r="CY10" s="559">
        <f>ROUND(ROUND(5.4*0.85,2)*0.49*0,0)</f>
        <v>0</v>
      </c>
      <c r="CZ10" s="560">
        <v>0</v>
      </c>
      <c r="DA10" s="559">
        <f>ROUND(ROUND(5.4*0.85,2)*0.49*0,0)</f>
        <v>0</v>
      </c>
      <c r="DB10" s="560">
        <v>0</v>
      </c>
      <c r="DC10" s="559">
        <f>ROUND(ROUND(5.4*0.85,2)*0.49*0,0)</f>
        <v>0</v>
      </c>
      <c r="DD10" s="560">
        <v>0</v>
      </c>
      <c r="DE10" s="561">
        <f>ROUND(ROUND(5.4*0.85,2)*0.49*0,0)</f>
        <v>0</v>
      </c>
      <c r="DF10" s="562"/>
      <c r="DG10" s="552"/>
      <c r="DH10" s="553"/>
      <c r="DI10" s="554"/>
      <c r="DJ10" s="555"/>
      <c r="DK10" s="553"/>
      <c r="DL10" s="554"/>
      <c r="DM10" s="556">
        <v>0</v>
      </c>
      <c r="DN10" s="557">
        <f>ROUND(ROUND(5.4*0.85,2)*0.49*0,0)</f>
        <v>0</v>
      </c>
      <c r="DO10" s="558">
        <v>0</v>
      </c>
      <c r="DP10" s="559">
        <f>ROUND(ROUND(5.4*0.85,2)*0.49*0,0)</f>
        <v>0</v>
      </c>
      <c r="DQ10" s="560">
        <v>0</v>
      </c>
      <c r="DR10" s="559">
        <f>ROUND(ROUND(5.4*0.85,2)*0.49*0,0)</f>
        <v>0</v>
      </c>
      <c r="DS10" s="560">
        <v>0</v>
      </c>
      <c r="DT10" s="559">
        <f>ROUND(ROUND(5.4*0.85,2)*0.49*0,0)</f>
        <v>0</v>
      </c>
      <c r="DU10" s="560">
        <v>0</v>
      </c>
      <c r="DV10" s="559">
        <f>ROUND(ROUND(5.4*0.85,2)*0.49*0,0)</f>
        <v>0</v>
      </c>
      <c r="DW10" s="560">
        <v>0</v>
      </c>
      <c r="DX10" s="559">
        <f>ROUND(ROUND(5.4*0.85,2)*0.49*0,0)</f>
        <v>0</v>
      </c>
      <c r="DY10" s="560">
        <v>0</v>
      </c>
      <c r="DZ10" s="559">
        <f>ROUND(ROUND(5.4*0.85,2)*0.49*0,0)</f>
        <v>0</v>
      </c>
      <c r="EA10" s="560">
        <v>0</v>
      </c>
      <c r="EB10" s="559">
        <f>ROUND(ROUND(5.4*0.85,2)*0.49*0,0)</f>
        <v>0</v>
      </c>
      <c r="EC10" s="560">
        <v>88</v>
      </c>
      <c r="ED10" s="559">
        <f>ROUND(ROUND(5.4*0.85,2)*0.49*88,0)</f>
        <v>198</v>
      </c>
      <c r="EE10" s="560">
        <v>97</v>
      </c>
      <c r="EF10" s="559">
        <f>ROUND(ROUND(5.4*0.85,2)*0.49*97,0)</f>
        <v>218</v>
      </c>
      <c r="EG10" s="560">
        <v>101</v>
      </c>
      <c r="EH10" s="559">
        <f>ROUND(ROUND(5.4*0.85,2)*0.49*101,0)</f>
        <v>227</v>
      </c>
      <c r="EI10" s="560">
        <v>101</v>
      </c>
      <c r="EJ10" s="559">
        <f>ROUND(ROUND(5.4*0.85,2)*0.49*101,0)</f>
        <v>227</v>
      </c>
      <c r="EK10" s="560">
        <v>98</v>
      </c>
      <c r="EL10" s="559">
        <f>ROUND(ROUND(5.4*0.85,2)*0.49*98,0)</f>
        <v>220</v>
      </c>
      <c r="EM10" s="560">
        <v>224</v>
      </c>
      <c r="EN10" s="559">
        <f>ROUND(ROUND(5.4*0.85,2)*0.49*224,0)</f>
        <v>504</v>
      </c>
      <c r="EO10" s="560">
        <v>378</v>
      </c>
      <c r="EP10" s="559">
        <f>ROUND(ROUND(5.4*0.85,2)*0.49*378,0)</f>
        <v>850</v>
      </c>
      <c r="EQ10" s="560">
        <v>397</v>
      </c>
      <c r="ER10" s="559">
        <f>ROUND(ROUND(5.4*0.85,2)*0.49*397,0)</f>
        <v>893</v>
      </c>
      <c r="ES10" s="560">
        <v>282</v>
      </c>
      <c r="ET10" s="559">
        <f>ROUND(ROUND(5.4*0.85,2)*0.49*282,0)</f>
        <v>634</v>
      </c>
      <c r="EU10" s="560">
        <v>3</v>
      </c>
      <c r="EV10" s="559">
        <f>ROUND(ROUND(5.4*0.85,2)*0.49*3,0)</f>
        <v>7</v>
      </c>
      <c r="EW10" s="560">
        <v>0</v>
      </c>
      <c r="EX10" s="559">
        <f>ROUND(ROUND(5.4*0.85,2)*0.49*0,0)</f>
        <v>0</v>
      </c>
      <c r="EY10" s="560">
        <v>0</v>
      </c>
      <c r="EZ10" s="559">
        <f>ROUND(ROUND(5.4*0.85,2)*0.49*0,0)</f>
        <v>0</v>
      </c>
      <c r="FA10" s="560">
        <v>0</v>
      </c>
      <c r="FB10" s="559">
        <f>ROUND(ROUND(5.4*0.85,2)*0.49*0,0)</f>
        <v>0</v>
      </c>
      <c r="FC10" s="560">
        <v>0</v>
      </c>
      <c r="FD10" s="559">
        <f>ROUND(ROUND(5.4*0.85,2)*0.49*0,0)</f>
        <v>0</v>
      </c>
      <c r="FE10" s="560">
        <v>0</v>
      </c>
      <c r="FF10" s="559">
        <f>ROUND(ROUND(5.4*0.85,2)*0.49*0,0)</f>
        <v>0</v>
      </c>
      <c r="FG10" s="560">
        <v>0</v>
      </c>
      <c r="FH10" s="561">
        <f>ROUND(ROUND(5.4*0.85,2)*0.49*0,0)</f>
        <v>0</v>
      </c>
      <c r="FI10" s="563"/>
      <c r="FJ10" s="564"/>
      <c r="FK10" s="553"/>
      <c r="FL10" s="554"/>
      <c r="FM10" s="555"/>
      <c r="FN10" s="553"/>
      <c r="FO10" s="554"/>
      <c r="FP10" s="565"/>
      <c r="FQ10" s="558"/>
      <c r="FR10" s="557" t="s">
        <v>629</v>
      </c>
      <c r="FS10" s="566"/>
      <c r="FT10" s="558"/>
      <c r="FU10" s="567" t="s">
        <v>629</v>
      </c>
      <c r="FV10" s="568" t="s">
        <v>301</v>
      </c>
      <c r="FW10" s="1299"/>
      <c r="FX10" s="1281" t="s">
        <v>302</v>
      </c>
      <c r="FY10" s="1300"/>
      <c r="FZ10" s="1283" t="s">
        <v>303</v>
      </c>
      <c r="GA10" s="1301"/>
      <c r="GB10" s="1285" t="s">
        <v>974</v>
      </c>
      <c r="GC10" s="1302"/>
      <c r="GD10" s="576" t="s">
        <v>975</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629</v>
      </c>
      <c r="FS11" s="591"/>
      <c r="FT11" s="586"/>
      <c r="FU11" s="592" t="s">
        <v>629</v>
      </c>
      <c r="FV11" s="593"/>
      <c r="FW11" s="594"/>
      <c r="FX11" s="595"/>
      <c r="FY11" s="596"/>
      <c r="FZ11" s="597"/>
      <c r="GA11" s="598"/>
      <c r="GB11" s="599"/>
      <c r="GC11" s="600"/>
      <c r="GD11" s="599"/>
      <c r="GE11" s="601"/>
      <c r="GF11" s="499"/>
      <c r="GG11" s="602"/>
      <c r="GH11" s="602"/>
      <c r="GI11" s="602"/>
      <c r="GJ11" s="529"/>
      <c r="GK11" s="580" t="s">
        <v>525</v>
      </c>
      <c r="GL11" s="413"/>
      <c r="GM11" s="483"/>
      <c r="GN11" s="486"/>
      <c r="GO11" s="483"/>
      <c r="GP11" s="413"/>
      <c r="GQ11" s="529"/>
      <c r="GR11" s="529"/>
      <c r="GS11" s="529"/>
      <c r="GT11" s="548"/>
      <c r="GU11" s="580" t="s">
        <v>691</v>
      </c>
      <c r="GV11" s="413"/>
      <c r="GW11" s="483"/>
      <c r="GX11" s="486"/>
      <c r="GY11" s="483"/>
      <c r="GZ11" s="413"/>
      <c r="HA11" s="530"/>
      <c r="HB11" s="530"/>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629</v>
      </c>
      <c r="FS12" s="591"/>
      <c r="FT12" s="586"/>
      <c r="FU12" s="592" t="s">
        <v>629</v>
      </c>
      <c r="FV12" s="593"/>
      <c r="FW12" s="594"/>
      <c r="FX12" s="595"/>
      <c r="FY12" s="596"/>
      <c r="FZ12" s="597"/>
      <c r="GA12" s="598"/>
      <c r="GB12" s="599"/>
      <c r="GC12" s="600"/>
      <c r="GD12" s="599"/>
      <c r="GE12" s="601"/>
      <c r="GF12" s="499"/>
      <c r="GG12" s="602"/>
      <c r="GH12" s="602"/>
      <c r="GI12" s="602"/>
      <c r="GJ12" s="413"/>
      <c r="GK12" s="603" t="s">
        <v>380</v>
      </c>
      <c r="GL12" s="604"/>
      <c r="GM12" s="605" t="s">
        <v>774</v>
      </c>
      <c r="GN12" s="606" t="s">
        <v>528</v>
      </c>
      <c r="GO12" s="607" t="s">
        <v>529</v>
      </c>
      <c r="GP12" s="608" t="s">
        <v>692</v>
      </c>
      <c r="GQ12" s="607" t="s">
        <v>693</v>
      </c>
      <c r="GR12" s="607" t="s">
        <v>694</v>
      </c>
      <c r="GS12" s="609"/>
      <c r="GT12" s="548"/>
      <c r="GU12" s="603" t="s">
        <v>384</v>
      </c>
      <c r="GV12" s="604"/>
      <c r="GW12" s="605" t="s">
        <v>774</v>
      </c>
      <c r="GX12" s="610" t="s">
        <v>534</v>
      </c>
      <c r="GY12" s="611"/>
      <c r="GZ12" s="612" t="s">
        <v>529</v>
      </c>
      <c r="HA12" s="613" t="s">
        <v>696</v>
      </c>
      <c r="HB12" s="614"/>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630</v>
      </c>
      <c r="FS13" s="626"/>
      <c r="FT13" s="621"/>
      <c r="FU13" s="627" t="s">
        <v>630</v>
      </c>
      <c r="FV13" s="593"/>
      <c r="FW13" s="594"/>
      <c r="FX13" s="595"/>
      <c r="FY13" s="596"/>
      <c r="FZ13" s="597"/>
      <c r="GA13" s="598"/>
      <c r="GB13" s="599"/>
      <c r="GC13" s="600"/>
      <c r="GD13" s="599"/>
      <c r="GE13" s="601"/>
      <c r="GF13" s="499"/>
      <c r="GG13" s="602"/>
      <c r="GH13" s="602"/>
      <c r="GI13" s="602"/>
      <c r="GJ13" s="413"/>
      <c r="GK13" s="628">
        <v>210</v>
      </c>
      <c r="GL13" s="629"/>
      <c r="GM13" s="630" t="s">
        <v>697</v>
      </c>
      <c r="GN13" s="631">
        <v>5.4</v>
      </c>
      <c r="GO13" s="632">
        <v>0</v>
      </c>
      <c r="GP13" s="632">
        <v>1</v>
      </c>
      <c r="GQ13" s="633">
        <v>0</v>
      </c>
      <c r="GR13" s="634">
        <v>5.4</v>
      </c>
      <c r="GS13" s="578"/>
      <c r="GT13" s="413"/>
      <c r="GU13" s="628">
        <v>210</v>
      </c>
      <c r="GV13" s="629"/>
      <c r="GW13" s="635" t="s">
        <v>942</v>
      </c>
      <c r="GX13" s="636">
        <v>5.4</v>
      </c>
      <c r="GY13" s="637"/>
      <c r="GZ13" s="638">
        <v>0.3</v>
      </c>
      <c r="HA13" s="639">
        <v>1.62</v>
      </c>
      <c r="HB13" s="640"/>
      <c r="HC13" s="530"/>
      <c r="HD13" s="799"/>
      <c r="HE13" s="437"/>
      <c r="HF13" s="386"/>
      <c r="HG13" s="386"/>
    </row>
    <row r="14" spans="1:353" ht="20.100000000000001" customHeight="1">
      <c r="A14" s="641"/>
      <c r="B14" s="642"/>
      <c r="C14" s="642"/>
      <c r="D14" s="643" t="s">
        <v>306</v>
      </c>
      <c r="E14" s="642"/>
      <c r="F14" s="642"/>
      <c r="G14" s="644"/>
      <c r="H14" s="645">
        <f>SUM(H10:H13)</f>
        <v>0</v>
      </c>
      <c r="I14" s="735"/>
      <c r="J14" s="645">
        <f>SUM(J10:J13)</f>
        <v>0</v>
      </c>
      <c r="K14" s="735"/>
      <c r="L14" s="645">
        <f>SUM(L10:L13)</f>
        <v>0</v>
      </c>
      <c r="M14" s="735"/>
      <c r="N14" s="645">
        <f>SUM(N10:N13)</f>
        <v>0</v>
      </c>
      <c r="O14" s="735"/>
      <c r="P14" s="645">
        <f>SUM(P10:P13)</f>
        <v>0</v>
      </c>
      <c r="Q14" s="735"/>
      <c r="R14" s="645">
        <f>SUM(R10:R13)</f>
        <v>0</v>
      </c>
      <c r="S14" s="735"/>
      <c r="T14" s="645">
        <f>SUM(T10:T13)</f>
        <v>0</v>
      </c>
      <c r="U14" s="735"/>
      <c r="V14" s="645">
        <f>SUM(V10:V13)</f>
        <v>0</v>
      </c>
      <c r="W14" s="735"/>
      <c r="X14" s="645">
        <f>SUM(X10:X13)</f>
        <v>261</v>
      </c>
      <c r="Y14" s="735"/>
      <c r="Z14" s="645">
        <f>SUM(Z10:Z13)</f>
        <v>292</v>
      </c>
      <c r="AA14" s="735"/>
      <c r="AB14" s="645">
        <f>SUM(AB10:AB13)</f>
        <v>304</v>
      </c>
      <c r="AC14" s="735"/>
      <c r="AD14" s="645">
        <f>SUM(AD10:AD13)</f>
        <v>306</v>
      </c>
      <c r="AE14" s="735"/>
      <c r="AF14" s="645">
        <f>SUM(AF10:AF13)</f>
        <v>333</v>
      </c>
      <c r="AG14" s="735"/>
      <c r="AH14" s="645">
        <f>SUM(AH10:AH13)</f>
        <v>544</v>
      </c>
      <c r="AI14" s="735"/>
      <c r="AJ14" s="645">
        <f>SUM(AJ10:AJ13)</f>
        <v>693</v>
      </c>
      <c r="AK14" s="735"/>
      <c r="AL14" s="645">
        <f>SUM(AL10:AL13)</f>
        <v>672</v>
      </c>
      <c r="AM14" s="735"/>
      <c r="AN14" s="645">
        <f>SUM(AN10:AN13)</f>
        <v>522</v>
      </c>
      <c r="AO14" s="735"/>
      <c r="AP14" s="645">
        <f>SUM(AP10:AP13)</f>
        <v>148</v>
      </c>
      <c r="AQ14" s="735"/>
      <c r="AR14" s="645">
        <f>SUM(AR10:AR13)</f>
        <v>0</v>
      </c>
      <c r="AS14" s="735"/>
      <c r="AT14" s="645">
        <f>SUM(AT10:AT13)</f>
        <v>0</v>
      </c>
      <c r="AU14" s="735"/>
      <c r="AV14" s="645">
        <f>SUM(AV10:AV13)</f>
        <v>0</v>
      </c>
      <c r="AW14" s="735"/>
      <c r="AX14" s="645">
        <f>SUM(AX10:AX13)</f>
        <v>0</v>
      </c>
      <c r="AY14" s="735"/>
      <c r="AZ14" s="645">
        <f>SUM(AZ10:AZ13)</f>
        <v>0</v>
      </c>
      <c r="BA14" s="735"/>
      <c r="BB14" s="647">
        <f>SUM(BB10:BB13)</f>
        <v>0</v>
      </c>
      <c r="BC14" s="648"/>
      <c r="BD14" s="641"/>
      <c r="BE14" s="642"/>
      <c r="BF14" s="642"/>
      <c r="BG14" s="643" t="s">
        <v>967</v>
      </c>
      <c r="BH14" s="642"/>
      <c r="BI14" s="642"/>
      <c r="BJ14" s="644"/>
      <c r="BK14" s="645">
        <f>SUM(BK10:BK13)</f>
        <v>0</v>
      </c>
      <c r="BL14" s="735"/>
      <c r="BM14" s="645">
        <f>SUM(BM10:BM13)</f>
        <v>0</v>
      </c>
      <c r="BN14" s="735"/>
      <c r="BO14" s="645">
        <f>SUM(BO10:BO13)</f>
        <v>0</v>
      </c>
      <c r="BP14" s="735"/>
      <c r="BQ14" s="645">
        <f>SUM(BQ10:BQ13)</f>
        <v>0</v>
      </c>
      <c r="BR14" s="735"/>
      <c r="BS14" s="645">
        <f>SUM(BS10:BS13)</f>
        <v>0</v>
      </c>
      <c r="BT14" s="735"/>
      <c r="BU14" s="645">
        <f>SUM(BU10:BU13)</f>
        <v>0</v>
      </c>
      <c r="BV14" s="735"/>
      <c r="BW14" s="645">
        <f>SUM(BW10:BW13)</f>
        <v>0</v>
      </c>
      <c r="BX14" s="735"/>
      <c r="BY14" s="645">
        <f>SUM(BY10:BY13)</f>
        <v>0</v>
      </c>
      <c r="BZ14" s="735"/>
      <c r="CA14" s="645">
        <f>SUM(CA10:CA13)</f>
        <v>232</v>
      </c>
      <c r="CB14" s="735"/>
      <c r="CC14" s="645">
        <f>SUM(CC10:CC13)</f>
        <v>247</v>
      </c>
      <c r="CD14" s="735"/>
      <c r="CE14" s="645">
        <f>SUM(CE10:CE13)</f>
        <v>250</v>
      </c>
      <c r="CF14" s="735"/>
      <c r="CG14" s="645">
        <f>SUM(CG10:CG13)</f>
        <v>247</v>
      </c>
      <c r="CH14" s="735"/>
      <c r="CI14" s="645">
        <f>SUM(CI10:CI13)</f>
        <v>301</v>
      </c>
      <c r="CJ14" s="735"/>
      <c r="CK14" s="645">
        <f>SUM(CK10:CK13)</f>
        <v>663</v>
      </c>
      <c r="CL14" s="735"/>
      <c r="CM14" s="645">
        <f>SUM(CM10:CM13)</f>
        <v>999</v>
      </c>
      <c r="CN14" s="735"/>
      <c r="CO14" s="645">
        <f>SUM(CO10:CO13)</f>
        <v>1113</v>
      </c>
      <c r="CP14" s="735"/>
      <c r="CQ14" s="645">
        <f>SUM(CQ10:CQ13)</f>
        <v>1071</v>
      </c>
      <c r="CR14" s="735"/>
      <c r="CS14" s="645">
        <f>SUM(CS10:CS13)</f>
        <v>576</v>
      </c>
      <c r="CT14" s="735"/>
      <c r="CU14" s="645">
        <f>SUM(CU10:CU13)</f>
        <v>0</v>
      </c>
      <c r="CV14" s="735"/>
      <c r="CW14" s="645">
        <f>SUM(CW10:CW13)</f>
        <v>0</v>
      </c>
      <c r="CX14" s="735"/>
      <c r="CY14" s="645">
        <f>SUM(CY10:CY13)</f>
        <v>0</v>
      </c>
      <c r="CZ14" s="735"/>
      <c r="DA14" s="645">
        <f>SUM(DA10:DA13)</f>
        <v>0</v>
      </c>
      <c r="DB14" s="735"/>
      <c r="DC14" s="645">
        <f>SUM(DC10:DC13)</f>
        <v>0</v>
      </c>
      <c r="DD14" s="735"/>
      <c r="DE14" s="647">
        <f>SUM(DE10:DE13)</f>
        <v>0</v>
      </c>
      <c r="DF14" s="648"/>
      <c r="DG14" s="641"/>
      <c r="DH14" s="642"/>
      <c r="DI14" s="642"/>
      <c r="DJ14" s="643" t="s">
        <v>306</v>
      </c>
      <c r="DK14" s="642"/>
      <c r="DL14" s="642"/>
      <c r="DM14" s="644"/>
      <c r="DN14" s="645">
        <f>SUM(DN10:DN13)</f>
        <v>0</v>
      </c>
      <c r="DO14" s="735"/>
      <c r="DP14" s="645">
        <f>SUM(DP10:DP13)</f>
        <v>0</v>
      </c>
      <c r="DQ14" s="735"/>
      <c r="DR14" s="645">
        <f>SUM(DR10:DR13)</f>
        <v>0</v>
      </c>
      <c r="DS14" s="735"/>
      <c r="DT14" s="645">
        <f>SUM(DT10:DT13)</f>
        <v>0</v>
      </c>
      <c r="DU14" s="735"/>
      <c r="DV14" s="645">
        <f>SUM(DV10:DV13)</f>
        <v>0</v>
      </c>
      <c r="DW14" s="735"/>
      <c r="DX14" s="645">
        <f>SUM(DX10:DX13)</f>
        <v>0</v>
      </c>
      <c r="DY14" s="735"/>
      <c r="DZ14" s="645">
        <f>SUM(DZ10:DZ13)</f>
        <v>0</v>
      </c>
      <c r="EA14" s="735"/>
      <c r="EB14" s="645">
        <f>SUM(EB10:EB13)</f>
        <v>0</v>
      </c>
      <c r="EC14" s="735"/>
      <c r="ED14" s="645">
        <f>SUM(ED10:ED13)</f>
        <v>198</v>
      </c>
      <c r="EE14" s="735"/>
      <c r="EF14" s="645">
        <f>SUM(EF10:EF13)</f>
        <v>218</v>
      </c>
      <c r="EG14" s="735"/>
      <c r="EH14" s="645">
        <f>SUM(EH10:EH13)</f>
        <v>227</v>
      </c>
      <c r="EI14" s="735"/>
      <c r="EJ14" s="645">
        <f>SUM(EJ10:EJ13)</f>
        <v>227</v>
      </c>
      <c r="EK14" s="735"/>
      <c r="EL14" s="645">
        <f>SUM(EL10:EL13)</f>
        <v>220</v>
      </c>
      <c r="EM14" s="735"/>
      <c r="EN14" s="645">
        <f>SUM(EN10:EN13)</f>
        <v>504</v>
      </c>
      <c r="EO14" s="735"/>
      <c r="EP14" s="645">
        <f>SUM(EP10:EP13)</f>
        <v>850</v>
      </c>
      <c r="EQ14" s="735"/>
      <c r="ER14" s="645">
        <f>SUM(ER10:ER13)</f>
        <v>893</v>
      </c>
      <c r="ES14" s="735"/>
      <c r="ET14" s="645">
        <f>SUM(ET10:ET13)</f>
        <v>634</v>
      </c>
      <c r="EU14" s="735"/>
      <c r="EV14" s="645">
        <f>SUM(EV10:EV13)</f>
        <v>7</v>
      </c>
      <c r="EW14" s="735"/>
      <c r="EX14" s="645">
        <f>SUM(EX10:EX13)</f>
        <v>0</v>
      </c>
      <c r="EY14" s="735"/>
      <c r="EZ14" s="645">
        <f>SUM(EZ10:EZ13)</f>
        <v>0</v>
      </c>
      <c r="FA14" s="735"/>
      <c r="FB14" s="645">
        <f>SUM(FB10:FB13)</f>
        <v>0</v>
      </c>
      <c r="FC14" s="735"/>
      <c r="FD14" s="645">
        <f>SUM(FD10:FD13)</f>
        <v>0</v>
      </c>
      <c r="FE14" s="735"/>
      <c r="FF14" s="645">
        <f>SUM(FF10:FF13)</f>
        <v>0</v>
      </c>
      <c r="FG14" s="735"/>
      <c r="FH14" s="647">
        <f>SUM(FH10:FH13)</f>
        <v>0</v>
      </c>
      <c r="FI14" s="649"/>
      <c r="FJ14" s="564"/>
      <c r="FK14" s="642"/>
      <c r="FL14" s="642"/>
      <c r="FM14" s="643" t="s">
        <v>306</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c r="GV14" s="629"/>
      <c r="GW14" s="635"/>
      <c r="GX14" s="636"/>
      <c r="GY14" s="637"/>
      <c r="GZ14" s="638"/>
      <c r="HA14" s="639">
        <v>0</v>
      </c>
      <c r="HB14" s="640"/>
      <c r="HC14" s="530"/>
      <c r="HD14" s="1278"/>
      <c r="HE14" s="415"/>
      <c r="HF14" s="415"/>
      <c r="HG14" s="415"/>
    </row>
    <row r="15" spans="1:353" ht="24" customHeight="1">
      <c r="A15" s="532" t="s">
        <v>307</v>
      </c>
      <c r="B15" s="658" t="s">
        <v>290</v>
      </c>
      <c r="C15" s="659" t="s">
        <v>291</v>
      </c>
      <c r="D15" s="660" t="s">
        <v>633</v>
      </c>
      <c r="E15" s="660" t="s">
        <v>309</v>
      </c>
      <c r="F15" s="661" t="s">
        <v>310</v>
      </c>
      <c r="G15" s="662" t="s">
        <v>634</v>
      </c>
      <c r="H15" s="663" t="s">
        <v>635</v>
      </c>
      <c r="I15" s="664" t="s">
        <v>313</v>
      </c>
      <c r="J15" s="663" t="s">
        <v>635</v>
      </c>
      <c r="K15" s="664" t="s">
        <v>313</v>
      </c>
      <c r="L15" s="663" t="s">
        <v>635</v>
      </c>
      <c r="M15" s="664" t="s">
        <v>313</v>
      </c>
      <c r="N15" s="663" t="s">
        <v>635</v>
      </c>
      <c r="O15" s="664" t="s">
        <v>313</v>
      </c>
      <c r="P15" s="663" t="s">
        <v>635</v>
      </c>
      <c r="Q15" s="664" t="s">
        <v>313</v>
      </c>
      <c r="R15" s="663" t="s">
        <v>635</v>
      </c>
      <c r="S15" s="664" t="s">
        <v>313</v>
      </c>
      <c r="T15" s="663" t="s">
        <v>635</v>
      </c>
      <c r="U15" s="664" t="s">
        <v>313</v>
      </c>
      <c r="V15" s="663" t="s">
        <v>635</v>
      </c>
      <c r="W15" s="664" t="s">
        <v>313</v>
      </c>
      <c r="X15" s="663" t="s">
        <v>968</v>
      </c>
      <c r="Y15" s="664" t="s">
        <v>313</v>
      </c>
      <c r="Z15" s="663" t="s">
        <v>969</v>
      </c>
      <c r="AA15" s="664" t="s">
        <v>313</v>
      </c>
      <c r="AB15" s="663" t="s">
        <v>969</v>
      </c>
      <c r="AC15" s="664" t="s">
        <v>313</v>
      </c>
      <c r="AD15" s="663" t="s">
        <v>635</v>
      </c>
      <c r="AE15" s="664" t="s">
        <v>313</v>
      </c>
      <c r="AF15" s="663" t="s">
        <v>635</v>
      </c>
      <c r="AG15" s="664" t="s">
        <v>313</v>
      </c>
      <c r="AH15" s="663" t="s">
        <v>635</v>
      </c>
      <c r="AI15" s="664" t="s">
        <v>313</v>
      </c>
      <c r="AJ15" s="663" t="s">
        <v>969</v>
      </c>
      <c r="AK15" s="664" t="s">
        <v>313</v>
      </c>
      <c r="AL15" s="663" t="s">
        <v>635</v>
      </c>
      <c r="AM15" s="664" t="s">
        <v>313</v>
      </c>
      <c r="AN15" s="663" t="s">
        <v>635</v>
      </c>
      <c r="AO15" s="664" t="s">
        <v>313</v>
      </c>
      <c r="AP15" s="663" t="s">
        <v>968</v>
      </c>
      <c r="AQ15" s="664" t="s">
        <v>313</v>
      </c>
      <c r="AR15" s="663" t="s">
        <v>635</v>
      </c>
      <c r="AS15" s="664" t="s">
        <v>313</v>
      </c>
      <c r="AT15" s="663" t="s">
        <v>635</v>
      </c>
      <c r="AU15" s="664" t="s">
        <v>313</v>
      </c>
      <c r="AV15" s="663" t="s">
        <v>635</v>
      </c>
      <c r="AW15" s="664" t="s">
        <v>313</v>
      </c>
      <c r="AX15" s="663" t="s">
        <v>635</v>
      </c>
      <c r="AY15" s="664" t="s">
        <v>313</v>
      </c>
      <c r="AZ15" s="663" t="s">
        <v>968</v>
      </c>
      <c r="BA15" s="664" t="s">
        <v>313</v>
      </c>
      <c r="BB15" s="665" t="s">
        <v>316</v>
      </c>
      <c r="BC15" s="666"/>
      <c r="BD15" s="532" t="s">
        <v>307</v>
      </c>
      <c r="BE15" s="658" t="s">
        <v>290</v>
      </c>
      <c r="BF15" s="659" t="s">
        <v>291</v>
      </c>
      <c r="BG15" s="660" t="s">
        <v>633</v>
      </c>
      <c r="BH15" s="660" t="s">
        <v>309</v>
      </c>
      <c r="BI15" s="661" t="s">
        <v>310</v>
      </c>
      <c r="BJ15" s="662" t="s">
        <v>970</v>
      </c>
      <c r="BK15" s="663" t="s">
        <v>635</v>
      </c>
      <c r="BL15" s="664" t="s">
        <v>313</v>
      </c>
      <c r="BM15" s="663" t="s">
        <v>635</v>
      </c>
      <c r="BN15" s="664" t="s">
        <v>313</v>
      </c>
      <c r="BO15" s="663" t="s">
        <v>635</v>
      </c>
      <c r="BP15" s="664" t="s">
        <v>313</v>
      </c>
      <c r="BQ15" s="663" t="s">
        <v>635</v>
      </c>
      <c r="BR15" s="664" t="s">
        <v>313</v>
      </c>
      <c r="BS15" s="663" t="s">
        <v>969</v>
      </c>
      <c r="BT15" s="664" t="s">
        <v>313</v>
      </c>
      <c r="BU15" s="663" t="s">
        <v>635</v>
      </c>
      <c r="BV15" s="664" t="s">
        <v>313</v>
      </c>
      <c r="BW15" s="663" t="s">
        <v>635</v>
      </c>
      <c r="BX15" s="664" t="s">
        <v>313</v>
      </c>
      <c r="BY15" s="663" t="s">
        <v>635</v>
      </c>
      <c r="BZ15" s="664" t="s">
        <v>313</v>
      </c>
      <c r="CA15" s="663" t="s">
        <v>635</v>
      </c>
      <c r="CB15" s="664" t="s">
        <v>313</v>
      </c>
      <c r="CC15" s="663" t="s">
        <v>635</v>
      </c>
      <c r="CD15" s="664" t="s">
        <v>313</v>
      </c>
      <c r="CE15" s="663" t="s">
        <v>635</v>
      </c>
      <c r="CF15" s="664" t="s">
        <v>313</v>
      </c>
      <c r="CG15" s="663" t="s">
        <v>635</v>
      </c>
      <c r="CH15" s="664" t="s">
        <v>313</v>
      </c>
      <c r="CI15" s="663" t="s">
        <v>635</v>
      </c>
      <c r="CJ15" s="664" t="s">
        <v>313</v>
      </c>
      <c r="CK15" s="663" t="s">
        <v>635</v>
      </c>
      <c r="CL15" s="664" t="s">
        <v>313</v>
      </c>
      <c r="CM15" s="663" t="s">
        <v>635</v>
      </c>
      <c r="CN15" s="664" t="s">
        <v>313</v>
      </c>
      <c r="CO15" s="663" t="s">
        <v>635</v>
      </c>
      <c r="CP15" s="664" t="s">
        <v>313</v>
      </c>
      <c r="CQ15" s="663" t="s">
        <v>635</v>
      </c>
      <c r="CR15" s="664" t="s">
        <v>313</v>
      </c>
      <c r="CS15" s="663" t="s">
        <v>635</v>
      </c>
      <c r="CT15" s="664" t="s">
        <v>313</v>
      </c>
      <c r="CU15" s="663" t="s">
        <v>635</v>
      </c>
      <c r="CV15" s="664" t="s">
        <v>313</v>
      </c>
      <c r="CW15" s="663" t="s">
        <v>968</v>
      </c>
      <c r="CX15" s="664" t="s">
        <v>313</v>
      </c>
      <c r="CY15" s="663" t="s">
        <v>635</v>
      </c>
      <c r="CZ15" s="664" t="s">
        <v>313</v>
      </c>
      <c r="DA15" s="663" t="s">
        <v>635</v>
      </c>
      <c r="DB15" s="664" t="s">
        <v>313</v>
      </c>
      <c r="DC15" s="663" t="s">
        <v>635</v>
      </c>
      <c r="DD15" s="664" t="s">
        <v>313</v>
      </c>
      <c r="DE15" s="665" t="s">
        <v>316</v>
      </c>
      <c r="DF15" s="666"/>
      <c r="DG15" s="532" t="s">
        <v>307</v>
      </c>
      <c r="DH15" s="667" t="s">
        <v>290</v>
      </c>
      <c r="DI15" s="668" t="s">
        <v>291</v>
      </c>
      <c r="DJ15" s="669" t="s">
        <v>633</v>
      </c>
      <c r="DK15" s="669" t="s">
        <v>309</v>
      </c>
      <c r="DL15" s="670" t="s">
        <v>310</v>
      </c>
      <c r="DM15" s="662" t="s">
        <v>634</v>
      </c>
      <c r="DN15" s="663" t="s">
        <v>968</v>
      </c>
      <c r="DO15" s="664" t="s">
        <v>313</v>
      </c>
      <c r="DP15" s="663" t="s">
        <v>635</v>
      </c>
      <c r="DQ15" s="664" t="s">
        <v>313</v>
      </c>
      <c r="DR15" s="663" t="s">
        <v>635</v>
      </c>
      <c r="DS15" s="664" t="s">
        <v>313</v>
      </c>
      <c r="DT15" s="663" t="s">
        <v>635</v>
      </c>
      <c r="DU15" s="664" t="s">
        <v>313</v>
      </c>
      <c r="DV15" s="663" t="s">
        <v>635</v>
      </c>
      <c r="DW15" s="664" t="s">
        <v>313</v>
      </c>
      <c r="DX15" s="663" t="s">
        <v>635</v>
      </c>
      <c r="DY15" s="664" t="s">
        <v>313</v>
      </c>
      <c r="DZ15" s="663" t="s">
        <v>635</v>
      </c>
      <c r="EA15" s="664" t="s">
        <v>313</v>
      </c>
      <c r="EB15" s="663" t="s">
        <v>635</v>
      </c>
      <c r="EC15" s="664" t="s">
        <v>313</v>
      </c>
      <c r="ED15" s="663" t="s">
        <v>635</v>
      </c>
      <c r="EE15" s="664" t="s">
        <v>313</v>
      </c>
      <c r="EF15" s="663" t="s">
        <v>968</v>
      </c>
      <c r="EG15" s="664" t="s">
        <v>313</v>
      </c>
      <c r="EH15" s="663" t="s">
        <v>635</v>
      </c>
      <c r="EI15" s="664" t="s">
        <v>313</v>
      </c>
      <c r="EJ15" s="663" t="s">
        <v>635</v>
      </c>
      <c r="EK15" s="664" t="s">
        <v>313</v>
      </c>
      <c r="EL15" s="663" t="s">
        <v>635</v>
      </c>
      <c r="EM15" s="664" t="s">
        <v>313</v>
      </c>
      <c r="EN15" s="663" t="s">
        <v>635</v>
      </c>
      <c r="EO15" s="664" t="s">
        <v>313</v>
      </c>
      <c r="EP15" s="663" t="s">
        <v>635</v>
      </c>
      <c r="EQ15" s="664" t="s">
        <v>313</v>
      </c>
      <c r="ER15" s="663" t="s">
        <v>635</v>
      </c>
      <c r="ES15" s="664" t="s">
        <v>313</v>
      </c>
      <c r="ET15" s="663" t="s">
        <v>635</v>
      </c>
      <c r="EU15" s="664" t="s">
        <v>313</v>
      </c>
      <c r="EV15" s="663" t="s">
        <v>635</v>
      </c>
      <c r="EW15" s="664" t="s">
        <v>313</v>
      </c>
      <c r="EX15" s="663" t="s">
        <v>635</v>
      </c>
      <c r="EY15" s="664" t="s">
        <v>313</v>
      </c>
      <c r="EZ15" s="663" t="s">
        <v>635</v>
      </c>
      <c r="FA15" s="664" t="s">
        <v>313</v>
      </c>
      <c r="FB15" s="663" t="s">
        <v>635</v>
      </c>
      <c r="FC15" s="664" t="s">
        <v>313</v>
      </c>
      <c r="FD15" s="663" t="s">
        <v>635</v>
      </c>
      <c r="FE15" s="664" t="s">
        <v>313</v>
      </c>
      <c r="FF15" s="663" t="s">
        <v>635</v>
      </c>
      <c r="FG15" s="664" t="s">
        <v>313</v>
      </c>
      <c r="FH15" s="665" t="s">
        <v>316</v>
      </c>
      <c r="FI15" s="671"/>
      <c r="FJ15" s="542" t="s">
        <v>307</v>
      </c>
      <c r="FK15" s="658" t="s">
        <v>290</v>
      </c>
      <c r="FL15" s="659" t="s">
        <v>291</v>
      </c>
      <c r="FM15" s="660" t="s">
        <v>633</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353" ht="20.100000000000001" customHeight="1">
      <c r="A16" s="552"/>
      <c r="B16" s="554" t="s">
        <v>219</v>
      </c>
      <c r="C16" s="679" t="s">
        <v>74</v>
      </c>
      <c r="D16" s="555">
        <v>12.24</v>
      </c>
      <c r="E16" s="680">
        <v>0.64</v>
      </c>
      <c r="F16" s="681"/>
      <c r="G16" s="682">
        <v>0</v>
      </c>
      <c r="H16" s="559">
        <f>ROUND(12.24*0.64*0,0)</f>
        <v>0</v>
      </c>
      <c r="I16" s="683">
        <v>0</v>
      </c>
      <c r="J16" s="559">
        <f>ROUND(12.24*0.64*0,0)</f>
        <v>0</v>
      </c>
      <c r="K16" s="683">
        <v>0</v>
      </c>
      <c r="L16" s="559">
        <f>ROUND(12.24*0.64*0,0)</f>
        <v>0</v>
      </c>
      <c r="M16" s="683">
        <v>0</v>
      </c>
      <c r="N16" s="559">
        <f>ROUND(12.24*0.64*0,0)</f>
        <v>0</v>
      </c>
      <c r="O16" s="683">
        <v>0</v>
      </c>
      <c r="P16" s="559">
        <f>ROUND(12.24*0.64*0,0)</f>
        <v>0</v>
      </c>
      <c r="Q16" s="683">
        <v>0</v>
      </c>
      <c r="R16" s="559">
        <f>ROUND(12.24*0.64*0,0)</f>
        <v>0</v>
      </c>
      <c r="S16" s="683">
        <v>0</v>
      </c>
      <c r="T16" s="559">
        <f>ROUND(12.24*0.64*0,0)</f>
        <v>0</v>
      </c>
      <c r="U16" s="683">
        <v>0</v>
      </c>
      <c r="V16" s="559">
        <f>ROUND(12.24*0.64*0,0)</f>
        <v>0</v>
      </c>
      <c r="W16" s="683">
        <v>3.1</v>
      </c>
      <c r="X16" s="559">
        <f>ROUND(12.24*0.64*3.1,0)</f>
        <v>24</v>
      </c>
      <c r="Y16" s="683">
        <v>4.8</v>
      </c>
      <c r="Z16" s="559">
        <f>ROUND(12.24*0.64*4.8,0)</f>
        <v>38</v>
      </c>
      <c r="AA16" s="683">
        <v>6.5</v>
      </c>
      <c r="AB16" s="559">
        <f>ROUND(12.24*0.64*6.5,0)</f>
        <v>51</v>
      </c>
      <c r="AC16" s="683">
        <v>7.9</v>
      </c>
      <c r="AD16" s="559">
        <f>ROUND(12.24*0.64*7.9,0)</f>
        <v>62</v>
      </c>
      <c r="AE16" s="683">
        <v>9.1999999999999993</v>
      </c>
      <c r="AF16" s="559">
        <f>ROUND(12.24*0.64*9.2,0)</f>
        <v>72</v>
      </c>
      <c r="AG16" s="683">
        <v>11</v>
      </c>
      <c r="AH16" s="559">
        <f>ROUND(12.24*0.64*11,0)</f>
        <v>86</v>
      </c>
      <c r="AI16" s="683">
        <v>13</v>
      </c>
      <c r="AJ16" s="559">
        <f>ROUND(12.24*0.64*13,0)</f>
        <v>102</v>
      </c>
      <c r="AK16" s="683">
        <v>14.5</v>
      </c>
      <c r="AL16" s="559">
        <f>ROUND(12.24*0.64*14.5,0)</f>
        <v>114</v>
      </c>
      <c r="AM16" s="683">
        <v>14.8</v>
      </c>
      <c r="AN16" s="559">
        <f>ROUND(12.24*0.64*14.8,0)</f>
        <v>116</v>
      </c>
      <c r="AO16" s="683">
        <v>13.6</v>
      </c>
      <c r="AP16" s="559">
        <f>ROUND(12.24*0.64*13.6,0)</f>
        <v>107</v>
      </c>
      <c r="AQ16" s="683">
        <v>0</v>
      </c>
      <c r="AR16" s="559">
        <f>ROUND(12.24*0.64*0,0)</f>
        <v>0</v>
      </c>
      <c r="AS16" s="683">
        <v>0</v>
      </c>
      <c r="AT16" s="559">
        <f>ROUND(12.24*0.64*0,0)</f>
        <v>0</v>
      </c>
      <c r="AU16" s="683">
        <v>0</v>
      </c>
      <c r="AV16" s="559">
        <f>ROUND(12.24*0.64*0,0)</f>
        <v>0</v>
      </c>
      <c r="AW16" s="683">
        <v>0</v>
      </c>
      <c r="AX16" s="559">
        <f>ROUND(12.24*0.64*0,0)</f>
        <v>0</v>
      </c>
      <c r="AY16" s="683">
        <v>0</v>
      </c>
      <c r="AZ16" s="559">
        <f>ROUND(12.24*0.64*0,0)</f>
        <v>0</v>
      </c>
      <c r="BA16" s="683">
        <v>0</v>
      </c>
      <c r="BB16" s="684">
        <f>ROUND(12.24*0.64*0,0)</f>
        <v>0</v>
      </c>
      <c r="BC16" s="562"/>
      <c r="BD16" s="552"/>
      <c r="BE16" s="554" t="s">
        <v>219</v>
      </c>
      <c r="BF16" s="679" t="s">
        <v>74</v>
      </c>
      <c r="BG16" s="555">
        <v>12.24</v>
      </c>
      <c r="BH16" s="680">
        <v>0.64</v>
      </c>
      <c r="BI16" s="681"/>
      <c r="BJ16" s="682">
        <v>0</v>
      </c>
      <c r="BK16" s="559">
        <f>ROUND(12.24*0.64*0,0)</f>
        <v>0</v>
      </c>
      <c r="BL16" s="683">
        <v>0</v>
      </c>
      <c r="BM16" s="559">
        <f>ROUND(12.24*0.64*0,0)</f>
        <v>0</v>
      </c>
      <c r="BN16" s="683">
        <v>0</v>
      </c>
      <c r="BO16" s="559">
        <f>ROUND(12.24*0.64*0,0)</f>
        <v>0</v>
      </c>
      <c r="BP16" s="683">
        <v>0</v>
      </c>
      <c r="BQ16" s="559">
        <f>ROUND(12.24*0.64*0,0)</f>
        <v>0</v>
      </c>
      <c r="BR16" s="683">
        <v>0</v>
      </c>
      <c r="BS16" s="559">
        <f>ROUND(12.24*0.64*0,0)</f>
        <v>0</v>
      </c>
      <c r="BT16" s="683">
        <v>0</v>
      </c>
      <c r="BU16" s="559">
        <f>ROUND(12.24*0.64*0,0)</f>
        <v>0</v>
      </c>
      <c r="BV16" s="683">
        <v>0</v>
      </c>
      <c r="BW16" s="559">
        <f>ROUND(12.24*0.64*0,0)</f>
        <v>0</v>
      </c>
      <c r="BX16" s="683">
        <v>0</v>
      </c>
      <c r="BY16" s="559">
        <f>ROUND(12.24*0.64*0,0)</f>
        <v>0</v>
      </c>
      <c r="BZ16" s="683">
        <v>2.6</v>
      </c>
      <c r="CA16" s="559">
        <f>ROUND(12.24*0.64*2.6,0)</f>
        <v>20</v>
      </c>
      <c r="CB16" s="683">
        <v>4.2</v>
      </c>
      <c r="CC16" s="559">
        <f>ROUND(12.24*0.64*4.2,0)</f>
        <v>33</v>
      </c>
      <c r="CD16" s="683">
        <v>5.7</v>
      </c>
      <c r="CE16" s="559">
        <f>ROUND(12.24*0.64*5.7,0)</f>
        <v>45</v>
      </c>
      <c r="CF16" s="683">
        <v>7</v>
      </c>
      <c r="CG16" s="559">
        <f>ROUND(12.24*0.64*7,0)</f>
        <v>55</v>
      </c>
      <c r="CH16" s="683">
        <v>8.3000000000000007</v>
      </c>
      <c r="CI16" s="559">
        <f>ROUND(12.24*0.64*8.3,0)</f>
        <v>65</v>
      </c>
      <c r="CJ16" s="683">
        <v>10.6</v>
      </c>
      <c r="CK16" s="559">
        <f>ROUND(12.24*0.64*10.6,0)</f>
        <v>83</v>
      </c>
      <c r="CL16" s="683">
        <v>13.8</v>
      </c>
      <c r="CM16" s="559">
        <f>ROUND(12.24*0.64*13.8,0)</f>
        <v>108</v>
      </c>
      <c r="CN16" s="683">
        <v>16.8</v>
      </c>
      <c r="CO16" s="559">
        <f>ROUND(12.24*0.64*16.8,0)</f>
        <v>132</v>
      </c>
      <c r="CP16" s="683">
        <v>18.8</v>
      </c>
      <c r="CQ16" s="559">
        <f>ROUND(12.24*0.64*18.8,0)</f>
        <v>147</v>
      </c>
      <c r="CR16" s="683">
        <v>19.100000000000001</v>
      </c>
      <c r="CS16" s="559">
        <f>ROUND(12.24*0.64*19.1,0)</f>
        <v>150</v>
      </c>
      <c r="CT16" s="683">
        <v>0</v>
      </c>
      <c r="CU16" s="559">
        <f>ROUND(12.24*0.64*0,0)</f>
        <v>0</v>
      </c>
      <c r="CV16" s="683">
        <v>0</v>
      </c>
      <c r="CW16" s="559">
        <f>ROUND(12.24*0.64*0,0)</f>
        <v>0</v>
      </c>
      <c r="CX16" s="683">
        <v>0</v>
      </c>
      <c r="CY16" s="559">
        <f>ROUND(12.24*0.64*0,0)</f>
        <v>0</v>
      </c>
      <c r="CZ16" s="683">
        <v>0</v>
      </c>
      <c r="DA16" s="559">
        <f>ROUND(12.24*0.64*0,0)</f>
        <v>0</v>
      </c>
      <c r="DB16" s="683">
        <v>0</v>
      </c>
      <c r="DC16" s="559">
        <f>ROUND(12.24*0.64*0,0)</f>
        <v>0</v>
      </c>
      <c r="DD16" s="683">
        <v>0</v>
      </c>
      <c r="DE16" s="684">
        <f>ROUND(12.24*0.64*0,0)</f>
        <v>0</v>
      </c>
      <c r="DF16" s="562"/>
      <c r="DG16" s="552"/>
      <c r="DH16" s="554" t="s">
        <v>219</v>
      </c>
      <c r="DI16" s="679" t="s">
        <v>74</v>
      </c>
      <c r="DJ16" s="555">
        <v>12.24</v>
      </c>
      <c r="DK16" s="680">
        <v>0.64</v>
      </c>
      <c r="DL16" s="681"/>
      <c r="DM16" s="682">
        <v>0</v>
      </c>
      <c r="DN16" s="559">
        <f>ROUND(12.24*0.64*0,0)</f>
        <v>0</v>
      </c>
      <c r="DO16" s="683">
        <v>0</v>
      </c>
      <c r="DP16" s="559">
        <f>ROUND(12.24*0.64*0,0)</f>
        <v>0</v>
      </c>
      <c r="DQ16" s="683">
        <v>0</v>
      </c>
      <c r="DR16" s="559">
        <f>ROUND(12.24*0.64*0,0)</f>
        <v>0</v>
      </c>
      <c r="DS16" s="683">
        <v>0</v>
      </c>
      <c r="DT16" s="559">
        <f>ROUND(12.24*0.64*0,0)</f>
        <v>0</v>
      </c>
      <c r="DU16" s="683">
        <v>0</v>
      </c>
      <c r="DV16" s="559">
        <f>ROUND(12.24*0.64*0,0)</f>
        <v>0</v>
      </c>
      <c r="DW16" s="683">
        <v>0</v>
      </c>
      <c r="DX16" s="559">
        <f>ROUND(12.24*0.64*0,0)</f>
        <v>0</v>
      </c>
      <c r="DY16" s="683">
        <v>0</v>
      </c>
      <c r="DZ16" s="559">
        <f>ROUND(12.24*0.64*0,0)</f>
        <v>0</v>
      </c>
      <c r="EA16" s="683">
        <v>0</v>
      </c>
      <c r="EB16" s="559">
        <f>ROUND(12.24*0.64*0,0)</f>
        <v>0</v>
      </c>
      <c r="EC16" s="683">
        <v>0</v>
      </c>
      <c r="ED16" s="559">
        <f>ROUND(12.24*0.64*0,0)</f>
        <v>0</v>
      </c>
      <c r="EE16" s="683">
        <v>1.5</v>
      </c>
      <c r="EF16" s="559">
        <f>ROUND(12.24*0.64*1.5,0)</f>
        <v>12</v>
      </c>
      <c r="EG16" s="683">
        <v>3.1</v>
      </c>
      <c r="EH16" s="559">
        <f>ROUND(12.24*0.64*3.1,0)</f>
        <v>24</v>
      </c>
      <c r="EI16" s="683">
        <v>4.5</v>
      </c>
      <c r="EJ16" s="559">
        <f>ROUND(12.24*0.64*4.5,0)</f>
        <v>35</v>
      </c>
      <c r="EK16" s="683">
        <v>5.8</v>
      </c>
      <c r="EL16" s="559">
        <f>ROUND(12.24*0.64*5.8,0)</f>
        <v>45</v>
      </c>
      <c r="EM16" s="683">
        <v>8</v>
      </c>
      <c r="EN16" s="559">
        <f>ROUND(12.24*0.64*8,0)</f>
        <v>63</v>
      </c>
      <c r="EO16" s="683">
        <v>11</v>
      </c>
      <c r="EP16" s="559">
        <f>ROUND(12.24*0.64*11,0)</f>
        <v>86</v>
      </c>
      <c r="EQ16" s="683">
        <v>13.7</v>
      </c>
      <c r="ER16" s="559">
        <f>ROUND(12.24*0.64*13.7,0)</f>
        <v>107</v>
      </c>
      <c r="ES16" s="683">
        <v>14.7</v>
      </c>
      <c r="ET16" s="559">
        <f>ROUND(12.24*0.64*14.7,0)</f>
        <v>115</v>
      </c>
      <c r="EU16" s="683">
        <v>13.2</v>
      </c>
      <c r="EV16" s="559">
        <f>ROUND(12.24*0.64*13.2,0)</f>
        <v>103</v>
      </c>
      <c r="EW16" s="683">
        <v>0</v>
      </c>
      <c r="EX16" s="559">
        <f>ROUND(12.24*0.64*0,0)</f>
        <v>0</v>
      </c>
      <c r="EY16" s="683">
        <v>0</v>
      </c>
      <c r="EZ16" s="559">
        <f>ROUND(12.24*0.64*0,0)</f>
        <v>0</v>
      </c>
      <c r="FA16" s="683">
        <v>0</v>
      </c>
      <c r="FB16" s="559">
        <f>ROUND(12.24*0.64*0,0)</f>
        <v>0</v>
      </c>
      <c r="FC16" s="683">
        <v>0</v>
      </c>
      <c r="FD16" s="559">
        <f>ROUND(12.24*0.64*0,0)</f>
        <v>0</v>
      </c>
      <c r="FE16" s="683">
        <v>0</v>
      </c>
      <c r="FF16" s="559">
        <f>ROUND(12.24*0.64*0,0)</f>
        <v>0</v>
      </c>
      <c r="FG16" s="683">
        <v>0</v>
      </c>
      <c r="FH16" s="684">
        <f>ROUND(12.24*0.64*0,0)</f>
        <v>0</v>
      </c>
      <c r="FI16" s="563"/>
      <c r="FJ16" s="564"/>
      <c r="FK16" s="554" t="s">
        <v>219</v>
      </c>
      <c r="FL16" s="679" t="s">
        <v>74</v>
      </c>
      <c r="FM16" s="555">
        <v>12.24</v>
      </c>
      <c r="FN16" s="680">
        <v>0.64</v>
      </c>
      <c r="FO16" s="681"/>
      <c r="FP16" s="685">
        <v>9</v>
      </c>
      <c r="FQ16" s="686">
        <v>17</v>
      </c>
      <c r="FR16" s="559">
        <f>ROUND(12.24*0.64*17,0)</f>
        <v>133</v>
      </c>
      <c r="FS16" s="687">
        <v>9</v>
      </c>
      <c r="FT16" s="686">
        <v>17.5</v>
      </c>
      <c r="FU16" s="567">
        <f>ROUND(12.24*0.64*17.5,0)</f>
        <v>137</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229</v>
      </c>
      <c r="C17" s="691" t="s">
        <v>74</v>
      </c>
      <c r="D17" s="583">
        <v>5.4</v>
      </c>
      <c r="E17" s="692" t="s">
        <v>867</v>
      </c>
      <c r="F17" s="693"/>
      <c r="G17" s="694">
        <v>0</v>
      </c>
      <c r="H17" s="587">
        <f>ROUND(5.4*4.2*0,0)</f>
        <v>0</v>
      </c>
      <c r="I17" s="695">
        <v>0</v>
      </c>
      <c r="J17" s="587">
        <f>ROUND(5.4*4.2*0,0)</f>
        <v>0</v>
      </c>
      <c r="K17" s="695">
        <v>0</v>
      </c>
      <c r="L17" s="587">
        <f>ROUND(5.4*4.2*0,0)</f>
        <v>0</v>
      </c>
      <c r="M17" s="695">
        <v>0</v>
      </c>
      <c r="N17" s="587">
        <f>ROUND(5.4*4.2*0,0)</f>
        <v>0</v>
      </c>
      <c r="O17" s="695">
        <v>0</v>
      </c>
      <c r="P17" s="587">
        <f>ROUND(5.4*4.2*0,0)</f>
        <v>0</v>
      </c>
      <c r="Q17" s="695">
        <v>0</v>
      </c>
      <c r="R17" s="587">
        <f>ROUND(5.4*4.2*0,0)</f>
        <v>0</v>
      </c>
      <c r="S17" s="695">
        <v>0</v>
      </c>
      <c r="T17" s="587">
        <f>ROUND(5.4*4.2*0,0)</f>
        <v>0</v>
      </c>
      <c r="U17" s="695">
        <v>0</v>
      </c>
      <c r="V17" s="587">
        <f>ROUND(5.4*4.2*0,0)</f>
        <v>0</v>
      </c>
      <c r="W17" s="695">
        <v>3.3</v>
      </c>
      <c r="X17" s="587">
        <f>ROUND(5.4*4.2*3.3,0)</f>
        <v>75</v>
      </c>
      <c r="Y17" s="695">
        <v>4.5</v>
      </c>
      <c r="Z17" s="587">
        <f>ROUND(5.4*4.2*4.5,0)</f>
        <v>102</v>
      </c>
      <c r="AA17" s="695">
        <v>5.2</v>
      </c>
      <c r="AB17" s="587">
        <f>ROUND(5.4*4.2*5.2,0)</f>
        <v>118</v>
      </c>
      <c r="AC17" s="695">
        <v>5.7</v>
      </c>
      <c r="AD17" s="587">
        <f>ROUND(5.4*4.2*5.7,0)</f>
        <v>129</v>
      </c>
      <c r="AE17" s="695">
        <v>5.9</v>
      </c>
      <c r="AF17" s="587">
        <f>ROUND(5.4*4.2*5.9,0)</f>
        <v>134</v>
      </c>
      <c r="AG17" s="695">
        <v>5.9</v>
      </c>
      <c r="AH17" s="587">
        <f>ROUND(5.4*4.2*5.9,0)</f>
        <v>134</v>
      </c>
      <c r="AI17" s="695">
        <v>5.4</v>
      </c>
      <c r="AJ17" s="587">
        <f>ROUND(5.4*4.2*5.4,0)</f>
        <v>122</v>
      </c>
      <c r="AK17" s="695">
        <v>4.9000000000000004</v>
      </c>
      <c r="AL17" s="587">
        <f>ROUND(5.4*4.2*4.9,0)</f>
        <v>111</v>
      </c>
      <c r="AM17" s="695">
        <v>4</v>
      </c>
      <c r="AN17" s="587">
        <f>ROUND(5.4*4.2*4,0)</f>
        <v>91</v>
      </c>
      <c r="AO17" s="695">
        <v>3.3</v>
      </c>
      <c r="AP17" s="587">
        <f>ROUND(5.4*4.2*3.3,0)</f>
        <v>75</v>
      </c>
      <c r="AQ17" s="695">
        <v>0</v>
      </c>
      <c r="AR17" s="587">
        <f>ROUND(5.4*4.2*0,0)</f>
        <v>0</v>
      </c>
      <c r="AS17" s="695">
        <v>0</v>
      </c>
      <c r="AT17" s="587">
        <f>ROUND(5.4*4.2*0,0)</f>
        <v>0</v>
      </c>
      <c r="AU17" s="695">
        <v>0</v>
      </c>
      <c r="AV17" s="587">
        <f>ROUND(5.4*4.2*0,0)</f>
        <v>0</v>
      </c>
      <c r="AW17" s="695">
        <v>0</v>
      </c>
      <c r="AX17" s="587">
        <f>ROUND(5.4*4.2*0,0)</f>
        <v>0</v>
      </c>
      <c r="AY17" s="695">
        <v>0</v>
      </c>
      <c r="AZ17" s="587">
        <f>ROUND(5.4*4.2*0,0)</f>
        <v>0</v>
      </c>
      <c r="BA17" s="695">
        <v>0</v>
      </c>
      <c r="BB17" s="589">
        <f>ROUND(5.4*4.2*0,0)</f>
        <v>0</v>
      </c>
      <c r="BC17" s="562"/>
      <c r="BD17" s="552"/>
      <c r="BE17" s="582" t="s">
        <v>229</v>
      </c>
      <c r="BF17" s="691" t="s">
        <v>74</v>
      </c>
      <c r="BG17" s="583">
        <v>5.4</v>
      </c>
      <c r="BH17" s="692" t="s">
        <v>867</v>
      </c>
      <c r="BI17" s="693"/>
      <c r="BJ17" s="694">
        <v>0</v>
      </c>
      <c r="BK17" s="587">
        <f>ROUND(5.4*4.2*0,0)</f>
        <v>0</v>
      </c>
      <c r="BL17" s="695">
        <v>0</v>
      </c>
      <c r="BM17" s="587">
        <f>ROUND(5.4*4.2*0,0)</f>
        <v>0</v>
      </c>
      <c r="BN17" s="695">
        <v>0</v>
      </c>
      <c r="BO17" s="587">
        <f>ROUND(5.4*4.2*0,0)</f>
        <v>0</v>
      </c>
      <c r="BP17" s="695">
        <v>0</v>
      </c>
      <c r="BQ17" s="587">
        <f>ROUND(5.4*4.2*0,0)</f>
        <v>0</v>
      </c>
      <c r="BR17" s="695">
        <v>0</v>
      </c>
      <c r="BS17" s="587">
        <f>ROUND(5.4*4.2*0,0)</f>
        <v>0</v>
      </c>
      <c r="BT17" s="695">
        <v>0</v>
      </c>
      <c r="BU17" s="587">
        <f>ROUND(5.4*4.2*0,0)</f>
        <v>0</v>
      </c>
      <c r="BV17" s="695">
        <v>0</v>
      </c>
      <c r="BW17" s="587">
        <f>ROUND(5.4*4.2*0,0)</f>
        <v>0</v>
      </c>
      <c r="BX17" s="695">
        <v>0</v>
      </c>
      <c r="BY17" s="587">
        <f>ROUND(5.4*4.2*0,0)</f>
        <v>0</v>
      </c>
      <c r="BZ17" s="695">
        <v>3.1</v>
      </c>
      <c r="CA17" s="587">
        <f>ROUND(5.4*4.2*3.1,0)</f>
        <v>70</v>
      </c>
      <c r="CB17" s="695">
        <v>4.0999999999999996</v>
      </c>
      <c r="CC17" s="587">
        <f>ROUND(5.4*4.2*4.1,0)</f>
        <v>93</v>
      </c>
      <c r="CD17" s="695">
        <v>5</v>
      </c>
      <c r="CE17" s="587">
        <f>ROUND(5.4*4.2*5,0)</f>
        <v>113</v>
      </c>
      <c r="CF17" s="695">
        <v>5.4</v>
      </c>
      <c r="CG17" s="587">
        <f>ROUND(5.4*4.2*5.4,0)</f>
        <v>122</v>
      </c>
      <c r="CH17" s="695">
        <v>5.6</v>
      </c>
      <c r="CI17" s="587">
        <f>ROUND(5.4*4.2*5.6,0)</f>
        <v>127</v>
      </c>
      <c r="CJ17" s="695">
        <v>5.4</v>
      </c>
      <c r="CK17" s="587">
        <f>ROUND(5.4*4.2*5.4,0)</f>
        <v>122</v>
      </c>
      <c r="CL17" s="695">
        <v>4.9000000000000004</v>
      </c>
      <c r="CM17" s="587">
        <f>ROUND(5.4*4.2*4.9,0)</f>
        <v>111</v>
      </c>
      <c r="CN17" s="695">
        <v>4.5</v>
      </c>
      <c r="CO17" s="587">
        <f>ROUND(5.4*4.2*4.5,0)</f>
        <v>102</v>
      </c>
      <c r="CP17" s="695">
        <v>4</v>
      </c>
      <c r="CQ17" s="587">
        <f>ROUND(5.4*4.2*4,0)</f>
        <v>91</v>
      </c>
      <c r="CR17" s="695">
        <v>3.1</v>
      </c>
      <c r="CS17" s="587">
        <f>ROUND(5.4*4.2*3.1,0)</f>
        <v>70</v>
      </c>
      <c r="CT17" s="695">
        <v>0</v>
      </c>
      <c r="CU17" s="587">
        <f>ROUND(5.4*4.2*0,0)</f>
        <v>0</v>
      </c>
      <c r="CV17" s="695">
        <v>0</v>
      </c>
      <c r="CW17" s="587">
        <f>ROUND(5.4*4.2*0,0)</f>
        <v>0</v>
      </c>
      <c r="CX17" s="695">
        <v>0</v>
      </c>
      <c r="CY17" s="587">
        <f>ROUND(5.4*4.2*0,0)</f>
        <v>0</v>
      </c>
      <c r="CZ17" s="695">
        <v>0</v>
      </c>
      <c r="DA17" s="587">
        <f>ROUND(5.4*4.2*0,0)</f>
        <v>0</v>
      </c>
      <c r="DB17" s="695">
        <v>0</v>
      </c>
      <c r="DC17" s="587">
        <f>ROUND(5.4*4.2*0,0)</f>
        <v>0</v>
      </c>
      <c r="DD17" s="695">
        <v>0</v>
      </c>
      <c r="DE17" s="589">
        <f>ROUND(5.4*4.2*0,0)</f>
        <v>0</v>
      </c>
      <c r="DF17" s="562"/>
      <c r="DG17" s="552"/>
      <c r="DH17" s="582" t="s">
        <v>229</v>
      </c>
      <c r="DI17" s="691" t="s">
        <v>74</v>
      </c>
      <c r="DJ17" s="583">
        <v>5.4</v>
      </c>
      <c r="DK17" s="692" t="s">
        <v>867</v>
      </c>
      <c r="DL17" s="693"/>
      <c r="DM17" s="694">
        <v>0</v>
      </c>
      <c r="DN17" s="587">
        <f>ROUND(5.4*4.2*0,0)</f>
        <v>0</v>
      </c>
      <c r="DO17" s="695">
        <v>0</v>
      </c>
      <c r="DP17" s="587">
        <f>ROUND(5.4*4.2*0,0)</f>
        <v>0</v>
      </c>
      <c r="DQ17" s="695">
        <v>0</v>
      </c>
      <c r="DR17" s="587">
        <f>ROUND(5.4*4.2*0,0)</f>
        <v>0</v>
      </c>
      <c r="DS17" s="695">
        <v>0</v>
      </c>
      <c r="DT17" s="587">
        <f>ROUND(5.4*4.2*0,0)</f>
        <v>0</v>
      </c>
      <c r="DU17" s="695">
        <v>0</v>
      </c>
      <c r="DV17" s="587">
        <f>ROUND(5.4*4.2*0,0)</f>
        <v>0</v>
      </c>
      <c r="DW17" s="695">
        <v>0</v>
      </c>
      <c r="DX17" s="587">
        <f>ROUND(5.4*4.2*0,0)</f>
        <v>0</v>
      </c>
      <c r="DY17" s="695">
        <v>0</v>
      </c>
      <c r="DZ17" s="587">
        <f>ROUND(5.4*4.2*0,0)</f>
        <v>0</v>
      </c>
      <c r="EA17" s="695">
        <v>0</v>
      </c>
      <c r="EB17" s="587">
        <f>ROUND(5.4*4.2*0,0)</f>
        <v>0</v>
      </c>
      <c r="EC17" s="695">
        <v>0.80000000000000104</v>
      </c>
      <c r="ED17" s="587">
        <f>ROUND(5.4*4.2*0.800000000000001,0)</f>
        <v>18</v>
      </c>
      <c r="EE17" s="695">
        <v>2.1</v>
      </c>
      <c r="EF17" s="587">
        <f>ROUND(5.4*4.2*2.1,0)</f>
        <v>48</v>
      </c>
      <c r="EG17" s="695">
        <v>2.9</v>
      </c>
      <c r="EH17" s="587">
        <f>ROUND(5.4*4.2*2.9,0)</f>
        <v>66</v>
      </c>
      <c r="EI17" s="695">
        <v>3.6</v>
      </c>
      <c r="EJ17" s="587">
        <f>ROUND(5.4*4.2*3.6,0)</f>
        <v>82</v>
      </c>
      <c r="EK17" s="695">
        <v>3.8</v>
      </c>
      <c r="EL17" s="587">
        <f>ROUND(5.4*4.2*3.8,0)</f>
        <v>86</v>
      </c>
      <c r="EM17" s="695">
        <v>3.5</v>
      </c>
      <c r="EN17" s="587">
        <f>ROUND(5.4*4.2*3.5,0)</f>
        <v>79</v>
      </c>
      <c r="EO17" s="695">
        <v>3.1</v>
      </c>
      <c r="EP17" s="587">
        <f>ROUND(5.4*4.2*3.1,0)</f>
        <v>70</v>
      </c>
      <c r="EQ17" s="695">
        <v>2.7</v>
      </c>
      <c r="ER17" s="587">
        <f>ROUND(5.4*4.2*2.7,0)</f>
        <v>61</v>
      </c>
      <c r="ES17" s="695">
        <v>1.7</v>
      </c>
      <c r="ET17" s="587">
        <f>ROUND(5.4*4.2*1.7,0)</f>
        <v>39</v>
      </c>
      <c r="EU17" s="695">
        <v>0.69999999999999896</v>
      </c>
      <c r="EV17" s="587">
        <f>ROUND(5.4*4.2*0.699999999999999,0)</f>
        <v>16</v>
      </c>
      <c r="EW17" s="695">
        <v>0</v>
      </c>
      <c r="EX17" s="587">
        <f>ROUND(5.4*4.2*0,0)</f>
        <v>0</v>
      </c>
      <c r="EY17" s="695">
        <v>0</v>
      </c>
      <c r="EZ17" s="587">
        <f>ROUND(5.4*4.2*0,0)</f>
        <v>0</v>
      </c>
      <c r="FA17" s="695">
        <v>0</v>
      </c>
      <c r="FB17" s="587">
        <f>ROUND(5.4*4.2*0,0)</f>
        <v>0</v>
      </c>
      <c r="FC17" s="695">
        <v>0</v>
      </c>
      <c r="FD17" s="587">
        <f>ROUND(5.4*4.2*0,0)</f>
        <v>0</v>
      </c>
      <c r="FE17" s="695">
        <v>0</v>
      </c>
      <c r="FF17" s="587">
        <f>ROUND(5.4*4.2*0,0)</f>
        <v>0</v>
      </c>
      <c r="FG17" s="695">
        <v>0</v>
      </c>
      <c r="FH17" s="589">
        <f>ROUND(5.4*4.2*0,0)</f>
        <v>0</v>
      </c>
      <c r="FI17" s="563"/>
      <c r="FJ17" s="564"/>
      <c r="FK17" s="582" t="s">
        <v>229</v>
      </c>
      <c r="FL17" s="691" t="s">
        <v>74</v>
      </c>
      <c r="FM17" s="583">
        <v>5.4</v>
      </c>
      <c r="FN17" s="692" t="s">
        <v>867</v>
      </c>
      <c r="FO17" s="693"/>
      <c r="FP17" s="696">
        <v>9</v>
      </c>
      <c r="FQ17" s="697">
        <v>17</v>
      </c>
      <c r="FR17" s="587">
        <f>ROUND(5.4*4.2*17,0)</f>
        <v>386</v>
      </c>
      <c r="FS17" s="698">
        <v>9</v>
      </c>
      <c r="FT17" s="697">
        <v>17.5</v>
      </c>
      <c r="FU17" s="592">
        <f>ROUND(5.4*4.2*17.5,0)</f>
        <v>397</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250</v>
      </c>
      <c r="C18" s="691"/>
      <c r="D18" s="583">
        <v>8.82</v>
      </c>
      <c r="E18" s="692">
        <v>2.35</v>
      </c>
      <c r="F18" s="693"/>
      <c r="G18" s="694">
        <v>0</v>
      </c>
      <c r="H18" s="587">
        <f>ROUND(8.82*2.35*0,0)</f>
        <v>0</v>
      </c>
      <c r="I18" s="695">
        <v>0</v>
      </c>
      <c r="J18" s="587">
        <f>ROUND(8.82*2.35*0,0)</f>
        <v>0</v>
      </c>
      <c r="K18" s="695">
        <v>0</v>
      </c>
      <c r="L18" s="587">
        <f>ROUND(8.82*2.35*0,0)</f>
        <v>0</v>
      </c>
      <c r="M18" s="695">
        <v>0</v>
      </c>
      <c r="N18" s="587">
        <f>ROUND(8.82*2.35*0,0)</f>
        <v>0</v>
      </c>
      <c r="O18" s="695">
        <v>0</v>
      </c>
      <c r="P18" s="587">
        <f>ROUND(8.82*2.35*0,0)</f>
        <v>0</v>
      </c>
      <c r="Q18" s="695">
        <v>0</v>
      </c>
      <c r="R18" s="587">
        <f>ROUND(8.82*2.35*0,0)</f>
        <v>0</v>
      </c>
      <c r="S18" s="695">
        <v>0</v>
      </c>
      <c r="T18" s="587">
        <f>ROUND(8.82*2.35*0,0)</f>
        <v>0</v>
      </c>
      <c r="U18" s="695">
        <v>0</v>
      </c>
      <c r="V18" s="587">
        <f>ROUND(8.82*2.35*0,0)</f>
        <v>0</v>
      </c>
      <c r="W18" s="695">
        <v>1</v>
      </c>
      <c r="X18" s="587">
        <f>ROUND(8.82*2.35*1,0)</f>
        <v>21</v>
      </c>
      <c r="Y18" s="695">
        <v>1.3</v>
      </c>
      <c r="Z18" s="587">
        <f>ROUND(8.82*2.35*1.3,0)</f>
        <v>27</v>
      </c>
      <c r="AA18" s="695">
        <v>1.6</v>
      </c>
      <c r="AB18" s="587">
        <f>ROUND(8.82*2.35*1.6,0)</f>
        <v>33</v>
      </c>
      <c r="AC18" s="695">
        <v>1.7</v>
      </c>
      <c r="AD18" s="587">
        <f>ROUND(8.82*2.35*1.7,0)</f>
        <v>35</v>
      </c>
      <c r="AE18" s="695">
        <v>1.8</v>
      </c>
      <c r="AF18" s="587">
        <f>ROUND(8.82*2.35*1.8,0)</f>
        <v>37</v>
      </c>
      <c r="AG18" s="695">
        <v>1.8</v>
      </c>
      <c r="AH18" s="587">
        <f>ROUND(8.82*2.35*1.8,0)</f>
        <v>37</v>
      </c>
      <c r="AI18" s="695">
        <v>1.6</v>
      </c>
      <c r="AJ18" s="587">
        <f>ROUND(8.82*2.35*1.6,0)</f>
        <v>33</v>
      </c>
      <c r="AK18" s="695">
        <v>1.5</v>
      </c>
      <c r="AL18" s="587">
        <f>ROUND(8.82*2.35*1.5,0)</f>
        <v>31</v>
      </c>
      <c r="AM18" s="695">
        <v>1.2</v>
      </c>
      <c r="AN18" s="587">
        <f>ROUND(8.82*2.35*1.2,0)</f>
        <v>25</v>
      </c>
      <c r="AO18" s="695">
        <v>1</v>
      </c>
      <c r="AP18" s="587">
        <f>ROUND(8.82*2.35*1,0)</f>
        <v>21</v>
      </c>
      <c r="AQ18" s="695">
        <v>0</v>
      </c>
      <c r="AR18" s="587">
        <f>ROUND(8.82*2.35*0,0)</f>
        <v>0</v>
      </c>
      <c r="AS18" s="695">
        <v>0</v>
      </c>
      <c r="AT18" s="587">
        <f>ROUND(8.82*2.35*0,0)</f>
        <v>0</v>
      </c>
      <c r="AU18" s="695">
        <v>0</v>
      </c>
      <c r="AV18" s="587">
        <f>ROUND(8.82*2.35*0,0)</f>
        <v>0</v>
      </c>
      <c r="AW18" s="695">
        <v>0</v>
      </c>
      <c r="AX18" s="587">
        <f>ROUND(8.82*2.35*0,0)</f>
        <v>0</v>
      </c>
      <c r="AY18" s="695">
        <v>0</v>
      </c>
      <c r="AZ18" s="587">
        <f>ROUND(8.82*2.35*0,0)</f>
        <v>0</v>
      </c>
      <c r="BA18" s="695">
        <v>0</v>
      </c>
      <c r="BB18" s="589">
        <f>ROUND(8.82*2.35*0,0)</f>
        <v>0</v>
      </c>
      <c r="BC18" s="562"/>
      <c r="BD18" s="552"/>
      <c r="BE18" s="700" t="s">
        <v>250</v>
      </c>
      <c r="BF18" s="691"/>
      <c r="BG18" s="583">
        <v>8.82</v>
      </c>
      <c r="BH18" s="692">
        <v>2.35</v>
      </c>
      <c r="BI18" s="693"/>
      <c r="BJ18" s="694">
        <v>0</v>
      </c>
      <c r="BK18" s="587">
        <f>ROUND(8.82*2.35*0,0)</f>
        <v>0</v>
      </c>
      <c r="BL18" s="695">
        <v>0</v>
      </c>
      <c r="BM18" s="587">
        <f>ROUND(8.82*2.35*0,0)</f>
        <v>0</v>
      </c>
      <c r="BN18" s="695">
        <v>0</v>
      </c>
      <c r="BO18" s="587">
        <f>ROUND(8.82*2.35*0,0)</f>
        <v>0</v>
      </c>
      <c r="BP18" s="695">
        <v>0</v>
      </c>
      <c r="BQ18" s="587">
        <f>ROUND(8.82*2.35*0,0)</f>
        <v>0</v>
      </c>
      <c r="BR18" s="695">
        <v>0</v>
      </c>
      <c r="BS18" s="587">
        <f>ROUND(8.82*2.35*0,0)</f>
        <v>0</v>
      </c>
      <c r="BT18" s="695">
        <v>0</v>
      </c>
      <c r="BU18" s="587">
        <f>ROUND(8.82*2.35*0,0)</f>
        <v>0</v>
      </c>
      <c r="BV18" s="695">
        <v>0</v>
      </c>
      <c r="BW18" s="587">
        <f>ROUND(8.82*2.35*0,0)</f>
        <v>0</v>
      </c>
      <c r="BX18" s="695">
        <v>0</v>
      </c>
      <c r="BY18" s="587">
        <f>ROUND(8.82*2.35*0,0)</f>
        <v>0</v>
      </c>
      <c r="BZ18" s="695">
        <v>0.9</v>
      </c>
      <c r="CA18" s="587">
        <f>ROUND(8.82*2.35*0.9,0)</f>
        <v>19</v>
      </c>
      <c r="CB18" s="695">
        <v>1.2</v>
      </c>
      <c r="CC18" s="587">
        <f>ROUND(8.82*2.35*1.2,0)</f>
        <v>25</v>
      </c>
      <c r="CD18" s="695">
        <v>1.5</v>
      </c>
      <c r="CE18" s="587">
        <f>ROUND(8.82*2.35*1.5,0)</f>
        <v>31</v>
      </c>
      <c r="CF18" s="695">
        <v>1.6</v>
      </c>
      <c r="CG18" s="587">
        <f>ROUND(8.82*2.35*1.6,0)</f>
        <v>33</v>
      </c>
      <c r="CH18" s="695">
        <v>1.7</v>
      </c>
      <c r="CI18" s="587">
        <f>ROUND(8.82*2.35*1.7,0)</f>
        <v>35</v>
      </c>
      <c r="CJ18" s="695">
        <v>1.6</v>
      </c>
      <c r="CK18" s="587">
        <f>ROUND(8.82*2.35*1.6,0)</f>
        <v>33</v>
      </c>
      <c r="CL18" s="695">
        <v>1.5</v>
      </c>
      <c r="CM18" s="587">
        <f>ROUND(8.82*2.35*1.5,0)</f>
        <v>31</v>
      </c>
      <c r="CN18" s="695">
        <v>1.3</v>
      </c>
      <c r="CO18" s="587">
        <f>ROUND(8.82*2.35*1.3,0)</f>
        <v>27</v>
      </c>
      <c r="CP18" s="695">
        <v>1.2</v>
      </c>
      <c r="CQ18" s="587">
        <f>ROUND(8.82*2.35*1.2,0)</f>
        <v>25</v>
      </c>
      <c r="CR18" s="695">
        <v>0.9</v>
      </c>
      <c r="CS18" s="587">
        <f>ROUND(8.82*2.35*0.9,0)</f>
        <v>19</v>
      </c>
      <c r="CT18" s="695">
        <v>0</v>
      </c>
      <c r="CU18" s="587">
        <f>ROUND(8.82*2.35*0,0)</f>
        <v>0</v>
      </c>
      <c r="CV18" s="695">
        <v>0</v>
      </c>
      <c r="CW18" s="587">
        <f>ROUND(8.82*2.35*0,0)</f>
        <v>0</v>
      </c>
      <c r="CX18" s="695">
        <v>0</v>
      </c>
      <c r="CY18" s="587">
        <f>ROUND(8.82*2.35*0,0)</f>
        <v>0</v>
      </c>
      <c r="CZ18" s="695">
        <v>0</v>
      </c>
      <c r="DA18" s="587">
        <f>ROUND(8.82*2.35*0,0)</f>
        <v>0</v>
      </c>
      <c r="DB18" s="695">
        <v>0</v>
      </c>
      <c r="DC18" s="587">
        <f>ROUND(8.82*2.35*0,0)</f>
        <v>0</v>
      </c>
      <c r="DD18" s="695">
        <v>0</v>
      </c>
      <c r="DE18" s="589">
        <f>ROUND(8.82*2.35*0,0)</f>
        <v>0</v>
      </c>
      <c r="DF18" s="562"/>
      <c r="DG18" s="552"/>
      <c r="DH18" s="700" t="s">
        <v>250</v>
      </c>
      <c r="DI18" s="691"/>
      <c r="DJ18" s="583">
        <v>8.82</v>
      </c>
      <c r="DK18" s="692">
        <v>2.35</v>
      </c>
      <c r="DL18" s="693"/>
      <c r="DM18" s="694">
        <v>0</v>
      </c>
      <c r="DN18" s="587">
        <f>ROUND(8.82*2.35*0,0)</f>
        <v>0</v>
      </c>
      <c r="DO18" s="695">
        <v>0</v>
      </c>
      <c r="DP18" s="587">
        <f>ROUND(8.82*2.35*0,0)</f>
        <v>0</v>
      </c>
      <c r="DQ18" s="695">
        <v>0</v>
      </c>
      <c r="DR18" s="587">
        <f>ROUND(8.82*2.35*0,0)</f>
        <v>0</v>
      </c>
      <c r="DS18" s="695">
        <v>0</v>
      </c>
      <c r="DT18" s="587">
        <f>ROUND(8.82*2.35*0,0)</f>
        <v>0</v>
      </c>
      <c r="DU18" s="695">
        <v>0</v>
      </c>
      <c r="DV18" s="587">
        <f>ROUND(8.82*2.35*0,0)</f>
        <v>0</v>
      </c>
      <c r="DW18" s="695">
        <v>0</v>
      </c>
      <c r="DX18" s="587">
        <f>ROUND(8.82*2.35*0,0)</f>
        <v>0</v>
      </c>
      <c r="DY18" s="695">
        <v>0</v>
      </c>
      <c r="DZ18" s="587">
        <f>ROUND(8.82*2.35*0,0)</f>
        <v>0</v>
      </c>
      <c r="EA18" s="695">
        <v>0</v>
      </c>
      <c r="EB18" s="587">
        <f>ROUND(8.82*2.35*0,0)</f>
        <v>0</v>
      </c>
      <c r="EC18" s="695">
        <v>0.2</v>
      </c>
      <c r="ED18" s="587">
        <f>ROUND(8.82*2.35*0.2,0)</f>
        <v>4</v>
      </c>
      <c r="EE18" s="695">
        <v>0.6</v>
      </c>
      <c r="EF18" s="587">
        <f>ROUND(8.82*2.35*0.6,0)</f>
        <v>12</v>
      </c>
      <c r="EG18" s="695">
        <v>0.9</v>
      </c>
      <c r="EH18" s="587">
        <f>ROUND(8.82*2.35*0.9,0)</f>
        <v>19</v>
      </c>
      <c r="EI18" s="695">
        <v>1.1000000000000001</v>
      </c>
      <c r="EJ18" s="587">
        <f>ROUND(8.82*2.35*1.1,0)</f>
        <v>23</v>
      </c>
      <c r="EK18" s="695">
        <v>1.1000000000000001</v>
      </c>
      <c r="EL18" s="587">
        <f>ROUND(8.82*2.35*1.1,0)</f>
        <v>23</v>
      </c>
      <c r="EM18" s="695">
        <v>1</v>
      </c>
      <c r="EN18" s="587">
        <f>ROUND(8.82*2.35*1,0)</f>
        <v>21</v>
      </c>
      <c r="EO18" s="695">
        <v>0.9</v>
      </c>
      <c r="EP18" s="587">
        <f>ROUND(8.82*2.35*0.9,0)</f>
        <v>19</v>
      </c>
      <c r="EQ18" s="695">
        <v>0.8</v>
      </c>
      <c r="ER18" s="587">
        <f>ROUND(8.82*2.35*0.8,0)</f>
        <v>17</v>
      </c>
      <c r="ES18" s="695">
        <v>0.5</v>
      </c>
      <c r="ET18" s="587">
        <f>ROUND(8.82*2.35*0.5,0)</f>
        <v>10</v>
      </c>
      <c r="EU18" s="695">
        <v>0.2</v>
      </c>
      <c r="EV18" s="587">
        <f>ROUND(8.82*2.35*0.2,0)</f>
        <v>4</v>
      </c>
      <c r="EW18" s="695">
        <v>0</v>
      </c>
      <c r="EX18" s="587">
        <f>ROUND(8.82*2.35*0,0)</f>
        <v>0</v>
      </c>
      <c r="EY18" s="695">
        <v>0</v>
      </c>
      <c r="EZ18" s="587">
        <f>ROUND(8.82*2.35*0,0)</f>
        <v>0</v>
      </c>
      <c r="FA18" s="695">
        <v>0</v>
      </c>
      <c r="FB18" s="587">
        <f>ROUND(8.82*2.35*0,0)</f>
        <v>0</v>
      </c>
      <c r="FC18" s="695">
        <v>0</v>
      </c>
      <c r="FD18" s="587">
        <f>ROUND(8.82*2.35*0,0)</f>
        <v>0</v>
      </c>
      <c r="FE18" s="695">
        <v>0</v>
      </c>
      <c r="FF18" s="587">
        <f>ROUND(8.82*2.35*0,0)</f>
        <v>0</v>
      </c>
      <c r="FG18" s="695">
        <v>0</v>
      </c>
      <c r="FH18" s="589">
        <f>ROUND(8.82*2.35*0,0)</f>
        <v>0</v>
      </c>
      <c r="FI18" s="563"/>
      <c r="FJ18" s="564"/>
      <c r="FK18" s="700" t="s">
        <v>250</v>
      </c>
      <c r="FL18" s="691"/>
      <c r="FM18" s="583">
        <v>8.82</v>
      </c>
      <c r="FN18" s="692">
        <v>2.35</v>
      </c>
      <c r="FO18" s="693"/>
      <c r="FP18" s="696">
        <v>9</v>
      </c>
      <c r="FQ18" s="697">
        <v>5.0999999999999996</v>
      </c>
      <c r="FR18" s="587">
        <f>ROUND(8.82*2.35*5.1,0)</f>
        <v>106</v>
      </c>
      <c r="FS18" s="698">
        <v>9</v>
      </c>
      <c r="FT18" s="697">
        <v>5.2</v>
      </c>
      <c r="FU18" s="592">
        <f>ROUND(8.82*2.35*5.2,0)</f>
        <v>108</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t="s">
        <v>238</v>
      </c>
      <c r="C19" s="691"/>
      <c r="D19" s="583">
        <v>13.2</v>
      </c>
      <c r="E19" s="692">
        <v>0.47</v>
      </c>
      <c r="F19" s="693"/>
      <c r="G19" s="694">
        <v>0</v>
      </c>
      <c r="H19" s="587">
        <f>ROUND(13.2*0.47*0,0)</f>
        <v>0</v>
      </c>
      <c r="I19" s="695">
        <v>0</v>
      </c>
      <c r="J19" s="587">
        <f>ROUND(13.2*0.47*0,0)</f>
        <v>0</v>
      </c>
      <c r="K19" s="695">
        <v>0</v>
      </c>
      <c r="L19" s="587">
        <f>ROUND(13.2*0.47*0,0)</f>
        <v>0</v>
      </c>
      <c r="M19" s="695">
        <v>0</v>
      </c>
      <c r="N19" s="587">
        <f>ROUND(13.2*0.47*0,0)</f>
        <v>0</v>
      </c>
      <c r="O19" s="695">
        <v>0</v>
      </c>
      <c r="P19" s="587">
        <f>ROUND(13.2*0.47*0,0)</f>
        <v>0</v>
      </c>
      <c r="Q19" s="695">
        <v>0</v>
      </c>
      <c r="R19" s="587">
        <f>ROUND(13.2*0.47*0,0)</f>
        <v>0</v>
      </c>
      <c r="S19" s="695">
        <v>0</v>
      </c>
      <c r="T19" s="587">
        <f>ROUND(13.2*0.47*0,0)</f>
        <v>0</v>
      </c>
      <c r="U19" s="695">
        <v>0</v>
      </c>
      <c r="V19" s="587">
        <f>ROUND(13.2*0.47*0,0)</f>
        <v>0</v>
      </c>
      <c r="W19" s="695">
        <v>3.3</v>
      </c>
      <c r="X19" s="587">
        <f>ROUND(13.2*0.47*3.3,0)</f>
        <v>20</v>
      </c>
      <c r="Y19" s="695">
        <v>3.2</v>
      </c>
      <c r="Z19" s="587">
        <f>ROUND(13.2*0.47*3.2,0)</f>
        <v>20</v>
      </c>
      <c r="AA19" s="695">
        <v>3.2</v>
      </c>
      <c r="AB19" s="587">
        <f>ROUND(13.2*0.47*3.2,0)</f>
        <v>20</v>
      </c>
      <c r="AC19" s="695">
        <v>3.3</v>
      </c>
      <c r="AD19" s="587">
        <f>ROUND(13.2*0.47*3.3,0)</f>
        <v>20</v>
      </c>
      <c r="AE19" s="695">
        <v>3.7</v>
      </c>
      <c r="AF19" s="587">
        <f>ROUND(13.2*0.47*3.7,0)</f>
        <v>23</v>
      </c>
      <c r="AG19" s="695">
        <v>4.3</v>
      </c>
      <c r="AH19" s="587">
        <f>ROUND(13.2*0.47*4.3,0)</f>
        <v>27</v>
      </c>
      <c r="AI19" s="695">
        <v>5</v>
      </c>
      <c r="AJ19" s="587">
        <f>ROUND(13.2*0.47*5,0)</f>
        <v>31</v>
      </c>
      <c r="AK19" s="695">
        <v>5.8</v>
      </c>
      <c r="AL19" s="587">
        <f>ROUND(13.2*0.47*5.8,0)</f>
        <v>36</v>
      </c>
      <c r="AM19" s="695">
        <v>6.6</v>
      </c>
      <c r="AN19" s="587">
        <f>ROUND(13.2*0.47*6.6,0)</f>
        <v>41</v>
      </c>
      <c r="AO19" s="695">
        <v>7.4</v>
      </c>
      <c r="AP19" s="587">
        <f>ROUND(13.2*0.47*7.4,0)</f>
        <v>46</v>
      </c>
      <c r="AQ19" s="695">
        <v>0</v>
      </c>
      <c r="AR19" s="587">
        <f>ROUND(13.2*0.47*0,0)</f>
        <v>0</v>
      </c>
      <c r="AS19" s="695">
        <v>0</v>
      </c>
      <c r="AT19" s="587">
        <f>ROUND(13.2*0.47*0,0)</f>
        <v>0</v>
      </c>
      <c r="AU19" s="695">
        <v>0</v>
      </c>
      <c r="AV19" s="587">
        <f>ROUND(13.2*0.47*0,0)</f>
        <v>0</v>
      </c>
      <c r="AW19" s="695">
        <v>0</v>
      </c>
      <c r="AX19" s="587">
        <f>ROUND(13.2*0.47*0,0)</f>
        <v>0</v>
      </c>
      <c r="AY19" s="695">
        <v>0</v>
      </c>
      <c r="AZ19" s="587">
        <f>ROUND(13.2*0.47*0,0)</f>
        <v>0</v>
      </c>
      <c r="BA19" s="695">
        <v>0</v>
      </c>
      <c r="BB19" s="589">
        <f>ROUND(13.2*0.47*0,0)</f>
        <v>0</v>
      </c>
      <c r="BC19" s="562"/>
      <c r="BD19" s="552"/>
      <c r="BE19" s="700" t="s">
        <v>238</v>
      </c>
      <c r="BF19" s="691"/>
      <c r="BG19" s="583">
        <v>13.2</v>
      </c>
      <c r="BH19" s="692">
        <v>0.47</v>
      </c>
      <c r="BI19" s="693"/>
      <c r="BJ19" s="694">
        <v>0</v>
      </c>
      <c r="BK19" s="587">
        <f>ROUND(13.2*0.47*0,0)</f>
        <v>0</v>
      </c>
      <c r="BL19" s="695">
        <v>0</v>
      </c>
      <c r="BM19" s="587">
        <f>ROUND(13.2*0.47*0,0)</f>
        <v>0</v>
      </c>
      <c r="BN19" s="695">
        <v>0</v>
      </c>
      <c r="BO19" s="587">
        <f>ROUND(13.2*0.47*0,0)</f>
        <v>0</v>
      </c>
      <c r="BP19" s="695">
        <v>0</v>
      </c>
      <c r="BQ19" s="587">
        <f>ROUND(13.2*0.47*0,0)</f>
        <v>0</v>
      </c>
      <c r="BR19" s="695">
        <v>0</v>
      </c>
      <c r="BS19" s="587">
        <f>ROUND(13.2*0.47*0,0)</f>
        <v>0</v>
      </c>
      <c r="BT19" s="695">
        <v>0</v>
      </c>
      <c r="BU19" s="587">
        <f>ROUND(13.2*0.47*0,0)</f>
        <v>0</v>
      </c>
      <c r="BV19" s="695">
        <v>0</v>
      </c>
      <c r="BW19" s="587">
        <f>ROUND(13.2*0.47*0,0)</f>
        <v>0</v>
      </c>
      <c r="BX19" s="695">
        <v>0</v>
      </c>
      <c r="BY19" s="587">
        <f>ROUND(13.2*0.47*0,0)</f>
        <v>0</v>
      </c>
      <c r="BZ19" s="695">
        <v>3.2</v>
      </c>
      <c r="CA19" s="587">
        <f>ROUND(13.2*0.47*3.2,0)</f>
        <v>20</v>
      </c>
      <c r="CB19" s="695">
        <v>3</v>
      </c>
      <c r="CC19" s="587">
        <f>ROUND(13.2*0.47*3,0)</f>
        <v>19</v>
      </c>
      <c r="CD19" s="695">
        <v>3</v>
      </c>
      <c r="CE19" s="587">
        <f>ROUND(13.2*0.47*3,0)</f>
        <v>19</v>
      </c>
      <c r="CF19" s="695">
        <v>3.1</v>
      </c>
      <c r="CG19" s="587">
        <f>ROUND(13.2*0.47*3.1,0)</f>
        <v>19</v>
      </c>
      <c r="CH19" s="695">
        <v>3.4</v>
      </c>
      <c r="CI19" s="587">
        <f>ROUND(13.2*0.47*3.4,0)</f>
        <v>21</v>
      </c>
      <c r="CJ19" s="695">
        <v>4</v>
      </c>
      <c r="CK19" s="587">
        <f>ROUND(13.2*0.47*4,0)</f>
        <v>25</v>
      </c>
      <c r="CL19" s="695">
        <v>4.8</v>
      </c>
      <c r="CM19" s="587">
        <f>ROUND(13.2*0.47*4.8,0)</f>
        <v>30</v>
      </c>
      <c r="CN19" s="695">
        <v>5.8</v>
      </c>
      <c r="CO19" s="587">
        <f>ROUND(13.2*0.47*5.8,0)</f>
        <v>36</v>
      </c>
      <c r="CP19" s="695">
        <v>6.7</v>
      </c>
      <c r="CQ19" s="587">
        <f>ROUND(13.2*0.47*6.7,0)</f>
        <v>42</v>
      </c>
      <c r="CR19" s="695">
        <v>7.6</v>
      </c>
      <c r="CS19" s="587">
        <f>ROUND(13.2*0.47*7.6,0)</f>
        <v>47</v>
      </c>
      <c r="CT19" s="695">
        <v>0</v>
      </c>
      <c r="CU19" s="587">
        <f>ROUND(13.2*0.47*0,0)</f>
        <v>0</v>
      </c>
      <c r="CV19" s="695">
        <v>0</v>
      </c>
      <c r="CW19" s="587">
        <f>ROUND(13.2*0.47*0,0)</f>
        <v>0</v>
      </c>
      <c r="CX19" s="695">
        <v>0</v>
      </c>
      <c r="CY19" s="587">
        <f>ROUND(13.2*0.47*0,0)</f>
        <v>0</v>
      </c>
      <c r="CZ19" s="695">
        <v>0</v>
      </c>
      <c r="DA19" s="587">
        <f>ROUND(13.2*0.47*0,0)</f>
        <v>0</v>
      </c>
      <c r="DB19" s="695">
        <v>0</v>
      </c>
      <c r="DC19" s="587">
        <f>ROUND(13.2*0.47*0,0)</f>
        <v>0</v>
      </c>
      <c r="DD19" s="695">
        <v>0</v>
      </c>
      <c r="DE19" s="589">
        <f>ROUND(13.2*0.47*0,0)</f>
        <v>0</v>
      </c>
      <c r="DF19" s="562"/>
      <c r="DG19" s="552"/>
      <c r="DH19" s="700" t="s">
        <v>238</v>
      </c>
      <c r="DI19" s="691"/>
      <c r="DJ19" s="583">
        <v>13.2</v>
      </c>
      <c r="DK19" s="692">
        <v>0.47</v>
      </c>
      <c r="DL19" s="693"/>
      <c r="DM19" s="694">
        <v>0</v>
      </c>
      <c r="DN19" s="587">
        <f>ROUND(13.2*0.47*0,0)</f>
        <v>0</v>
      </c>
      <c r="DO19" s="695">
        <v>0</v>
      </c>
      <c r="DP19" s="587">
        <f>ROUND(13.2*0.47*0,0)</f>
        <v>0</v>
      </c>
      <c r="DQ19" s="695">
        <v>0</v>
      </c>
      <c r="DR19" s="587">
        <f>ROUND(13.2*0.47*0,0)</f>
        <v>0</v>
      </c>
      <c r="DS19" s="695">
        <v>0</v>
      </c>
      <c r="DT19" s="587">
        <f>ROUND(13.2*0.47*0,0)</f>
        <v>0</v>
      </c>
      <c r="DU19" s="695">
        <v>0</v>
      </c>
      <c r="DV19" s="587">
        <f>ROUND(13.2*0.47*0,0)</f>
        <v>0</v>
      </c>
      <c r="DW19" s="695">
        <v>0</v>
      </c>
      <c r="DX19" s="587">
        <f>ROUND(13.2*0.47*0,0)</f>
        <v>0</v>
      </c>
      <c r="DY19" s="695">
        <v>0</v>
      </c>
      <c r="DZ19" s="587">
        <f>ROUND(13.2*0.47*0,0)</f>
        <v>0</v>
      </c>
      <c r="EA19" s="695">
        <v>0</v>
      </c>
      <c r="EB19" s="587">
        <f>ROUND(13.2*0.47*0,0)</f>
        <v>0</v>
      </c>
      <c r="EC19" s="695">
        <v>1.8</v>
      </c>
      <c r="ED19" s="587">
        <f>ROUND(13.2*0.47*1.8,0)</f>
        <v>11</v>
      </c>
      <c r="EE19" s="695">
        <v>1.5</v>
      </c>
      <c r="EF19" s="587">
        <f>ROUND(13.2*0.47*1.5,0)</f>
        <v>9</v>
      </c>
      <c r="EG19" s="695">
        <v>1.4</v>
      </c>
      <c r="EH19" s="587">
        <f>ROUND(13.2*0.47*1.4,0)</f>
        <v>9</v>
      </c>
      <c r="EI19" s="695">
        <v>1.6</v>
      </c>
      <c r="EJ19" s="587">
        <f>ROUND(13.2*0.47*1.6,0)</f>
        <v>10</v>
      </c>
      <c r="EK19" s="695">
        <v>2.1</v>
      </c>
      <c r="EL19" s="587">
        <f>ROUND(13.2*0.47*2.1,0)</f>
        <v>13</v>
      </c>
      <c r="EM19" s="695">
        <v>2.9</v>
      </c>
      <c r="EN19" s="587">
        <f>ROUND(13.2*0.47*2.9,0)</f>
        <v>18</v>
      </c>
      <c r="EO19" s="695">
        <v>4</v>
      </c>
      <c r="EP19" s="587">
        <f>ROUND(13.2*0.47*4,0)</f>
        <v>25</v>
      </c>
      <c r="EQ19" s="695">
        <v>5.3</v>
      </c>
      <c r="ER19" s="587">
        <f>ROUND(13.2*0.47*5.3,0)</f>
        <v>33</v>
      </c>
      <c r="ES19" s="695">
        <v>6.5</v>
      </c>
      <c r="ET19" s="587">
        <f>ROUND(13.2*0.47*6.5,0)</f>
        <v>40</v>
      </c>
      <c r="EU19" s="695">
        <v>7.6</v>
      </c>
      <c r="EV19" s="587">
        <f>ROUND(13.2*0.47*7.6,0)</f>
        <v>47</v>
      </c>
      <c r="EW19" s="695">
        <v>0</v>
      </c>
      <c r="EX19" s="587">
        <f>ROUND(13.2*0.47*0,0)</f>
        <v>0</v>
      </c>
      <c r="EY19" s="695">
        <v>0</v>
      </c>
      <c r="EZ19" s="587">
        <f>ROUND(13.2*0.47*0,0)</f>
        <v>0</v>
      </c>
      <c r="FA19" s="695">
        <v>0</v>
      </c>
      <c r="FB19" s="587">
        <f>ROUND(13.2*0.47*0,0)</f>
        <v>0</v>
      </c>
      <c r="FC19" s="695">
        <v>0</v>
      </c>
      <c r="FD19" s="587">
        <f>ROUND(13.2*0.47*0,0)</f>
        <v>0</v>
      </c>
      <c r="FE19" s="695">
        <v>0</v>
      </c>
      <c r="FF19" s="587">
        <f>ROUND(13.2*0.47*0,0)</f>
        <v>0</v>
      </c>
      <c r="FG19" s="695">
        <v>0</v>
      </c>
      <c r="FH19" s="589">
        <f>ROUND(13.2*0.47*0,0)</f>
        <v>0</v>
      </c>
      <c r="FI19" s="563"/>
      <c r="FJ19" s="564"/>
      <c r="FK19" s="700" t="s">
        <v>238</v>
      </c>
      <c r="FL19" s="691"/>
      <c r="FM19" s="583">
        <v>13.2</v>
      </c>
      <c r="FN19" s="692">
        <v>0.47</v>
      </c>
      <c r="FO19" s="693"/>
      <c r="FP19" s="696">
        <v>9</v>
      </c>
      <c r="FQ19" s="697">
        <v>17</v>
      </c>
      <c r="FR19" s="587">
        <f>ROUND(13.2*0.47*17,0)</f>
        <v>105</v>
      </c>
      <c r="FS19" s="698">
        <v>9</v>
      </c>
      <c r="FT19" s="697">
        <v>17.5</v>
      </c>
      <c r="FU19" s="592">
        <f>ROUND(13.2*0.47*17.5,0)</f>
        <v>109</v>
      </c>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t="s">
        <v>261</v>
      </c>
      <c r="C20" s="691"/>
      <c r="D20" s="583">
        <v>13.2</v>
      </c>
      <c r="E20" s="692">
        <v>2.84</v>
      </c>
      <c r="F20" s="693"/>
      <c r="G20" s="694">
        <v>0</v>
      </c>
      <c r="H20" s="587">
        <f>ROUND(13.2*2.84*0,0)</f>
        <v>0</v>
      </c>
      <c r="I20" s="695">
        <v>0</v>
      </c>
      <c r="J20" s="587">
        <f>ROUND(13.2*2.84*0,0)</f>
        <v>0</v>
      </c>
      <c r="K20" s="695">
        <v>0</v>
      </c>
      <c r="L20" s="587">
        <f>ROUND(13.2*2.84*0,0)</f>
        <v>0</v>
      </c>
      <c r="M20" s="695">
        <v>0</v>
      </c>
      <c r="N20" s="587">
        <f>ROUND(13.2*2.84*0,0)</f>
        <v>0</v>
      </c>
      <c r="O20" s="695">
        <v>0</v>
      </c>
      <c r="P20" s="587">
        <f>ROUND(13.2*2.84*0,0)</f>
        <v>0</v>
      </c>
      <c r="Q20" s="695">
        <v>0</v>
      </c>
      <c r="R20" s="587">
        <f>ROUND(13.2*2.84*0,0)</f>
        <v>0</v>
      </c>
      <c r="S20" s="695">
        <v>0</v>
      </c>
      <c r="T20" s="587">
        <f>ROUND(13.2*2.84*0,0)</f>
        <v>0</v>
      </c>
      <c r="U20" s="695">
        <v>0</v>
      </c>
      <c r="V20" s="587">
        <f>ROUND(13.2*2.84*0,0)</f>
        <v>0</v>
      </c>
      <c r="W20" s="695">
        <v>1</v>
      </c>
      <c r="X20" s="587">
        <f>ROUND(13.2*2.84*1,0)</f>
        <v>37</v>
      </c>
      <c r="Y20" s="695">
        <v>1.3</v>
      </c>
      <c r="Z20" s="587">
        <f>ROUND(13.2*2.84*1.3,0)</f>
        <v>49</v>
      </c>
      <c r="AA20" s="695">
        <v>1.6</v>
      </c>
      <c r="AB20" s="587">
        <f>ROUND(13.2*2.84*1.6,0)</f>
        <v>60</v>
      </c>
      <c r="AC20" s="695">
        <v>1.7</v>
      </c>
      <c r="AD20" s="587">
        <f>ROUND(13.2*2.84*1.7,0)</f>
        <v>64</v>
      </c>
      <c r="AE20" s="695">
        <v>1.8</v>
      </c>
      <c r="AF20" s="587">
        <f>ROUND(13.2*2.84*1.8,0)</f>
        <v>67</v>
      </c>
      <c r="AG20" s="695">
        <v>1.8</v>
      </c>
      <c r="AH20" s="587">
        <f>ROUND(13.2*2.84*1.8,0)</f>
        <v>67</v>
      </c>
      <c r="AI20" s="695">
        <v>1.6</v>
      </c>
      <c r="AJ20" s="587">
        <f>ROUND(13.2*2.84*1.6,0)</f>
        <v>60</v>
      </c>
      <c r="AK20" s="695">
        <v>1.5</v>
      </c>
      <c r="AL20" s="587">
        <f>ROUND(13.2*2.84*1.5,0)</f>
        <v>56</v>
      </c>
      <c r="AM20" s="695">
        <v>1.2</v>
      </c>
      <c r="AN20" s="587">
        <f>ROUND(13.2*2.84*1.2,0)</f>
        <v>45</v>
      </c>
      <c r="AO20" s="695">
        <v>1</v>
      </c>
      <c r="AP20" s="587">
        <f>ROUND(13.2*2.84*1,0)</f>
        <v>37</v>
      </c>
      <c r="AQ20" s="695">
        <v>0</v>
      </c>
      <c r="AR20" s="587">
        <f>ROUND(13.2*2.84*0,0)</f>
        <v>0</v>
      </c>
      <c r="AS20" s="695">
        <v>0</v>
      </c>
      <c r="AT20" s="587">
        <f>ROUND(13.2*2.84*0,0)</f>
        <v>0</v>
      </c>
      <c r="AU20" s="695">
        <v>0</v>
      </c>
      <c r="AV20" s="587">
        <f>ROUND(13.2*2.84*0,0)</f>
        <v>0</v>
      </c>
      <c r="AW20" s="695">
        <v>0</v>
      </c>
      <c r="AX20" s="587">
        <f>ROUND(13.2*2.84*0,0)</f>
        <v>0</v>
      </c>
      <c r="AY20" s="695">
        <v>0</v>
      </c>
      <c r="AZ20" s="587">
        <f>ROUND(13.2*2.84*0,0)</f>
        <v>0</v>
      </c>
      <c r="BA20" s="695">
        <v>0</v>
      </c>
      <c r="BB20" s="589">
        <f>ROUND(13.2*2.84*0,0)</f>
        <v>0</v>
      </c>
      <c r="BC20" s="562"/>
      <c r="BD20" s="552"/>
      <c r="BE20" s="700" t="s">
        <v>261</v>
      </c>
      <c r="BF20" s="691"/>
      <c r="BG20" s="583">
        <v>13.2</v>
      </c>
      <c r="BH20" s="692">
        <v>2.84</v>
      </c>
      <c r="BI20" s="693"/>
      <c r="BJ20" s="694">
        <v>0</v>
      </c>
      <c r="BK20" s="587">
        <f>ROUND(13.2*2.84*0,0)</f>
        <v>0</v>
      </c>
      <c r="BL20" s="695">
        <v>0</v>
      </c>
      <c r="BM20" s="587">
        <f>ROUND(13.2*2.84*0,0)</f>
        <v>0</v>
      </c>
      <c r="BN20" s="695">
        <v>0</v>
      </c>
      <c r="BO20" s="587">
        <f>ROUND(13.2*2.84*0,0)</f>
        <v>0</v>
      </c>
      <c r="BP20" s="695">
        <v>0</v>
      </c>
      <c r="BQ20" s="587">
        <f>ROUND(13.2*2.84*0,0)</f>
        <v>0</v>
      </c>
      <c r="BR20" s="695">
        <v>0</v>
      </c>
      <c r="BS20" s="587">
        <f>ROUND(13.2*2.84*0,0)</f>
        <v>0</v>
      </c>
      <c r="BT20" s="695">
        <v>0</v>
      </c>
      <c r="BU20" s="587">
        <f>ROUND(13.2*2.84*0,0)</f>
        <v>0</v>
      </c>
      <c r="BV20" s="695">
        <v>0</v>
      </c>
      <c r="BW20" s="587">
        <f>ROUND(13.2*2.84*0,0)</f>
        <v>0</v>
      </c>
      <c r="BX20" s="695">
        <v>0</v>
      </c>
      <c r="BY20" s="587">
        <f>ROUND(13.2*2.84*0,0)</f>
        <v>0</v>
      </c>
      <c r="BZ20" s="695">
        <v>0.9</v>
      </c>
      <c r="CA20" s="587">
        <f>ROUND(13.2*2.84*0.9,0)</f>
        <v>34</v>
      </c>
      <c r="CB20" s="695">
        <v>1.2</v>
      </c>
      <c r="CC20" s="587">
        <f>ROUND(13.2*2.84*1.2,0)</f>
        <v>45</v>
      </c>
      <c r="CD20" s="695">
        <v>1.5</v>
      </c>
      <c r="CE20" s="587">
        <f>ROUND(13.2*2.84*1.5,0)</f>
        <v>56</v>
      </c>
      <c r="CF20" s="695">
        <v>1.6</v>
      </c>
      <c r="CG20" s="587">
        <f>ROUND(13.2*2.84*1.6,0)</f>
        <v>60</v>
      </c>
      <c r="CH20" s="695">
        <v>1.7</v>
      </c>
      <c r="CI20" s="587">
        <f>ROUND(13.2*2.84*1.7,0)</f>
        <v>64</v>
      </c>
      <c r="CJ20" s="695">
        <v>1.6</v>
      </c>
      <c r="CK20" s="587">
        <f>ROUND(13.2*2.84*1.6,0)</f>
        <v>60</v>
      </c>
      <c r="CL20" s="695">
        <v>1.5</v>
      </c>
      <c r="CM20" s="587">
        <f>ROUND(13.2*2.84*1.5,0)</f>
        <v>56</v>
      </c>
      <c r="CN20" s="695">
        <v>1.3</v>
      </c>
      <c r="CO20" s="587">
        <f>ROUND(13.2*2.84*1.3,0)</f>
        <v>49</v>
      </c>
      <c r="CP20" s="695">
        <v>1.2</v>
      </c>
      <c r="CQ20" s="587">
        <f>ROUND(13.2*2.84*1.2,0)</f>
        <v>45</v>
      </c>
      <c r="CR20" s="695">
        <v>0.9</v>
      </c>
      <c r="CS20" s="587">
        <f>ROUND(13.2*2.84*0.9,0)</f>
        <v>34</v>
      </c>
      <c r="CT20" s="695">
        <v>0</v>
      </c>
      <c r="CU20" s="587">
        <f>ROUND(13.2*2.84*0,0)</f>
        <v>0</v>
      </c>
      <c r="CV20" s="695">
        <v>0</v>
      </c>
      <c r="CW20" s="587">
        <f>ROUND(13.2*2.84*0,0)</f>
        <v>0</v>
      </c>
      <c r="CX20" s="695">
        <v>0</v>
      </c>
      <c r="CY20" s="587">
        <f>ROUND(13.2*2.84*0,0)</f>
        <v>0</v>
      </c>
      <c r="CZ20" s="695">
        <v>0</v>
      </c>
      <c r="DA20" s="587">
        <f>ROUND(13.2*2.84*0,0)</f>
        <v>0</v>
      </c>
      <c r="DB20" s="695">
        <v>0</v>
      </c>
      <c r="DC20" s="587">
        <f>ROUND(13.2*2.84*0,0)</f>
        <v>0</v>
      </c>
      <c r="DD20" s="695">
        <v>0</v>
      </c>
      <c r="DE20" s="589">
        <f>ROUND(13.2*2.84*0,0)</f>
        <v>0</v>
      </c>
      <c r="DF20" s="562"/>
      <c r="DG20" s="552"/>
      <c r="DH20" s="700" t="s">
        <v>261</v>
      </c>
      <c r="DI20" s="691"/>
      <c r="DJ20" s="583">
        <v>13.2</v>
      </c>
      <c r="DK20" s="692">
        <v>2.84</v>
      </c>
      <c r="DL20" s="693"/>
      <c r="DM20" s="694">
        <v>0</v>
      </c>
      <c r="DN20" s="587">
        <f>ROUND(13.2*2.84*0,0)</f>
        <v>0</v>
      </c>
      <c r="DO20" s="695">
        <v>0</v>
      </c>
      <c r="DP20" s="587">
        <f>ROUND(13.2*2.84*0,0)</f>
        <v>0</v>
      </c>
      <c r="DQ20" s="695">
        <v>0</v>
      </c>
      <c r="DR20" s="587">
        <f>ROUND(13.2*2.84*0,0)</f>
        <v>0</v>
      </c>
      <c r="DS20" s="695">
        <v>0</v>
      </c>
      <c r="DT20" s="587">
        <f>ROUND(13.2*2.84*0,0)</f>
        <v>0</v>
      </c>
      <c r="DU20" s="695">
        <v>0</v>
      </c>
      <c r="DV20" s="587">
        <f>ROUND(13.2*2.84*0,0)</f>
        <v>0</v>
      </c>
      <c r="DW20" s="695">
        <v>0</v>
      </c>
      <c r="DX20" s="587">
        <f>ROUND(13.2*2.84*0,0)</f>
        <v>0</v>
      </c>
      <c r="DY20" s="695">
        <v>0</v>
      </c>
      <c r="DZ20" s="587">
        <f>ROUND(13.2*2.84*0,0)</f>
        <v>0</v>
      </c>
      <c r="EA20" s="695">
        <v>0</v>
      </c>
      <c r="EB20" s="587">
        <f>ROUND(13.2*2.84*0,0)</f>
        <v>0</v>
      </c>
      <c r="EC20" s="695">
        <v>0.2</v>
      </c>
      <c r="ED20" s="587">
        <f>ROUND(13.2*2.84*0.2,0)</f>
        <v>7</v>
      </c>
      <c r="EE20" s="695">
        <v>0.6</v>
      </c>
      <c r="EF20" s="587">
        <f>ROUND(13.2*2.84*0.6,0)</f>
        <v>22</v>
      </c>
      <c r="EG20" s="695">
        <v>0.9</v>
      </c>
      <c r="EH20" s="587">
        <f>ROUND(13.2*2.84*0.9,0)</f>
        <v>34</v>
      </c>
      <c r="EI20" s="695">
        <v>1.1000000000000001</v>
      </c>
      <c r="EJ20" s="587">
        <f>ROUND(13.2*2.84*1.1,0)</f>
        <v>41</v>
      </c>
      <c r="EK20" s="695">
        <v>1.1000000000000001</v>
      </c>
      <c r="EL20" s="587">
        <f>ROUND(13.2*2.84*1.1,0)</f>
        <v>41</v>
      </c>
      <c r="EM20" s="695">
        <v>1</v>
      </c>
      <c r="EN20" s="587">
        <f>ROUND(13.2*2.84*1,0)</f>
        <v>37</v>
      </c>
      <c r="EO20" s="695">
        <v>0.9</v>
      </c>
      <c r="EP20" s="587">
        <f>ROUND(13.2*2.84*0.9,0)</f>
        <v>34</v>
      </c>
      <c r="EQ20" s="695">
        <v>0.8</v>
      </c>
      <c r="ER20" s="587">
        <f>ROUND(13.2*2.84*0.8,0)</f>
        <v>30</v>
      </c>
      <c r="ES20" s="695">
        <v>0.5</v>
      </c>
      <c r="ET20" s="587">
        <f>ROUND(13.2*2.84*0.5,0)</f>
        <v>19</v>
      </c>
      <c r="EU20" s="695">
        <v>0.2</v>
      </c>
      <c r="EV20" s="587">
        <f>ROUND(13.2*2.84*0.2,0)</f>
        <v>7</v>
      </c>
      <c r="EW20" s="695">
        <v>0</v>
      </c>
      <c r="EX20" s="587">
        <f>ROUND(13.2*2.84*0,0)</f>
        <v>0</v>
      </c>
      <c r="EY20" s="695">
        <v>0</v>
      </c>
      <c r="EZ20" s="587">
        <f>ROUND(13.2*2.84*0,0)</f>
        <v>0</v>
      </c>
      <c r="FA20" s="695">
        <v>0</v>
      </c>
      <c r="FB20" s="587">
        <f>ROUND(13.2*2.84*0,0)</f>
        <v>0</v>
      </c>
      <c r="FC20" s="695">
        <v>0</v>
      </c>
      <c r="FD20" s="587">
        <f>ROUND(13.2*2.84*0,0)</f>
        <v>0</v>
      </c>
      <c r="FE20" s="695">
        <v>0</v>
      </c>
      <c r="FF20" s="587">
        <f>ROUND(13.2*2.84*0,0)</f>
        <v>0</v>
      </c>
      <c r="FG20" s="695">
        <v>0</v>
      </c>
      <c r="FH20" s="589">
        <f>ROUND(13.2*2.84*0,0)</f>
        <v>0</v>
      </c>
      <c r="FI20" s="563"/>
      <c r="FJ20" s="564"/>
      <c r="FK20" s="700" t="s">
        <v>261</v>
      </c>
      <c r="FL20" s="691"/>
      <c r="FM20" s="583">
        <v>13.2</v>
      </c>
      <c r="FN20" s="692">
        <v>2.84</v>
      </c>
      <c r="FO20" s="693"/>
      <c r="FP20" s="696">
        <v>9</v>
      </c>
      <c r="FQ20" s="697">
        <v>5.0999999999999996</v>
      </c>
      <c r="FR20" s="587">
        <f>ROUND(13.2*2.84*5.1,0)</f>
        <v>191</v>
      </c>
      <c r="FS20" s="698">
        <v>9</v>
      </c>
      <c r="FT20" s="697">
        <v>5.2</v>
      </c>
      <c r="FU20" s="592">
        <f>ROUND(13.2*2.84*5.2,0)</f>
        <v>195</v>
      </c>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c r="C21" s="691"/>
      <c r="D21" s="583"/>
      <c r="E21" s="692"/>
      <c r="F21" s="693"/>
      <c r="G21" s="694"/>
      <c r="H21" s="587"/>
      <c r="I21" s="695"/>
      <c r="J21" s="587"/>
      <c r="K21" s="695"/>
      <c r="L21" s="587"/>
      <c r="M21" s="695"/>
      <c r="N21" s="587"/>
      <c r="O21" s="695"/>
      <c r="P21" s="587"/>
      <c r="Q21" s="695"/>
      <c r="R21" s="587"/>
      <c r="S21" s="695"/>
      <c r="T21" s="587"/>
      <c r="U21" s="695"/>
      <c r="V21" s="587"/>
      <c r="W21" s="695"/>
      <c r="X21" s="587"/>
      <c r="Y21" s="695"/>
      <c r="Z21" s="587"/>
      <c r="AA21" s="695"/>
      <c r="AB21" s="587"/>
      <c r="AC21" s="695"/>
      <c r="AD21" s="587"/>
      <c r="AE21" s="695"/>
      <c r="AF21" s="587"/>
      <c r="AG21" s="695"/>
      <c r="AH21" s="587"/>
      <c r="AI21" s="695"/>
      <c r="AJ21" s="587"/>
      <c r="AK21" s="695"/>
      <c r="AL21" s="587"/>
      <c r="AM21" s="695"/>
      <c r="AN21" s="587"/>
      <c r="AO21" s="695"/>
      <c r="AP21" s="587"/>
      <c r="AQ21" s="695"/>
      <c r="AR21" s="587"/>
      <c r="AS21" s="695"/>
      <c r="AT21" s="587"/>
      <c r="AU21" s="695"/>
      <c r="AV21" s="587"/>
      <c r="AW21" s="695"/>
      <c r="AX21" s="587"/>
      <c r="AY21" s="695"/>
      <c r="AZ21" s="587"/>
      <c r="BA21" s="695"/>
      <c r="BB21" s="589"/>
      <c r="BC21" s="562"/>
      <c r="BD21" s="552"/>
      <c r="BE21" s="700"/>
      <c r="BF21" s="691"/>
      <c r="BG21" s="583"/>
      <c r="BH21" s="692"/>
      <c r="BI21" s="693"/>
      <c r="BJ21" s="694"/>
      <c r="BK21" s="587"/>
      <c r="BL21" s="695"/>
      <c r="BM21" s="587"/>
      <c r="BN21" s="695"/>
      <c r="BO21" s="587"/>
      <c r="BP21" s="695"/>
      <c r="BQ21" s="587"/>
      <c r="BR21" s="695"/>
      <c r="BS21" s="587"/>
      <c r="BT21" s="695"/>
      <c r="BU21" s="587"/>
      <c r="BV21" s="695"/>
      <c r="BW21" s="587"/>
      <c r="BX21" s="695"/>
      <c r="BY21" s="587"/>
      <c r="BZ21" s="695"/>
      <c r="CA21" s="587"/>
      <c r="CB21" s="695"/>
      <c r="CC21" s="587"/>
      <c r="CD21" s="695"/>
      <c r="CE21" s="587"/>
      <c r="CF21" s="695"/>
      <c r="CG21" s="587"/>
      <c r="CH21" s="695"/>
      <c r="CI21" s="587"/>
      <c r="CJ21" s="695"/>
      <c r="CK21" s="587"/>
      <c r="CL21" s="695"/>
      <c r="CM21" s="587"/>
      <c r="CN21" s="695"/>
      <c r="CO21" s="587"/>
      <c r="CP21" s="695"/>
      <c r="CQ21" s="587"/>
      <c r="CR21" s="695"/>
      <c r="CS21" s="587"/>
      <c r="CT21" s="695"/>
      <c r="CU21" s="587"/>
      <c r="CV21" s="695"/>
      <c r="CW21" s="587"/>
      <c r="CX21" s="695"/>
      <c r="CY21" s="587"/>
      <c r="CZ21" s="695"/>
      <c r="DA21" s="587"/>
      <c r="DB21" s="695"/>
      <c r="DC21" s="587"/>
      <c r="DD21" s="695"/>
      <c r="DE21" s="589"/>
      <c r="DF21" s="562"/>
      <c r="DG21" s="552"/>
      <c r="DH21" s="700"/>
      <c r="DI21" s="691"/>
      <c r="DJ21" s="583"/>
      <c r="DK21" s="692"/>
      <c r="DL21" s="693"/>
      <c r="DM21" s="694"/>
      <c r="DN21" s="587"/>
      <c r="DO21" s="695"/>
      <c r="DP21" s="587"/>
      <c r="DQ21" s="695"/>
      <c r="DR21" s="587"/>
      <c r="DS21" s="695"/>
      <c r="DT21" s="587"/>
      <c r="DU21" s="695"/>
      <c r="DV21" s="587"/>
      <c r="DW21" s="695"/>
      <c r="DX21" s="587"/>
      <c r="DY21" s="695"/>
      <c r="DZ21" s="587"/>
      <c r="EA21" s="695"/>
      <c r="EB21" s="587"/>
      <c r="EC21" s="695"/>
      <c r="ED21" s="587"/>
      <c r="EE21" s="695"/>
      <c r="EF21" s="587"/>
      <c r="EG21" s="695"/>
      <c r="EH21" s="587"/>
      <c r="EI21" s="695"/>
      <c r="EJ21" s="587"/>
      <c r="EK21" s="695"/>
      <c r="EL21" s="587"/>
      <c r="EM21" s="695"/>
      <c r="EN21" s="587"/>
      <c r="EO21" s="695"/>
      <c r="EP21" s="587"/>
      <c r="EQ21" s="695"/>
      <c r="ER21" s="587"/>
      <c r="ES21" s="695"/>
      <c r="ET21" s="587"/>
      <c r="EU21" s="695"/>
      <c r="EV21" s="587"/>
      <c r="EW21" s="695"/>
      <c r="EX21" s="587"/>
      <c r="EY21" s="695"/>
      <c r="EZ21" s="587"/>
      <c r="FA21" s="695"/>
      <c r="FB21" s="587"/>
      <c r="FC21" s="695"/>
      <c r="FD21" s="587"/>
      <c r="FE21" s="695"/>
      <c r="FF21" s="587"/>
      <c r="FG21" s="695"/>
      <c r="FH21" s="589"/>
      <c r="FI21" s="563"/>
      <c r="FJ21" s="564"/>
      <c r="FK21" s="700"/>
      <c r="FL21" s="691"/>
      <c r="FM21" s="583"/>
      <c r="FN21" s="692"/>
      <c r="FO21" s="693"/>
      <c r="FP21" s="696"/>
      <c r="FQ21" s="697"/>
      <c r="FR21" s="587"/>
      <c r="FS21" s="698"/>
      <c r="FT21" s="697"/>
      <c r="FU21" s="592"/>
      <c r="FV21" s="593"/>
      <c r="FW21" s="594"/>
      <c r="FX21" s="595"/>
      <c r="FY21" s="596"/>
      <c r="FZ21" s="597"/>
      <c r="GA21" s="598"/>
      <c r="GB21" s="599"/>
      <c r="GC21" s="600"/>
      <c r="GD21" s="599"/>
      <c r="GE21" s="601"/>
      <c r="GF21" s="688"/>
      <c r="GG21" s="602"/>
      <c r="GH21" s="602"/>
      <c r="GI21" s="602"/>
      <c r="GJ21" s="409"/>
      <c r="GK21" s="701" t="s">
        <v>699</v>
      </c>
      <c r="GL21" s="702"/>
      <c r="GM21" s="703"/>
      <c r="GN21" s="638">
        <v>5.4</v>
      </c>
      <c r="GO21" s="704"/>
      <c r="GP21" s="705"/>
      <c r="GQ21" s="633">
        <v>0</v>
      </c>
      <c r="GR21" s="634">
        <v>5.4</v>
      </c>
      <c r="GS21" s="578"/>
      <c r="GT21" s="677"/>
      <c r="GU21" s="701" t="s">
        <v>699</v>
      </c>
      <c r="GV21" s="702"/>
      <c r="GW21" s="703"/>
      <c r="GX21" s="706">
        <v>5.4</v>
      </c>
      <c r="GY21" s="707"/>
      <c r="GZ21" s="704"/>
      <c r="HA21" s="708">
        <v>1.62</v>
      </c>
      <c r="HB21" s="709"/>
      <c r="HC21" s="710"/>
      <c r="HD21" s="562"/>
      <c r="HE21" s="615"/>
      <c r="HF21" s="615"/>
      <c r="HG21" s="415"/>
    </row>
    <row r="22" spans="1:218" ht="20.100000000000001" customHeight="1">
      <c r="A22" s="552"/>
      <c r="B22" s="700"/>
      <c r="C22" s="691"/>
      <c r="D22" s="583"/>
      <c r="E22" s="692"/>
      <c r="F22" s="693"/>
      <c r="G22" s="694"/>
      <c r="H22" s="587"/>
      <c r="I22" s="695"/>
      <c r="J22" s="587"/>
      <c r="K22" s="695"/>
      <c r="L22" s="587"/>
      <c r="M22" s="695"/>
      <c r="N22" s="587"/>
      <c r="O22" s="695"/>
      <c r="P22" s="587"/>
      <c r="Q22" s="695"/>
      <c r="R22" s="587"/>
      <c r="S22" s="695"/>
      <c r="T22" s="587"/>
      <c r="U22" s="695"/>
      <c r="V22" s="587"/>
      <c r="W22" s="695"/>
      <c r="X22" s="587"/>
      <c r="Y22" s="695"/>
      <c r="Z22" s="587"/>
      <c r="AA22" s="695"/>
      <c r="AB22" s="587"/>
      <c r="AC22" s="695"/>
      <c r="AD22" s="587"/>
      <c r="AE22" s="695"/>
      <c r="AF22" s="587"/>
      <c r="AG22" s="695"/>
      <c r="AH22" s="587"/>
      <c r="AI22" s="695"/>
      <c r="AJ22" s="587"/>
      <c r="AK22" s="695"/>
      <c r="AL22" s="587"/>
      <c r="AM22" s="695"/>
      <c r="AN22" s="587"/>
      <c r="AO22" s="695"/>
      <c r="AP22" s="587"/>
      <c r="AQ22" s="695"/>
      <c r="AR22" s="587"/>
      <c r="AS22" s="695"/>
      <c r="AT22" s="587"/>
      <c r="AU22" s="695"/>
      <c r="AV22" s="587"/>
      <c r="AW22" s="695"/>
      <c r="AX22" s="587"/>
      <c r="AY22" s="695"/>
      <c r="AZ22" s="587"/>
      <c r="BA22" s="695"/>
      <c r="BB22" s="589"/>
      <c r="BC22" s="562"/>
      <c r="BD22" s="552"/>
      <c r="BE22" s="700"/>
      <c r="BF22" s="691"/>
      <c r="BG22" s="583"/>
      <c r="BH22" s="692"/>
      <c r="BI22" s="693"/>
      <c r="BJ22" s="694"/>
      <c r="BK22" s="587"/>
      <c r="BL22" s="695"/>
      <c r="BM22" s="587"/>
      <c r="BN22" s="695"/>
      <c r="BO22" s="587"/>
      <c r="BP22" s="695"/>
      <c r="BQ22" s="587"/>
      <c r="BR22" s="695"/>
      <c r="BS22" s="587"/>
      <c r="BT22" s="695"/>
      <c r="BU22" s="587"/>
      <c r="BV22" s="695"/>
      <c r="BW22" s="587"/>
      <c r="BX22" s="695"/>
      <c r="BY22" s="587"/>
      <c r="BZ22" s="695"/>
      <c r="CA22" s="587"/>
      <c r="CB22" s="695"/>
      <c r="CC22" s="587"/>
      <c r="CD22" s="695"/>
      <c r="CE22" s="587"/>
      <c r="CF22" s="695"/>
      <c r="CG22" s="587"/>
      <c r="CH22" s="695"/>
      <c r="CI22" s="587"/>
      <c r="CJ22" s="695"/>
      <c r="CK22" s="587"/>
      <c r="CL22" s="695"/>
      <c r="CM22" s="587"/>
      <c r="CN22" s="695"/>
      <c r="CO22" s="587"/>
      <c r="CP22" s="695"/>
      <c r="CQ22" s="587"/>
      <c r="CR22" s="695"/>
      <c r="CS22" s="587"/>
      <c r="CT22" s="695"/>
      <c r="CU22" s="587"/>
      <c r="CV22" s="695"/>
      <c r="CW22" s="587"/>
      <c r="CX22" s="695"/>
      <c r="CY22" s="587"/>
      <c r="CZ22" s="695"/>
      <c r="DA22" s="587"/>
      <c r="DB22" s="695"/>
      <c r="DC22" s="587"/>
      <c r="DD22" s="695"/>
      <c r="DE22" s="589"/>
      <c r="DF22" s="562"/>
      <c r="DG22" s="552"/>
      <c r="DH22" s="700"/>
      <c r="DI22" s="691"/>
      <c r="DJ22" s="583"/>
      <c r="DK22" s="692"/>
      <c r="DL22" s="693"/>
      <c r="DM22" s="694"/>
      <c r="DN22" s="587"/>
      <c r="DO22" s="695"/>
      <c r="DP22" s="587"/>
      <c r="DQ22" s="695"/>
      <c r="DR22" s="587"/>
      <c r="DS22" s="695"/>
      <c r="DT22" s="587"/>
      <c r="DU22" s="695"/>
      <c r="DV22" s="587"/>
      <c r="DW22" s="695"/>
      <c r="DX22" s="587"/>
      <c r="DY22" s="695"/>
      <c r="DZ22" s="587"/>
      <c r="EA22" s="695"/>
      <c r="EB22" s="587"/>
      <c r="EC22" s="695"/>
      <c r="ED22" s="587"/>
      <c r="EE22" s="695"/>
      <c r="EF22" s="587"/>
      <c r="EG22" s="695"/>
      <c r="EH22" s="587"/>
      <c r="EI22" s="695"/>
      <c r="EJ22" s="587"/>
      <c r="EK22" s="695"/>
      <c r="EL22" s="587"/>
      <c r="EM22" s="695"/>
      <c r="EN22" s="587"/>
      <c r="EO22" s="695"/>
      <c r="EP22" s="587"/>
      <c r="EQ22" s="695"/>
      <c r="ER22" s="587"/>
      <c r="ES22" s="695"/>
      <c r="ET22" s="587"/>
      <c r="EU22" s="695"/>
      <c r="EV22" s="587"/>
      <c r="EW22" s="695"/>
      <c r="EX22" s="587"/>
      <c r="EY22" s="695"/>
      <c r="EZ22" s="587"/>
      <c r="FA22" s="695"/>
      <c r="FB22" s="587"/>
      <c r="FC22" s="695"/>
      <c r="FD22" s="587"/>
      <c r="FE22" s="695"/>
      <c r="FF22" s="587"/>
      <c r="FG22" s="695"/>
      <c r="FH22" s="589"/>
      <c r="FI22" s="563"/>
      <c r="FJ22" s="564"/>
      <c r="FK22" s="700"/>
      <c r="FL22" s="691"/>
      <c r="FM22" s="583"/>
      <c r="FN22" s="692"/>
      <c r="FO22" s="693"/>
      <c r="FP22" s="696"/>
      <c r="FQ22" s="697"/>
      <c r="FR22" s="587"/>
      <c r="FS22" s="698"/>
      <c r="FT22" s="697"/>
      <c r="FU22" s="592"/>
      <c r="FV22" s="593"/>
      <c r="FW22" s="594"/>
      <c r="FX22" s="595"/>
      <c r="FY22" s="596"/>
      <c r="FZ22" s="597"/>
      <c r="GA22" s="598"/>
      <c r="GB22" s="599"/>
      <c r="GC22" s="600"/>
      <c r="GD22" s="599"/>
      <c r="GE22" s="601"/>
      <c r="GF22" s="688"/>
      <c r="GG22" s="602"/>
      <c r="GH22" s="602"/>
      <c r="GI22" s="602"/>
      <c r="GJ22" s="530"/>
      <c r="GK22" s="711" t="s">
        <v>700</v>
      </c>
      <c r="GL22" s="712"/>
      <c r="GM22" s="712"/>
      <c r="GN22" s="713"/>
      <c r="GO22" s="633">
        <v>0</v>
      </c>
      <c r="GP22" s="633">
        <v>1</v>
      </c>
      <c r="GQ22" s="714"/>
      <c r="GR22" s="715"/>
      <c r="GS22" s="578"/>
      <c r="GT22" s="677"/>
      <c r="GU22" s="711" t="s">
        <v>539</v>
      </c>
      <c r="GV22" s="712"/>
      <c r="GW22" s="712"/>
      <c r="GX22" s="712"/>
      <c r="GY22" s="713"/>
      <c r="GZ22" s="633">
        <v>0.3</v>
      </c>
      <c r="HA22" s="716"/>
      <c r="HB22" s="717"/>
      <c r="HC22" s="413"/>
      <c r="HD22" s="562"/>
      <c r="HE22" s="415"/>
      <c r="HF22" s="415"/>
      <c r="HG22" s="415"/>
    </row>
    <row r="23" spans="1:218" ht="20.100000000000001" customHeight="1">
      <c r="A23" s="552"/>
      <c r="B23" s="700"/>
      <c r="C23" s="691"/>
      <c r="D23" s="583"/>
      <c r="E23" s="692"/>
      <c r="F23" s="693"/>
      <c r="G23" s="694"/>
      <c r="H23" s="587"/>
      <c r="I23" s="695"/>
      <c r="J23" s="587"/>
      <c r="K23" s="695"/>
      <c r="L23" s="587"/>
      <c r="M23" s="695"/>
      <c r="N23" s="587"/>
      <c r="O23" s="695"/>
      <c r="P23" s="587"/>
      <c r="Q23" s="695"/>
      <c r="R23" s="587"/>
      <c r="S23" s="695"/>
      <c r="T23" s="587"/>
      <c r="U23" s="695"/>
      <c r="V23" s="587"/>
      <c r="W23" s="695"/>
      <c r="X23" s="587"/>
      <c r="Y23" s="695"/>
      <c r="Z23" s="587"/>
      <c r="AA23" s="695"/>
      <c r="AB23" s="587"/>
      <c r="AC23" s="695"/>
      <c r="AD23" s="587"/>
      <c r="AE23" s="695"/>
      <c r="AF23" s="587"/>
      <c r="AG23" s="695"/>
      <c r="AH23" s="587"/>
      <c r="AI23" s="695"/>
      <c r="AJ23" s="587"/>
      <c r="AK23" s="695"/>
      <c r="AL23" s="587"/>
      <c r="AM23" s="695"/>
      <c r="AN23" s="587"/>
      <c r="AO23" s="695"/>
      <c r="AP23" s="587"/>
      <c r="AQ23" s="695"/>
      <c r="AR23" s="587"/>
      <c r="AS23" s="695"/>
      <c r="AT23" s="587"/>
      <c r="AU23" s="695"/>
      <c r="AV23" s="587"/>
      <c r="AW23" s="695"/>
      <c r="AX23" s="587"/>
      <c r="AY23" s="695"/>
      <c r="AZ23" s="587"/>
      <c r="BA23" s="695"/>
      <c r="BB23" s="589"/>
      <c r="BC23" s="562"/>
      <c r="BD23" s="552"/>
      <c r="BE23" s="700"/>
      <c r="BF23" s="691"/>
      <c r="BG23" s="583"/>
      <c r="BH23" s="692"/>
      <c r="BI23" s="693"/>
      <c r="BJ23" s="694"/>
      <c r="BK23" s="587"/>
      <c r="BL23" s="695"/>
      <c r="BM23" s="587"/>
      <c r="BN23" s="695"/>
      <c r="BO23" s="587"/>
      <c r="BP23" s="695"/>
      <c r="BQ23" s="587"/>
      <c r="BR23" s="695"/>
      <c r="BS23" s="587"/>
      <c r="BT23" s="695"/>
      <c r="BU23" s="587"/>
      <c r="BV23" s="695"/>
      <c r="BW23" s="587"/>
      <c r="BX23" s="695"/>
      <c r="BY23" s="587"/>
      <c r="BZ23" s="695"/>
      <c r="CA23" s="587"/>
      <c r="CB23" s="695"/>
      <c r="CC23" s="587"/>
      <c r="CD23" s="695"/>
      <c r="CE23" s="587"/>
      <c r="CF23" s="695"/>
      <c r="CG23" s="587"/>
      <c r="CH23" s="695"/>
      <c r="CI23" s="587"/>
      <c r="CJ23" s="695"/>
      <c r="CK23" s="587"/>
      <c r="CL23" s="695"/>
      <c r="CM23" s="587"/>
      <c r="CN23" s="695"/>
      <c r="CO23" s="587"/>
      <c r="CP23" s="695"/>
      <c r="CQ23" s="587"/>
      <c r="CR23" s="695"/>
      <c r="CS23" s="587"/>
      <c r="CT23" s="695"/>
      <c r="CU23" s="587"/>
      <c r="CV23" s="695"/>
      <c r="CW23" s="587"/>
      <c r="CX23" s="695"/>
      <c r="CY23" s="587"/>
      <c r="CZ23" s="695"/>
      <c r="DA23" s="587"/>
      <c r="DB23" s="695"/>
      <c r="DC23" s="587"/>
      <c r="DD23" s="695"/>
      <c r="DE23" s="589"/>
      <c r="DF23" s="562"/>
      <c r="DG23" s="552"/>
      <c r="DH23" s="700"/>
      <c r="DI23" s="691"/>
      <c r="DJ23" s="583"/>
      <c r="DK23" s="692"/>
      <c r="DL23" s="693"/>
      <c r="DM23" s="694"/>
      <c r="DN23" s="587"/>
      <c r="DO23" s="695"/>
      <c r="DP23" s="587"/>
      <c r="DQ23" s="695"/>
      <c r="DR23" s="587"/>
      <c r="DS23" s="695"/>
      <c r="DT23" s="587"/>
      <c r="DU23" s="695"/>
      <c r="DV23" s="587"/>
      <c r="DW23" s="695"/>
      <c r="DX23" s="587"/>
      <c r="DY23" s="695"/>
      <c r="DZ23" s="587"/>
      <c r="EA23" s="695"/>
      <c r="EB23" s="587"/>
      <c r="EC23" s="695"/>
      <c r="ED23" s="587"/>
      <c r="EE23" s="695"/>
      <c r="EF23" s="587"/>
      <c r="EG23" s="695"/>
      <c r="EH23" s="587"/>
      <c r="EI23" s="695"/>
      <c r="EJ23" s="587"/>
      <c r="EK23" s="695"/>
      <c r="EL23" s="587"/>
      <c r="EM23" s="695"/>
      <c r="EN23" s="587"/>
      <c r="EO23" s="695"/>
      <c r="EP23" s="587"/>
      <c r="EQ23" s="695"/>
      <c r="ER23" s="587"/>
      <c r="ES23" s="695"/>
      <c r="ET23" s="587"/>
      <c r="EU23" s="695"/>
      <c r="EV23" s="587"/>
      <c r="EW23" s="695"/>
      <c r="EX23" s="587"/>
      <c r="EY23" s="695"/>
      <c r="EZ23" s="587"/>
      <c r="FA23" s="695"/>
      <c r="FB23" s="587"/>
      <c r="FC23" s="695"/>
      <c r="FD23" s="587"/>
      <c r="FE23" s="695"/>
      <c r="FF23" s="587"/>
      <c r="FG23" s="695"/>
      <c r="FH23" s="589"/>
      <c r="FI23" s="563"/>
      <c r="FJ23" s="564"/>
      <c r="FK23" s="700"/>
      <c r="FL23" s="691"/>
      <c r="FM23" s="583"/>
      <c r="FN23" s="692"/>
      <c r="FO23" s="693"/>
      <c r="FP23" s="696"/>
      <c r="FQ23" s="697"/>
      <c r="FR23" s="587"/>
      <c r="FS23" s="698"/>
      <c r="FT23" s="697"/>
      <c r="FU23" s="592"/>
      <c r="FV23" s="593"/>
      <c r="FW23" s="594"/>
      <c r="FX23" s="595"/>
      <c r="FY23" s="596"/>
      <c r="FZ23" s="597"/>
      <c r="GA23" s="598"/>
      <c r="GB23" s="599"/>
      <c r="GC23" s="600"/>
      <c r="GD23" s="599"/>
      <c r="GE23" s="601"/>
      <c r="GF23" s="688"/>
      <c r="GG23" s="602"/>
      <c r="GH23" s="602"/>
      <c r="GI23" s="602"/>
      <c r="GJ23" s="615"/>
      <c r="GK23" s="580" t="s">
        <v>777</v>
      </c>
      <c r="GL23" s="609"/>
      <c r="GM23" s="718"/>
      <c r="GN23" s="719">
        <v>13.23</v>
      </c>
      <c r="GO23" s="500" t="s">
        <v>904</v>
      </c>
      <c r="GP23" s="719"/>
      <c r="GQ23" s="609"/>
      <c r="GR23" s="615"/>
      <c r="GS23" s="578"/>
      <c r="GT23" s="677"/>
      <c r="GU23" s="609"/>
      <c r="GV23" s="530"/>
      <c r="GW23" s="609"/>
      <c r="GX23" s="609"/>
      <c r="GY23" s="720"/>
      <c r="GZ23" s="721"/>
      <c r="HA23" s="413"/>
      <c r="HB23" s="721" t="s">
        <v>778</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703</v>
      </c>
      <c r="GL24" s="609"/>
      <c r="GM24" s="718"/>
      <c r="GN24" s="719">
        <v>0.41</v>
      </c>
      <c r="GO24" s="719"/>
      <c r="GP24" s="719"/>
      <c r="GQ24" s="609"/>
      <c r="GR24" s="615"/>
      <c r="GS24" s="609"/>
      <c r="GT24" s="677"/>
      <c r="GU24" s="580" t="s">
        <v>704</v>
      </c>
      <c r="GV24" s="609"/>
      <c r="GW24" s="609"/>
      <c r="GX24" s="413"/>
      <c r="GY24" s="722">
        <v>614</v>
      </c>
      <c r="GZ24" s="580" t="s">
        <v>705</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544</v>
      </c>
      <c r="GV25" s="609"/>
      <c r="GW25" s="609"/>
      <c r="GX25" s="413"/>
      <c r="GY25" s="733">
        <v>1</v>
      </c>
      <c r="GZ25" s="580"/>
      <c r="HA25" s="530"/>
      <c r="HB25" s="530"/>
      <c r="HC25" s="530"/>
      <c r="HD25" s="562"/>
      <c r="HE25" s="562"/>
      <c r="HF25" s="415"/>
      <c r="HG25" s="415"/>
    </row>
    <row r="26" spans="1:218" ht="20.100000000000001" customHeight="1">
      <c r="A26" s="641"/>
      <c r="B26" s="642"/>
      <c r="C26" s="642"/>
      <c r="D26" s="642" t="s">
        <v>971</v>
      </c>
      <c r="E26" s="642"/>
      <c r="F26" s="642"/>
      <c r="G26" s="644"/>
      <c r="H26" s="645">
        <f>SUM(H16:H25)</f>
        <v>0</v>
      </c>
      <c r="I26" s="734"/>
      <c r="J26" s="645">
        <f>SUM(J16:J25)</f>
        <v>0</v>
      </c>
      <c r="K26" s="735"/>
      <c r="L26" s="645">
        <f>SUM(L16:L25)</f>
        <v>0</v>
      </c>
      <c r="M26" s="735"/>
      <c r="N26" s="645">
        <f>SUM(N16:N25)</f>
        <v>0</v>
      </c>
      <c r="O26" s="735"/>
      <c r="P26" s="645">
        <f>SUM(P16:P25)</f>
        <v>0</v>
      </c>
      <c r="Q26" s="735"/>
      <c r="R26" s="645">
        <f>SUM(R16:R25)</f>
        <v>0</v>
      </c>
      <c r="S26" s="735"/>
      <c r="T26" s="645">
        <f>SUM(T16:T25)</f>
        <v>0</v>
      </c>
      <c r="U26" s="735"/>
      <c r="V26" s="645">
        <f>SUM(V16:V25)</f>
        <v>0</v>
      </c>
      <c r="W26" s="735"/>
      <c r="X26" s="645">
        <f>SUM(X16:X25)</f>
        <v>177</v>
      </c>
      <c r="Y26" s="735"/>
      <c r="Z26" s="645">
        <f>SUM(Z16:Z25)</f>
        <v>236</v>
      </c>
      <c r="AA26" s="735"/>
      <c r="AB26" s="645">
        <f>SUM(AB16:AB25)</f>
        <v>282</v>
      </c>
      <c r="AC26" s="735"/>
      <c r="AD26" s="645">
        <f>SUM(AD16:AD25)</f>
        <v>310</v>
      </c>
      <c r="AE26" s="735"/>
      <c r="AF26" s="645">
        <f>SUM(AF16:AF25)</f>
        <v>333</v>
      </c>
      <c r="AG26" s="735"/>
      <c r="AH26" s="645">
        <f>SUM(AH16:AH25)</f>
        <v>351</v>
      </c>
      <c r="AI26" s="735"/>
      <c r="AJ26" s="645">
        <f>SUM(AJ16:AJ25)</f>
        <v>348</v>
      </c>
      <c r="AK26" s="735"/>
      <c r="AL26" s="645">
        <f>SUM(AL16:AL25)</f>
        <v>348</v>
      </c>
      <c r="AM26" s="735"/>
      <c r="AN26" s="645">
        <f>SUM(AN16:AN25)</f>
        <v>318</v>
      </c>
      <c r="AO26" s="735"/>
      <c r="AP26" s="645">
        <f>SUM(AP16:AP25)</f>
        <v>286</v>
      </c>
      <c r="AQ26" s="735"/>
      <c r="AR26" s="645">
        <f>SUM(AR16:AR25)</f>
        <v>0</v>
      </c>
      <c r="AS26" s="735"/>
      <c r="AT26" s="645">
        <f>SUM(AT16:AT25)</f>
        <v>0</v>
      </c>
      <c r="AU26" s="735"/>
      <c r="AV26" s="645">
        <f>SUM(AV16:AV25)</f>
        <v>0</v>
      </c>
      <c r="AW26" s="735"/>
      <c r="AX26" s="645">
        <f>SUM(AX16:AX25)</f>
        <v>0</v>
      </c>
      <c r="AY26" s="735"/>
      <c r="AZ26" s="645">
        <f>SUM(AZ16:AZ25)</f>
        <v>0</v>
      </c>
      <c r="BA26" s="735"/>
      <c r="BB26" s="647">
        <f>SUM(BB16:BB25)</f>
        <v>0</v>
      </c>
      <c r="BC26" s="648"/>
      <c r="BD26" s="641"/>
      <c r="BE26" s="642"/>
      <c r="BF26" s="642"/>
      <c r="BG26" s="642" t="s">
        <v>971</v>
      </c>
      <c r="BH26" s="642"/>
      <c r="BI26" s="642"/>
      <c r="BJ26" s="644"/>
      <c r="BK26" s="645">
        <f>SUM(BK16:BK25)</f>
        <v>0</v>
      </c>
      <c r="BL26" s="734"/>
      <c r="BM26" s="645">
        <f>SUM(BM16:BM25)</f>
        <v>0</v>
      </c>
      <c r="BN26" s="735"/>
      <c r="BO26" s="645">
        <f>SUM(BO16:BO25)</f>
        <v>0</v>
      </c>
      <c r="BP26" s="735"/>
      <c r="BQ26" s="645">
        <f>SUM(BQ16:BQ25)</f>
        <v>0</v>
      </c>
      <c r="BR26" s="735"/>
      <c r="BS26" s="645">
        <f>SUM(BS16:BS25)</f>
        <v>0</v>
      </c>
      <c r="BT26" s="735"/>
      <c r="BU26" s="645">
        <f>SUM(BU16:BU25)</f>
        <v>0</v>
      </c>
      <c r="BV26" s="735"/>
      <c r="BW26" s="645">
        <f>SUM(BW16:BW25)</f>
        <v>0</v>
      </c>
      <c r="BX26" s="735"/>
      <c r="BY26" s="645">
        <f>SUM(BY16:BY25)</f>
        <v>0</v>
      </c>
      <c r="BZ26" s="735"/>
      <c r="CA26" s="645">
        <f>SUM(CA16:CA25)</f>
        <v>163</v>
      </c>
      <c r="CB26" s="735"/>
      <c r="CC26" s="645">
        <f>SUM(CC16:CC25)</f>
        <v>215</v>
      </c>
      <c r="CD26" s="735"/>
      <c r="CE26" s="645">
        <f>SUM(CE16:CE25)</f>
        <v>264</v>
      </c>
      <c r="CF26" s="735"/>
      <c r="CG26" s="645">
        <f>SUM(CG16:CG25)</f>
        <v>289</v>
      </c>
      <c r="CH26" s="735"/>
      <c r="CI26" s="645">
        <f>SUM(CI16:CI25)</f>
        <v>312</v>
      </c>
      <c r="CJ26" s="735"/>
      <c r="CK26" s="645">
        <f>SUM(CK16:CK25)</f>
        <v>323</v>
      </c>
      <c r="CL26" s="735"/>
      <c r="CM26" s="645">
        <f>SUM(CM16:CM25)</f>
        <v>336</v>
      </c>
      <c r="CN26" s="735"/>
      <c r="CO26" s="645">
        <f>SUM(CO16:CO25)</f>
        <v>346</v>
      </c>
      <c r="CP26" s="735"/>
      <c r="CQ26" s="645">
        <f>SUM(CQ16:CQ25)</f>
        <v>350</v>
      </c>
      <c r="CR26" s="735"/>
      <c r="CS26" s="645">
        <f>SUM(CS16:CS25)</f>
        <v>320</v>
      </c>
      <c r="CT26" s="735"/>
      <c r="CU26" s="645">
        <f>SUM(CU16:CU25)</f>
        <v>0</v>
      </c>
      <c r="CV26" s="735"/>
      <c r="CW26" s="645">
        <f>SUM(CW16:CW25)</f>
        <v>0</v>
      </c>
      <c r="CX26" s="735"/>
      <c r="CY26" s="645">
        <f>SUM(CY16:CY25)</f>
        <v>0</v>
      </c>
      <c r="CZ26" s="735"/>
      <c r="DA26" s="645">
        <f>SUM(DA16:DA25)</f>
        <v>0</v>
      </c>
      <c r="DB26" s="735"/>
      <c r="DC26" s="645">
        <f>SUM(DC16:DC25)</f>
        <v>0</v>
      </c>
      <c r="DD26" s="735"/>
      <c r="DE26" s="647">
        <f>SUM(DE16:DE25)</f>
        <v>0</v>
      </c>
      <c r="DF26" s="648"/>
      <c r="DG26" s="641"/>
      <c r="DH26" s="642"/>
      <c r="DI26" s="642"/>
      <c r="DJ26" s="642" t="s">
        <v>971</v>
      </c>
      <c r="DK26" s="642"/>
      <c r="DL26" s="642"/>
      <c r="DM26" s="644"/>
      <c r="DN26" s="645">
        <f>SUM(DN16:DN25)</f>
        <v>0</v>
      </c>
      <c r="DO26" s="734"/>
      <c r="DP26" s="645">
        <f>SUM(DP16:DP25)</f>
        <v>0</v>
      </c>
      <c r="DQ26" s="735"/>
      <c r="DR26" s="645">
        <f>SUM(DR16:DR25)</f>
        <v>0</v>
      </c>
      <c r="DS26" s="735"/>
      <c r="DT26" s="645">
        <f>SUM(DT16:DT25)</f>
        <v>0</v>
      </c>
      <c r="DU26" s="735"/>
      <c r="DV26" s="645">
        <f>SUM(DV16:DV25)</f>
        <v>0</v>
      </c>
      <c r="DW26" s="735"/>
      <c r="DX26" s="645">
        <f>SUM(DX16:DX25)</f>
        <v>0</v>
      </c>
      <c r="DY26" s="735"/>
      <c r="DZ26" s="645">
        <f>SUM(DZ16:DZ25)</f>
        <v>0</v>
      </c>
      <c r="EA26" s="735"/>
      <c r="EB26" s="645">
        <f>SUM(EB16:EB25)</f>
        <v>0</v>
      </c>
      <c r="EC26" s="735"/>
      <c r="ED26" s="645">
        <f>SUM(ED16:ED25)</f>
        <v>40</v>
      </c>
      <c r="EE26" s="735"/>
      <c r="EF26" s="645">
        <f>SUM(EF16:EF25)</f>
        <v>103</v>
      </c>
      <c r="EG26" s="735"/>
      <c r="EH26" s="645">
        <f>SUM(EH16:EH25)</f>
        <v>152</v>
      </c>
      <c r="EI26" s="735"/>
      <c r="EJ26" s="645">
        <f>SUM(EJ16:EJ25)</f>
        <v>191</v>
      </c>
      <c r="EK26" s="735"/>
      <c r="EL26" s="645">
        <f>SUM(EL16:EL25)</f>
        <v>208</v>
      </c>
      <c r="EM26" s="735"/>
      <c r="EN26" s="645">
        <f>SUM(EN16:EN25)</f>
        <v>218</v>
      </c>
      <c r="EO26" s="735"/>
      <c r="EP26" s="645">
        <f>SUM(EP16:EP25)</f>
        <v>234</v>
      </c>
      <c r="EQ26" s="735"/>
      <c r="ER26" s="645">
        <f>SUM(ER16:ER25)</f>
        <v>248</v>
      </c>
      <c r="ES26" s="735"/>
      <c r="ET26" s="645">
        <f>SUM(ET16:ET25)</f>
        <v>223</v>
      </c>
      <c r="EU26" s="735"/>
      <c r="EV26" s="645">
        <f>SUM(EV16:EV25)</f>
        <v>177</v>
      </c>
      <c r="EW26" s="735"/>
      <c r="EX26" s="645">
        <f>SUM(EX16:EX25)</f>
        <v>0</v>
      </c>
      <c r="EY26" s="735"/>
      <c r="EZ26" s="645">
        <f>SUM(EZ16:EZ25)</f>
        <v>0</v>
      </c>
      <c r="FA26" s="735"/>
      <c r="FB26" s="645">
        <f>SUM(FB16:FB25)</f>
        <v>0</v>
      </c>
      <c r="FC26" s="735"/>
      <c r="FD26" s="645">
        <f>SUM(FD16:FD25)</f>
        <v>0</v>
      </c>
      <c r="FE26" s="735"/>
      <c r="FF26" s="645">
        <f>SUM(FF16:FF25)</f>
        <v>0</v>
      </c>
      <c r="FG26" s="735"/>
      <c r="FH26" s="647">
        <f>SUM(FH16:FH25)</f>
        <v>0</v>
      </c>
      <c r="FI26" s="649"/>
      <c r="FJ26" s="564"/>
      <c r="FK26" s="642"/>
      <c r="FL26" s="642"/>
      <c r="FM26" s="642" t="s">
        <v>971</v>
      </c>
      <c r="FN26" s="642"/>
      <c r="FO26" s="642"/>
      <c r="FP26" s="650"/>
      <c r="FQ26" s="651"/>
      <c r="FR26" s="645">
        <f>SUM(FR16:FR25)</f>
        <v>921</v>
      </c>
      <c r="FS26" s="736"/>
      <c r="FT26" s="651"/>
      <c r="FU26" s="653">
        <f>SUM(FU16:FU25)</f>
        <v>946</v>
      </c>
      <c r="FV26" s="593"/>
      <c r="FW26" s="594"/>
      <c r="FX26" s="595"/>
      <c r="FY26" s="596"/>
      <c r="FZ26" s="597"/>
      <c r="GA26" s="598"/>
      <c r="GB26" s="599"/>
      <c r="GC26" s="600"/>
      <c r="GD26" s="599"/>
      <c r="GE26" s="601"/>
      <c r="GF26" s="654"/>
      <c r="GG26" s="655"/>
      <c r="GH26" s="655"/>
      <c r="GI26" s="655"/>
      <c r="GJ26" s="615"/>
      <c r="GK26" s="530" t="s">
        <v>722</v>
      </c>
      <c r="GL26" s="615"/>
      <c r="GM26" s="530"/>
      <c r="GN26" s="615"/>
      <c r="GO26" s="530"/>
      <c r="GP26" s="615"/>
      <c r="GQ26" s="615"/>
      <c r="GR26" s="615"/>
      <c r="GS26" s="579"/>
      <c r="GT26" s="677"/>
      <c r="GU26" s="580" t="s">
        <v>834</v>
      </c>
      <c r="GV26" s="609"/>
      <c r="GW26" s="609"/>
      <c r="GX26" s="413"/>
      <c r="GY26" s="733">
        <v>0.3</v>
      </c>
      <c r="GZ26" s="580"/>
      <c r="HA26" s="530"/>
      <c r="HB26" s="530"/>
      <c r="HC26" s="530"/>
      <c r="HD26" s="648"/>
      <c r="HE26" s="415"/>
      <c r="HF26" s="415"/>
      <c r="HG26" s="580"/>
      <c r="HH26" s="648"/>
      <c r="HI26" s="415"/>
      <c r="HJ26" s="415"/>
    </row>
    <row r="27" spans="1:218" ht="20.100000000000001" customHeight="1">
      <c r="A27" s="1292" t="s">
        <v>766</v>
      </c>
      <c r="B27" s="738"/>
      <c r="C27" s="739"/>
      <c r="D27" s="663"/>
      <c r="E27" s="739"/>
      <c r="F27" s="739"/>
      <c r="G27" s="740" t="s">
        <v>322</v>
      </c>
      <c r="H27" s="663" t="s">
        <v>430</v>
      </c>
      <c r="I27" s="741" t="s">
        <v>322</v>
      </c>
      <c r="J27" s="663" t="s">
        <v>430</v>
      </c>
      <c r="K27" s="742" t="s">
        <v>429</v>
      </c>
      <c r="L27" s="663" t="s">
        <v>430</v>
      </c>
      <c r="M27" s="742" t="s">
        <v>322</v>
      </c>
      <c r="N27" s="663" t="s">
        <v>430</v>
      </c>
      <c r="O27" s="742" t="s">
        <v>322</v>
      </c>
      <c r="P27" s="663" t="s">
        <v>430</v>
      </c>
      <c r="Q27" s="742" t="s">
        <v>322</v>
      </c>
      <c r="R27" s="663" t="s">
        <v>428</v>
      </c>
      <c r="S27" s="742" t="s">
        <v>322</v>
      </c>
      <c r="T27" s="663" t="s">
        <v>428</v>
      </c>
      <c r="U27" s="742" t="s">
        <v>322</v>
      </c>
      <c r="V27" s="663" t="s">
        <v>428</v>
      </c>
      <c r="W27" s="742" t="s">
        <v>322</v>
      </c>
      <c r="X27" s="663" t="s">
        <v>428</v>
      </c>
      <c r="Y27" s="742" t="s">
        <v>429</v>
      </c>
      <c r="Z27" s="663" t="s">
        <v>430</v>
      </c>
      <c r="AA27" s="742" t="s">
        <v>429</v>
      </c>
      <c r="AB27" s="663" t="s">
        <v>430</v>
      </c>
      <c r="AC27" s="742" t="s">
        <v>322</v>
      </c>
      <c r="AD27" s="663" t="s">
        <v>428</v>
      </c>
      <c r="AE27" s="742" t="s">
        <v>429</v>
      </c>
      <c r="AF27" s="663" t="s">
        <v>430</v>
      </c>
      <c r="AG27" s="742" t="s">
        <v>429</v>
      </c>
      <c r="AH27" s="663" t="s">
        <v>428</v>
      </c>
      <c r="AI27" s="742" t="s">
        <v>322</v>
      </c>
      <c r="AJ27" s="663" t="s">
        <v>430</v>
      </c>
      <c r="AK27" s="742" t="s">
        <v>322</v>
      </c>
      <c r="AL27" s="663" t="s">
        <v>430</v>
      </c>
      <c r="AM27" s="742" t="s">
        <v>322</v>
      </c>
      <c r="AN27" s="663" t="s">
        <v>430</v>
      </c>
      <c r="AO27" s="742" t="s">
        <v>322</v>
      </c>
      <c r="AP27" s="663" t="s">
        <v>430</v>
      </c>
      <c r="AQ27" s="742" t="s">
        <v>322</v>
      </c>
      <c r="AR27" s="663" t="s">
        <v>428</v>
      </c>
      <c r="AS27" s="742" t="s">
        <v>322</v>
      </c>
      <c r="AT27" s="663" t="s">
        <v>430</v>
      </c>
      <c r="AU27" s="742" t="s">
        <v>429</v>
      </c>
      <c r="AV27" s="663" t="s">
        <v>430</v>
      </c>
      <c r="AW27" s="742" t="s">
        <v>322</v>
      </c>
      <c r="AX27" s="663" t="s">
        <v>428</v>
      </c>
      <c r="AY27" s="742" t="s">
        <v>429</v>
      </c>
      <c r="AZ27" s="663" t="s">
        <v>428</v>
      </c>
      <c r="BA27" s="742" t="s">
        <v>322</v>
      </c>
      <c r="BB27" s="665" t="s">
        <v>428</v>
      </c>
      <c r="BC27" s="723"/>
      <c r="BD27" s="1292" t="s">
        <v>432</v>
      </c>
      <c r="BE27" s="738"/>
      <c r="BF27" s="739"/>
      <c r="BG27" s="663"/>
      <c r="BH27" s="739"/>
      <c r="BI27" s="739"/>
      <c r="BJ27" s="740" t="s">
        <v>429</v>
      </c>
      <c r="BK27" s="663" t="s">
        <v>428</v>
      </c>
      <c r="BL27" s="741" t="s">
        <v>429</v>
      </c>
      <c r="BM27" s="663" t="s">
        <v>428</v>
      </c>
      <c r="BN27" s="742" t="s">
        <v>429</v>
      </c>
      <c r="BO27" s="663" t="s">
        <v>430</v>
      </c>
      <c r="BP27" s="742" t="s">
        <v>429</v>
      </c>
      <c r="BQ27" s="663" t="s">
        <v>430</v>
      </c>
      <c r="BR27" s="742" t="s">
        <v>322</v>
      </c>
      <c r="BS27" s="663" t="s">
        <v>430</v>
      </c>
      <c r="BT27" s="742" t="s">
        <v>429</v>
      </c>
      <c r="BU27" s="663" t="s">
        <v>430</v>
      </c>
      <c r="BV27" s="742" t="s">
        <v>322</v>
      </c>
      <c r="BW27" s="663" t="s">
        <v>430</v>
      </c>
      <c r="BX27" s="742" t="s">
        <v>322</v>
      </c>
      <c r="BY27" s="663" t="s">
        <v>428</v>
      </c>
      <c r="BZ27" s="742" t="s">
        <v>322</v>
      </c>
      <c r="CA27" s="663" t="s">
        <v>430</v>
      </c>
      <c r="CB27" s="742" t="s">
        <v>429</v>
      </c>
      <c r="CC27" s="663" t="s">
        <v>430</v>
      </c>
      <c r="CD27" s="742" t="s">
        <v>322</v>
      </c>
      <c r="CE27" s="663" t="s">
        <v>430</v>
      </c>
      <c r="CF27" s="742" t="s">
        <v>429</v>
      </c>
      <c r="CG27" s="663" t="s">
        <v>430</v>
      </c>
      <c r="CH27" s="742" t="s">
        <v>322</v>
      </c>
      <c r="CI27" s="663" t="s">
        <v>430</v>
      </c>
      <c r="CJ27" s="742" t="s">
        <v>322</v>
      </c>
      <c r="CK27" s="663" t="s">
        <v>428</v>
      </c>
      <c r="CL27" s="742" t="s">
        <v>322</v>
      </c>
      <c r="CM27" s="663" t="s">
        <v>430</v>
      </c>
      <c r="CN27" s="742" t="s">
        <v>322</v>
      </c>
      <c r="CO27" s="663" t="s">
        <v>430</v>
      </c>
      <c r="CP27" s="742" t="s">
        <v>322</v>
      </c>
      <c r="CQ27" s="663" t="s">
        <v>430</v>
      </c>
      <c r="CR27" s="742" t="s">
        <v>429</v>
      </c>
      <c r="CS27" s="663" t="s">
        <v>430</v>
      </c>
      <c r="CT27" s="742" t="s">
        <v>429</v>
      </c>
      <c r="CU27" s="663" t="s">
        <v>430</v>
      </c>
      <c r="CV27" s="742" t="s">
        <v>429</v>
      </c>
      <c r="CW27" s="663" t="s">
        <v>430</v>
      </c>
      <c r="CX27" s="742" t="s">
        <v>429</v>
      </c>
      <c r="CY27" s="663" t="s">
        <v>428</v>
      </c>
      <c r="CZ27" s="742" t="s">
        <v>322</v>
      </c>
      <c r="DA27" s="663" t="s">
        <v>428</v>
      </c>
      <c r="DB27" s="742" t="s">
        <v>322</v>
      </c>
      <c r="DC27" s="663" t="s">
        <v>430</v>
      </c>
      <c r="DD27" s="742" t="s">
        <v>429</v>
      </c>
      <c r="DE27" s="665" t="s">
        <v>428</v>
      </c>
      <c r="DF27" s="723"/>
      <c r="DG27" s="1292" t="s">
        <v>431</v>
      </c>
      <c r="DH27" s="743"/>
      <c r="DI27" s="744"/>
      <c r="DJ27" s="745"/>
      <c r="DK27" s="744"/>
      <c r="DL27" s="744"/>
      <c r="DM27" s="740" t="s">
        <v>429</v>
      </c>
      <c r="DN27" s="663" t="s">
        <v>430</v>
      </c>
      <c r="DO27" s="741" t="s">
        <v>429</v>
      </c>
      <c r="DP27" s="663" t="s">
        <v>430</v>
      </c>
      <c r="DQ27" s="742" t="s">
        <v>429</v>
      </c>
      <c r="DR27" s="663" t="s">
        <v>428</v>
      </c>
      <c r="DS27" s="742" t="s">
        <v>429</v>
      </c>
      <c r="DT27" s="663" t="s">
        <v>430</v>
      </c>
      <c r="DU27" s="742" t="s">
        <v>429</v>
      </c>
      <c r="DV27" s="663" t="s">
        <v>428</v>
      </c>
      <c r="DW27" s="742" t="s">
        <v>322</v>
      </c>
      <c r="DX27" s="663" t="s">
        <v>430</v>
      </c>
      <c r="DY27" s="742" t="s">
        <v>322</v>
      </c>
      <c r="DZ27" s="663" t="s">
        <v>430</v>
      </c>
      <c r="EA27" s="742" t="s">
        <v>322</v>
      </c>
      <c r="EB27" s="663" t="s">
        <v>430</v>
      </c>
      <c r="EC27" s="742" t="s">
        <v>322</v>
      </c>
      <c r="ED27" s="663" t="s">
        <v>430</v>
      </c>
      <c r="EE27" s="742" t="s">
        <v>322</v>
      </c>
      <c r="EF27" s="663" t="s">
        <v>428</v>
      </c>
      <c r="EG27" s="742" t="s">
        <v>322</v>
      </c>
      <c r="EH27" s="663" t="s">
        <v>430</v>
      </c>
      <c r="EI27" s="742" t="s">
        <v>429</v>
      </c>
      <c r="EJ27" s="663" t="s">
        <v>430</v>
      </c>
      <c r="EK27" s="742" t="s">
        <v>322</v>
      </c>
      <c r="EL27" s="663" t="s">
        <v>428</v>
      </c>
      <c r="EM27" s="742" t="s">
        <v>429</v>
      </c>
      <c r="EN27" s="663" t="s">
        <v>428</v>
      </c>
      <c r="EO27" s="742" t="s">
        <v>322</v>
      </c>
      <c r="EP27" s="663" t="s">
        <v>428</v>
      </c>
      <c r="EQ27" s="742" t="s">
        <v>322</v>
      </c>
      <c r="ER27" s="663" t="s">
        <v>430</v>
      </c>
      <c r="ES27" s="742" t="s">
        <v>322</v>
      </c>
      <c r="ET27" s="663" t="s">
        <v>428</v>
      </c>
      <c r="EU27" s="742" t="s">
        <v>322</v>
      </c>
      <c r="EV27" s="663" t="s">
        <v>430</v>
      </c>
      <c r="EW27" s="742" t="s">
        <v>322</v>
      </c>
      <c r="EX27" s="663" t="s">
        <v>430</v>
      </c>
      <c r="EY27" s="742" t="s">
        <v>429</v>
      </c>
      <c r="EZ27" s="663" t="s">
        <v>430</v>
      </c>
      <c r="FA27" s="742" t="s">
        <v>322</v>
      </c>
      <c r="FB27" s="663" t="s">
        <v>428</v>
      </c>
      <c r="FC27" s="742" t="s">
        <v>322</v>
      </c>
      <c r="FD27" s="663" t="s">
        <v>430</v>
      </c>
      <c r="FE27" s="742" t="s">
        <v>322</v>
      </c>
      <c r="FF27" s="663" t="s">
        <v>428</v>
      </c>
      <c r="FG27" s="742" t="s">
        <v>322</v>
      </c>
      <c r="FH27" s="665" t="s">
        <v>430</v>
      </c>
      <c r="FI27" s="746"/>
      <c r="FJ27" s="542" t="s">
        <v>431</v>
      </c>
      <c r="FK27" s="743"/>
      <c r="FL27" s="744"/>
      <c r="FM27" s="745"/>
      <c r="FN27" s="744"/>
      <c r="FO27" s="744"/>
      <c r="FP27" s="747" t="s">
        <v>433</v>
      </c>
      <c r="FQ27" s="673" t="s">
        <v>429</v>
      </c>
      <c r="FR27" s="663" t="s">
        <v>434</v>
      </c>
      <c r="FS27" s="748" t="s">
        <v>450</v>
      </c>
      <c r="FT27" s="673" t="s">
        <v>429</v>
      </c>
      <c r="FU27" s="675" t="s">
        <v>434</v>
      </c>
      <c r="FV27" s="593"/>
      <c r="FW27" s="594"/>
      <c r="FX27" s="595"/>
      <c r="FY27" s="596"/>
      <c r="FZ27" s="597"/>
      <c r="GA27" s="598"/>
      <c r="GB27" s="599"/>
      <c r="GC27" s="600"/>
      <c r="GD27" s="599"/>
      <c r="GE27" s="601"/>
      <c r="GF27" s="749"/>
      <c r="GG27" s="750"/>
      <c r="GH27" s="750"/>
      <c r="GI27" s="750"/>
      <c r="GJ27" s="615"/>
      <c r="GK27" s="530" t="s">
        <v>547</v>
      </c>
      <c r="GL27" s="615"/>
      <c r="GM27" s="615"/>
      <c r="GN27" s="615"/>
      <c r="GO27" s="413"/>
      <c r="GP27" s="751">
        <v>27.3</v>
      </c>
      <c r="GQ27" s="413" t="s">
        <v>707</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437</v>
      </c>
      <c r="C28" s="753"/>
      <c r="D28" s="754">
        <v>55</v>
      </c>
      <c r="E28" s="755">
        <v>4</v>
      </c>
      <c r="F28" s="756" t="s">
        <v>436</v>
      </c>
      <c r="G28" s="757"/>
      <c r="H28" s="559"/>
      <c r="I28" s="758"/>
      <c r="J28" s="559"/>
      <c r="K28" s="758"/>
      <c r="L28" s="559"/>
      <c r="M28" s="758"/>
      <c r="N28" s="559"/>
      <c r="O28" s="758"/>
      <c r="P28" s="559"/>
      <c r="Q28" s="758"/>
      <c r="R28" s="559"/>
      <c r="S28" s="758"/>
      <c r="T28" s="559"/>
      <c r="U28" s="758"/>
      <c r="V28" s="559"/>
      <c r="W28" s="758">
        <v>1</v>
      </c>
      <c r="X28" s="559">
        <v>220</v>
      </c>
      <c r="Y28" s="758">
        <v>1</v>
      </c>
      <c r="Z28" s="559">
        <v>220</v>
      </c>
      <c r="AA28" s="758">
        <v>1</v>
      </c>
      <c r="AB28" s="559">
        <v>220</v>
      </c>
      <c r="AC28" s="758">
        <v>1</v>
      </c>
      <c r="AD28" s="559">
        <v>220</v>
      </c>
      <c r="AE28" s="758">
        <v>1</v>
      </c>
      <c r="AF28" s="559">
        <v>220</v>
      </c>
      <c r="AG28" s="758">
        <v>1</v>
      </c>
      <c r="AH28" s="559">
        <v>220</v>
      </c>
      <c r="AI28" s="758">
        <v>1</v>
      </c>
      <c r="AJ28" s="559">
        <v>220</v>
      </c>
      <c r="AK28" s="758">
        <v>1</v>
      </c>
      <c r="AL28" s="559">
        <v>220</v>
      </c>
      <c r="AM28" s="758">
        <v>1</v>
      </c>
      <c r="AN28" s="559">
        <v>220</v>
      </c>
      <c r="AO28" s="758">
        <v>1</v>
      </c>
      <c r="AP28" s="559">
        <v>220</v>
      </c>
      <c r="AQ28" s="758"/>
      <c r="AR28" s="559"/>
      <c r="AS28" s="758"/>
      <c r="AT28" s="559"/>
      <c r="AU28" s="758"/>
      <c r="AV28" s="559"/>
      <c r="AW28" s="758"/>
      <c r="AX28" s="559"/>
      <c r="AY28" s="758"/>
      <c r="AZ28" s="559"/>
      <c r="BA28" s="758"/>
      <c r="BB28" s="684"/>
      <c r="BC28" s="562"/>
      <c r="BD28" s="552"/>
      <c r="BE28" s="752" t="s">
        <v>435</v>
      </c>
      <c r="BF28" s="753"/>
      <c r="BG28" s="754">
        <v>55</v>
      </c>
      <c r="BH28" s="755">
        <v>4</v>
      </c>
      <c r="BI28" s="756" t="s">
        <v>436</v>
      </c>
      <c r="BJ28" s="757"/>
      <c r="BK28" s="559"/>
      <c r="BL28" s="758"/>
      <c r="BM28" s="559"/>
      <c r="BN28" s="758"/>
      <c r="BO28" s="559"/>
      <c r="BP28" s="758"/>
      <c r="BQ28" s="559"/>
      <c r="BR28" s="758"/>
      <c r="BS28" s="559"/>
      <c r="BT28" s="758"/>
      <c r="BU28" s="559"/>
      <c r="BV28" s="758"/>
      <c r="BW28" s="559"/>
      <c r="BX28" s="758"/>
      <c r="BY28" s="559"/>
      <c r="BZ28" s="758">
        <v>1</v>
      </c>
      <c r="CA28" s="559">
        <v>220</v>
      </c>
      <c r="CB28" s="758">
        <v>1</v>
      </c>
      <c r="CC28" s="559">
        <v>220</v>
      </c>
      <c r="CD28" s="758">
        <v>1</v>
      </c>
      <c r="CE28" s="559">
        <v>220</v>
      </c>
      <c r="CF28" s="758">
        <v>1</v>
      </c>
      <c r="CG28" s="559">
        <v>220</v>
      </c>
      <c r="CH28" s="758">
        <v>1</v>
      </c>
      <c r="CI28" s="559">
        <v>220</v>
      </c>
      <c r="CJ28" s="758">
        <v>1</v>
      </c>
      <c r="CK28" s="559">
        <v>220</v>
      </c>
      <c r="CL28" s="758">
        <v>1</v>
      </c>
      <c r="CM28" s="559">
        <v>220</v>
      </c>
      <c r="CN28" s="758">
        <v>1</v>
      </c>
      <c r="CO28" s="559">
        <v>220</v>
      </c>
      <c r="CP28" s="758">
        <v>1</v>
      </c>
      <c r="CQ28" s="559">
        <v>220</v>
      </c>
      <c r="CR28" s="758">
        <v>1</v>
      </c>
      <c r="CS28" s="559">
        <v>220</v>
      </c>
      <c r="CT28" s="758"/>
      <c r="CU28" s="559"/>
      <c r="CV28" s="758"/>
      <c r="CW28" s="559"/>
      <c r="CX28" s="758"/>
      <c r="CY28" s="559"/>
      <c r="CZ28" s="758"/>
      <c r="DA28" s="559"/>
      <c r="DB28" s="758"/>
      <c r="DC28" s="559"/>
      <c r="DD28" s="758"/>
      <c r="DE28" s="684"/>
      <c r="DF28" s="562"/>
      <c r="DG28" s="552"/>
      <c r="DH28" s="752" t="s">
        <v>435</v>
      </c>
      <c r="DI28" s="753"/>
      <c r="DJ28" s="754">
        <v>55</v>
      </c>
      <c r="DK28" s="755">
        <v>4</v>
      </c>
      <c r="DL28" s="756" t="s">
        <v>436</v>
      </c>
      <c r="DM28" s="757"/>
      <c r="DN28" s="559"/>
      <c r="DO28" s="758"/>
      <c r="DP28" s="559"/>
      <c r="DQ28" s="758"/>
      <c r="DR28" s="559"/>
      <c r="DS28" s="758"/>
      <c r="DT28" s="559"/>
      <c r="DU28" s="758"/>
      <c r="DV28" s="559"/>
      <c r="DW28" s="758"/>
      <c r="DX28" s="559"/>
      <c r="DY28" s="758"/>
      <c r="DZ28" s="559"/>
      <c r="EA28" s="758"/>
      <c r="EB28" s="559"/>
      <c r="EC28" s="758">
        <v>1</v>
      </c>
      <c r="ED28" s="559">
        <v>220</v>
      </c>
      <c r="EE28" s="758">
        <v>1</v>
      </c>
      <c r="EF28" s="559">
        <v>220</v>
      </c>
      <c r="EG28" s="758">
        <v>1</v>
      </c>
      <c r="EH28" s="559">
        <v>220</v>
      </c>
      <c r="EI28" s="758">
        <v>1</v>
      </c>
      <c r="EJ28" s="559">
        <v>220</v>
      </c>
      <c r="EK28" s="758">
        <v>1</v>
      </c>
      <c r="EL28" s="559">
        <v>220</v>
      </c>
      <c r="EM28" s="758">
        <v>1</v>
      </c>
      <c r="EN28" s="559">
        <v>220</v>
      </c>
      <c r="EO28" s="758">
        <v>1</v>
      </c>
      <c r="EP28" s="559">
        <v>220</v>
      </c>
      <c r="EQ28" s="758">
        <v>1</v>
      </c>
      <c r="ER28" s="559">
        <v>220</v>
      </c>
      <c r="ES28" s="758">
        <v>1</v>
      </c>
      <c r="ET28" s="559">
        <v>220</v>
      </c>
      <c r="EU28" s="758">
        <v>1</v>
      </c>
      <c r="EV28" s="559">
        <v>220</v>
      </c>
      <c r="EW28" s="758"/>
      <c r="EX28" s="559"/>
      <c r="EY28" s="758"/>
      <c r="EZ28" s="559"/>
      <c r="FA28" s="758"/>
      <c r="FB28" s="559"/>
      <c r="FC28" s="758"/>
      <c r="FD28" s="559"/>
      <c r="FE28" s="758"/>
      <c r="FF28" s="559"/>
      <c r="FG28" s="758"/>
      <c r="FH28" s="684"/>
      <c r="FI28" s="563"/>
      <c r="FJ28" s="564"/>
      <c r="FK28" s="752" t="s">
        <v>437</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708</v>
      </c>
      <c r="GL28" s="413"/>
      <c r="GM28" s="413"/>
      <c r="GN28" s="413"/>
      <c r="GO28" s="530"/>
      <c r="GP28" s="751">
        <v>28</v>
      </c>
      <c r="GQ28" s="413" t="s">
        <v>550</v>
      </c>
      <c r="GR28" s="733"/>
      <c r="GS28" s="530"/>
      <c r="GT28" s="763"/>
      <c r="GU28" s="580" t="s">
        <v>709</v>
      </c>
      <c r="GV28" s="609"/>
      <c r="GW28" s="530"/>
      <c r="GX28" s="529"/>
      <c r="GY28" s="409"/>
      <c r="GZ28" s="615"/>
      <c r="HA28" s="530"/>
      <c r="HB28" s="530"/>
      <c r="HC28" s="530"/>
      <c r="HD28" s="530"/>
      <c r="HE28" s="415"/>
      <c r="HF28" s="415"/>
      <c r="HG28" s="415"/>
      <c r="HH28" s="415"/>
    </row>
    <row r="29" spans="1:218" ht="20.100000000000001" customHeight="1" thickBot="1">
      <c r="A29" s="552"/>
      <c r="B29" s="764" t="s">
        <v>439</v>
      </c>
      <c r="C29" s="765"/>
      <c r="D29" s="766">
        <v>10</v>
      </c>
      <c r="E29" s="767">
        <v>13.23</v>
      </c>
      <c r="F29" s="768" t="s">
        <v>436</v>
      </c>
      <c r="G29" s="769"/>
      <c r="H29" s="587"/>
      <c r="I29" s="770"/>
      <c r="J29" s="587"/>
      <c r="K29" s="770"/>
      <c r="L29" s="587"/>
      <c r="M29" s="770"/>
      <c r="N29" s="587"/>
      <c r="O29" s="770"/>
      <c r="P29" s="587"/>
      <c r="Q29" s="770"/>
      <c r="R29" s="587"/>
      <c r="S29" s="770"/>
      <c r="T29" s="587"/>
      <c r="U29" s="770"/>
      <c r="V29" s="587"/>
      <c r="W29" s="770">
        <v>1</v>
      </c>
      <c r="X29" s="587">
        <v>132</v>
      </c>
      <c r="Y29" s="770">
        <v>1</v>
      </c>
      <c r="Z29" s="587">
        <v>132</v>
      </c>
      <c r="AA29" s="770">
        <v>1</v>
      </c>
      <c r="AB29" s="587">
        <v>132</v>
      </c>
      <c r="AC29" s="770">
        <v>1</v>
      </c>
      <c r="AD29" s="587">
        <v>132</v>
      </c>
      <c r="AE29" s="770">
        <v>1</v>
      </c>
      <c r="AF29" s="587">
        <v>132</v>
      </c>
      <c r="AG29" s="770">
        <v>1</v>
      </c>
      <c r="AH29" s="587">
        <v>132</v>
      </c>
      <c r="AI29" s="770">
        <v>1</v>
      </c>
      <c r="AJ29" s="587">
        <v>132</v>
      </c>
      <c r="AK29" s="770">
        <v>1</v>
      </c>
      <c r="AL29" s="587">
        <v>132</v>
      </c>
      <c r="AM29" s="770">
        <v>1</v>
      </c>
      <c r="AN29" s="587">
        <v>132</v>
      </c>
      <c r="AO29" s="770">
        <v>1</v>
      </c>
      <c r="AP29" s="587">
        <v>132</v>
      </c>
      <c r="AQ29" s="770"/>
      <c r="AR29" s="587"/>
      <c r="AS29" s="770"/>
      <c r="AT29" s="587"/>
      <c r="AU29" s="770"/>
      <c r="AV29" s="587"/>
      <c r="AW29" s="770"/>
      <c r="AX29" s="587"/>
      <c r="AY29" s="770"/>
      <c r="AZ29" s="587"/>
      <c r="BA29" s="770"/>
      <c r="BB29" s="589"/>
      <c r="BC29" s="562"/>
      <c r="BD29" s="552"/>
      <c r="BE29" s="764" t="s">
        <v>438</v>
      </c>
      <c r="BF29" s="765"/>
      <c r="BG29" s="766">
        <v>10</v>
      </c>
      <c r="BH29" s="767">
        <v>13.23</v>
      </c>
      <c r="BI29" s="768" t="s">
        <v>436</v>
      </c>
      <c r="BJ29" s="769"/>
      <c r="BK29" s="587"/>
      <c r="BL29" s="770"/>
      <c r="BM29" s="587"/>
      <c r="BN29" s="770"/>
      <c r="BO29" s="587"/>
      <c r="BP29" s="770"/>
      <c r="BQ29" s="587"/>
      <c r="BR29" s="770"/>
      <c r="BS29" s="587"/>
      <c r="BT29" s="770"/>
      <c r="BU29" s="587"/>
      <c r="BV29" s="770"/>
      <c r="BW29" s="587"/>
      <c r="BX29" s="770"/>
      <c r="BY29" s="587"/>
      <c r="BZ29" s="770">
        <v>1</v>
      </c>
      <c r="CA29" s="587">
        <v>132</v>
      </c>
      <c r="CB29" s="770">
        <v>1</v>
      </c>
      <c r="CC29" s="587">
        <v>132</v>
      </c>
      <c r="CD29" s="770">
        <v>1</v>
      </c>
      <c r="CE29" s="587">
        <v>132</v>
      </c>
      <c r="CF29" s="770">
        <v>1</v>
      </c>
      <c r="CG29" s="587">
        <v>132</v>
      </c>
      <c r="CH29" s="770">
        <v>1</v>
      </c>
      <c r="CI29" s="587">
        <v>132</v>
      </c>
      <c r="CJ29" s="770">
        <v>1</v>
      </c>
      <c r="CK29" s="587">
        <v>132</v>
      </c>
      <c r="CL29" s="770">
        <v>1</v>
      </c>
      <c r="CM29" s="587">
        <v>132</v>
      </c>
      <c r="CN29" s="770">
        <v>1</v>
      </c>
      <c r="CO29" s="587">
        <v>132</v>
      </c>
      <c r="CP29" s="770">
        <v>1</v>
      </c>
      <c r="CQ29" s="587">
        <v>132</v>
      </c>
      <c r="CR29" s="770">
        <v>1</v>
      </c>
      <c r="CS29" s="587">
        <v>132</v>
      </c>
      <c r="CT29" s="770"/>
      <c r="CU29" s="587"/>
      <c r="CV29" s="770"/>
      <c r="CW29" s="587"/>
      <c r="CX29" s="770"/>
      <c r="CY29" s="587"/>
      <c r="CZ29" s="770"/>
      <c r="DA29" s="587"/>
      <c r="DB29" s="770"/>
      <c r="DC29" s="587"/>
      <c r="DD29" s="770"/>
      <c r="DE29" s="589"/>
      <c r="DF29" s="562"/>
      <c r="DG29" s="552"/>
      <c r="DH29" s="764" t="s">
        <v>439</v>
      </c>
      <c r="DI29" s="765"/>
      <c r="DJ29" s="766">
        <v>10</v>
      </c>
      <c r="DK29" s="767">
        <v>13.23</v>
      </c>
      <c r="DL29" s="768" t="s">
        <v>436</v>
      </c>
      <c r="DM29" s="769"/>
      <c r="DN29" s="587"/>
      <c r="DO29" s="770"/>
      <c r="DP29" s="587"/>
      <c r="DQ29" s="770"/>
      <c r="DR29" s="587"/>
      <c r="DS29" s="770"/>
      <c r="DT29" s="587"/>
      <c r="DU29" s="770"/>
      <c r="DV29" s="587"/>
      <c r="DW29" s="770"/>
      <c r="DX29" s="587"/>
      <c r="DY29" s="770"/>
      <c r="DZ29" s="587"/>
      <c r="EA29" s="770"/>
      <c r="EB29" s="587"/>
      <c r="EC29" s="770">
        <v>1</v>
      </c>
      <c r="ED29" s="587">
        <v>132</v>
      </c>
      <c r="EE29" s="770">
        <v>1</v>
      </c>
      <c r="EF29" s="587">
        <v>132</v>
      </c>
      <c r="EG29" s="770">
        <v>1</v>
      </c>
      <c r="EH29" s="587">
        <v>132</v>
      </c>
      <c r="EI29" s="770">
        <v>1</v>
      </c>
      <c r="EJ29" s="587">
        <v>132</v>
      </c>
      <c r="EK29" s="770">
        <v>1</v>
      </c>
      <c r="EL29" s="587">
        <v>132</v>
      </c>
      <c r="EM29" s="770">
        <v>1</v>
      </c>
      <c r="EN29" s="587">
        <v>132</v>
      </c>
      <c r="EO29" s="770">
        <v>1</v>
      </c>
      <c r="EP29" s="587">
        <v>132</v>
      </c>
      <c r="EQ29" s="770">
        <v>1</v>
      </c>
      <c r="ER29" s="587">
        <v>132</v>
      </c>
      <c r="ES29" s="770">
        <v>1</v>
      </c>
      <c r="ET29" s="587">
        <v>132</v>
      </c>
      <c r="EU29" s="770">
        <v>1</v>
      </c>
      <c r="EV29" s="587">
        <v>132</v>
      </c>
      <c r="EW29" s="770"/>
      <c r="EX29" s="587"/>
      <c r="EY29" s="770"/>
      <c r="EZ29" s="587"/>
      <c r="FA29" s="770"/>
      <c r="FB29" s="587"/>
      <c r="FC29" s="770"/>
      <c r="FD29" s="587"/>
      <c r="FE29" s="770"/>
      <c r="FF29" s="587"/>
      <c r="FG29" s="770"/>
      <c r="FH29" s="589"/>
      <c r="FI29" s="563"/>
      <c r="FJ29" s="564"/>
      <c r="FK29" s="764" t="s">
        <v>438</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552</v>
      </c>
      <c r="GL29" s="774"/>
      <c r="GM29" s="774"/>
      <c r="GN29" s="774"/>
      <c r="GO29" s="615"/>
      <c r="GP29" s="751">
        <v>-0.69999999999999929</v>
      </c>
      <c r="GQ29" s="413" t="s">
        <v>707</v>
      </c>
      <c r="GR29" s="775"/>
      <c r="GS29" s="530"/>
      <c r="GT29" s="763"/>
      <c r="GU29" s="580" t="s">
        <v>781</v>
      </c>
      <c r="GV29" s="609"/>
      <c r="GW29" s="530"/>
      <c r="GX29" s="529"/>
      <c r="GY29" s="409"/>
      <c r="GZ29" s="530"/>
      <c r="HA29" s="580"/>
      <c r="HB29" s="580"/>
      <c r="HC29" s="579"/>
      <c r="HD29" s="530"/>
      <c r="HE29" s="415"/>
      <c r="HF29" s="415"/>
    </row>
    <row r="30" spans="1:218" ht="20.100000000000001" customHeight="1">
      <c r="A30" s="552"/>
      <c r="B30" s="764" t="s">
        <v>440</v>
      </c>
      <c r="C30" s="766">
        <v>2</v>
      </c>
      <c r="D30" s="767">
        <v>13.23</v>
      </c>
      <c r="E30" s="776">
        <v>1</v>
      </c>
      <c r="F30" s="777" t="s">
        <v>436</v>
      </c>
      <c r="G30" s="769"/>
      <c r="H30" s="587"/>
      <c r="I30" s="770"/>
      <c r="J30" s="587"/>
      <c r="K30" s="770"/>
      <c r="L30" s="587"/>
      <c r="M30" s="770"/>
      <c r="N30" s="587"/>
      <c r="O30" s="770"/>
      <c r="P30" s="587"/>
      <c r="Q30" s="770"/>
      <c r="R30" s="587"/>
      <c r="S30" s="770"/>
      <c r="T30" s="587"/>
      <c r="U30" s="770"/>
      <c r="V30" s="587"/>
      <c r="W30" s="770">
        <v>1</v>
      </c>
      <c r="X30" s="587">
        <v>26</v>
      </c>
      <c r="Y30" s="770">
        <v>1</v>
      </c>
      <c r="Z30" s="587">
        <v>26</v>
      </c>
      <c r="AA30" s="770">
        <v>1</v>
      </c>
      <c r="AB30" s="587">
        <v>26</v>
      </c>
      <c r="AC30" s="770">
        <v>1</v>
      </c>
      <c r="AD30" s="587">
        <v>26</v>
      </c>
      <c r="AE30" s="770">
        <v>1</v>
      </c>
      <c r="AF30" s="587">
        <v>26</v>
      </c>
      <c r="AG30" s="770">
        <v>1</v>
      </c>
      <c r="AH30" s="587">
        <v>26</v>
      </c>
      <c r="AI30" s="770">
        <v>1</v>
      </c>
      <c r="AJ30" s="587">
        <v>26</v>
      </c>
      <c r="AK30" s="770">
        <v>1</v>
      </c>
      <c r="AL30" s="587">
        <v>26</v>
      </c>
      <c r="AM30" s="770">
        <v>1</v>
      </c>
      <c r="AN30" s="587">
        <v>26</v>
      </c>
      <c r="AO30" s="770">
        <v>1</v>
      </c>
      <c r="AP30" s="587">
        <v>26</v>
      </c>
      <c r="AQ30" s="770"/>
      <c r="AR30" s="587"/>
      <c r="AS30" s="770"/>
      <c r="AT30" s="587"/>
      <c r="AU30" s="770"/>
      <c r="AV30" s="587"/>
      <c r="AW30" s="770"/>
      <c r="AX30" s="587"/>
      <c r="AY30" s="770"/>
      <c r="AZ30" s="587"/>
      <c r="BA30" s="770"/>
      <c r="BB30" s="589"/>
      <c r="BC30" s="562"/>
      <c r="BD30" s="552"/>
      <c r="BE30" s="764" t="s">
        <v>440</v>
      </c>
      <c r="BF30" s="766">
        <v>2</v>
      </c>
      <c r="BG30" s="767">
        <v>13.23</v>
      </c>
      <c r="BH30" s="776">
        <v>1</v>
      </c>
      <c r="BI30" s="777" t="s">
        <v>436</v>
      </c>
      <c r="BJ30" s="769"/>
      <c r="BK30" s="587"/>
      <c r="BL30" s="770"/>
      <c r="BM30" s="587"/>
      <c r="BN30" s="770"/>
      <c r="BO30" s="587"/>
      <c r="BP30" s="770"/>
      <c r="BQ30" s="587"/>
      <c r="BR30" s="770"/>
      <c r="BS30" s="587"/>
      <c r="BT30" s="770"/>
      <c r="BU30" s="587"/>
      <c r="BV30" s="770"/>
      <c r="BW30" s="587"/>
      <c r="BX30" s="770"/>
      <c r="BY30" s="587"/>
      <c r="BZ30" s="770">
        <v>1</v>
      </c>
      <c r="CA30" s="587">
        <v>26</v>
      </c>
      <c r="CB30" s="770">
        <v>1</v>
      </c>
      <c r="CC30" s="587">
        <v>26</v>
      </c>
      <c r="CD30" s="770">
        <v>1</v>
      </c>
      <c r="CE30" s="587">
        <v>26</v>
      </c>
      <c r="CF30" s="770">
        <v>1</v>
      </c>
      <c r="CG30" s="587">
        <v>26</v>
      </c>
      <c r="CH30" s="770">
        <v>1</v>
      </c>
      <c r="CI30" s="587">
        <v>26</v>
      </c>
      <c r="CJ30" s="770">
        <v>1</v>
      </c>
      <c r="CK30" s="587">
        <v>26</v>
      </c>
      <c r="CL30" s="770">
        <v>1</v>
      </c>
      <c r="CM30" s="587">
        <v>26</v>
      </c>
      <c r="CN30" s="770">
        <v>1</v>
      </c>
      <c r="CO30" s="587">
        <v>26</v>
      </c>
      <c r="CP30" s="770">
        <v>1</v>
      </c>
      <c r="CQ30" s="587">
        <v>26</v>
      </c>
      <c r="CR30" s="770">
        <v>1</v>
      </c>
      <c r="CS30" s="587">
        <v>26</v>
      </c>
      <c r="CT30" s="770"/>
      <c r="CU30" s="587"/>
      <c r="CV30" s="770"/>
      <c r="CW30" s="587"/>
      <c r="CX30" s="770"/>
      <c r="CY30" s="587"/>
      <c r="CZ30" s="770"/>
      <c r="DA30" s="587"/>
      <c r="DB30" s="770"/>
      <c r="DC30" s="587"/>
      <c r="DD30" s="770"/>
      <c r="DE30" s="589"/>
      <c r="DF30" s="562"/>
      <c r="DG30" s="552"/>
      <c r="DH30" s="764" t="s">
        <v>440</v>
      </c>
      <c r="DI30" s="766">
        <v>2</v>
      </c>
      <c r="DJ30" s="767">
        <v>13.23</v>
      </c>
      <c r="DK30" s="776">
        <v>1</v>
      </c>
      <c r="DL30" s="777" t="s">
        <v>436</v>
      </c>
      <c r="DM30" s="769"/>
      <c r="DN30" s="587"/>
      <c r="DO30" s="770"/>
      <c r="DP30" s="587"/>
      <c r="DQ30" s="770"/>
      <c r="DR30" s="587"/>
      <c r="DS30" s="770"/>
      <c r="DT30" s="587"/>
      <c r="DU30" s="770"/>
      <c r="DV30" s="587"/>
      <c r="DW30" s="770"/>
      <c r="DX30" s="587"/>
      <c r="DY30" s="770"/>
      <c r="DZ30" s="587"/>
      <c r="EA30" s="770"/>
      <c r="EB30" s="587"/>
      <c r="EC30" s="770">
        <v>1</v>
      </c>
      <c r="ED30" s="587">
        <v>26</v>
      </c>
      <c r="EE30" s="770">
        <v>1</v>
      </c>
      <c r="EF30" s="587">
        <v>26</v>
      </c>
      <c r="EG30" s="770">
        <v>1</v>
      </c>
      <c r="EH30" s="587">
        <v>26</v>
      </c>
      <c r="EI30" s="770">
        <v>1</v>
      </c>
      <c r="EJ30" s="587">
        <v>26</v>
      </c>
      <c r="EK30" s="770">
        <v>1</v>
      </c>
      <c r="EL30" s="587">
        <v>26</v>
      </c>
      <c r="EM30" s="770">
        <v>1</v>
      </c>
      <c r="EN30" s="587">
        <v>26</v>
      </c>
      <c r="EO30" s="770">
        <v>1</v>
      </c>
      <c r="EP30" s="587">
        <v>26</v>
      </c>
      <c r="EQ30" s="770">
        <v>1</v>
      </c>
      <c r="ER30" s="587">
        <v>26</v>
      </c>
      <c r="ES30" s="770">
        <v>1</v>
      </c>
      <c r="ET30" s="587">
        <v>26</v>
      </c>
      <c r="EU30" s="770">
        <v>1</v>
      </c>
      <c r="EV30" s="587">
        <v>26</v>
      </c>
      <c r="EW30" s="770"/>
      <c r="EX30" s="587"/>
      <c r="EY30" s="770"/>
      <c r="EZ30" s="587"/>
      <c r="FA30" s="770"/>
      <c r="FB30" s="587"/>
      <c r="FC30" s="770"/>
      <c r="FD30" s="587"/>
      <c r="FE30" s="770"/>
      <c r="FF30" s="587"/>
      <c r="FG30" s="770"/>
      <c r="FH30" s="589"/>
      <c r="FI30" s="563"/>
      <c r="FJ30" s="564"/>
      <c r="FK30" s="764" t="s">
        <v>441</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554</v>
      </c>
      <c r="GL30" s="774"/>
      <c r="GM30" s="774"/>
      <c r="GN30" s="774"/>
      <c r="GO30" s="530"/>
      <c r="GP30" s="778">
        <v>-0.44</v>
      </c>
      <c r="GQ30" s="413"/>
      <c r="GR30" s="413"/>
      <c r="GS30" s="530"/>
      <c r="GT30" s="763"/>
      <c r="GU30" s="779" t="s">
        <v>380</v>
      </c>
      <c r="GV30" s="780"/>
      <c r="GW30" s="781" t="s">
        <v>782</v>
      </c>
      <c r="GX30" s="781"/>
      <c r="GY30" s="781"/>
      <c r="GZ30" s="781"/>
      <c r="HA30" s="782"/>
      <c r="HB30" s="783" t="s">
        <v>878</v>
      </c>
      <c r="HC30" s="579"/>
      <c r="HD30" s="562"/>
      <c r="HE30" s="415"/>
      <c r="HF30" s="415"/>
    </row>
    <row r="31" spans="1:218" ht="20.100000000000001" customHeight="1">
      <c r="A31" s="552"/>
      <c r="B31" s="784" t="s">
        <v>442</v>
      </c>
      <c r="C31" s="784"/>
      <c r="D31" s="785"/>
      <c r="E31" s="786"/>
      <c r="F31" s="787"/>
      <c r="G31" s="769"/>
      <c r="H31" s="587"/>
      <c r="I31" s="770"/>
      <c r="J31" s="587"/>
      <c r="K31" s="770"/>
      <c r="L31" s="587"/>
      <c r="M31" s="770"/>
      <c r="N31" s="587"/>
      <c r="O31" s="770"/>
      <c r="P31" s="587"/>
      <c r="Q31" s="770"/>
      <c r="R31" s="587"/>
      <c r="S31" s="770"/>
      <c r="T31" s="587"/>
      <c r="U31" s="770"/>
      <c r="V31" s="587"/>
      <c r="W31" s="770"/>
      <c r="X31" s="587">
        <v>0</v>
      </c>
      <c r="Y31" s="770"/>
      <c r="Z31" s="587">
        <v>0</v>
      </c>
      <c r="AA31" s="770"/>
      <c r="AB31" s="587">
        <v>0</v>
      </c>
      <c r="AC31" s="770"/>
      <c r="AD31" s="587">
        <v>0</v>
      </c>
      <c r="AE31" s="770"/>
      <c r="AF31" s="587">
        <v>0</v>
      </c>
      <c r="AG31" s="770"/>
      <c r="AH31" s="587">
        <v>0</v>
      </c>
      <c r="AI31" s="770"/>
      <c r="AJ31" s="587">
        <v>0</v>
      </c>
      <c r="AK31" s="770"/>
      <c r="AL31" s="587">
        <v>0</v>
      </c>
      <c r="AM31" s="770"/>
      <c r="AN31" s="587">
        <v>0</v>
      </c>
      <c r="AO31" s="770"/>
      <c r="AP31" s="587">
        <v>0</v>
      </c>
      <c r="AQ31" s="770"/>
      <c r="AR31" s="587"/>
      <c r="AS31" s="770"/>
      <c r="AT31" s="587"/>
      <c r="AU31" s="770"/>
      <c r="AV31" s="587"/>
      <c r="AW31" s="770"/>
      <c r="AX31" s="587"/>
      <c r="AY31" s="770"/>
      <c r="AZ31" s="587"/>
      <c r="BA31" s="770"/>
      <c r="BB31" s="589"/>
      <c r="BC31" s="562"/>
      <c r="BD31" s="552"/>
      <c r="BE31" s="784" t="s">
        <v>442</v>
      </c>
      <c r="BF31" s="784"/>
      <c r="BG31" s="785">
        <v>0</v>
      </c>
      <c r="BH31" s="786">
        <v>0</v>
      </c>
      <c r="BI31" s="787"/>
      <c r="BJ31" s="769"/>
      <c r="BK31" s="587"/>
      <c r="BL31" s="770"/>
      <c r="BM31" s="587"/>
      <c r="BN31" s="770"/>
      <c r="BO31" s="587"/>
      <c r="BP31" s="770"/>
      <c r="BQ31" s="587"/>
      <c r="BR31" s="770"/>
      <c r="BS31" s="587"/>
      <c r="BT31" s="770"/>
      <c r="BU31" s="587"/>
      <c r="BV31" s="770"/>
      <c r="BW31" s="587"/>
      <c r="BX31" s="770"/>
      <c r="BY31" s="587"/>
      <c r="BZ31" s="770"/>
      <c r="CA31" s="587">
        <v>0</v>
      </c>
      <c r="CB31" s="770"/>
      <c r="CC31" s="587">
        <v>0</v>
      </c>
      <c r="CD31" s="770"/>
      <c r="CE31" s="587">
        <v>0</v>
      </c>
      <c r="CF31" s="770"/>
      <c r="CG31" s="587">
        <v>0</v>
      </c>
      <c r="CH31" s="770"/>
      <c r="CI31" s="587">
        <v>0</v>
      </c>
      <c r="CJ31" s="770"/>
      <c r="CK31" s="587">
        <v>0</v>
      </c>
      <c r="CL31" s="770"/>
      <c r="CM31" s="587">
        <v>0</v>
      </c>
      <c r="CN31" s="770"/>
      <c r="CO31" s="587">
        <v>0</v>
      </c>
      <c r="CP31" s="770"/>
      <c r="CQ31" s="587">
        <v>0</v>
      </c>
      <c r="CR31" s="770"/>
      <c r="CS31" s="587">
        <v>0</v>
      </c>
      <c r="CT31" s="770"/>
      <c r="CU31" s="587"/>
      <c r="CV31" s="770"/>
      <c r="CW31" s="587"/>
      <c r="CX31" s="770"/>
      <c r="CY31" s="587"/>
      <c r="CZ31" s="770"/>
      <c r="DA31" s="587"/>
      <c r="DB31" s="770"/>
      <c r="DC31" s="587"/>
      <c r="DD31" s="770"/>
      <c r="DE31" s="589"/>
      <c r="DF31" s="562"/>
      <c r="DG31" s="552"/>
      <c r="DH31" s="784" t="s">
        <v>443</v>
      </c>
      <c r="DI31" s="784"/>
      <c r="DJ31" s="785">
        <v>0</v>
      </c>
      <c r="DK31" s="786">
        <v>0</v>
      </c>
      <c r="DL31" s="787"/>
      <c r="DM31" s="769"/>
      <c r="DN31" s="587"/>
      <c r="DO31" s="770"/>
      <c r="DP31" s="587"/>
      <c r="DQ31" s="770"/>
      <c r="DR31" s="587"/>
      <c r="DS31" s="770"/>
      <c r="DT31" s="587"/>
      <c r="DU31" s="770"/>
      <c r="DV31" s="587"/>
      <c r="DW31" s="770"/>
      <c r="DX31" s="587"/>
      <c r="DY31" s="770"/>
      <c r="DZ31" s="587"/>
      <c r="EA31" s="770"/>
      <c r="EB31" s="587"/>
      <c r="EC31" s="770"/>
      <c r="ED31" s="587">
        <v>0</v>
      </c>
      <c r="EE31" s="770"/>
      <c r="EF31" s="587">
        <v>0</v>
      </c>
      <c r="EG31" s="770"/>
      <c r="EH31" s="587">
        <v>0</v>
      </c>
      <c r="EI31" s="770"/>
      <c r="EJ31" s="587">
        <v>0</v>
      </c>
      <c r="EK31" s="770"/>
      <c r="EL31" s="587">
        <v>0</v>
      </c>
      <c r="EM31" s="770"/>
      <c r="EN31" s="587">
        <v>0</v>
      </c>
      <c r="EO31" s="770"/>
      <c r="EP31" s="587">
        <v>0</v>
      </c>
      <c r="EQ31" s="770"/>
      <c r="ER31" s="587">
        <v>0</v>
      </c>
      <c r="ES31" s="770"/>
      <c r="ET31" s="587">
        <v>0</v>
      </c>
      <c r="EU31" s="770"/>
      <c r="EV31" s="587">
        <v>0</v>
      </c>
      <c r="EW31" s="770"/>
      <c r="EX31" s="587"/>
      <c r="EY31" s="770"/>
      <c r="EZ31" s="587"/>
      <c r="FA31" s="770"/>
      <c r="FB31" s="587"/>
      <c r="FC31" s="770"/>
      <c r="FD31" s="587"/>
      <c r="FE31" s="770"/>
      <c r="FF31" s="587"/>
      <c r="FG31" s="770"/>
      <c r="FH31" s="589"/>
      <c r="FI31" s="563"/>
      <c r="FJ31" s="564"/>
      <c r="FK31" s="784" t="s">
        <v>442</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-0.44</v>
      </c>
      <c r="GQ31" s="413"/>
      <c r="GR31" s="413"/>
      <c r="GS31" s="580"/>
      <c r="GT31" s="763"/>
      <c r="GU31" s="779"/>
      <c r="GV31" s="780"/>
      <c r="GW31" s="789" t="s">
        <v>714</v>
      </c>
      <c r="GX31" s="790" t="s">
        <v>715</v>
      </c>
      <c r="GY31" s="791" t="s">
        <v>716</v>
      </c>
      <c r="GZ31" s="792" t="s">
        <v>717</v>
      </c>
      <c r="HA31" s="792" t="s">
        <v>699</v>
      </c>
      <c r="HB31" s="793"/>
      <c r="HC31" s="579"/>
      <c r="HD31" s="562"/>
      <c r="HE31" s="415"/>
      <c r="HF31" s="415"/>
    </row>
    <row r="32" spans="1:218" ht="20.100000000000001" customHeight="1">
      <c r="A32" s="552"/>
      <c r="B32" s="794" t="s">
        <v>444</v>
      </c>
      <c r="C32" s="795"/>
      <c r="D32" s="785"/>
      <c r="E32" s="796"/>
      <c r="F32" s="797"/>
      <c r="G32" s="798"/>
      <c r="H32" s="799"/>
      <c r="I32" s="800"/>
      <c r="J32" s="799"/>
      <c r="K32" s="800"/>
      <c r="L32" s="799"/>
      <c r="M32" s="800"/>
      <c r="N32" s="799"/>
      <c r="O32" s="800"/>
      <c r="P32" s="799"/>
      <c r="Q32" s="800"/>
      <c r="R32" s="799"/>
      <c r="S32" s="800"/>
      <c r="T32" s="799"/>
      <c r="U32" s="800"/>
      <c r="V32" s="799"/>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c r="AS32" s="800"/>
      <c r="AT32" s="799"/>
      <c r="AU32" s="800"/>
      <c r="AV32" s="799"/>
      <c r="AW32" s="800"/>
      <c r="AX32" s="799"/>
      <c r="AY32" s="800"/>
      <c r="AZ32" s="799"/>
      <c r="BA32" s="800"/>
      <c r="BB32" s="801"/>
      <c r="BC32" s="562"/>
      <c r="BD32" s="552"/>
      <c r="BE32" s="794" t="s">
        <v>669</v>
      </c>
      <c r="BF32" s="795"/>
      <c r="BG32" s="785">
        <v>0</v>
      </c>
      <c r="BH32" s="796">
        <v>0</v>
      </c>
      <c r="BI32" s="797"/>
      <c r="BJ32" s="798"/>
      <c r="BK32" s="799"/>
      <c r="BL32" s="800"/>
      <c r="BM32" s="799"/>
      <c r="BN32" s="800"/>
      <c r="BO32" s="799"/>
      <c r="BP32" s="800"/>
      <c r="BQ32" s="799"/>
      <c r="BR32" s="800"/>
      <c r="BS32" s="799"/>
      <c r="BT32" s="800"/>
      <c r="BU32" s="799"/>
      <c r="BV32" s="800"/>
      <c r="BW32" s="799"/>
      <c r="BX32" s="800"/>
      <c r="BY32" s="799"/>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c r="CV32" s="800"/>
      <c r="CW32" s="799"/>
      <c r="CX32" s="800"/>
      <c r="CY32" s="799"/>
      <c r="CZ32" s="800"/>
      <c r="DA32" s="799"/>
      <c r="DB32" s="800"/>
      <c r="DC32" s="799"/>
      <c r="DD32" s="800"/>
      <c r="DE32" s="801"/>
      <c r="DF32" s="562"/>
      <c r="DG32" s="552"/>
      <c r="DH32" s="794" t="s">
        <v>444</v>
      </c>
      <c r="DI32" s="795"/>
      <c r="DJ32" s="785">
        <v>0</v>
      </c>
      <c r="DK32" s="796">
        <v>0</v>
      </c>
      <c r="DL32" s="797"/>
      <c r="DM32" s="798"/>
      <c r="DN32" s="799"/>
      <c r="DO32" s="800"/>
      <c r="DP32" s="799"/>
      <c r="DQ32" s="800"/>
      <c r="DR32" s="799"/>
      <c r="DS32" s="800"/>
      <c r="DT32" s="799"/>
      <c r="DU32" s="800"/>
      <c r="DV32" s="799"/>
      <c r="DW32" s="800"/>
      <c r="DX32" s="799"/>
      <c r="DY32" s="800"/>
      <c r="DZ32" s="799"/>
      <c r="EA32" s="800"/>
      <c r="EB32" s="799"/>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c r="EY32" s="800"/>
      <c r="EZ32" s="799"/>
      <c r="FA32" s="800"/>
      <c r="FB32" s="799"/>
      <c r="FC32" s="800"/>
      <c r="FD32" s="799"/>
      <c r="FE32" s="800"/>
      <c r="FF32" s="799"/>
      <c r="FG32" s="800"/>
      <c r="FH32" s="801"/>
      <c r="FI32" s="563"/>
      <c r="FJ32" s="564"/>
      <c r="FK32" s="794" t="s">
        <v>669</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325</v>
      </c>
      <c r="E33" s="642"/>
      <c r="F33" s="642"/>
      <c r="G33" s="644"/>
      <c r="H33" s="645">
        <v>0</v>
      </c>
      <c r="I33" s="1291"/>
      <c r="J33" s="645">
        <v>0</v>
      </c>
      <c r="K33" s="1291"/>
      <c r="L33" s="645">
        <v>0</v>
      </c>
      <c r="M33" s="1291"/>
      <c r="N33" s="645">
        <v>0</v>
      </c>
      <c r="O33" s="1291"/>
      <c r="P33" s="645">
        <v>0</v>
      </c>
      <c r="Q33" s="1291"/>
      <c r="R33" s="645">
        <v>0</v>
      </c>
      <c r="S33" s="1291"/>
      <c r="T33" s="645">
        <v>0</v>
      </c>
      <c r="U33" s="1291"/>
      <c r="V33" s="645">
        <v>0</v>
      </c>
      <c r="W33" s="1291"/>
      <c r="X33" s="645">
        <v>378</v>
      </c>
      <c r="Y33" s="1291"/>
      <c r="Z33" s="645">
        <v>378</v>
      </c>
      <c r="AA33" s="1291"/>
      <c r="AB33" s="645">
        <v>378</v>
      </c>
      <c r="AC33" s="1291"/>
      <c r="AD33" s="645">
        <v>378</v>
      </c>
      <c r="AE33" s="1291"/>
      <c r="AF33" s="645">
        <v>378</v>
      </c>
      <c r="AG33" s="1291"/>
      <c r="AH33" s="645">
        <v>378</v>
      </c>
      <c r="AI33" s="1291"/>
      <c r="AJ33" s="645">
        <v>378</v>
      </c>
      <c r="AK33" s="1291"/>
      <c r="AL33" s="645">
        <v>378</v>
      </c>
      <c r="AM33" s="1291"/>
      <c r="AN33" s="645">
        <v>378</v>
      </c>
      <c r="AO33" s="1291"/>
      <c r="AP33" s="645">
        <v>378</v>
      </c>
      <c r="AQ33" s="1291"/>
      <c r="AR33" s="645">
        <v>0</v>
      </c>
      <c r="AS33" s="1291"/>
      <c r="AT33" s="645">
        <v>0</v>
      </c>
      <c r="AU33" s="1291"/>
      <c r="AV33" s="645">
        <v>0</v>
      </c>
      <c r="AW33" s="1291"/>
      <c r="AX33" s="645">
        <v>0</v>
      </c>
      <c r="AY33" s="1291"/>
      <c r="AZ33" s="645">
        <v>0</v>
      </c>
      <c r="BA33" s="1291"/>
      <c r="BB33" s="647">
        <v>0</v>
      </c>
      <c r="BC33" s="648"/>
      <c r="BD33" s="641"/>
      <c r="BE33" s="642"/>
      <c r="BF33" s="642"/>
      <c r="BG33" s="643" t="s">
        <v>445</v>
      </c>
      <c r="BH33" s="642"/>
      <c r="BI33" s="642"/>
      <c r="BJ33" s="644"/>
      <c r="BK33" s="645">
        <v>0</v>
      </c>
      <c r="BL33" s="1291"/>
      <c r="BM33" s="645">
        <v>0</v>
      </c>
      <c r="BN33" s="1291"/>
      <c r="BO33" s="645">
        <v>0</v>
      </c>
      <c r="BP33" s="1291"/>
      <c r="BQ33" s="645">
        <v>0</v>
      </c>
      <c r="BR33" s="1291"/>
      <c r="BS33" s="645">
        <v>0</v>
      </c>
      <c r="BT33" s="1291"/>
      <c r="BU33" s="645">
        <v>0</v>
      </c>
      <c r="BV33" s="1291"/>
      <c r="BW33" s="645">
        <v>0</v>
      </c>
      <c r="BX33" s="1291"/>
      <c r="BY33" s="645">
        <v>0</v>
      </c>
      <c r="BZ33" s="1291"/>
      <c r="CA33" s="645">
        <v>378</v>
      </c>
      <c r="CB33" s="1291"/>
      <c r="CC33" s="645">
        <v>378</v>
      </c>
      <c r="CD33" s="1291"/>
      <c r="CE33" s="645">
        <v>378</v>
      </c>
      <c r="CF33" s="1291"/>
      <c r="CG33" s="645">
        <v>378</v>
      </c>
      <c r="CH33" s="1291"/>
      <c r="CI33" s="645">
        <v>378</v>
      </c>
      <c r="CJ33" s="1291"/>
      <c r="CK33" s="645">
        <v>378</v>
      </c>
      <c r="CL33" s="1291"/>
      <c r="CM33" s="645">
        <v>378</v>
      </c>
      <c r="CN33" s="1291"/>
      <c r="CO33" s="645">
        <v>378</v>
      </c>
      <c r="CP33" s="1291"/>
      <c r="CQ33" s="645">
        <v>378</v>
      </c>
      <c r="CR33" s="1291"/>
      <c r="CS33" s="645">
        <v>378</v>
      </c>
      <c r="CT33" s="1291"/>
      <c r="CU33" s="645">
        <v>0</v>
      </c>
      <c r="CV33" s="1291"/>
      <c r="CW33" s="645">
        <v>0</v>
      </c>
      <c r="CX33" s="1291"/>
      <c r="CY33" s="645">
        <v>0</v>
      </c>
      <c r="CZ33" s="1291"/>
      <c r="DA33" s="645">
        <v>0</v>
      </c>
      <c r="DB33" s="1291"/>
      <c r="DC33" s="645">
        <v>0</v>
      </c>
      <c r="DD33" s="1291"/>
      <c r="DE33" s="647">
        <v>0</v>
      </c>
      <c r="DF33" s="648"/>
      <c r="DG33" s="641"/>
      <c r="DH33" s="642"/>
      <c r="DI33" s="642"/>
      <c r="DJ33" s="643" t="s">
        <v>445</v>
      </c>
      <c r="DK33" s="642"/>
      <c r="DL33" s="642"/>
      <c r="DM33" s="644"/>
      <c r="DN33" s="645">
        <v>0</v>
      </c>
      <c r="DO33" s="1291"/>
      <c r="DP33" s="645">
        <v>0</v>
      </c>
      <c r="DQ33" s="1291"/>
      <c r="DR33" s="645">
        <v>0</v>
      </c>
      <c r="DS33" s="1291"/>
      <c r="DT33" s="645">
        <v>0</v>
      </c>
      <c r="DU33" s="1291"/>
      <c r="DV33" s="645">
        <v>0</v>
      </c>
      <c r="DW33" s="1291"/>
      <c r="DX33" s="645">
        <v>0</v>
      </c>
      <c r="DY33" s="1291"/>
      <c r="DZ33" s="645">
        <v>0</v>
      </c>
      <c r="EA33" s="1291"/>
      <c r="EB33" s="645">
        <v>0</v>
      </c>
      <c r="EC33" s="1291"/>
      <c r="ED33" s="645">
        <v>378</v>
      </c>
      <c r="EE33" s="1291"/>
      <c r="EF33" s="645">
        <v>378</v>
      </c>
      <c r="EG33" s="1291"/>
      <c r="EH33" s="645">
        <v>378</v>
      </c>
      <c r="EI33" s="1291"/>
      <c r="EJ33" s="645">
        <v>378</v>
      </c>
      <c r="EK33" s="1291"/>
      <c r="EL33" s="645">
        <v>378</v>
      </c>
      <c r="EM33" s="1291"/>
      <c r="EN33" s="645">
        <v>378</v>
      </c>
      <c r="EO33" s="1291"/>
      <c r="EP33" s="645">
        <v>378</v>
      </c>
      <c r="EQ33" s="1291"/>
      <c r="ER33" s="645">
        <v>378</v>
      </c>
      <c r="ES33" s="1291"/>
      <c r="ET33" s="645">
        <v>378</v>
      </c>
      <c r="EU33" s="1291"/>
      <c r="EV33" s="645">
        <v>378</v>
      </c>
      <c r="EW33" s="1291"/>
      <c r="EX33" s="645">
        <v>0</v>
      </c>
      <c r="EY33" s="1291"/>
      <c r="EZ33" s="645">
        <v>0</v>
      </c>
      <c r="FA33" s="1291"/>
      <c r="FB33" s="645">
        <v>0</v>
      </c>
      <c r="FC33" s="1291"/>
      <c r="FD33" s="645">
        <v>0</v>
      </c>
      <c r="FE33" s="1291"/>
      <c r="FF33" s="645">
        <v>0</v>
      </c>
      <c r="FG33" s="1291"/>
      <c r="FH33" s="647">
        <v>0</v>
      </c>
      <c r="FI33" s="649"/>
      <c r="FJ33" s="564"/>
      <c r="FK33" s="642"/>
      <c r="FL33" s="642"/>
      <c r="FM33" s="643" t="s">
        <v>445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784</v>
      </c>
      <c r="GL33" s="579"/>
      <c r="GM33" s="530"/>
      <c r="GN33" s="579"/>
      <c r="GO33" s="530"/>
      <c r="GP33" s="530"/>
      <c r="GQ33" s="530"/>
      <c r="GR33" s="579"/>
      <c r="GS33" s="530"/>
      <c r="GT33" s="763"/>
      <c r="GU33" s="811">
        <v>210</v>
      </c>
      <c r="GV33" s="812"/>
      <c r="GW33" s="813">
        <v>22.68</v>
      </c>
      <c r="GX33" s="814">
        <v>14.030000000000001</v>
      </c>
      <c r="GY33" s="814">
        <v>17.47</v>
      </c>
      <c r="GZ33" s="814">
        <v>0</v>
      </c>
      <c r="HA33" s="814">
        <v>54.18</v>
      </c>
      <c r="HB33" s="815">
        <v>13.23</v>
      </c>
      <c r="HC33" s="413"/>
      <c r="HD33" s="648"/>
      <c r="HE33" s="415"/>
      <c r="HF33" s="415"/>
    </row>
    <row r="34" spans="1:219" ht="20.100000000000001" customHeight="1">
      <c r="A34" s="1293" t="s">
        <v>446</v>
      </c>
      <c r="B34" s="743"/>
      <c r="C34" s="817"/>
      <c r="D34" s="818"/>
      <c r="E34" s="817"/>
      <c r="F34" s="819"/>
      <c r="G34" s="740" t="s">
        <v>448</v>
      </c>
      <c r="H34" s="663" t="s">
        <v>428</v>
      </c>
      <c r="I34" s="741" t="s">
        <v>447</v>
      </c>
      <c r="J34" s="663" t="s">
        <v>430</v>
      </c>
      <c r="K34" s="742" t="s">
        <v>448</v>
      </c>
      <c r="L34" s="663" t="s">
        <v>428</v>
      </c>
      <c r="M34" s="742" t="s">
        <v>447</v>
      </c>
      <c r="N34" s="663" t="s">
        <v>428</v>
      </c>
      <c r="O34" s="742" t="s">
        <v>448</v>
      </c>
      <c r="P34" s="663" t="s">
        <v>428</v>
      </c>
      <c r="Q34" s="742" t="s">
        <v>448</v>
      </c>
      <c r="R34" s="663" t="s">
        <v>430</v>
      </c>
      <c r="S34" s="742" t="s">
        <v>448</v>
      </c>
      <c r="T34" s="663" t="s">
        <v>430</v>
      </c>
      <c r="U34" s="742" t="s">
        <v>448</v>
      </c>
      <c r="V34" s="663" t="s">
        <v>428</v>
      </c>
      <c r="W34" s="742" t="s">
        <v>447</v>
      </c>
      <c r="X34" s="663" t="s">
        <v>428</v>
      </c>
      <c r="Y34" s="742" t="s">
        <v>448</v>
      </c>
      <c r="Z34" s="663" t="s">
        <v>430</v>
      </c>
      <c r="AA34" s="742" t="s">
        <v>447</v>
      </c>
      <c r="AB34" s="663" t="s">
        <v>430</v>
      </c>
      <c r="AC34" s="742" t="s">
        <v>447</v>
      </c>
      <c r="AD34" s="663" t="s">
        <v>428</v>
      </c>
      <c r="AE34" s="742" t="s">
        <v>447</v>
      </c>
      <c r="AF34" s="663" t="s">
        <v>430</v>
      </c>
      <c r="AG34" s="742" t="s">
        <v>448</v>
      </c>
      <c r="AH34" s="663" t="s">
        <v>428</v>
      </c>
      <c r="AI34" s="742" t="s">
        <v>448</v>
      </c>
      <c r="AJ34" s="663" t="s">
        <v>428</v>
      </c>
      <c r="AK34" s="742" t="s">
        <v>448</v>
      </c>
      <c r="AL34" s="663" t="s">
        <v>428</v>
      </c>
      <c r="AM34" s="742" t="s">
        <v>447</v>
      </c>
      <c r="AN34" s="663" t="s">
        <v>428</v>
      </c>
      <c r="AO34" s="742" t="s">
        <v>448</v>
      </c>
      <c r="AP34" s="663" t="s">
        <v>430</v>
      </c>
      <c r="AQ34" s="742" t="s">
        <v>447</v>
      </c>
      <c r="AR34" s="663" t="s">
        <v>428</v>
      </c>
      <c r="AS34" s="742" t="s">
        <v>447</v>
      </c>
      <c r="AT34" s="663" t="s">
        <v>428</v>
      </c>
      <c r="AU34" s="742" t="s">
        <v>448</v>
      </c>
      <c r="AV34" s="663" t="s">
        <v>428</v>
      </c>
      <c r="AW34" s="742" t="s">
        <v>448</v>
      </c>
      <c r="AX34" s="663" t="s">
        <v>430</v>
      </c>
      <c r="AY34" s="742" t="s">
        <v>448</v>
      </c>
      <c r="AZ34" s="663" t="s">
        <v>428</v>
      </c>
      <c r="BA34" s="742" t="s">
        <v>448</v>
      </c>
      <c r="BB34" s="665" t="s">
        <v>428</v>
      </c>
      <c r="BC34" s="723"/>
      <c r="BD34" s="1293" t="s">
        <v>449</v>
      </c>
      <c r="BE34" s="820"/>
      <c r="BF34" s="821"/>
      <c r="BG34" s="822"/>
      <c r="BH34" s="821"/>
      <c r="BI34" s="823"/>
      <c r="BJ34" s="740" t="s">
        <v>448</v>
      </c>
      <c r="BK34" s="663" t="s">
        <v>430</v>
      </c>
      <c r="BL34" s="741" t="s">
        <v>447</v>
      </c>
      <c r="BM34" s="663" t="s">
        <v>430</v>
      </c>
      <c r="BN34" s="742" t="s">
        <v>448</v>
      </c>
      <c r="BO34" s="663" t="s">
        <v>428</v>
      </c>
      <c r="BP34" s="742" t="s">
        <v>448</v>
      </c>
      <c r="BQ34" s="663" t="s">
        <v>428</v>
      </c>
      <c r="BR34" s="742" t="s">
        <v>447</v>
      </c>
      <c r="BS34" s="663" t="s">
        <v>428</v>
      </c>
      <c r="BT34" s="742" t="s">
        <v>448</v>
      </c>
      <c r="BU34" s="663" t="s">
        <v>430</v>
      </c>
      <c r="BV34" s="742" t="s">
        <v>447</v>
      </c>
      <c r="BW34" s="663" t="s">
        <v>430</v>
      </c>
      <c r="BX34" s="742" t="s">
        <v>448</v>
      </c>
      <c r="BY34" s="663" t="s">
        <v>428</v>
      </c>
      <c r="BZ34" s="742" t="s">
        <v>448</v>
      </c>
      <c r="CA34" s="663" t="s">
        <v>430</v>
      </c>
      <c r="CB34" s="742" t="s">
        <v>448</v>
      </c>
      <c r="CC34" s="663" t="s">
        <v>428</v>
      </c>
      <c r="CD34" s="742" t="s">
        <v>448</v>
      </c>
      <c r="CE34" s="663" t="s">
        <v>428</v>
      </c>
      <c r="CF34" s="742" t="s">
        <v>448</v>
      </c>
      <c r="CG34" s="663" t="s">
        <v>428</v>
      </c>
      <c r="CH34" s="742" t="s">
        <v>447</v>
      </c>
      <c r="CI34" s="663" t="s">
        <v>430</v>
      </c>
      <c r="CJ34" s="742" t="s">
        <v>448</v>
      </c>
      <c r="CK34" s="663" t="s">
        <v>428</v>
      </c>
      <c r="CL34" s="742" t="s">
        <v>448</v>
      </c>
      <c r="CM34" s="663" t="s">
        <v>430</v>
      </c>
      <c r="CN34" s="742" t="s">
        <v>448</v>
      </c>
      <c r="CO34" s="663" t="s">
        <v>428</v>
      </c>
      <c r="CP34" s="742" t="s">
        <v>448</v>
      </c>
      <c r="CQ34" s="663" t="s">
        <v>428</v>
      </c>
      <c r="CR34" s="742" t="s">
        <v>447</v>
      </c>
      <c r="CS34" s="663" t="s">
        <v>428</v>
      </c>
      <c r="CT34" s="742" t="s">
        <v>447</v>
      </c>
      <c r="CU34" s="663" t="s">
        <v>428</v>
      </c>
      <c r="CV34" s="742" t="s">
        <v>448</v>
      </c>
      <c r="CW34" s="663" t="s">
        <v>430</v>
      </c>
      <c r="CX34" s="742" t="s">
        <v>448</v>
      </c>
      <c r="CY34" s="663" t="s">
        <v>428</v>
      </c>
      <c r="CZ34" s="742" t="s">
        <v>447</v>
      </c>
      <c r="DA34" s="663" t="s">
        <v>430</v>
      </c>
      <c r="DB34" s="742" t="s">
        <v>447</v>
      </c>
      <c r="DC34" s="663" t="s">
        <v>430</v>
      </c>
      <c r="DD34" s="742" t="s">
        <v>448</v>
      </c>
      <c r="DE34" s="665" t="s">
        <v>430</v>
      </c>
      <c r="DF34" s="723"/>
      <c r="DG34" s="1293" t="s">
        <v>446</v>
      </c>
      <c r="DH34" s="738"/>
      <c r="DI34" s="824"/>
      <c r="DJ34" s="825"/>
      <c r="DK34" s="824"/>
      <c r="DL34" s="826"/>
      <c r="DM34" s="740" t="s">
        <v>448</v>
      </c>
      <c r="DN34" s="663" t="s">
        <v>430</v>
      </c>
      <c r="DO34" s="741" t="s">
        <v>448</v>
      </c>
      <c r="DP34" s="663" t="s">
        <v>430</v>
      </c>
      <c r="DQ34" s="742" t="s">
        <v>447</v>
      </c>
      <c r="DR34" s="663" t="s">
        <v>430</v>
      </c>
      <c r="DS34" s="742" t="s">
        <v>447</v>
      </c>
      <c r="DT34" s="663" t="s">
        <v>430</v>
      </c>
      <c r="DU34" s="742" t="s">
        <v>448</v>
      </c>
      <c r="DV34" s="663" t="s">
        <v>428</v>
      </c>
      <c r="DW34" s="742" t="s">
        <v>448</v>
      </c>
      <c r="DX34" s="663" t="s">
        <v>428</v>
      </c>
      <c r="DY34" s="742" t="s">
        <v>448</v>
      </c>
      <c r="DZ34" s="663" t="s">
        <v>428</v>
      </c>
      <c r="EA34" s="742" t="s">
        <v>447</v>
      </c>
      <c r="EB34" s="663" t="s">
        <v>428</v>
      </c>
      <c r="EC34" s="742" t="s">
        <v>448</v>
      </c>
      <c r="ED34" s="663" t="s">
        <v>430</v>
      </c>
      <c r="EE34" s="742" t="s">
        <v>447</v>
      </c>
      <c r="EF34" s="663" t="s">
        <v>428</v>
      </c>
      <c r="EG34" s="742" t="s">
        <v>447</v>
      </c>
      <c r="EH34" s="663" t="s">
        <v>428</v>
      </c>
      <c r="EI34" s="742" t="s">
        <v>448</v>
      </c>
      <c r="EJ34" s="663" t="s">
        <v>428</v>
      </c>
      <c r="EK34" s="742" t="s">
        <v>448</v>
      </c>
      <c r="EL34" s="663" t="s">
        <v>430</v>
      </c>
      <c r="EM34" s="742" t="s">
        <v>448</v>
      </c>
      <c r="EN34" s="663" t="s">
        <v>428</v>
      </c>
      <c r="EO34" s="742" t="s">
        <v>448</v>
      </c>
      <c r="EP34" s="663" t="s">
        <v>428</v>
      </c>
      <c r="EQ34" s="742" t="s">
        <v>448</v>
      </c>
      <c r="ER34" s="663" t="s">
        <v>430</v>
      </c>
      <c r="ES34" s="742" t="s">
        <v>448</v>
      </c>
      <c r="ET34" s="663" t="s">
        <v>428</v>
      </c>
      <c r="EU34" s="742" t="s">
        <v>447</v>
      </c>
      <c r="EV34" s="663" t="s">
        <v>430</v>
      </c>
      <c r="EW34" s="742" t="s">
        <v>447</v>
      </c>
      <c r="EX34" s="663" t="s">
        <v>428</v>
      </c>
      <c r="EY34" s="742" t="s">
        <v>448</v>
      </c>
      <c r="EZ34" s="663" t="s">
        <v>428</v>
      </c>
      <c r="FA34" s="742" t="s">
        <v>447</v>
      </c>
      <c r="FB34" s="663" t="s">
        <v>428</v>
      </c>
      <c r="FC34" s="742" t="s">
        <v>448</v>
      </c>
      <c r="FD34" s="663" t="s">
        <v>428</v>
      </c>
      <c r="FE34" s="742" t="s">
        <v>448</v>
      </c>
      <c r="FF34" s="663" t="s">
        <v>428</v>
      </c>
      <c r="FG34" s="742" t="s">
        <v>448</v>
      </c>
      <c r="FH34" s="665" t="s">
        <v>430</v>
      </c>
      <c r="FI34" s="746"/>
      <c r="FJ34" s="827" t="s">
        <v>449</v>
      </c>
      <c r="FK34" s="738"/>
      <c r="FL34" s="824"/>
      <c r="FM34" s="825"/>
      <c r="FN34" s="824"/>
      <c r="FO34" s="826"/>
      <c r="FP34" s="747" t="s">
        <v>433</v>
      </c>
      <c r="FQ34" s="673" t="s">
        <v>448</v>
      </c>
      <c r="FR34" s="663" t="s">
        <v>434</v>
      </c>
      <c r="FS34" s="748" t="s">
        <v>433</v>
      </c>
      <c r="FT34" s="673" t="s">
        <v>448</v>
      </c>
      <c r="FU34" s="675" t="s">
        <v>434</v>
      </c>
      <c r="FV34" s="593"/>
      <c r="FW34" s="594"/>
      <c r="FX34" s="806"/>
      <c r="FY34" s="596"/>
      <c r="FZ34" s="807"/>
      <c r="GA34" s="598"/>
      <c r="GB34" s="808"/>
      <c r="GC34" s="600"/>
      <c r="GD34" s="808"/>
      <c r="GE34" s="601"/>
      <c r="GF34" s="749"/>
      <c r="GG34" s="750"/>
      <c r="GH34" s="750"/>
      <c r="GI34" s="750"/>
      <c r="GJ34" s="579"/>
      <c r="GK34" s="828" t="s">
        <v>977</v>
      </c>
      <c r="GL34" s="828"/>
      <c r="GM34" s="828"/>
      <c r="GN34" s="828"/>
      <c r="GO34" s="828"/>
      <c r="GP34" s="828"/>
      <c r="GQ34" s="615">
        <v>10</v>
      </c>
      <c r="GR34" s="579" t="s">
        <v>319</v>
      </c>
      <c r="GS34" s="580"/>
      <c r="GT34" s="763"/>
      <c r="GU34" s="829"/>
      <c r="GV34" s="830"/>
      <c r="GW34" s="831"/>
      <c r="GX34" s="633"/>
      <c r="GY34" s="633"/>
      <c r="GZ34" s="633"/>
      <c r="HA34" s="633"/>
      <c r="HB34" s="634"/>
      <c r="HC34" s="530"/>
      <c r="HD34" s="723"/>
      <c r="HE34" s="415"/>
      <c r="HF34" s="415"/>
    </row>
    <row r="35" spans="1:219" ht="20.100000000000001" customHeight="1">
      <c r="A35" s="832"/>
      <c r="B35" s="466" t="s">
        <v>767</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790</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453</v>
      </c>
      <c r="E36" s="642"/>
      <c r="F36" s="642"/>
      <c r="G36" s="845"/>
      <c r="H36" s="1294">
        <v>0</v>
      </c>
      <c r="I36" s="1295"/>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1296">
        <v>0</v>
      </c>
      <c r="BC36" s="648"/>
      <c r="BD36" s="832"/>
      <c r="BE36" s="642"/>
      <c r="BF36" s="642"/>
      <c r="BG36" s="643" t="s">
        <v>327</v>
      </c>
      <c r="BH36" s="642"/>
      <c r="BI36" s="642"/>
      <c r="BJ36" s="845"/>
      <c r="BK36" s="1294">
        <v>0</v>
      </c>
      <c r="BL36" s="1295"/>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1296">
        <v>0</v>
      </c>
      <c r="DF36" s="648"/>
      <c r="DG36" s="832"/>
      <c r="DH36" s="642"/>
      <c r="DI36" s="642"/>
      <c r="DJ36" s="643" t="s">
        <v>453</v>
      </c>
      <c r="DK36" s="642"/>
      <c r="DL36" s="642"/>
      <c r="DM36" s="845"/>
      <c r="DN36" s="1294">
        <v>0</v>
      </c>
      <c r="DO36" s="1295"/>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1296">
        <v>0</v>
      </c>
      <c r="FI36" s="649"/>
      <c r="FJ36" s="841"/>
      <c r="FK36" s="642"/>
      <c r="FL36" s="642"/>
      <c r="FM36" s="643" t="s">
        <v>327</v>
      </c>
      <c r="FN36" s="642"/>
      <c r="FO36" s="642"/>
      <c r="FP36" s="650"/>
      <c r="FQ36" s="1295"/>
      <c r="FR36" s="1294">
        <v>0</v>
      </c>
      <c r="FS36" s="1297"/>
      <c r="FT36" s="1295"/>
      <c r="FU36" s="1298">
        <v>0</v>
      </c>
      <c r="FV36" s="593"/>
      <c r="FW36" s="594"/>
      <c r="FX36" s="806"/>
      <c r="FY36" s="596"/>
      <c r="FZ36" s="807"/>
      <c r="GA36" s="598"/>
      <c r="GB36" s="808"/>
      <c r="GC36" s="600"/>
      <c r="GD36" s="808"/>
      <c r="GE36" s="601"/>
      <c r="GF36" s="654"/>
      <c r="GG36" s="655"/>
      <c r="GH36" s="655"/>
      <c r="GI36" s="655"/>
      <c r="GJ36" s="530"/>
      <c r="GK36" s="828" t="s">
        <v>978</v>
      </c>
      <c r="GL36" s="828"/>
      <c r="GM36" s="828"/>
      <c r="GN36" s="828"/>
      <c r="GO36" s="828"/>
      <c r="GP36" s="828"/>
      <c r="GQ36" s="615">
        <v>24.2</v>
      </c>
      <c r="GR36" s="579" t="s">
        <v>319</v>
      </c>
      <c r="GS36" s="530"/>
      <c r="GT36" s="763"/>
      <c r="GU36" s="829"/>
      <c r="GV36" s="830"/>
      <c r="GW36" s="831"/>
      <c r="GX36" s="633"/>
      <c r="GY36" s="633"/>
      <c r="GZ36" s="633"/>
      <c r="HA36" s="633"/>
      <c r="HB36" s="634"/>
      <c r="HC36" s="530"/>
      <c r="HD36" s="648"/>
      <c r="HE36" s="415"/>
      <c r="HF36" s="415"/>
    </row>
    <row r="37" spans="1:219" ht="24" customHeight="1">
      <c r="A37" s="853" t="s">
        <v>462</v>
      </c>
      <c r="B37" s="854"/>
      <c r="C37" s="855" t="s">
        <v>455</v>
      </c>
      <c r="D37" s="856"/>
      <c r="E37" s="857" t="s">
        <v>456</v>
      </c>
      <c r="F37" s="858"/>
      <c r="G37" s="662" t="s">
        <v>447</v>
      </c>
      <c r="H37" s="663" t="s">
        <v>457</v>
      </c>
      <c r="I37" s="664" t="s">
        <v>447</v>
      </c>
      <c r="J37" s="663" t="s">
        <v>458</v>
      </c>
      <c r="K37" s="664" t="s">
        <v>448</v>
      </c>
      <c r="L37" s="663" t="s">
        <v>458</v>
      </c>
      <c r="M37" s="664" t="s">
        <v>447</v>
      </c>
      <c r="N37" s="663" t="s">
        <v>459</v>
      </c>
      <c r="O37" s="664" t="s">
        <v>447</v>
      </c>
      <c r="P37" s="663" t="s">
        <v>459</v>
      </c>
      <c r="Q37" s="664" t="s">
        <v>448</v>
      </c>
      <c r="R37" s="663" t="s">
        <v>459</v>
      </c>
      <c r="S37" s="664" t="s">
        <v>447</v>
      </c>
      <c r="T37" s="663" t="s">
        <v>459</v>
      </c>
      <c r="U37" s="664" t="s">
        <v>447</v>
      </c>
      <c r="V37" s="663" t="s">
        <v>458</v>
      </c>
      <c r="W37" s="664" t="s">
        <v>447</v>
      </c>
      <c r="X37" s="663" t="s">
        <v>459</v>
      </c>
      <c r="Y37" s="664" t="s">
        <v>448</v>
      </c>
      <c r="Z37" s="663" t="s">
        <v>458</v>
      </c>
      <c r="AA37" s="664" t="s">
        <v>447</v>
      </c>
      <c r="AB37" s="663" t="s">
        <v>458</v>
      </c>
      <c r="AC37" s="664" t="s">
        <v>447</v>
      </c>
      <c r="AD37" s="663" t="s">
        <v>459</v>
      </c>
      <c r="AE37" s="664" t="s">
        <v>447</v>
      </c>
      <c r="AF37" s="663" t="s">
        <v>458</v>
      </c>
      <c r="AG37" s="664" t="s">
        <v>448</v>
      </c>
      <c r="AH37" s="663" t="s">
        <v>458</v>
      </c>
      <c r="AI37" s="664" t="s">
        <v>448</v>
      </c>
      <c r="AJ37" s="663" t="s">
        <v>459</v>
      </c>
      <c r="AK37" s="664" t="s">
        <v>448</v>
      </c>
      <c r="AL37" s="663" t="s">
        <v>458</v>
      </c>
      <c r="AM37" s="664" t="s">
        <v>448</v>
      </c>
      <c r="AN37" s="663" t="s">
        <v>459</v>
      </c>
      <c r="AO37" s="664" t="s">
        <v>448</v>
      </c>
      <c r="AP37" s="663" t="s">
        <v>459</v>
      </c>
      <c r="AQ37" s="664" t="s">
        <v>447</v>
      </c>
      <c r="AR37" s="663" t="s">
        <v>459</v>
      </c>
      <c r="AS37" s="664" t="s">
        <v>448</v>
      </c>
      <c r="AT37" s="663" t="s">
        <v>459</v>
      </c>
      <c r="AU37" s="664" t="s">
        <v>447</v>
      </c>
      <c r="AV37" s="663" t="s">
        <v>459</v>
      </c>
      <c r="AW37" s="664" t="s">
        <v>447</v>
      </c>
      <c r="AX37" s="663" t="s">
        <v>459</v>
      </c>
      <c r="AY37" s="664" t="s">
        <v>447</v>
      </c>
      <c r="AZ37" s="663" t="s">
        <v>459</v>
      </c>
      <c r="BA37" s="664" t="s">
        <v>448</v>
      </c>
      <c r="BB37" s="665" t="s">
        <v>458</v>
      </c>
      <c r="BC37" s="723"/>
      <c r="BD37" s="853" t="s">
        <v>462</v>
      </c>
      <c r="BE37" s="854"/>
      <c r="BF37" s="855" t="s">
        <v>455</v>
      </c>
      <c r="BG37" s="856"/>
      <c r="BH37" s="857" t="s">
        <v>456</v>
      </c>
      <c r="BI37" s="858"/>
      <c r="BJ37" s="662" t="s">
        <v>447</v>
      </c>
      <c r="BK37" s="663" t="s">
        <v>328</v>
      </c>
      <c r="BL37" s="664" t="s">
        <v>447</v>
      </c>
      <c r="BM37" s="663" t="s">
        <v>458</v>
      </c>
      <c r="BN37" s="664" t="s">
        <v>448</v>
      </c>
      <c r="BO37" s="663" t="s">
        <v>458</v>
      </c>
      <c r="BP37" s="664" t="s">
        <v>448</v>
      </c>
      <c r="BQ37" s="663" t="s">
        <v>458</v>
      </c>
      <c r="BR37" s="664" t="s">
        <v>447</v>
      </c>
      <c r="BS37" s="663" t="s">
        <v>459</v>
      </c>
      <c r="BT37" s="664" t="s">
        <v>448</v>
      </c>
      <c r="BU37" s="663" t="s">
        <v>459</v>
      </c>
      <c r="BV37" s="664" t="s">
        <v>448</v>
      </c>
      <c r="BW37" s="663" t="s">
        <v>459</v>
      </c>
      <c r="BX37" s="664" t="s">
        <v>447</v>
      </c>
      <c r="BY37" s="663" t="s">
        <v>458</v>
      </c>
      <c r="BZ37" s="664" t="s">
        <v>448</v>
      </c>
      <c r="CA37" s="663" t="s">
        <v>459</v>
      </c>
      <c r="CB37" s="664" t="s">
        <v>448</v>
      </c>
      <c r="CC37" s="663" t="s">
        <v>459</v>
      </c>
      <c r="CD37" s="664" t="s">
        <v>447</v>
      </c>
      <c r="CE37" s="663" t="s">
        <v>459</v>
      </c>
      <c r="CF37" s="664" t="s">
        <v>448</v>
      </c>
      <c r="CG37" s="663" t="s">
        <v>458</v>
      </c>
      <c r="CH37" s="664" t="s">
        <v>448</v>
      </c>
      <c r="CI37" s="663" t="s">
        <v>458</v>
      </c>
      <c r="CJ37" s="664" t="s">
        <v>447</v>
      </c>
      <c r="CK37" s="663" t="s">
        <v>458</v>
      </c>
      <c r="CL37" s="664" t="s">
        <v>448</v>
      </c>
      <c r="CM37" s="663" t="s">
        <v>458</v>
      </c>
      <c r="CN37" s="664" t="s">
        <v>447</v>
      </c>
      <c r="CO37" s="663" t="s">
        <v>458</v>
      </c>
      <c r="CP37" s="664" t="s">
        <v>447</v>
      </c>
      <c r="CQ37" s="663" t="s">
        <v>459</v>
      </c>
      <c r="CR37" s="664" t="s">
        <v>447</v>
      </c>
      <c r="CS37" s="663" t="s">
        <v>458</v>
      </c>
      <c r="CT37" s="664" t="s">
        <v>447</v>
      </c>
      <c r="CU37" s="663" t="s">
        <v>459</v>
      </c>
      <c r="CV37" s="664" t="s">
        <v>447</v>
      </c>
      <c r="CW37" s="663" t="s">
        <v>459</v>
      </c>
      <c r="CX37" s="664" t="s">
        <v>447</v>
      </c>
      <c r="CY37" s="663" t="s">
        <v>459</v>
      </c>
      <c r="CZ37" s="664" t="s">
        <v>447</v>
      </c>
      <c r="DA37" s="663" t="s">
        <v>458</v>
      </c>
      <c r="DB37" s="664" t="s">
        <v>448</v>
      </c>
      <c r="DC37" s="663" t="s">
        <v>458</v>
      </c>
      <c r="DD37" s="664" t="s">
        <v>448</v>
      </c>
      <c r="DE37" s="665" t="s">
        <v>458</v>
      </c>
      <c r="DF37" s="723"/>
      <c r="DG37" s="853" t="s">
        <v>462</v>
      </c>
      <c r="DH37" s="854"/>
      <c r="DI37" s="855" t="s">
        <v>460</v>
      </c>
      <c r="DJ37" s="856"/>
      <c r="DK37" s="857" t="s">
        <v>461</v>
      </c>
      <c r="DL37" s="858"/>
      <c r="DM37" s="662" t="s">
        <v>447</v>
      </c>
      <c r="DN37" s="663" t="s">
        <v>328</v>
      </c>
      <c r="DO37" s="664" t="s">
        <v>447</v>
      </c>
      <c r="DP37" s="663" t="s">
        <v>459</v>
      </c>
      <c r="DQ37" s="664" t="s">
        <v>448</v>
      </c>
      <c r="DR37" s="663" t="s">
        <v>459</v>
      </c>
      <c r="DS37" s="664" t="s">
        <v>447</v>
      </c>
      <c r="DT37" s="663" t="s">
        <v>459</v>
      </c>
      <c r="DU37" s="664" t="s">
        <v>447</v>
      </c>
      <c r="DV37" s="663" t="s">
        <v>458</v>
      </c>
      <c r="DW37" s="664" t="s">
        <v>447</v>
      </c>
      <c r="DX37" s="663" t="s">
        <v>459</v>
      </c>
      <c r="DY37" s="664" t="s">
        <v>448</v>
      </c>
      <c r="DZ37" s="663" t="s">
        <v>458</v>
      </c>
      <c r="EA37" s="664" t="s">
        <v>447</v>
      </c>
      <c r="EB37" s="663" t="s">
        <v>458</v>
      </c>
      <c r="EC37" s="664" t="s">
        <v>447</v>
      </c>
      <c r="ED37" s="663" t="s">
        <v>459</v>
      </c>
      <c r="EE37" s="664" t="s">
        <v>447</v>
      </c>
      <c r="EF37" s="663" t="s">
        <v>458</v>
      </c>
      <c r="EG37" s="664" t="s">
        <v>448</v>
      </c>
      <c r="EH37" s="663" t="s">
        <v>458</v>
      </c>
      <c r="EI37" s="664" t="s">
        <v>448</v>
      </c>
      <c r="EJ37" s="663" t="s">
        <v>459</v>
      </c>
      <c r="EK37" s="664" t="s">
        <v>448</v>
      </c>
      <c r="EL37" s="663" t="s">
        <v>458</v>
      </c>
      <c r="EM37" s="664" t="s">
        <v>448</v>
      </c>
      <c r="EN37" s="663" t="s">
        <v>459</v>
      </c>
      <c r="EO37" s="664" t="s">
        <v>448</v>
      </c>
      <c r="EP37" s="663" t="s">
        <v>459</v>
      </c>
      <c r="EQ37" s="664" t="s">
        <v>447</v>
      </c>
      <c r="ER37" s="663" t="s">
        <v>459</v>
      </c>
      <c r="ES37" s="664" t="s">
        <v>448</v>
      </c>
      <c r="ET37" s="663" t="s">
        <v>459</v>
      </c>
      <c r="EU37" s="664" t="s">
        <v>447</v>
      </c>
      <c r="EV37" s="663" t="s">
        <v>459</v>
      </c>
      <c r="EW37" s="664" t="s">
        <v>447</v>
      </c>
      <c r="EX37" s="663" t="s">
        <v>459</v>
      </c>
      <c r="EY37" s="664" t="s">
        <v>447</v>
      </c>
      <c r="EZ37" s="663" t="s">
        <v>459</v>
      </c>
      <c r="FA37" s="664" t="s">
        <v>448</v>
      </c>
      <c r="FB37" s="663" t="s">
        <v>458</v>
      </c>
      <c r="FC37" s="664" t="s">
        <v>448</v>
      </c>
      <c r="FD37" s="663" t="s">
        <v>458</v>
      </c>
      <c r="FE37" s="664" t="s">
        <v>448</v>
      </c>
      <c r="FF37" s="663" t="s">
        <v>458</v>
      </c>
      <c r="FG37" s="664" t="s">
        <v>447</v>
      </c>
      <c r="FH37" s="665" t="s">
        <v>459</v>
      </c>
      <c r="FI37" s="746"/>
      <c r="FJ37" s="827" t="s">
        <v>454</v>
      </c>
      <c r="FK37" s="854"/>
      <c r="FL37" s="855" t="s">
        <v>460</v>
      </c>
      <c r="FM37" s="856"/>
      <c r="FN37" s="857" t="s">
        <v>461</v>
      </c>
      <c r="FO37" s="858"/>
      <c r="FP37" s="672"/>
      <c r="FQ37" s="859" t="s">
        <v>311</v>
      </c>
      <c r="FR37" s="663" t="s">
        <v>459</v>
      </c>
      <c r="FS37" s="674"/>
      <c r="FT37" s="859" t="s">
        <v>311</v>
      </c>
      <c r="FU37" s="675" t="s">
        <v>458</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464</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c r="FM38" s="865"/>
      <c r="FN38" s="866">
        <v>0</v>
      </c>
      <c r="FO38" s="867"/>
      <c r="FP38" s="685"/>
      <c r="FQ38" s="686"/>
      <c r="FR38" s="559">
        <v>0</v>
      </c>
      <c r="FS38" s="687"/>
      <c r="FT38" s="686"/>
      <c r="FU38" s="567">
        <v>0</v>
      </c>
      <c r="FV38" s="593"/>
      <c r="FW38" s="594"/>
      <c r="FX38" s="806"/>
      <c r="FY38" s="596"/>
      <c r="FZ38" s="807"/>
      <c r="GA38" s="598"/>
      <c r="GB38" s="808"/>
      <c r="GC38" s="600"/>
      <c r="GD38" s="808"/>
      <c r="GE38" s="601"/>
      <c r="GF38" s="688"/>
      <c r="GG38" s="602"/>
      <c r="GH38" s="602"/>
      <c r="GI38" s="602"/>
      <c r="GJ38" s="580"/>
      <c r="GK38" s="413" t="s">
        <v>569</v>
      </c>
      <c r="GL38" s="409"/>
      <c r="GM38" s="413"/>
      <c r="GN38" s="409"/>
      <c r="GO38" s="413"/>
      <c r="GP38" s="413"/>
      <c r="GQ38" s="413"/>
      <c r="GR38" s="413"/>
      <c r="GS38" s="580"/>
      <c r="GT38" s="861"/>
      <c r="GU38" s="872" t="s">
        <v>699</v>
      </c>
      <c r="GV38" s="873"/>
      <c r="GW38" s="873"/>
      <c r="GX38" s="873"/>
      <c r="GY38" s="873"/>
      <c r="GZ38" s="874"/>
      <c r="HA38" s="633">
        <v>54.18</v>
      </c>
      <c r="HB38" s="875">
        <v>13.23</v>
      </c>
      <c r="HC38" s="530"/>
      <c r="HD38" s="530"/>
      <c r="HE38" s="387"/>
      <c r="HF38" s="387"/>
      <c r="HK38" s="415"/>
    </row>
    <row r="39" spans="1:219" ht="20.100000000000001" customHeight="1">
      <c r="A39" s="832"/>
      <c r="B39" s="876" t="s">
        <v>671</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409"/>
      <c r="GK39" s="885"/>
      <c r="GL39" s="886"/>
      <c r="GM39" s="887" t="s">
        <v>570</v>
      </c>
      <c r="GN39" s="886"/>
      <c r="GO39" s="887" t="s">
        <v>592</v>
      </c>
      <c r="GP39" s="886"/>
      <c r="GQ39" s="887" t="s">
        <v>572</v>
      </c>
      <c r="GR39" s="888"/>
      <c r="GS39" s="413"/>
      <c r="GT39" s="689"/>
      <c r="GU39" s="530" t="s">
        <v>786</v>
      </c>
      <c r="GV39" s="530"/>
      <c r="GW39" s="530"/>
      <c r="GX39" s="530"/>
      <c r="GY39" s="530"/>
      <c r="GZ39" s="530"/>
      <c r="HA39" s="690">
        <v>4.0999999999999996</v>
      </c>
      <c r="HB39" s="579"/>
      <c r="HC39" s="530"/>
      <c r="HD39" s="562"/>
    </row>
    <row r="40" spans="1:219" ht="20.100000000000001" customHeight="1">
      <c r="A40" s="889"/>
      <c r="B40" s="642"/>
      <c r="C40" s="642"/>
      <c r="D40" s="643" t="s">
        <v>466</v>
      </c>
      <c r="E40" s="642"/>
      <c r="F40" s="642"/>
      <c r="G40" s="845"/>
      <c r="H40" s="1294">
        <v>0</v>
      </c>
      <c r="I40" s="1295"/>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1296">
        <v>0</v>
      </c>
      <c r="BC40" s="648"/>
      <c r="BD40" s="889"/>
      <c r="BE40" s="642"/>
      <c r="BF40" s="642"/>
      <c r="BG40" s="643" t="s">
        <v>466</v>
      </c>
      <c r="BH40" s="642"/>
      <c r="BI40" s="642"/>
      <c r="BJ40" s="845"/>
      <c r="BK40" s="1294">
        <v>0</v>
      </c>
      <c r="BL40" s="1295"/>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1296">
        <v>0</v>
      </c>
      <c r="DF40" s="648"/>
      <c r="DG40" s="889"/>
      <c r="DH40" s="642"/>
      <c r="DI40" s="642"/>
      <c r="DJ40" s="643" t="s">
        <v>329</v>
      </c>
      <c r="DK40" s="642"/>
      <c r="DL40" s="642"/>
      <c r="DM40" s="845"/>
      <c r="DN40" s="1294">
        <v>0</v>
      </c>
      <c r="DO40" s="1295"/>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1296">
        <v>0</v>
      </c>
      <c r="FI40" s="649"/>
      <c r="FJ40" s="841"/>
      <c r="FK40" s="642"/>
      <c r="FL40" s="642"/>
      <c r="FM40" s="643" t="s">
        <v>329</v>
      </c>
      <c r="FN40" s="642"/>
      <c r="FO40" s="642"/>
      <c r="FP40" s="650"/>
      <c r="FQ40" s="1295"/>
      <c r="FR40" s="1294">
        <v>0</v>
      </c>
      <c r="FS40" s="1297"/>
      <c r="FT40" s="1295"/>
      <c r="FU40" s="1298">
        <v>0</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981</v>
      </c>
      <c r="GV40" s="530"/>
      <c r="GW40" s="530"/>
      <c r="GX40" s="530"/>
      <c r="GY40" s="530"/>
      <c r="GZ40" s="530"/>
      <c r="HA40" s="894">
        <v>64.8</v>
      </c>
      <c r="HB40" s="413"/>
      <c r="HC40" s="530"/>
      <c r="HD40" s="580"/>
      <c r="HK40" s="415"/>
    </row>
    <row r="41" spans="1:219" ht="20.100000000000001" customHeight="1">
      <c r="A41" s="862" t="s">
        <v>468</v>
      </c>
      <c r="B41" s="738"/>
      <c r="C41" s="895"/>
      <c r="D41" s="895"/>
      <c r="E41" s="895"/>
      <c r="F41" s="896"/>
      <c r="G41" s="740"/>
      <c r="H41" s="663" t="s">
        <v>430</v>
      </c>
      <c r="I41" s="741"/>
      <c r="J41" s="663" t="s">
        <v>430</v>
      </c>
      <c r="K41" s="742"/>
      <c r="L41" s="663" t="s">
        <v>428</v>
      </c>
      <c r="M41" s="742"/>
      <c r="N41" s="663" t="s">
        <v>430</v>
      </c>
      <c r="O41" s="742"/>
      <c r="P41" s="663" t="s">
        <v>430</v>
      </c>
      <c r="Q41" s="742"/>
      <c r="R41" s="663" t="s">
        <v>428</v>
      </c>
      <c r="S41" s="742"/>
      <c r="T41" s="663" t="s">
        <v>428</v>
      </c>
      <c r="U41" s="742"/>
      <c r="V41" s="663" t="s">
        <v>428</v>
      </c>
      <c r="W41" s="742"/>
      <c r="X41" s="663" t="s">
        <v>428</v>
      </c>
      <c r="Y41" s="742" t="s">
        <v>448</v>
      </c>
      <c r="Z41" s="663" t="s">
        <v>428</v>
      </c>
      <c r="AA41" s="742" t="s">
        <v>447</v>
      </c>
      <c r="AB41" s="663" t="s">
        <v>428</v>
      </c>
      <c r="AC41" s="742"/>
      <c r="AD41" s="663" t="s">
        <v>430</v>
      </c>
      <c r="AE41" s="742"/>
      <c r="AF41" s="663" t="s">
        <v>430</v>
      </c>
      <c r="AG41" s="742"/>
      <c r="AH41" s="663" t="s">
        <v>430</v>
      </c>
      <c r="AI41" s="742"/>
      <c r="AJ41" s="663" t="s">
        <v>428</v>
      </c>
      <c r="AK41" s="742"/>
      <c r="AL41" s="663" t="s">
        <v>430</v>
      </c>
      <c r="AM41" s="742"/>
      <c r="AN41" s="663" t="s">
        <v>428</v>
      </c>
      <c r="AO41" s="742"/>
      <c r="AP41" s="663" t="s">
        <v>430</v>
      </c>
      <c r="AQ41" s="742"/>
      <c r="AR41" s="663" t="s">
        <v>430</v>
      </c>
      <c r="AS41" s="742"/>
      <c r="AT41" s="663" t="s">
        <v>428</v>
      </c>
      <c r="AU41" s="742"/>
      <c r="AV41" s="663" t="s">
        <v>428</v>
      </c>
      <c r="AW41" s="742"/>
      <c r="AX41" s="663" t="s">
        <v>428</v>
      </c>
      <c r="AY41" s="742"/>
      <c r="AZ41" s="663" t="s">
        <v>428</v>
      </c>
      <c r="BA41" s="742"/>
      <c r="BB41" s="665" t="s">
        <v>428</v>
      </c>
      <c r="BC41" s="723"/>
      <c r="BD41" s="862" t="s">
        <v>468</v>
      </c>
      <c r="BE41" s="738"/>
      <c r="BF41" s="895"/>
      <c r="BG41" s="895"/>
      <c r="BH41" s="895"/>
      <c r="BI41" s="896"/>
      <c r="BJ41" s="740"/>
      <c r="BK41" s="663" t="s">
        <v>430</v>
      </c>
      <c r="BL41" s="741"/>
      <c r="BM41" s="663" t="s">
        <v>428</v>
      </c>
      <c r="BN41" s="742"/>
      <c r="BO41" s="663" t="s">
        <v>430</v>
      </c>
      <c r="BP41" s="742"/>
      <c r="BQ41" s="663" t="s">
        <v>428</v>
      </c>
      <c r="BR41" s="742"/>
      <c r="BS41" s="663" t="s">
        <v>430</v>
      </c>
      <c r="BT41" s="742"/>
      <c r="BU41" s="663" t="s">
        <v>430</v>
      </c>
      <c r="BV41" s="742"/>
      <c r="BW41" s="663" t="s">
        <v>428</v>
      </c>
      <c r="BX41" s="742"/>
      <c r="BY41" s="663" t="s">
        <v>428</v>
      </c>
      <c r="BZ41" s="742"/>
      <c r="CA41" s="663" t="s">
        <v>428</v>
      </c>
      <c r="CB41" s="742" t="s">
        <v>447</v>
      </c>
      <c r="CC41" s="663" t="s">
        <v>430</v>
      </c>
      <c r="CD41" s="742" t="s">
        <v>448</v>
      </c>
      <c r="CE41" s="663" t="s">
        <v>430</v>
      </c>
      <c r="CF41" s="742"/>
      <c r="CG41" s="663" t="s">
        <v>428</v>
      </c>
      <c r="CH41" s="742"/>
      <c r="CI41" s="663" t="s">
        <v>430</v>
      </c>
      <c r="CJ41" s="742"/>
      <c r="CK41" s="663" t="s">
        <v>430</v>
      </c>
      <c r="CL41" s="742"/>
      <c r="CM41" s="663" t="s">
        <v>430</v>
      </c>
      <c r="CN41" s="742"/>
      <c r="CO41" s="663" t="s">
        <v>428</v>
      </c>
      <c r="CP41" s="742"/>
      <c r="CQ41" s="663" t="s">
        <v>430</v>
      </c>
      <c r="CR41" s="742"/>
      <c r="CS41" s="663" t="s">
        <v>428</v>
      </c>
      <c r="CT41" s="742"/>
      <c r="CU41" s="663" t="s">
        <v>430</v>
      </c>
      <c r="CV41" s="742"/>
      <c r="CW41" s="663" t="s">
        <v>430</v>
      </c>
      <c r="CX41" s="742"/>
      <c r="CY41" s="663" t="s">
        <v>428</v>
      </c>
      <c r="CZ41" s="742"/>
      <c r="DA41" s="663" t="s">
        <v>428</v>
      </c>
      <c r="DB41" s="742"/>
      <c r="DC41" s="663" t="s">
        <v>428</v>
      </c>
      <c r="DD41" s="742"/>
      <c r="DE41" s="665" t="s">
        <v>428</v>
      </c>
      <c r="DF41" s="723"/>
      <c r="DG41" s="862" t="s">
        <v>467</v>
      </c>
      <c r="DH41" s="738"/>
      <c r="DI41" s="895"/>
      <c r="DJ41" s="895"/>
      <c r="DK41" s="895"/>
      <c r="DL41" s="896"/>
      <c r="DM41" s="740"/>
      <c r="DN41" s="663" t="s">
        <v>430</v>
      </c>
      <c r="DO41" s="741"/>
      <c r="DP41" s="663" t="s">
        <v>430</v>
      </c>
      <c r="DQ41" s="742"/>
      <c r="DR41" s="663" t="s">
        <v>428</v>
      </c>
      <c r="DS41" s="742"/>
      <c r="DT41" s="663" t="s">
        <v>430</v>
      </c>
      <c r="DU41" s="742"/>
      <c r="DV41" s="663" t="s">
        <v>428</v>
      </c>
      <c r="DW41" s="742"/>
      <c r="DX41" s="663" t="s">
        <v>430</v>
      </c>
      <c r="DY41" s="742"/>
      <c r="DZ41" s="663" t="s">
        <v>430</v>
      </c>
      <c r="EA41" s="742"/>
      <c r="EB41" s="663" t="s">
        <v>428</v>
      </c>
      <c r="EC41" s="742"/>
      <c r="ED41" s="663" t="s">
        <v>428</v>
      </c>
      <c r="EE41" s="742" t="s">
        <v>447</v>
      </c>
      <c r="EF41" s="663" t="s">
        <v>430</v>
      </c>
      <c r="EG41" s="742" t="s">
        <v>447</v>
      </c>
      <c r="EH41" s="663" t="s">
        <v>430</v>
      </c>
      <c r="EI41" s="742"/>
      <c r="EJ41" s="663" t="s">
        <v>428</v>
      </c>
      <c r="EK41" s="742"/>
      <c r="EL41" s="663" t="s">
        <v>428</v>
      </c>
      <c r="EM41" s="742"/>
      <c r="EN41" s="663" t="s">
        <v>430</v>
      </c>
      <c r="EO41" s="742"/>
      <c r="EP41" s="663" t="s">
        <v>430</v>
      </c>
      <c r="EQ41" s="742"/>
      <c r="ER41" s="663" t="s">
        <v>430</v>
      </c>
      <c r="ES41" s="742"/>
      <c r="ET41" s="663" t="s">
        <v>428</v>
      </c>
      <c r="EU41" s="742"/>
      <c r="EV41" s="663" t="s">
        <v>430</v>
      </c>
      <c r="EW41" s="742"/>
      <c r="EX41" s="663" t="s">
        <v>428</v>
      </c>
      <c r="EY41" s="742"/>
      <c r="EZ41" s="663" t="s">
        <v>430</v>
      </c>
      <c r="FA41" s="742"/>
      <c r="FB41" s="663" t="s">
        <v>430</v>
      </c>
      <c r="FC41" s="742"/>
      <c r="FD41" s="663" t="s">
        <v>428</v>
      </c>
      <c r="FE41" s="742"/>
      <c r="FF41" s="663" t="s">
        <v>428</v>
      </c>
      <c r="FG41" s="742"/>
      <c r="FH41" s="665" t="s">
        <v>428</v>
      </c>
      <c r="FI41" s="746"/>
      <c r="FJ41" s="827" t="s">
        <v>467</v>
      </c>
      <c r="FK41" s="743"/>
      <c r="FL41" s="897"/>
      <c r="FM41" s="897"/>
      <c r="FN41" s="897"/>
      <c r="FO41" s="898"/>
      <c r="FP41" s="747"/>
      <c r="FQ41" s="673"/>
      <c r="FR41" s="663" t="s">
        <v>434</v>
      </c>
      <c r="FS41" s="748"/>
      <c r="FT41" s="673"/>
      <c r="FU41" s="675" t="s">
        <v>434</v>
      </c>
      <c r="FV41" s="593"/>
      <c r="FW41" s="594"/>
      <c r="FX41" s="806"/>
      <c r="FY41" s="596"/>
      <c r="FZ41" s="807"/>
      <c r="GA41" s="598"/>
      <c r="GB41" s="808"/>
      <c r="GC41" s="600"/>
      <c r="GD41" s="808"/>
      <c r="GE41" s="601"/>
      <c r="GF41" s="749"/>
      <c r="GG41" s="750"/>
      <c r="GH41" s="750"/>
      <c r="GI41" s="750"/>
      <c r="GJ41" s="580"/>
      <c r="GK41" s="899" t="s">
        <v>574</v>
      </c>
      <c r="GL41" s="900"/>
      <c r="GM41" s="901" t="s">
        <v>838</v>
      </c>
      <c r="GN41" s="901"/>
      <c r="GO41" s="901" t="s">
        <v>576</v>
      </c>
      <c r="GP41" s="901"/>
      <c r="GQ41" s="901"/>
      <c r="GR41" s="902"/>
      <c r="GS41" s="861"/>
      <c r="GT41" s="689"/>
      <c r="GU41" s="530" t="s">
        <v>611</v>
      </c>
      <c r="GV41" s="530"/>
      <c r="GW41" s="530"/>
      <c r="GX41" s="530"/>
      <c r="GY41" s="530"/>
      <c r="GZ41" s="530"/>
      <c r="HA41" s="894">
        <v>40.6</v>
      </c>
      <c r="HB41" s="413"/>
      <c r="HC41" s="530"/>
      <c r="HD41" s="409"/>
    </row>
    <row r="42" spans="1:219" ht="20.100000000000001" customHeight="1">
      <c r="A42" s="832"/>
      <c r="B42" s="903" t="s">
        <v>469</v>
      </c>
      <c r="C42" s="904"/>
      <c r="D42" s="904"/>
      <c r="E42" s="905"/>
      <c r="F42" s="906"/>
      <c r="G42" s="836"/>
      <c r="H42" s="837"/>
      <c r="I42" s="838"/>
      <c r="J42" s="799"/>
      <c r="K42" s="839"/>
      <c r="L42" s="799"/>
      <c r="M42" s="839"/>
      <c r="N42" s="799"/>
      <c r="O42" s="839"/>
      <c r="P42" s="799"/>
      <c r="Q42" s="839"/>
      <c r="R42" s="799"/>
      <c r="S42" s="839"/>
      <c r="T42" s="799"/>
      <c r="U42" s="839"/>
      <c r="V42" s="799"/>
      <c r="W42" s="839"/>
      <c r="X42" s="799">
        <v>452</v>
      </c>
      <c r="Y42" s="839"/>
      <c r="Z42" s="799">
        <v>291</v>
      </c>
      <c r="AA42" s="839"/>
      <c r="AB42" s="799">
        <v>284</v>
      </c>
      <c r="AC42" s="839"/>
      <c r="AD42" s="799">
        <v>279</v>
      </c>
      <c r="AE42" s="839"/>
      <c r="AF42" s="799">
        <v>274</v>
      </c>
      <c r="AG42" s="839"/>
      <c r="AH42" s="799">
        <v>269</v>
      </c>
      <c r="AI42" s="839"/>
      <c r="AJ42" s="799">
        <v>265</v>
      </c>
      <c r="AK42" s="839"/>
      <c r="AL42" s="799">
        <v>259</v>
      </c>
      <c r="AM42" s="839"/>
      <c r="AN42" s="799">
        <v>255</v>
      </c>
      <c r="AO42" s="839"/>
      <c r="AP42" s="799">
        <v>253</v>
      </c>
      <c r="AQ42" s="839"/>
      <c r="AR42" s="799"/>
      <c r="AS42" s="839"/>
      <c r="AT42" s="799"/>
      <c r="AU42" s="839"/>
      <c r="AV42" s="799"/>
      <c r="AW42" s="839"/>
      <c r="AX42" s="799"/>
      <c r="AY42" s="839"/>
      <c r="AZ42" s="799"/>
      <c r="BA42" s="839"/>
      <c r="BB42" s="840"/>
      <c r="BC42" s="562"/>
      <c r="BD42" s="832"/>
      <c r="BE42" s="907" t="s">
        <v>470</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452</v>
      </c>
      <c r="CB42" s="839"/>
      <c r="CC42" s="799">
        <v>291</v>
      </c>
      <c r="CD42" s="839"/>
      <c r="CE42" s="799">
        <v>284</v>
      </c>
      <c r="CF42" s="839"/>
      <c r="CG42" s="799">
        <v>279</v>
      </c>
      <c r="CH42" s="839"/>
      <c r="CI42" s="799">
        <v>274</v>
      </c>
      <c r="CJ42" s="839"/>
      <c r="CK42" s="799">
        <v>269</v>
      </c>
      <c r="CL42" s="839"/>
      <c r="CM42" s="799">
        <v>265</v>
      </c>
      <c r="CN42" s="839"/>
      <c r="CO42" s="799">
        <v>259</v>
      </c>
      <c r="CP42" s="839"/>
      <c r="CQ42" s="799">
        <v>255</v>
      </c>
      <c r="CR42" s="839"/>
      <c r="CS42" s="799">
        <v>253</v>
      </c>
      <c r="CT42" s="839"/>
      <c r="CU42" s="799"/>
      <c r="CV42" s="839"/>
      <c r="CW42" s="799"/>
      <c r="CX42" s="839"/>
      <c r="CY42" s="799"/>
      <c r="CZ42" s="839"/>
      <c r="DA42" s="799"/>
      <c r="DB42" s="839"/>
      <c r="DC42" s="799"/>
      <c r="DD42" s="839"/>
      <c r="DE42" s="840"/>
      <c r="DF42" s="562"/>
      <c r="DG42" s="832"/>
      <c r="DH42" s="907" t="s">
        <v>469</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452</v>
      </c>
      <c r="EE42" s="839"/>
      <c r="EF42" s="799">
        <v>291</v>
      </c>
      <c r="EG42" s="839"/>
      <c r="EH42" s="799">
        <v>284</v>
      </c>
      <c r="EI42" s="839"/>
      <c r="EJ42" s="799">
        <v>279</v>
      </c>
      <c r="EK42" s="839"/>
      <c r="EL42" s="799">
        <v>274</v>
      </c>
      <c r="EM42" s="839"/>
      <c r="EN42" s="799">
        <v>269</v>
      </c>
      <c r="EO42" s="839"/>
      <c r="EP42" s="799">
        <v>265</v>
      </c>
      <c r="EQ42" s="839"/>
      <c r="ER42" s="799">
        <v>259</v>
      </c>
      <c r="ES42" s="839"/>
      <c r="ET42" s="799">
        <v>255</v>
      </c>
      <c r="EU42" s="839"/>
      <c r="EV42" s="799">
        <v>253</v>
      </c>
      <c r="EW42" s="839"/>
      <c r="EX42" s="799"/>
      <c r="EY42" s="839"/>
      <c r="EZ42" s="799"/>
      <c r="FA42" s="839"/>
      <c r="FB42" s="799"/>
      <c r="FC42" s="839"/>
      <c r="FD42" s="799"/>
      <c r="FE42" s="839"/>
      <c r="FF42" s="799"/>
      <c r="FG42" s="839"/>
      <c r="FH42" s="840"/>
      <c r="FI42" s="563"/>
      <c r="FJ42" s="841"/>
      <c r="FK42" s="907" t="s">
        <v>470</v>
      </c>
      <c r="FL42" s="904"/>
      <c r="FM42" s="904"/>
      <c r="FN42" s="905"/>
      <c r="FO42" s="906"/>
      <c r="FP42" s="842"/>
      <c r="FQ42" s="838"/>
      <c r="FR42" s="837">
        <v>696</v>
      </c>
      <c r="FS42" s="843"/>
      <c r="FT42" s="838"/>
      <c r="FU42" s="805">
        <v>696</v>
      </c>
      <c r="FV42" s="593"/>
      <c r="FW42" s="594"/>
      <c r="FX42" s="806"/>
      <c r="FY42" s="596"/>
      <c r="FZ42" s="807"/>
      <c r="GA42" s="598"/>
      <c r="GB42" s="808"/>
      <c r="GC42" s="600"/>
      <c r="GD42" s="808"/>
      <c r="GE42" s="601"/>
      <c r="GF42" s="844"/>
      <c r="GG42" s="602"/>
      <c r="GH42" s="602"/>
      <c r="GI42" s="602"/>
      <c r="GJ42" s="409"/>
      <c r="GK42" s="908"/>
      <c r="GL42" s="909"/>
      <c r="GM42" s="910">
        <v>10</v>
      </c>
      <c r="GN42" s="910"/>
      <c r="GO42" s="910">
        <v>24.2</v>
      </c>
      <c r="GP42" s="910"/>
      <c r="GQ42" s="910">
        <v>34.200000000000003</v>
      </c>
      <c r="GR42" s="911"/>
      <c r="GS42" s="580"/>
      <c r="GT42" s="500"/>
      <c r="GU42" s="500"/>
      <c r="GV42" s="500"/>
      <c r="GW42" s="579"/>
      <c r="GX42" s="579"/>
      <c r="GY42" s="579"/>
      <c r="GZ42" s="578"/>
      <c r="HA42" s="500"/>
      <c r="HB42" s="500"/>
      <c r="HC42" s="530"/>
      <c r="HD42" s="530"/>
    </row>
    <row r="43" spans="1:219" ht="20.100000000000001" customHeight="1">
      <c r="A43" s="832"/>
      <c r="B43" s="912" t="s">
        <v>471</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472</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471</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472</v>
      </c>
      <c r="FL43" s="913"/>
      <c r="FM43" s="913"/>
      <c r="FN43" s="913"/>
      <c r="FO43" s="914"/>
      <c r="FP43" s="696"/>
      <c r="FQ43" s="697"/>
      <c r="FR43" s="587">
        <v>0</v>
      </c>
      <c r="FS43" s="698"/>
      <c r="FT43" s="697"/>
      <c r="FU43" s="592">
        <v>0</v>
      </c>
      <c r="FV43" s="918"/>
      <c r="FW43" s="919"/>
      <c r="FX43" s="920"/>
      <c r="FY43" s="921"/>
      <c r="FZ43" s="922"/>
      <c r="GA43" s="923"/>
      <c r="GB43" s="924"/>
      <c r="GC43" s="925"/>
      <c r="GD43" s="924"/>
      <c r="GE43" s="926"/>
      <c r="GF43" s="688"/>
      <c r="GG43" s="602"/>
      <c r="GH43" s="602"/>
      <c r="GI43" s="602"/>
      <c r="GJ43" s="927"/>
      <c r="GK43" s="928" t="s">
        <v>787</v>
      </c>
      <c r="GL43" s="929"/>
      <c r="GM43" s="930" t="s">
        <v>839</v>
      </c>
      <c r="GN43" s="930"/>
      <c r="GO43" s="930" t="s">
        <v>578</v>
      </c>
      <c r="GP43" s="930"/>
      <c r="GQ43" s="930"/>
      <c r="GR43" s="931"/>
      <c r="GS43" s="580"/>
      <c r="GT43" s="609"/>
      <c r="GU43" s="530" t="s">
        <v>722</v>
      </c>
      <c r="GV43" s="413"/>
      <c r="GW43" s="409"/>
      <c r="GX43" s="413"/>
      <c r="GY43" s="413"/>
      <c r="GZ43" s="413"/>
      <c r="HA43" s="409"/>
      <c r="HB43" s="413"/>
      <c r="HC43" s="932"/>
      <c r="HD43" s="415"/>
    </row>
    <row r="44" spans="1:219" ht="20.100000000000001" customHeight="1" thickBot="1">
      <c r="A44" s="933"/>
      <c r="B44" s="642"/>
      <c r="C44" s="642"/>
      <c r="D44" s="643" t="s">
        <v>330</v>
      </c>
      <c r="E44" s="642"/>
      <c r="F44" s="642"/>
      <c r="G44" s="845"/>
      <c r="H44" s="1294">
        <v>0</v>
      </c>
      <c r="I44" s="1295"/>
      <c r="J44" s="848">
        <v>0</v>
      </c>
      <c r="K44" s="849"/>
      <c r="L44" s="848">
        <v>0</v>
      </c>
      <c r="M44" s="849"/>
      <c r="N44" s="848">
        <v>0</v>
      </c>
      <c r="O44" s="849"/>
      <c r="P44" s="848">
        <v>0</v>
      </c>
      <c r="Q44" s="849"/>
      <c r="R44" s="848">
        <v>0</v>
      </c>
      <c r="S44" s="849"/>
      <c r="T44" s="848">
        <v>0</v>
      </c>
      <c r="U44" s="849"/>
      <c r="V44" s="848">
        <v>0</v>
      </c>
      <c r="W44" s="849"/>
      <c r="X44" s="848">
        <v>452</v>
      </c>
      <c r="Y44" s="849"/>
      <c r="Z44" s="848">
        <v>291</v>
      </c>
      <c r="AA44" s="849"/>
      <c r="AB44" s="848">
        <v>284</v>
      </c>
      <c r="AC44" s="849"/>
      <c r="AD44" s="848">
        <v>279</v>
      </c>
      <c r="AE44" s="849"/>
      <c r="AF44" s="848">
        <v>274</v>
      </c>
      <c r="AG44" s="849"/>
      <c r="AH44" s="848">
        <v>269</v>
      </c>
      <c r="AI44" s="849"/>
      <c r="AJ44" s="848">
        <v>265</v>
      </c>
      <c r="AK44" s="849"/>
      <c r="AL44" s="848">
        <v>259</v>
      </c>
      <c r="AM44" s="849"/>
      <c r="AN44" s="848">
        <v>255</v>
      </c>
      <c r="AO44" s="849"/>
      <c r="AP44" s="848">
        <v>253</v>
      </c>
      <c r="AQ44" s="849"/>
      <c r="AR44" s="848">
        <v>0</v>
      </c>
      <c r="AS44" s="849"/>
      <c r="AT44" s="848">
        <v>0</v>
      </c>
      <c r="AU44" s="849"/>
      <c r="AV44" s="848">
        <v>0</v>
      </c>
      <c r="AW44" s="849"/>
      <c r="AX44" s="848">
        <v>0</v>
      </c>
      <c r="AY44" s="849"/>
      <c r="AZ44" s="848">
        <v>0</v>
      </c>
      <c r="BA44" s="849"/>
      <c r="BB44" s="1296">
        <v>0</v>
      </c>
      <c r="BC44" s="648"/>
      <c r="BD44" s="933"/>
      <c r="BE44" s="642"/>
      <c r="BF44" s="642"/>
      <c r="BG44" s="643" t="s">
        <v>672</v>
      </c>
      <c r="BH44" s="642"/>
      <c r="BI44" s="642"/>
      <c r="BJ44" s="845"/>
      <c r="BK44" s="1294">
        <v>0</v>
      </c>
      <c r="BL44" s="1295"/>
      <c r="BM44" s="848">
        <v>0</v>
      </c>
      <c r="BN44" s="849"/>
      <c r="BO44" s="848">
        <v>0</v>
      </c>
      <c r="BP44" s="849"/>
      <c r="BQ44" s="848">
        <v>0</v>
      </c>
      <c r="BR44" s="849"/>
      <c r="BS44" s="848">
        <v>0</v>
      </c>
      <c r="BT44" s="849"/>
      <c r="BU44" s="848">
        <v>0</v>
      </c>
      <c r="BV44" s="849"/>
      <c r="BW44" s="848">
        <v>0</v>
      </c>
      <c r="BX44" s="849"/>
      <c r="BY44" s="848">
        <v>0</v>
      </c>
      <c r="BZ44" s="849"/>
      <c r="CA44" s="848">
        <v>452</v>
      </c>
      <c r="CB44" s="849"/>
      <c r="CC44" s="848">
        <v>291</v>
      </c>
      <c r="CD44" s="849"/>
      <c r="CE44" s="848">
        <v>284</v>
      </c>
      <c r="CF44" s="849"/>
      <c r="CG44" s="848">
        <v>279</v>
      </c>
      <c r="CH44" s="849"/>
      <c r="CI44" s="848">
        <v>274</v>
      </c>
      <c r="CJ44" s="849"/>
      <c r="CK44" s="848">
        <v>269</v>
      </c>
      <c r="CL44" s="849"/>
      <c r="CM44" s="848">
        <v>265</v>
      </c>
      <c r="CN44" s="849"/>
      <c r="CO44" s="848">
        <v>259</v>
      </c>
      <c r="CP44" s="849"/>
      <c r="CQ44" s="848">
        <v>255</v>
      </c>
      <c r="CR44" s="849"/>
      <c r="CS44" s="848">
        <v>253</v>
      </c>
      <c r="CT44" s="849"/>
      <c r="CU44" s="848">
        <v>0</v>
      </c>
      <c r="CV44" s="849"/>
      <c r="CW44" s="848">
        <v>0</v>
      </c>
      <c r="CX44" s="849"/>
      <c r="CY44" s="848">
        <v>0</v>
      </c>
      <c r="CZ44" s="849"/>
      <c r="DA44" s="848">
        <v>0</v>
      </c>
      <c r="DB44" s="849"/>
      <c r="DC44" s="848">
        <v>0</v>
      </c>
      <c r="DD44" s="849"/>
      <c r="DE44" s="1296">
        <v>0</v>
      </c>
      <c r="DF44" s="648"/>
      <c r="DG44" s="933"/>
      <c r="DH44" s="642"/>
      <c r="DI44" s="642"/>
      <c r="DJ44" s="643" t="s">
        <v>330</v>
      </c>
      <c r="DK44" s="642"/>
      <c r="DL44" s="642"/>
      <c r="DM44" s="845"/>
      <c r="DN44" s="1294">
        <v>0</v>
      </c>
      <c r="DO44" s="1295"/>
      <c r="DP44" s="848">
        <v>0</v>
      </c>
      <c r="DQ44" s="849"/>
      <c r="DR44" s="848">
        <v>0</v>
      </c>
      <c r="DS44" s="849"/>
      <c r="DT44" s="848">
        <v>0</v>
      </c>
      <c r="DU44" s="849"/>
      <c r="DV44" s="848">
        <v>0</v>
      </c>
      <c r="DW44" s="849"/>
      <c r="DX44" s="848">
        <v>0</v>
      </c>
      <c r="DY44" s="849"/>
      <c r="DZ44" s="848">
        <v>0</v>
      </c>
      <c r="EA44" s="849"/>
      <c r="EB44" s="848">
        <v>0</v>
      </c>
      <c r="EC44" s="849"/>
      <c r="ED44" s="848">
        <v>452</v>
      </c>
      <c r="EE44" s="849"/>
      <c r="EF44" s="848">
        <v>291</v>
      </c>
      <c r="EG44" s="849"/>
      <c r="EH44" s="848">
        <v>284</v>
      </c>
      <c r="EI44" s="849"/>
      <c r="EJ44" s="848">
        <v>279</v>
      </c>
      <c r="EK44" s="849"/>
      <c r="EL44" s="848">
        <v>274</v>
      </c>
      <c r="EM44" s="849"/>
      <c r="EN44" s="848">
        <v>269</v>
      </c>
      <c r="EO44" s="849"/>
      <c r="EP44" s="848">
        <v>265</v>
      </c>
      <c r="EQ44" s="849"/>
      <c r="ER44" s="848">
        <v>259</v>
      </c>
      <c r="ES44" s="849"/>
      <c r="ET44" s="848">
        <v>255</v>
      </c>
      <c r="EU44" s="849"/>
      <c r="EV44" s="848">
        <v>253</v>
      </c>
      <c r="EW44" s="849"/>
      <c r="EX44" s="848">
        <v>0</v>
      </c>
      <c r="EY44" s="849"/>
      <c r="EZ44" s="848">
        <v>0</v>
      </c>
      <c r="FA44" s="849"/>
      <c r="FB44" s="848">
        <v>0</v>
      </c>
      <c r="FC44" s="849"/>
      <c r="FD44" s="848">
        <v>0</v>
      </c>
      <c r="FE44" s="849"/>
      <c r="FF44" s="848">
        <v>0</v>
      </c>
      <c r="FG44" s="849"/>
      <c r="FH44" s="1296">
        <v>0</v>
      </c>
      <c r="FI44" s="649"/>
      <c r="FJ44" s="934"/>
      <c r="FK44" s="642"/>
      <c r="FL44" s="642"/>
      <c r="FM44" s="643" t="s">
        <v>672</v>
      </c>
      <c r="FN44" s="642"/>
      <c r="FO44" s="642"/>
      <c r="FP44" s="650"/>
      <c r="FQ44" s="1295"/>
      <c r="FR44" s="1294">
        <v>696</v>
      </c>
      <c r="FS44" s="1297"/>
      <c r="FT44" s="1295"/>
      <c r="FU44" s="1298">
        <v>696</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6.5</v>
      </c>
      <c r="GN44" s="935"/>
      <c r="GO44" s="935">
        <v>16</v>
      </c>
      <c r="GP44" s="935"/>
      <c r="GQ44" s="910">
        <v>22.5</v>
      </c>
      <c r="GR44" s="911"/>
      <c r="GS44" s="936"/>
      <c r="GT44" s="937"/>
      <c r="GU44" s="530" t="s">
        <v>925</v>
      </c>
      <c r="GV44" s="615"/>
      <c r="GW44" s="615"/>
      <c r="GX44" s="615"/>
      <c r="GY44" s="413"/>
      <c r="GZ44" s="413"/>
      <c r="HA44" s="751">
        <v>1.5</v>
      </c>
      <c r="HB44" s="413" t="s">
        <v>550</v>
      </c>
      <c r="HC44" s="938"/>
      <c r="HD44" s="415"/>
    </row>
    <row r="45" spans="1:219" ht="20.100000000000001" customHeight="1" thickTop="1">
      <c r="A45" s="939" t="s">
        <v>673</v>
      </c>
      <c r="B45" s="940"/>
      <c r="C45" s="940"/>
      <c r="D45" s="940"/>
      <c r="E45" s="940"/>
      <c r="F45" s="941"/>
      <c r="G45" s="942"/>
      <c r="H45" s="943">
        <v>0</v>
      </c>
      <c r="I45" s="944"/>
      <c r="J45" s="943">
        <v>0</v>
      </c>
      <c r="K45" s="944"/>
      <c r="L45" s="943">
        <v>0</v>
      </c>
      <c r="M45" s="944"/>
      <c r="N45" s="943">
        <v>0</v>
      </c>
      <c r="O45" s="944"/>
      <c r="P45" s="943">
        <v>0</v>
      </c>
      <c r="Q45" s="944"/>
      <c r="R45" s="943">
        <v>0</v>
      </c>
      <c r="S45" s="944"/>
      <c r="T45" s="943">
        <v>0</v>
      </c>
      <c r="U45" s="944"/>
      <c r="V45" s="943">
        <v>0</v>
      </c>
      <c r="W45" s="944"/>
      <c r="X45" s="943">
        <v>1268</v>
      </c>
      <c r="Y45" s="944"/>
      <c r="Z45" s="943">
        <v>1197</v>
      </c>
      <c r="AA45" s="944"/>
      <c r="AB45" s="943">
        <v>1248</v>
      </c>
      <c r="AC45" s="944"/>
      <c r="AD45" s="943">
        <v>1273</v>
      </c>
      <c r="AE45" s="944"/>
      <c r="AF45" s="943">
        <v>1318</v>
      </c>
      <c r="AG45" s="944"/>
      <c r="AH45" s="943">
        <v>1542</v>
      </c>
      <c r="AI45" s="944"/>
      <c r="AJ45" s="943">
        <v>1684</v>
      </c>
      <c r="AK45" s="944"/>
      <c r="AL45" s="943">
        <v>1657</v>
      </c>
      <c r="AM45" s="944"/>
      <c r="AN45" s="943">
        <v>1473</v>
      </c>
      <c r="AO45" s="944"/>
      <c r="AP45" s="943">
        <v>1065</v>
      </c>
      <c r="AQ45" s="944"/>
      <c r="AR45" s="943">
        <v>0</v>
      </c>
      <c r="AS45" s="944"/>
      <c r="AT45" s="943">
        <v>0</v>
      </c>
      <c r="AU45" s="944"/>
      <c r="AV45" s="943">
        <v>0</v>
      </c>
      <c r="AW45" s="944"/>
      <c r="AX45" s="943">
        <v>0</v>
      </c>
      <c r="AY45" s="944"/>
      <c r="AZ45" s="943">
        <v>0</v>
      </c>
      <c r="BA45" s="944"/>
      <c r="BB45" s="945">
        <v>0</v>
      </c>
      <c r="BC45" s="648"/>
      <c r="BD45" s="939" t="s">
        <v>476</v>
      </c>
      <c r="BE45" s="940"/>
      <c r="BF45" s="940"/>
      <c r="BG45" s="940"/>
      <c r="BH45" s="940"/>
      <c r="BI45" s="941"/>
      <c r="BJ45" s="942"/>
      <c r="BK45" s="943">
        <v>0</v>
      </c>
      <c r="BL45" s="944"/>
      <c r="BM45" s="943">
        <v>0</v>
      </c>
      <c r="BN45" s="944"/>
      <c r="BO45" s="943">
        <v>0</v>
      </c>
      <c r="BP45" s="944"/>
      <c r="BQ45" s="943">
        <v>0</v>
      </c>
      <c r="BR45" s="944"/>
      <c r="BS45" s="943">
        <v>0</v>
      </c>
      <c r="BT45" s="944"/>
      <c r="BU45" s="943">
        <v>0</v>
      </c>
      <c r="BV45" s="944"/>
      <c r="BW45" s="943">
        <v>0</v>
      </c>
      <c r="BX45" s="944"/>
      <c r="BY45" s="943">
        <v>0</v>
      </c>
      <c r="BZ45" s="944"/>
      <c r="CA45" s="943">
        <v>1225</v>
      </c>
      <c r="CB45" s="944"/>
      <c r="CC45" s="943">
        <v>1131</v>
      </c>
      <c r="CD45" s="944"/>
      <c r="CE45" s="943">
        <v>1176</v>
      </c>
      <c r="CF45" s="944"/>
      <c r="CG45" s="943">
        <v>1193</v>
      </c>
      <c r="CH45" s="944"/>
      <c r="CI45" s="943">
        <v>1265</v>
      </c>
      <c r="CJ45" s="944"/>
      <c r="CK45" s="943">
        <v>1633</v>
      </c>
      <c r="CL45" s="944"/>
      <c r="CM45" s="943">
        <v>1978</v>
      </c>
      <c r="CN45" s="944"/>
      <c r="CO45" s="943">
        <v>2096</v>
      </c>
      <c r="CP45" s="944"/>
      <c r="CQ45" s="943">
        <v>2054</v>
      </c>
      <c r="CR45" s="944"/>
      <c r="CS45" s="943">
        <v>1527</v>
      </c>
      <c r="CT45" s="944"/>
      <c r="CU45" s="943">
        <v>0</v>
      </c>
      <c r="CV45" s="944"/>
      <c r="CW45" s="943">
        <v>0</v>
      </c>
      <c r="CX45" s="944"/>
      <c r="CY45" s="943">
        <v>0</v>
      </c>
      <c r="CZ45" s="944"/>
      <c r="DA45" s="943">
        <v>0</v>
      </c>
      <c r="DB45" s="944"/>
      <c r="DC45" s="943">
        <v>0</v>
      </c>
      <c r="DD45" s="944"/>
      <c r="DE45" s="945">
        <v>0</v>
      </c>
      <c r="DF45" s="648"/>
      <c r="DG45" s="939" t="s">
        <v>673</v>
      </c>
      <c r="DH45" s="940"/>
      <c r="DI45" s="940"/>
      <c r="DJ45" s="940"/>
      <c r="DK45" s="940"/>
      <c r="DL45" s="941"/>
      <c r="DM45" s="942"/>
      <c r="DN45" s="943">
        <v>0</v>
      </c>
      <c r="DO45" s="944"/>
      <c r="DP45" s="943">
        <v>0</v>
      </c>
      <c r="DQ45" s="944"/>
      <c r="DR45" s="943">
        <v>0</v>
      </c>
      <c r="DS45" s="944"/>
      <c r="DT45" s="943">
        <v>0</v>
      </c>
      <c r="DU45" s="944"/>
      <c r="DV45" s="943">
        <v>0</v>
      </c>
      <c r="DW45" s="944"/>
      <c r="DX45" s="943">
        <v>0</v>
      </c>
      <c r="DY45" s="944"/>
      <c r="DZ45" s="943">
        <v>0</v>
      </c>
      <c r="EA45" s="944"/>
      <c r="EB45" s="943">
        <v>0</v>
      </c>
      <c r="EC45" s="944"/>
      <c r="ED45" s="943">
        <v>1068</v>
      </c>
      <c r="EE45" s="944"/>
      <c r="EF45" s="943">
        <v>990</v>
      </c>
      <c r="EG45" s="944"/>
      <c r="EH45" s="943">
        <v>1041</v>
      </c>
      <c r="EI45" s="944"/>
      <c r="EJ45" s="943">
        <v>1075</v>
      </c>
      <c r="EK45" s="944"/>
      <c r="EL45" s="943">
        <v>1080</v>
      </c>
      <c r="EM45" s="944"/>
      <c r="EN45" s="943">
        <v>1369</v>
      </c>
      <c r="EO45" s="944"/>
      <c r="EP45" s="943">
        <v>1727</v>
      </c>
      <c r="EQ45" s="944"/>
      <c r="ER45" s="943">
        <v>1778</v>
      </c>
      <c r="ES45" s="944"/>
      <c r="ET45" s="943">
        <v>1490</v>
      </c>
      <c r="EU45" s="944"/>
      <c r="EV45" s="943">
        <v>815</v>
      </c>
      <c r="EW45" s="944"/>
      <c r="EX45" s="943">
        <v>0</v>
      </c>
      <c r="EY45" s="944"/>
      <c r="EZ45" s="943">
        <v>0</v>
      </c>
      <c r="FA45" s="944"/>
      <c r="FB45" s="943">
        <v>0</v>
      </c>
      <c r="FC45" s="944"/>
      <c r="FD45" s="943">
        <v>0</v>
      </c>
      <c r="FE45" s="944"/>
      <c r="FF45" s="943">
        <v>0</v>
      </c>
      <c r="FG45" s="944"/>
      <c r="FH45" s="945">
        <v>0</v>
      </c>
      <c r="FI45" s="648"/>
      <c r="FJ45" s="939" t="s">
        <v>673</v>
      </c>
      <c r="FK45" s="940"/>
      <c r="FL45" s="940"/>
      <c r="FM45" s="940"/>
      <c r="FN45" s="940"/>
      <c r="FO45" s="941"/>
      <c r="FP45" s="946"/>
      <c r="FQ45" s="947"/>
      <c r="FR45" s="943">
        <v>1617</v>
      </c>
      <c r="FS45" s="948"/>
      <c r="FT45" s="947"/>
      <c r="FU45" s="949">
        <v>1642</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724</v>
      </c>
      <c r="GV45" s="413"/>
      <c r="GW45" s="413"/>
      <c r="GX45" s="413"/>
      <c r="GY45" s="530"/>
      <c r="GZ45" s="733"/>
      <c r="HA45" s="751">
        <v>19</v>
      </c>
      <c r="HB45" s="413" t="s">
        <v>550</v>
      </c>
      <c r="HC45" s="938"/>
      <c r="HD45" s="415"/>
    </row>
    <row r="46" spans="1:219" ht="20.100000000000001" customHeight="1">
      <c r="A46" s="954" t="s">
        <v>674</v>
      </c>
      <c r="B46" s="955"/>
      <c r="C46" s="955"/>
      <c r="D46" s="955"/>
      <c r="E46" s="955"/>
      <c r="F46" s="956"/>
      <c r="G46" s="957" t="s">
        <v>477</v>
      </c>
      <c r="H46" s="958"/>
      <c r="I46" s="1287" t="s">
        <v>477</v>
      </c>
      <c r="J46" s="958"/>
      <c r="K46" s="1287" t="s">
        <v>477</v>
      </c>
      <c r="L46" s="958"/>
      <c r="M46" s="1287" t="s">
        <v>477</v>
      </c>
      <c r="N46" s="958"/>
      <c r="O46" s="1287" t="s">
        <v>477</v>
      </c>
      <c r="P46" s="958"/>
      <c r="Q46" s="1287" t="s">
        <v>477</v>
      </c>
      <c r="R46" s="958"/>
      <c r="S46" s="1287" t="s">
        <v>477</v>
      </c>
      <c r="T46" s="958"/>
      <c r="U46" s="1287" t="s">
        <v>477</v>
      </c>
      <c r="V46" s="958"/>
      <c r="W46" s="1287" t="s">
        <v>477</v>
      </c>
      <c r="X46" s="958"/>
      <c r="Y46" s="1287" t="s">
        <v>477</v>
      </c>
      <c r="Z46" s="958"/>
      <c r="AA46" s="1287" t="s">
        <v>477</v>
      </c>
      <c r="AB46" s="958"/>
      <c r="AC46" s="1287" t="s">
        <v>477</v>
      </c>
      <c r="AD46" s="958"/>
      <c r="AE46" s="1287" t="s">
        <v>477</v>
      </c>
      <c r="AF46" s="958"/>
      <c r="AG46" s="1287" t="s">
        <v>477</v>
      </c>
      <c r="AH46" s="958"/>
      <c r="AI46" s="1287" t="s">
        <v>477</v>
      </c>
      <c r="AJ46" s="958"/>
      <c r="AK46" s="1287" t="s">
        <v>477</v>
      </c>
      <c r="AL46" s="958"/>
      <c r="AM46" s="1287" t="s">
        <v>477</v>
      </c>
      <c r="AN46" s="958"/>
      <c r="AO46" s="1287" t="s">
        <v>477</v>
      </c>
      <c r="AP46" s="958"/>
      <c r="AQ46" s="1287" t="s">
        <v>477</v>
      </c>
      <c r="AR46" s="958"/>
      <c r="AS46" s="1287" t="s">
        <v>477</v>
      </c>
      <c r="AT46" s="958"/>
      <c r="AU46" s="1287" t="s">
        <v>477</v>
      </c>
      <c r="AV46" s="958"/>
      <c r="AW46" s="1287" t="s">
        <v>477</v>
      </c>
      <c r="AX46" s="958"/>
      <c r="AY46" s="1287" t="s">
        <v>477</v>
      </c>
      <c r="AZ46" s="960"/>
      <c r="BA46" s="961" t="s">
        <v>477</v>
      </c>
      <c r="BB46" s="962"/>
      <c r="BC46" s="963"/>
      <c r="BD46" s="954" t="s">
        <v>877</v>
      </c>
      <c r="BE46" s="955"/>
      <c r="BF46" s="955"/>
      <c r="BG46" s="955"/>
      <c r="BH46" s="955"/>
      <c r="BI46" s="956"/>
      <c r="BJ46" s="957" t="s">
        <v>477</v>
      </c>
      <c r="BK46" s="958"/>
      <c r="BL46" s="1287" t="s">
        <v>477</v>
      </c>
      <c r="BM46" s="958"/>
      <c r="BN46" s="1287" t="s">
        <v>477</v>
      </c>
      <c r="BO46" s="958"/>
      <c r="BP46" s="1287" t="s">
        <v>477</v>
      </c>
      <c r="BQ46" s="958"/>
      <c r="BR46" s="1287" t="s">
        <v>477</v>
      </c>
      <c r="BS46" s="958"/>
      <c r="BT46" s="1287" t="s">
        <v>477</v>
      </c>
      <c r="BU46" s="958"/>
      <c r="BV46" s="1287" t="s">
        <v>477</v>
      </c>
      <c r="BW46" s="958"/>
      <c r="BX46" s="1287" t="s">
        <v>477</v>
      </c>
      <c r="BY46" s="958"/>
      <c r="BZ46" s="1287" t="s">
        <v>477</v>
      </c>
      <c r="CA46" s="958"/>
      <c r="CB46" s="1287" t="s">
        <v>477</v>
      </c>
      <c r="CC46" s="958"/>
      <c r="CD46" s="1287" t="s">
        <v>477</v>
      </c>
      <c r="CE46" s="958"/>
      <c r="CF46" s="1287" t="s">
        <v>477</v>
      </c>
      <c r="CG46" s="958"/>
      <c r="CH46" s="1287" t="s">
        <v>477</v>
      </c>
      <c r="CI46" s="958"/>
      <c r="CJ46" s="1287" t="s">
        <v>477</v>
      </c>
      <c r="CK46" s="958"/>
      <c r="CL46" s="1287" t="s">
        <v>477</v>
      </c>
      <c r="CM46" s="958"/>
      <c r="CN46" s="1287" t="s">
        <v>477</v>
      </c>
      <c r="CO46" s="958"/>
      <c r="CP46" s="1287" t="s">
        <v>477</v>
      </c>
      <c r="CQ46" s="958"/>
      <c r="CR46" s="1287" t="s">
        <v>477</v>
      </c>
      <c r="CS46" s="958"/>
      <c r="CT46" s="1287" t="s">
        <v>477</v>
      </c>
      <c r="CU46" s="958"/>
      <c r="CV46" s="1287" t="s">
        <v>477</v>
      </c>
      <c r="CW46" s="958"/>
      <c r="CX46" s="1287" t="s">
        <v>477</v>
      </c>
      <c r="CY46" s="958"/>
      <c r="CZ46" s="1287" t="s">
        <v>477</v>
      </c>
      <c r="DA46" s="958"/>
      <c r="DB46" s="1287" t="s">
        <v>477</v>
      </c>
      <c r="DC46" s="960"/>
      <c r="DD46" s="961" t="s">
        <v>477</v>
      </c>
      <c r="DE46" s="962"/>
      <c r="DF46" s="963"/>
      <c r="DG46" s="954" t="s">
        <v>336</v>
      </c>
      <c r="DH46" s="955"/>
      <c r="DI46" s="955"/>
      <c r="DJ46" s="955"/>
      <c r="DK46" s="955"/>
      <c r="DL46" s="956"/>
      <c r="DM46" s="957" t="s">
        <v>477</v>
      </c>
      <c r="DN46" s="958"/>
      <c r="DO46" s="1287" t="s">
        <v>477</v>
      </c>
      <c r="DP46" s="958"/>
      <c r="DQ46" s="1287" t="s">
        <v>477</v>
      </c>
      <c r="DR46" s="958"/>
      <c r="DS46" s="1287" t="s">
        <v>477</v>
      </c>
      <c r="DT46" s="958"/>
      <c r="DU46" s="1287" t="s">
        <v>477</v>
      </c>
      <c r="DV46" s="958"/>
      <c r="DW46" s="1287" t="s">
        <v>477</v>
      </c>
      <c r="DX46" s="958"/>
      <c r="DY46" s="1287" t="s">
        <v>477</v>
      </c>
      <c r="DZ46" s="958"/>
      <c r="EA46" s="1287" t="s">
        <v>477</v>
      </c>
      <c r="EB46" s="958"/>
      <c r="EC46" s="1287" t="s">
        <v>477</v>
      </c>
      <c r="ED46" s="958"/>
      <c r="EE46" s="1287" t="s">
        <v>477</v>
      </c>
      <c r="EF46" s="958"/>
      <c r="EG46" s="1287" t="s">
        <v>477</v>
      </c>
      <c r="EH46" s="958"/>
      <c r="EI46" s="1287" t="s">
        <v>477</v>
      </c>
      <c r="EJ46" s="958"/>
      <c r="EK46" s="1287" t="s">
        <v>477</v>
      </c>
      <c r="EL46" s="958"/>
      <c r="EM46" s="1287" t="s">
        <v>477</v>
      </c>
      <c r="EN46" s="958"/>
      <c r="EO46" s="1287" t="s">
        <v>477</v>
      </c>
      <c r="EP46" s="958"/>
      <c r="EQ46" s="1287" t="s">
        <v>477</v>
      </c>
      <c r="ER46" s="958"/>
      <c r="ES46" s="1287" t="s">
        <v>477</v>
      </c>
      <c r="ET46" s="958"/>
      <c r="EU46" s="1287" t="s">
        <v>477</v>
      </c>
      <c r="EV46" s="958"/>
      <c r="EW46" s="1287" t="s">
        <v>477</v>
      </c>
      <c r="EX46" s="958"/>
      <c r="EY46" s="1287" t="s">
        <v>477</v>
      </c>
      <c r="EZ46" s="958"/>
      <c r="FA46" s="1287" t="s">
        <v>477</v>
      </c>
      <c r="FB46" s="958"/>
      <c r="FC46" s="1287" t="s">
        <v>477</v>
      </c>
      <c r="FD46" s="958"/>
      <c r="FE46" s="1287" t="s">
        <v>477</v>
      </c>
      <c r="FF46" s="960"/>
      <c r="FG46" s="961" t="s">
        <v>477</v>
      </c>
      <c r="FH46" s="962"/>
      <c r="FI46" s="963"/>
      <c r="FJ46" s="954" t="s">
        <v>480</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t="s">
        <v>584</v>
      </c>
      <c r="GL46" s="413"/>
      <c r="GM46" s="750"/>
      <c r="GN46" s="750"/>
      <c r="GO46" s="750"/>
      <c r="GP46" s="750"/>
      <c r="GQ46" s="750"/>
      <c r="GR46" s="861"/>
      <c r="GS46" s="580"/>
      <c r="GT46" s="763"/>
      <c r="GU46" s="774" t="s">
        <v>582</v>
      </c>
      <c r="GV46" s="774"/>
      <c r="GW46" s="774"/>
      <c r="GX46" s="774"/>
      <c r="GY46" s="615"/>
      <c r="GZ46" s="775"/>
      <c r="HA46" s="751">
        <v>17.5</v>
      </c>
      <c r="HB46" s="413" t="s">
        <v>707</v>
      </c>
      <c r="HC46" s="938"/>
      <c r="HD46" s="415"/>
    </row>
    <row r="47" spans="1:219" ht="20.100000000000001" customHeight="1" thickBot="1">
      <c r="A47" s="970" t="s">
        <v>337</v>
      </c>
      <c r="B47" s="971"/>
      <c r="C47" s="971"/>
      <c r="D47" s="972"/>
      <c r="E47" s="973"/>
      <c r="F47" s="973"/>
      <c r="G47" s="974"/>
      <c r="H47" s="975">
        <v>0</v>
      </c>
      <c r="I47" s="976"/>
      <c r="J47" s="975">
        <v>0</v>
      </c>
      <c r="K47" s="976"/>
      <c r="L47" s="975">
        <v>0</v>
      </c>
      <c r="M47" s="976"/>
      <c r="N47" s="975">
        <v>0</v>
      </c>
      <c r="O47" s="976"/>
      <c r="P47" s="975">
        <v>0</v>
      </c>
      <c r="Q47" s="976"/>
      <c r="R47" s="975">
        <v>0</v>
      </c>
      <c r="S47" s="976"/>
      <c r="T47" s="975">
        <v>0</v>
      </c>
      <c r="U47" s="976"/>
      <c r="V47" s="975">
        <v>0</v>
      </c>
      <c r="W47" s="976"/>
      <c r="X47" s="975">
        <v>1331</v>
      </c>
      <c r="Y47" s="976"/>
      <c r="Z47" s="975">
        <v>1257</v>
      </c>
      <c r="AA47" s="976"/>
      <c r="AB47" s="975">
        <v>1310</v>
      </c>
      <c r="AC47" s="976"/>
      <c r="AD47" s="975">
        <v>1337</v>
      </c>
      <c r="AE47" s="976"/>
      <c r="AF47" s="975">
        <v>1384</v>
      </c>
      <c r="AG47" s="976"/>
      <c r="AH47" s="975">
        <v>1619</v>
      </c>
      <c r="AI47" s="976"/>
      <c r="AJ47" s="975">
        <v>1768</v>
      </c>
      <c r="AK47" s="976"/>
      <c r="AL47" s="975">
        <v>1740</v>
      </c>
      <c r="AM47" s="976"/>
      <c r="AN47" s="975">
        <v>1547</v>
      </c>
      <c r="AO47" s="976"/>
      <c r="AP47" s="975">
        <v>1118</v>
      </c>
      <c r="AQ47" s="976"/>
      <c r="AR47" s="975">
        <v>0</v>
      </c>
      <c r="AS47" s="976"/>
      <c r="AT47" s="975">
        <v>0</v>
      </c>
      <c r="AU47" s="976"/>
      <c r="AV47" s="975">
        <v>0</v>
      </c>
      <c r="AW47" s="976"/>
      <c r="AX47" s="975">
        <v>0</v>
      </c>
      <c r="AY47" s="977"/>
      <c r="AZ47" s="978">
        <v>0</v>
      </c>
      <c r="BA47" s="979"/>
      <c r="BB47" s="980">
        <v>0</v>
      </c>
      <c r="BC47" s="981"/>
      <c r="BD47" s="970" t="s">
        <v>337</v>
      </c>
      <c r="BE47" s="971"/>
      <c r="BF47" s="971"/>
      <c r="BG47" s="972"/>
      <c r="BH47" s="973"/>
      <c r="BI47" s="973"/>
      <c r="BJ47" s="974"/>
      <c r="BK47" s="975">
        <v>0</v>
      </c>
      <c r="BL47" s="976"/>
      <c r="BM47" s="975">
        <v>0</v>
      </c>
      <c r="BN47" s="976"/>
      <c r="BO47" s="975">
        <v>0</v>
      </c>
      <c r="BP47" s="976"/>
      <c r="BQ47" s="975">
        <v>0</v>
      </c>
      <c r="BR47" s="976"/>
      <c r="BS47" s="975">
        <v>0</v>
      </c>
      <c r="BT47" s="976"/>
      <c r="BU47" s="975">
        <v>0</v>
      </c>
      <c r="BV47" s="976"/>
      <c r="BW47" s="975">
        <v>0</v>
      </c>
      <c r="BX47" s="976"/>
      <c r="BY47" s="975">
        <v>0</v>
      </c>
      <c r="BZ47" s="976"/>
      <c r="CA47" s="975">
        <v>1286</v>
      </c>
      <c r="CB47" s="976"/>
      <c r="CC47" s="975">
        <v>1188</v>
      </c>
      <c r="CD47" s="976"/>
      <c r="CE47" s="975">
        <v>1235</v>
      </c>
      <c r="CF47" s="976"/>
      <c r="CG47" s="975">
        <v>1253</v>
      </c>
      <c r="CH47" s="976"/>
      <c r="CI47" s="975">
        <v>1328</v>
      </c>
      <c r="CJ47" s="976"/>
      <c r="CK47" s="975">
        <v>1715</v>
      </c>
      <c r="CL47" s="976"/>
      <c r="CM47" s="975">
        <v>2077</v>
      </c>
      <c r="CN47" s="976"/>
      <c r="CO47" s="975">
        <v>2201</v>
      </c>
      <c r="CP47" s="976"/>
      <c r="CQ47" s="975">
        <v>2157</v>
      </c>
      <c r="CR47" s="976"/>
      <c r="CS47" s="975">
        <v>1603</v>
      </c>
      <c r="CT47" s="976"/>
      <c r="CU47" s="975">
        <v>0</v>
      </c>
      <c r="CV47" s="976"/>
      <c r="CW47" s="975">
        <v>0</v>
      </c>
      <c r="CX47" s="976"/>
      <c r="CY47" s="975">
        <v>0</v>
      </c>
      <c r="CZ47" s="976"/>
      <c r="DA47" s="975">
        <v>0</v>
      </c>
      <c r="DB47" s="977"/>
      <c r="DC47" s="978">
        <v>0</v>
      </c>
      <c r="DD47" s="979"/>
      <c r="DE47" s="980">
        <v>0</v>
      </c>
      <c r="DF47" s="981"/>
      <c r="DG47" s="970" t="s">
        <v>337</v>
      </c>
      <c r="DH47" s="971"/>
      <c r="DI47" s="971"/>
      <c r="DJ47" s="972"/>
      <c r="DK47" s="973"/>
      <c r="DL47" s="973"/>
      <c r="DM47" s="974"/>
      <c r="DN47" s="975">
        <v>0</v>
      </c>
      <c r="DO47" s="976"/>
      <c r="DP47" s="975">
        <v>0</v>
      </c>
      <c r="DQ47" s="976"/>
      <c r="DR47" s="975">
        <v>0</v>
      </c>
      <c r="DS47" s="976"/>
      <c r="DT47" s="975">
        <v>0</v>
      </c>
      <c r="DU47" s="976"/>
      <c r="DV47" s="975">
        <v>0</v>
      </c>
      <c r="DW47" s="976"/>
      <c r="DX47" s="975">
        <v>0</v>
      </c>
      <c r="DY47" s="976"/>
      <c r="DZ47" s="975">
        <v>0</v>
      </c>
      <c r="EA47" s="976"/>
      <c r="EB47" s="975">
        <v>0</v>
      </c>
      <c r="EC47" s="976"/>
      <c r="ED47" s="975">
        <v>1121</v>
      </c>
      <c r="EE47" s="976"/>
      <c r="EF47" s="975">
        <v>1040</v>
      </c>
      <c r="EG47" s="976"/>
      <c r="EH47" s="975">
        <v>1093</v>
      </c>
      <c r="EI47" s="976"/>
      <c r="EJ47" s="975">
        <v>1129</v>
      </c>
      <c r="EK47" s="976"/>
      <c r="EL47" s="975">
        <v>1134</v>
      </c>
      <c r="EM47" s="976"/>
      <c r="EN47" s="975">
        <v>1437</v>
      </c>
      <c r="EO47" s="976"/>
      <c r="EP47" s="975">
        <v>1813</v>
      </c>
      <c r="EQ47" s="976"/>
      <c r="ER47" s="975">
        <v>1867</v>
      </c>
      <c r="ES47" s="976"/>
      <c r="ET47" s="975">
        <v>1565</v>
      </c>
      <c r="EU47" s="976"/>
      <c r="EV47" s="975">
        <v>856</v>
      </c>
      <c r="EW47" s="976"/>
      <c r="EX47" s="975">
        <v>0</v>
      </c>
      <c r="EY47" s="976"/>
      <c r="EZ47" s="975">
        <v>0</v>
      </c>
      <c r="FA47" s="976"/>
      <c r="FB47" s="975">
        <v>0</v>
      </c>
      <c r="FC47" s="976"/>
      <c r="FD47" s="975">
        <v>0</v>
      </c>
      <c r="FE47" s="977"/>
      <c r="FF47" s="978">
        <v>0</v>
      </c>
      <c r="FG47" s="979"/>
      <c r="FH47" s="980">
        <v>0</v>
      </c>
      <c r="FI47" s="981"/>
      <c r="FJ47" s="970" t="s">
        <v>768</v>
      </c>
      <c r="FK47" s="971"/>
      <c r="FL47" s="971"/>
      <c r="FM47" s="972"/>
      <c r="FN47" s="973"/>
      <c r="FO47" s="973"/>
      <c r="FP47" s="982"/>
      <c r="FQ47" s="983"/>
      <c r="FR47" s="975">
        <v>1617</v>
      </c>
      <c r="FS47" s="984"/>
      <c r="FT47" s="983"/>
      <c r="FU47" s="985">
        <v>1642</v>
      </c>
      <c r="FV47" s="986">
        <v>15</v>
      </c>
      <c r="FW47" s="975">
        <v>1768</v>
      </c>
      <c r="FX47" s="987">
        <v>16</v>
      </c>
      <c r="FY47" s="975">
        <v>2201</v>
      </c>
      <c r="FZ47" s="987">
        <v>16</v>
      </c>
      <c r="GA47" s="975">
        <v>1867</v>
      </c>
      <c r="GB47" s="988" t="s">
        <v>951</v>
      </c>
      <c r="GC47" s="975">
        <v>2201</v>
      </c>
      <c r="GD47" s="988" t="s">
        <v>815</v>
      </c>
      <c r="GE47" s="989">
        <v>1642</v>
      </c>
      <c r="GF47" s="688"/>
      <c r="GG47" s="990"/>
      <c r="GH47" s="990"/>
      <c r="GI47" s="990"/>
      <c r="GJ47" s="893"/>
      <c r="GK47" s="413" t="s">
        <v>840</v>
      </c>
      <c r="GL47" s="893"/>
      <c r="GM47" s="530"/>
      <c r="GN47" s="893"/>
      <c r="GO47" s="530"/>
      <c r="GP47" s="530"/>
      <c r="GQ47" s="530"/>
      <c r="GR47" s="893"/>
      <c r="GS47" s="530"/>
      <c r="GT47" s="763"/>
      <c r="GU47" s="774" t="s">
        <v>585</v>
      </c>
      <c r="GV47" s="774"/>
      <c r="GW47" s="774"/>
      <c r="GX47" s="774"/>
      <c r="GY47" s="530"/>
      <c r="GZ47" s="413"/>
      <c r="HA47" s="778">
        <v>-0.15</v>
      </c>
      <c r="HB47" s="413"/>
      <c r="HC47" s="981"/>
      <c r="HD47" s="415"/>
    </row>
    <row r="48" spans="1:219" ht="20.100000000000001" customHeight="1">
      <c r="A48" s="991" t="s">
        <v>676</v>
      </c>
      <c r="B48" s="992" t="s">
        <v>483</v>
      </c>
      <c r="C48" s="895"/>
      <c r="D48" s="825"/>
      <c r="E48" s="825"/>
      <c r="F48" s="826"/>
      <c r="G48" s="740" t="s">
        <v>484</v>
      </c>
      <c r="H48" s="663" t="s">
        <v>430</v>
      </c>
      <c r="I48" s="742" t="s">
        <v>678</v>
      </c>
      <c r="J48" s="993" t="s">
        <v>430</v>
      </c>
      <c r="K48" s="742" t="s">
        <v>678</v>
      </c>
      <c r="L48" s="993" t="s">
        <v>430</v>
      </c>
      <c r="M48" s="742" t="s">
        <v>678</v>
      </c>
      <c r="N48" s="993" t="s">
        <v>428</v>
      </c>
      <c r="O48" s="742" t="s">
        <v>678</v>
      </c>
      <c r="P48" s="993" t="s">
        <v>430</v>
      </c>
      <c r="Q48" s="742" t="s">
        <v>484</v>
      </c>
      <c r="R48" s="993" t="s">
        <v>428</v>
      </c>
      <c r="S48" s="742" t="s">
        <v>678</v>
      </c>
      <c r="T48" s="993" t="s">
        <v>430</v>
      </c>
      <c r="U48" s="742" t="s">
        <v>678</v>
      </c>
      <c r="V48" s="993" t="s">
        <v>428</v>
      </c>
      <c r="W48" s="742" t="s">
        <v>678</v>
      </c>
      <c r="X48" s="993" t="s">
        <v>430</v>
      </c>
      <c r="Y48" s="742" t="s">
        <v>484</v>
      </c>
      <c r="Z48" s="993" t="s">
        <v>430</v>
      </c>
      <c r="AA48" s="742" t="s">
        <v>484</v>
      </c>
      <c r="AB48" s="993" t="s">
        <v>428</v>
      </c>
      <c r="AC48" s="742" t="s">
        <v>484</v>
      </c>
      <c r="AD48" s="993" t="s">
        <v>430</v>
      </c>
      <c r="AE48" s="742" t="s">
        <v>484</v>
      </c>
      <c r="AF48" s="993" t="s">
        <v>430</v>
      </c>
      <c r="AG48" s="742" t="s">
        <v>678</v>
      </c>
      <c r="AH48" s="993" t="s">
        <v>430</v>
      </c>
      <c r="AI48" s="742" t="s">
        <v>484</v>
      </c>
      <c r="AJ48" s="993" t="s">
        <v>428</v>
      </c>
      <c r="AK48" s="742" t="s">
        <v>678</v>
      </c>
      <c r="AL48" s="993" t="s">
        <v>430</v>
      </c>
      <c r="AM48" s="742" t="s">
        <v>678</v>
      </c>
      <c r="AN48" s="993" t="s">
        <v>430</v>
      </c>
      <c r="AO48" s="742" t="s">
        <v>484</v>
      </c>
      <c r="AP48" s="993" t="s">
        <v>430</v>
      </c>
      <c r="AQ48" s="742" t="s">
        <v>678</v>
      </c>
      <c r="AR48" s="993" t="s">
        <v>428</v>
      </c>
      <c r="AS48" s="742" t="s">
        <v>678</v>
      </c>
      <c r="AT48" s="993" t="s">
        <v>428</v>
      </c>
      <c r="AU48" s="742" t="s">
        <v>484</v>
      </c>
      <c r="AV48" s="993" t="s">
        <v>428</v>
      </c>
      <c r="AW48" s="742" t="s">
        <v>678</v>
      </c>
      <c r="AX48" s="993" t="s">
        <v>428</v>
      </c>
      <c r="AY48" s="742" t="s">
        <v>484</v>
      </c>
      <c r="AZ48" s="994" t="s">
        <v>428</v>
      </c>
      <c r="BA48" s="995" t="s">
        <v>484</v>
      </c>
      <c r="BB48" s="996" t="s">
        <v>430</v>
      </c>
      <c r="BC48" s="932"/>
      <c r="BD48" s="991" t="s">
        <v>482</v>
      </c>
      <c r="BE48" s="992" t="s">
        <v>677</v>
      </c>
      <c r="BF48" s="895"/>
      <c r="BG48" s="825"/>
      <c r="BH48" s="825"/>
      <c r="BI48" s="826"/>
      <c r="BJ48" s="740" t="s">
        <v>678</v>
      </c>
      <c r="BK48" s="663" t="s">
        <v>430</v>
      </c>
      <c r="BL48" s="742" t="s">
        <v>678</v>
      </c>
      <c r="BM48" s="993" t="s">
        <v>430</v>
      </c>
      <c r="BN48" s="742" t="s">
        <v>678</v>
      </c>
      <c r="BO48" s="993" t="s">
        <v>428</v>
      </c>
      <c r="BP48" s="742" t="s">
        <v>678</v>
      </c>
      <c r="BQ48" s="993" t="s">
        <v>428</v>
      </c>
      <c r="BR48" s="742" t="s">
        <v>678</v>
      </c>
      <c r="BS48" s="993" t="s">
        <v>428</v>
      </c>
      <c r="BT48" s="742" t="s">
        <v>484</v>
      </c>
      <c r="BU48" s="993" t="s">
        <v>430</v>
      </c>
      <c r="BV48" s="742" t="s">
        <v>484</v>
      </c>
      <c r="BW48" s="993" t="s">
        <v>430</v>
      </c>
      <c r="BX48" s="742" t="s">
        <v>678</v>
      </c>
      <c r="BY48" s="993" t="s">
        <v>430</v>
      </c>
      <c r="BZ48" s="742" t="s">
        <v>484</v>
      </c>
      <c r="CA48" s="993" t="s">
        <v>428</v>
      </c>
      <c r="CB48" s="742" t="s">
        <v>484</v>
      </c>
      <c r="CC48" s="993" t="s">
        <v>430</v>
      </c>
      <c r="CD48" s="742" t="s">
        <v>484</v>
      </c>
      <c r="CE48" s="993" t="s">
        <v>428</v>
      </c>
      <c r="CF48" s="742" t="s">
        <v>678</v>
      </c>
      <c r="CG48" s="993" t="s">
        <v>430</v>
      </c>
      <c r="CH48" s="742" t="s">
        <v>678</v>
      </c>
      <c r="CI48" s="993" t="s">
        <v>428</v>
      </c>
      <c r="CJ48" s="742" t="s">
        <v>678</v>
      </c>
      <c r="CK48" s="993" t="s">
        <v>430</v>
      </c>
      <c r="CL48" s="742" t="s">
        <v>484</v>
      </c>
      <c r="CM48" s="993" t="s">
        <v>430</v>
      </c>
      <c r="CN48" s="742" t="s">
        <v>484</v>
      </c>
      <c r="CO48" s="993" t="s">
        <v>428</v>
      </c>
      <c r="CP48" s="742" t="s">
        <v>484</v>
      </c>
      <c r="CQ48" s="993" t="s">
        <v>430</v>
      </c>
      <c r="CR48" s="742" t="s">
        <v>484</v>
      </c>
      <c r="CS48" s="993" t="s">
        <v>430</v>
      </c>
      <c r="CT48" s="742" t="s">
        <v>678</v>
      </c>
      <c r="CU48" s="993" t="s">
        <v>430</v>
      </c>
      <c r="CV48" s="742" t="s">
        <v>484</v>
      </c>
      <c r="CW48" s="993" t="s">
        <v>428</v>
      </c>
      <c r="CX48" s="742" t="s">
        <v>678</v>
      </c>
      <c r="CY48" s="993" t="s">
        <v>430</v>
      </c>
      <c r="CZ48" s="742" t="s">
        <v>678</v>
      </c>
      <c r="DA48" s="993" t="s">
        <v>430</v>
      </c>
      <c r="DB48" s="742" t="s">
        <v>484</v>
      </c>
      <c r="DC48" s="994" t="s">
        <v>430</v>
      </c>
      <c r="DD48" s="995" t="s">
        <v>678</v>
      </c>
      <c r="DE48" s="996" t="s">
        <v>428</v>
      </c>
      <c r="DF48" s="932"/>
      <c r="DG48" s="991" t="s">
        <v>482</v>
      </c>
      <c r="DH48" s="992" t="s">
        <v>483</v>
      </c>
      <c r="DI48" s="895"/>
      <c r="DJ48" s="825"/>
      <c r="DK48" s="825"/>
      <c r="DL48" s="826"/>
      <c r="DM48" s="740" t="s">
        <v>484</v>
      </c>
      <c r="DN48" s="663" t="s">
        <v>428</v>
      </c>
      <c r="DO48" s="742" t="s">
        <v>678</v>
      </c>
      <c r="DP48" s="993" t="s">
        <v>430</v>
      </c>
      <c r="DQ48" s="742" t="s">
        <v>484</v>
      </c>
      <c r="DR48" s="993" t="s">
        <v>428</v>
      </c>
      <c r="DS48" s="742" t="s">
        <v>484</v>
      </c>
      <c r="DT48" s="993" t="s">
        <v>430</v>
      </c>
      <c r="DU48" s="742" t="s">
        <v>484</v>
      </c>
      <c r="DV48" s="993" t="s">
        <v>430</v>
      </c>
      <c r="DW48" s="742" t="s">
        <v>484</v>
      </c>
      <c r="DX48" s="993" t="s">
        <v>430</v>
      </c>
      <c r="DY48" s="742" t="s">
        <v>484</v>
      </c>
      <c r="DZ48" s="993" t="s">
        <v>428</v>
      </c>
      <c r="EA48" s="742" t="s">
        <v>678</v>
      </c>
      <c r="EB48" s="993" t="s">
        <v>428</v>
      </c>
      <c r="EC48" s="742" t="s">
        <v>678</v>
      </c>
      <c r="ED48" s="993" t="s">
        <v>428</v>
      </c>
      <c r="EE48" s="742" t="s">
        <v>678</v>
      </c>
      <c r="EF48" s="993" t="s">
        <v>430</v>
      </c>
      <c r="EG48" s="742" t="s">
        <v>484</v>
      </c>
      <c r="EH48" s="993" t="s">
        <v>430</v>
      </c>
      <c r="EI48" s="742" t="s">
        <v>484</v>
      </c>
      <c r="EJ48" s="993" t="s">
        <v>430</v>
      </c>
      <c r="EK48" s="742" t="s">
        <v>678</v>
      </c>
      <c r="EL48" s="993" t="s">
        <v>430</v>
      </c>
      <c r="EM48" s="742" t="s">
        <v>678</v>
      </c>
      <c r="EN48" s="993" t="s">
        <v>428</v>
      </c>
      <c r="EO48" s="742" t="s">
        <v>678</v>
      </c>
      <c r="EP48" s="993" t="s">
        <v>430</v>
      </c>
      <c r="EQ48" s="742" t="s">
        <v>484</v>
      </c>
      <c r="ER48" s="993" t="s">
        <v>428</v>
      </c>
      <c r="ES48" s="742" t="s">
        <v>678</v>
      </c>
      <c r="ET48" s="993" t="s">
        <v>430</v>
      </c>
      <c r="EU48" s="742" t="s">
        <v>678</v>
      </c>
      <c r="EV48" s="993" t="s">
        <v>428</v>
      </c>
      <c r="EW48" s="742" t="s">
        <v>678</v>
      </c>
      <c r="EX48" s="993" t="s">
        <v>430</v>
      </c>
      <c r="EY48" s="742" t="s">
        <v>484</v>
      </c>
      <c r="EZ48" s="993" t="s">
        <v>430</v>
      </c>
      <c r="FA48" s="742" t="s">
        <v>484</v>
      </c>
      <c r="FB48" s="993" t="s">
        <v>428</v>
      </c>
      <c r="FC48" s="742" t="s">
        <v>484</v>
      </c>
      <c r="FD48" s="993" t="s">
        <v>430</v>
      </c>
      <c r="FE48" s="742" t="s">
        <v>484</v>
      </c>
      <c r="FF48" s="994" t="s">
        <v>430</v>
      </c>
      <c r="FG48" s="995" t="s">
        <v>678</v>
      </c>
      <c r="FH48" s="996" t="s">
        <v>430</v>
      </c>
      <c r="FI48" s="932"/>
      <c r="FJ48" s="991" t="s">
        <v>482</v>
      </c>
      <c r="FK48" s="738" t="s">
        <v>483</v>
      </c>
      <c r="FL48" s="895"/>
      <c r="FM48" s="825"/>
      <c r="FN48" s="825"/>
      <c r="FO48" s="826"/>
      <c r="FP48" s="747" t="s">
        <v>450</v>
      </c>
      <c r="FQ48" s="673" t="s">
        <v>484</v>
      </c>
      <c r="FR48" s="663" t="s">
        <v>434</v>
      </c>
      <c r="FS48" s="997" t="s">
        <v>433</v>
      </c>
      <c r="FT48" s="673" t="s">
        <v>484</v>
      </c>
      <c r="FU48" s="998" t="s">
        <v>434</v>
      </c>
      <c r="FV48" s="999"/>
      <c r="FW48" s="993" t="s">
        <v>323</v>
      </c>
      <c r="FX48" s="997"/>
      <c r="FY48" s="993" t="s">
        <v>323</v>
      </c>
      <c r="FZ48" s="997"/>
      <c r="GA48" s="993" t="s">
        <v>323</v>
      </c>
      <c r="GB48" s="997"/>
      <c r="GC48" s="993" t="s">
        <v>323</v>
      </c>
      <c r="GD48" s="997"/>
      <c r="GE48" s="1000" t="s">
        <v>324</v>
      </c>
      <c r="GF48" s="688"/>
      <c r="GG48" s="655"/>
      <c r="GH48" s="655"/>
      <c r="GI48" s="655"/>
      <c r="GJ48" s="530"/>
      <c r="GK48" s="615" t="s">
        <v>841</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437</v>
      </c>
      <c r="C49" s="1002"/>
      <c r="D49" s="754">
        <v>66</v>
      </c>
      <c r="E49" s="755">
        <v>4</v>
      </c>
      <c r="F49" s="1003" t="s">
        <v>436</v>
      </c>
      <c r="G49" s="757"/>
      <c r="H49" s="559"/>
      <c r="I49" s="758"/>
      <c r="J49" s="559"/>
      <c r="K49" s="758"/>
      <c r="L49" s="559"/>
      <c r="M49" s="758"/>
      <c r="N49" s="559"/>
      <c r="O49" s="758"/>
      <c r="P49" s="559"/>
      <c r="Q49" s="758"/>
      <c r="R49" s="559"/>
      <c r="S49" s="758"/>
      <c r="T49" s="559"/>
      <c r="U49" s="758"/>
      <c r="V49" s="559"/>
      <c r="W49" s="758">
        <v>1</v>
      </c>
      <c r="X49" s="559">
        <v>264</v>
      </c>
      <c r="Y49" s="758">
        <v>1</v>
      </c>
      <c r="Z49" s="559">
        <v>264</v>
      </c>
      <c r="AA49" s="758">
        <v>1</v>
      </c>
      <c r="AB49" s="559">
        <v>264</v>
      </c>
      <c r="AC49" s="758">
        <v>1</v>
      </c>
      <c r="AD49" s="559">
        <v>264</v>
      </c>
      <c r="AE49" s="758">
        <v>1</v>
      </c>
      <c r="AF49" s="559">
        <v>264</v>
      </c>
      <c r="AG49" s="758">
        <v>1</v>
      </c>
      <c r="AH49" s="559">
        <v>264</v>
      </c>
      <c r="AI49" s="758">
        <v>1</v>
      </c>
      <c r="AJ49" s="559">
        <v>264</v>
      </c>
      <c r="AK49" s="758">
        <v>1</v>
      </c>
      <c r="AL49" s="559">
        <v>264</v>
      </c>
      <c r="AM49" s="758">
        <v>1</v>
      </c>
      <c r="AN49" s="559">
        <v>264</v>
      </c>
      <c r="AO49" s="758">
        <v>1</v>
      </c>
      <c r="AP49" s="559">
        <v>264</v>
      </c>
      <c r="AQ49" s="758"/>
      <c r="AR49" s="559"/>
      <c r="AS49" s="758"/>
      <c r="AT49" s="559"/>
      <c r="AU49" s="758"/>
      <c r="AV49" s="559"/>
      <c r="AW49" s="758"/>
      <c r="AX49" s="559"/>
      <c r="AY49" s="1004"/>
      <c r="AZ49" s="1005"/>
      <c r="BA49" s="1006"/>
      <c r="BB49" s="1007"/>
      <c r="BC49" s="938"/>
      <c r="BD49" s="1001"/>
      <c r="BE49" s="752" t="s">
        <v>435</v>
      </c>
      <c r="BF49" s="1002"/>
      <c r="BG49" s="754"/>
      <c r="BH49" s="755">
        <v>4</v>
      </c>
      <c r="BI49" s="1003" t="s">
        <v>436</v>
      </c>
      <c r="BJ49" s="757"/>
      <c r="BK49" s="559"/>
      <c r="BL49" s="758"/>
      <c r="BM49" s="559"/>
      <c r="BN49" s="758"/>
      <c r="BO49" s="559"/>
      <c r="BP49" s="758"/>
      <c r="BQ49" s="559"/>
      <c r="BR49" s="758"/>
      <c r="BS49" s="559"/>
      <c r="BT49" s="758"/>
      <c r="BU49" s="559"/>
      <c r="BV49" s="758"/>
      <c r="BW49" s="559"/>
      <c r="BX49" s="758"/>
      <c r="BY49" s="559"/>
      <c r="BZ49" s="758">
        <v>1</v>
      </c>
      <c r="CA49" s="559">
        <v>264</v>
      </c>
      <c r="CB49" s="758">
        <v>1</v>
      </c>
      <c r="CC49" s="559">
        <v>264</v>
      </c>
      <c r="CD49" s="758">
        <v>1</v>
      </c>
      <c r="CE49" s="559">
        <v>264</v>
      </c>
      <c r="CF49" s="758">
        <v>1</v>
      </c>
      <c r="CG49" s="559">
        <v>264</v>
      </c>
      <c r="CH49" s="758">
        <v>1</v>
      </c>
      <c r="CI49" s="559">
        <v>264</v>
      </c>
      <c r="CJ49" s="758">
        <v>1</v>
      </c>
      <c r="CK49" s="559">
        <v>264</v>
      </c>
      <c r="CL49" s="758">
        <v>1</v>
      </c>
      <c r="CM49" s="559">
        <v>264</v>
      </c>
      <c r="CN49" s="758">
        <v>1</v>
      </c>
      <c r="CO49" s="559">
        <v>264</v>
      </c>
      <c r="CP49" s="758">
        <v>1</v>
      </c>
      <c r="CQ49" s="559">
        <v>264</v>
      </c>
      <c r="CR49" s="758">
        <v>1</v>
      </c>
      <c r="CS49" s="559">
        <v>264</v>
      </c>
      <c r="CT49" s="758"/>
      <c r="CU49" s="559"/>
      <c r="CV49" s="758"/>
      <c r="CW49" s="559"/>
      <c r="CX49" s="758"/>
      <c r="CY49" s="559"/>
      <c r="CZ49" s="758"/>
      <c r="DA49" s="559"/>
      <c r="DB49" s="1004"/>
      <c r="DC49" s="1005"/>
      <c r="DD49" s="1006"/>
      <c r="DE49" s="1007"/>
      <c r="DF49" s="938"/>
      <c r="DG49" s="1001"/>
      <c r="DH49" s="752" t="s">
        <v>437</v>
      </c>
      <c r="DI49" s="1002"/>
      <c r="DJ49" s="754"/>
      <c r="DK49" s="755">
        <v>4</v>
      </c>
      <c r="DL49" s="1003" t="s">
        <v>436</v>
      </c>
      <c r="DM49" s="757"/>
      <c r="DN49" s="559"/>
      <c r="DO49" s="758"/>
      <c r="DP49" s="559"/>
      <c r="DQ49" s="758"/>
      <c r="DR49" s="559"/>
      <c r="DS49" s="758"/>
      <c r="DT49" s="559"/>
      <c r="DU49" s="758"/>
      <c r="DV49" s="559"/>
      <c r="DW49" s="758"/>
      <c r="DX49" s="559"/>
      <c r="DY49" s="758"/>
      <c r="DZ49" s="559"/>
      <c r="EA49" s="758"/>
      <c r="EB49" s="559"/>
      <c r="EC49" s="758">
        <v>1</v>
      </c>
      <c r="ED49" s="559">
        <v>264</v>
      </c>
      <c r="EE49" s="758">
        <v>1</v>
      </c>
      <c r="EF49" s="559">
        <v>264</v>
      </c>
      <c r="EG49" s="758">
        <v>1</v>
      </c>
      <c r="EH49" s="559">
        <v>264</v>
      </c>
      <c r="EI49" s="758">
        <v>1</v>
      </c>
      <c r="EJ49" s="559">
        <v>264</v>
      </c>
      <c r="EK49" s="758">
        <v>1</v>
      </c>
      <c r="EL49" s="559">
        <v>264</v>
      </c>
      <c r="EM49" s="758">
        <v>1</v>
      </c>
      <c r="EN49" s="559">
        <v>264</v>
      </c>
      <c r="EO49" s="758">
        <v>1</v>
      </c>
      <c r="EP49" s="559">
        <v>264</v>
      </c>
      <c r="EQ49" s="758">
        <v>1</v>
      </c>
      <c r="ER49" s="559">
        <v>264</v>
      </c>
      <c r="ES49" s="758">
        <v>1</v>
      </c>
      <c r="ET49" s="559">
        <v>264</v>
      </c>
      <c r="EU49" s="758">
        <v>1</v>
      </c>
      <c r="EV49" s="559">
        <v>264</v>
      </c>
      <c r="EW49" s="758"/>
      <c r="EX49" s="559"/>
      <c r="EY49" s="758"/>
      <c r="EZ49" s="559"/>
      <c r="FA49" s="758"/>
      <c r="FB49" s="559"/>
      <c r="FC49" s="758"/>
      <c r="FD49" s="559"/>
      <c r="FE49" s="1004"/>
      <c r="FF49" s="1005"/>
      <c r="FG49" s="1006"/>
      <c r="FH49" s="1007"/>
      <c r="FI49" s="938"/>
      <c r="FJ49" s="1001"/>
      <c r="FK49" s="752" t="s">
        <v>437</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842</v>
      </c>
      <c r="GL49" s="580"/>
      <c r="GM49" s="413"/>
      <c r="GN49" s="580"/>
      <c r="GO49" s="413"/>
      <c r="GP49" s="413"/>
      <c r="GQ49" s="413"/>
      <c r="GR49" s="580"/>
      <c r="GS49" s="530"/>
      <c r="GT49" s="861"/>
      <c r="GU49" s="530" t="s">
        <v>562</v>
      </c>
      <c r="GV49" s="615"/>
      <c r="GW49" s="530"/>
      <c r="GX49" s="615"/>
      <c r="GY49" s="530"/>
      <c r="GZ49" s="391"/>
      <c r="HA49" s="580"/>
      <c r="HB49" s="391"/>
      <c r="HC49" s="1017"/>
      <c r="HD49" s="415"/>
    </row>
    <row r="50" spans="1:212" ht="20.100000000000001" customHeight="1">
      <c r="A50" s="1001"/>
      <c r="B50" s="764" t="s">
        <v>446</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446</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446</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449</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843</v>
      </c>
      <c r="GL50" s="580"/>
      <c r="GM50" s="413"/>
      <c r="GN50" s="580"/>
      <c r="GO50" s="413"/>
      <c r="GP50" s="413"/>
      <c r="GQ50" s="413"/>
      <c r="GR50" s="580"/>
      <c r="GS50" s="953"/>
      <c r="GT50" s="937"/>
      <c r="GU50" s="580" t="s">
        <v>979</v>
      </c>
      <c r="GV50" s="580"/>
      <c r="GW50" s="580"/>
      <c r="GX50" s="580"/>
      <c r="GY50" s="615"/>
      <c r="GZ50" s="579"/>
      <c r="HA50" s="615">
        <v>35.1</v>
      </c>
      <c r="HB50" s="579" t="s">
        <v>319</v>
      </c>
      <c r="HC50" s="1038"/>
      <c r="HD50" s="415"/>
    </row>
    <row r="51" spans="1:212" ht="20.100000000000001" customHeight="1" thickBot="1">
      <c r="A51" s="1039"/>
      <c r="B51" s="466" t="s">
        <v>679</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506</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679</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679</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450</v>
      </c>
      <c r="GM51" s="1047" t="s">
        <v>590</v>
      </c>
      <c r="GN51" s="1048" t="s">
        <v>725</v>
      </c>
      <c r="GO51" s="1049" t="s">
        <v>788</v>
      </c>
      <c r="GP51" s="1049" t="s">
        <v>837</v>
      </c>
      <c r="GQ51" s="1050" t="s">
        <v>572</v>
      </c>
      <c r="GR51" s="733"/>
      <c r="GS51" s="953"/>
      <c r="GT51" s="763"/>
      <c r="GU51" s="580" t="s">
        <v>845</v>
      </c>
      <c r="GV51" s="580"/>
      <c r="GW51" s="580"/>
      <c r="GX51" s="580"/>
      <c r="GY51" s="413"/>
      <c r="GZ51" s="1051"/>
      <c r="HA51" s="615">
        <v>35.1</v>
      </c>
      <c r="HB51" s="579" t="s">
        <v>705</v>
      </c>
      <c r="HC51" s="1052"/>
      <c r="HD51" s="415"/>
    </row>
    <row r="52" spans="1:212" ht="20.100000000000001" customHeight="1" thickBot="1">
      <c r="A52" s="1053" t="s">
        <v>508</v>
      </c>
      <c r="B52" s="1054"/>
      <c r="C52" s="1055"/>
      <c r="D52" s="1055"/>
      <c r="E52" s="1056"/>
      <c r="F52" s="1055"/>
      <c r="G52" s="1057"/>
      <c r="H52" s="1058">
        <v>0</v>
      </c>
      <c r="I52" s="1059"/>
      <c r="J52" s="1058">
        <v>0</v>
      </c>
      <c r="K52" s="1059"/>
      <c r="L52" s="1058">
        <v>0</v>
      </c>
      <c r="M52" s="1059"/>
      <c r="N52" s="1058">
        <v>0</v>
      </c>
      <c r="O52" s="1059"/>
      <c r="P52" s="1058">
        <v>0</v>
      </c>
      <c r="Q52" s="1059"/>
      <c r="R52" s="1058">
        <v>0</v>
      </c>
      <c r="S52" s="1059"/>
      <c r="T52" s="1058">
        <v>0</v>
      </c>
      <c r="U52" s="1059"/>
      <c r="V52" s="1058">
        <v>0</v>
      </c>
      <c r="W52" s="1059"/>
      <c r="X52" s="1058">
        <v>264</v>
      </c>
      <c r="Y52" s="1059"/>
      <c r="Z52" s="1058">
        <v>264</v>
      </c>
      <c r="AA52" s="1059"/>
      <c r="AB52" s="1058">
        <v>264</v>
      </c>
      <c r="AC52" s="1059"/>
      <c r="AD52" s="1058">
        <v>264</v>
      </c>
      <c r="AE52" s="1059"/>
      <c r="AF52" s="1058">
        <v>264</v>
      </c>
      <c r="AG52" s="1059"/>
      <c r="AH52" s="1058">
        <v>264</v>
      </c>
      <c r="AI52" s="1059"/>
      <c r="AJ52" s="1058">
        <v>264</v>
      </c>
      <c r="AK52" s="1059"/>
      <c r="AL52" s="1058">
        <v>264</v>
      </c>
      <c r="AM52" s="1059"/>
      <c r="AN52" s="1058">
        <v>264</v>
      </c>
      <c r="AO52" s="1059"/>
      <c r="AP52" s="1058">
        <v>264</v>
      </c>
      <c r="AQ52" s="1059"/>
      <c r="AR52" s="1058">
        <v>0</v>
      </c>
      <c r="AS52" s="1059"/>
      <c r="AT52" s="1058">
        <v>0</v>
      </c>
      <c r="AU52" s="1059"/>
      <c r="AV52" s="1058">
        <v>0</v>
      </c>
      <c r="AW52" s="1059"/>
      <c r="AX52" s="1058">
        <v>0</v>
      </c>
      <c r="AY52" s="1060"/>
      <c r="AZ52" s="1061">
        <v>0</v>
      </c>
      <c r="BA52" s="1062"/>
      <c r="BB52" s="1063">
        <v>0</v>
      </c>
      <c r="BC52" s="981"/>
      <c r="BD52" s="1053" t="s">
        <v>680</v>
      </c>
      <c r="BE52" s="1054"/>
      <c r="BF52" s="1055"/>
      <c r="BG52" s="1055"/>
      <c r="BH52" s="1056"/>
      <c r="BI52" s="1055"/>
      <c r="BJ52" s="1057"/>
      <c r="BK52" s="1058">
        <v>0</v>
      </c>
      <c r="BL52" s="1059"/>
      <c r="BM52" s="1058">
        <v>0</v>
      </c>
      <c r="BN52" s="1059"/>
      <c r="BO52" s="1058">
        <v>0</v>
      </c>
      <c r="BP52" s="1059"/>
      <c r="BQ52" s="1058">
        <v>0</v>
      </c>
      <c r="BR52" s="1059"/>
      <c r="BS52" s="1058">
        <v>0</v>
      </c>
      <c r="BT52" s="1059"/>
      <c r="BU52" s="1058">
        <v>0</v>
      </c>
      <c r="BV52" s="1059"/>
      <c r="BW52" s="1058">
        <v>0</v>
      </c>
      <c r="BX52" s="1059"/>
      <c r="BY52" s="1058">
        <v>0</v>
      </c>
      <c r="BZ52" s="1059"/>
      <c r="CA52" s="1058">
        <v>264</v>
      </c>
      <c r="CB52" s="1059"/>
      <c r="CC52" s="1058">
        <v>264</v>
      </c>
      <c r="CD52" s="1059"/>
      <c r="CE52" s="1058">
        <v>264</v>
      </c>
      <c r="CF52" s="1059"/>
      <c r="CG52" s="1058">
        <v>264</v>
      </c>
      <c r="CH52" s="1059"/>
      <c r="CI52" s="1058">
        <v>264</v>
      </c>
      <c r="CJ52" s="1059"/>
      <c r="CK52" s="1058">
        <v>264</v>
      </c>
      <c r="CL52" s="1059"/>
      <c r="CM52" s="1058">
        <v>264</v>
      </c>
      <c r="CN52" s="1059"/>
      <c r="CO52" s="1058">
        <v>264</v>
      </c>
      <c r="CP52" s="1059"/>
      <c r="CQ52" s="1058">
        <v>264</v>
      </c>
      <c r="CR52" s="1059"/>
      <c r="CS52" s="1058">
        <v>264</v>
      </c>
      <c r="CT52" s="1059"/>
      <c r="CU52" s="1058">
        <v>0</v>
      </c>
      <c r="CV52" s="1059"/>
      <c r="CW52" s="1058">
        <v>0</v>
      </c>
      <c r="CX52" s="1059"/>
      <c r="CY52" s="1058">
        <v>0</v>
      </c>
      <c r="CZ52" s="1059"/>
      <c r="DA52" s="1058">
        <v>0</v>
      </c>
      <c r="DB52" s="1060"/>
      <c r="DC52" s="1061">
        <v>0</v>
      </c>
      <c r="DD52" s="1062"/>
      <c r="DE52" s="1063">
        <v>0</v>
      </c>
      <c r="DF52" s="981"/>
      <c r="DG52" s="1053" t="s">
        <v>680</v>
      </c>
      <c r="DH52" s="1054"/>
      <c r="DI52" s="1055"/>
      <c r="DJ52" s="1055"/>
      <c r="DK52" s="1056"/>
      <c r="DL52" s="1055"/>
      <c r="DM52" s="1057"/>
      <c r="DN52" s="1058">
        <v>0</v>
      </c>
      <c r="DO52" s="1059"/>
      <c r="DP52" s="1058">
        <v>0</v>
      </c>
      <c r="DQ52" s="1059"/>
      <c r="DR52" s="1058">
        <v>0</v>
      </c>
      <c r="DS52" s="1059"/>
      <c r="DT52" s="1058">
        <v>0</v>
      </c>
      <c r="DU52" s="1059"/>
      <c r="DV52" s="1058">
        <v>0</v>
      </c>
      <c r="DW52" s="1059"/>
      <c r="DX52" s="1058">
        <v>0</v>
      </c>
      <c r="DY52" s="1059"/>
      <c r="DZ52" s="1058">
        <v>0</v>
      </c>
      <c r="EA52" s="1059"/>
      <c r="EB52" s="1058">
        <v>0</v>
      </c>
      <c r="EC52" s="1059"/>
      <c r="ED52" s="1058">
        <v>264</v>
      </c>
      <c r="EE52" s="1059"/>
      <c r="EF52" s="1058">
        <v>264</v>
      </c>
      <c r="EG52" s="1059"/>
      <c r="EH52" s="1058">
        <v>264</v>
      </c>
      <c r="EI52" s="1059"/>
      <c r="EJ52" s="1058">
        <v>264</v>
      </c>
      <c r="EK52" s="1059"/>
      <c r="EL52" s="1058">
        <v>264</v>
      </c>
      <c r="EM52" s="1059"/>
      <c r="EN52" s="1058">
        <v>264</v>
      </c>
      <c r="EO52" s="1059"/>
      <c r="EP52" s="1058">
        <v>264</v>
      </c>
      <c r="EQ52" s="1059"/>
      <c r="ER52" s="1058">
        <v>264</v>
      </c>
      <c r="ES52" s="1059"/>
      <c r="ET52" s="1058">
        <v>264</v>
      </c>
      <c r="EU52" s="1059"/>
      <c r="EV52" s="1058">
        <v>264</v>
      </c>
      <c r="EW52" s="1059"/>
      <c r="EX52" s="1058">
        <v>0</v>
      </c>
      <c r="EY52" s="1059"/>
      <c r="EZ52" s="1058">
        <v>0</v>
      </c>
      <c r="FA52" s="1059"/>
      <c r="FB52" s="1058">
        <v>0</v>
      </c>
      <c r="FC52" s="1059"/>
      <c r="FD52" s="1058">
        <v>0</v>
      </c>
      <c r="FE52" s="1060"/>
      <c r="FF52" s="1061">
        <v>0</v>
      </c>
      <c r="FG52" s="1062"/>
      <c r="FH52" s="1063">
        <v>0</v>
      </c>
      <c r="FI52" s="981"/>
      <c r="FJ52" s="1053" t="s">
        <v>680</v>
      </c>
      <c r="FK52" s="1054"/>
      <c r="FL52" s="1055"/>
      <c r="FM52" s="1055"/>
      <c r="FN52" s="1056"/>
      <c r="FO52" s="1055"/>
      <c r="FP52" s="1064"/>
      <c r="FQ52" s="1065"/>
      <c r="FR52" s="1058">
        <v>0</v>
      </c>
      <c r="FS52" s="1066"/>
      <c r="FT52" s="1065"/>
      <c r="FU52" s="1067">
        <v>0</v>
      </c>
      <c r="FV52" s="1068">
        <v>15</v>
      </c>
      <c r="FW52" s="1069">
        <v>264</v>
      </c>
      <c r="FX52" s="1070">
        <v>16</v>
      </c>
      <c r="FY52" s="1069">
        <v>264</v>
      </c>
      <c r="FZ52" s="1070">
        <v>16</v>
      </c>
      <c r="GA52" s="1069">
        <v>264</v>
      </c>
      <c r="GB52" s="1071" t="s">
        <v>951</v>
      </c>
      <c r="GC52" s="1072">
        <v>264</v>
      </c>
      <c r="GD52" s="1071" t="s">
        <v>815</v>
      </c>
      <c r="GE52" s="1073">
        <v>0</v>
      </c>
      <c r="GF52" s="688"/>
      <c r="GG52" s="990"/>
      <c r="GH52" s="990"/>
      <c r="GI52" s="990"/>
      <c r="GJ52" s="936"/>
      <c r="GK52" s="733"/>
      <c r="GL52" s="1074"/>
      <c r="GM52" s="1075"/>
      <c r="GN52" s="1075"/>
      <c r="GO52" s="1076"/>
      <c r="GP52" s="1076"/>
      <c r="GQ52" s="1077"/>
      <c r="GR52" s="953"/>
      <c r="GS52" s="893"/>
      <c r="GT52" s="861"/>
      <c r="GU52" s="530" t="s">
        <v>790</v>
      </c>
      <c r="GV52" s="733"/>
      <c r="GW52" s="936"/>
      <c r="GX52" s="733"/>
      <c r="GY52" s="413"/>
      <c r="GZ52" s="1078"/>
      <c r="HA52" s="953"/>
      <c r="HB52" s="1078"/>
      <c r="HC52" s="562"/>
      <c r="HD52" s="415"/>
    </row>
    <row r="53" spans="1:212" ht="20.100000000000001" customHeight="1" thickTop="1">
      <c r="A53" s="1079" t="s">
        <v>681</v>
      </c>
      <c r="B53" s="1080"/>
      <c r="C53" s="1081"/>
      <c r="D53" s="1081"/>
      <c r="E53" s="1082"/>
      <c r="F53" s="1083"/>
      <c r="G53" s="1084"/>
      <c r="H53" s="1085">
        <v>0</v>
      </c>
      <c r="I53" s="1086"/>
      <c r="J53" s="1085">
        <v>0</v>
      </c>
      <c r="K53" s="1086"/>
      <c r="L53" s="1085">
        <v>0</v>
      </c>
      <c r="M53" s="1086"/>
      <c r="N53" s="1085">
        <v>0</v>
      </c>
      <c r="O53" s="1086"/>
      <c r="P53" s="1085">
        <v>0</v>
      </c>
      <c r="Q53" s="1086"/>
      <c r="R53" s="1085">
        <v>0</v>
      </c>
      <c r="S53" s="1086"/>
      <c r="T53" s="1085">
        <v>0</v>
      </c>
      <c r="U53" s="1086"/>
      <c r="V53" s="1085">
        <v>0</v>
      </c>
      <c r="W53" s="1086"/>
      <c r="X53" s="1085">
        <v>1595</v>
      </c>
      <c r="Y53" s="1086"/>
      <c r="Z53" s="1085">
        <v>1521</v>
      </c>
      <c r="AA53" s="1086"/>
      <c r="AB53" s="1085">
        <v>1574</v>
      </c>
      <c r="AC53" s="1086"/>
      <c r="AD53" s="1085">
        <v>1601</v>
      </c>
      <c r="AE53" s="1086"/>
      <c r="AF53" s="1085">
        <v>1648</v>
      </c>
      <c r="AG53" s="1086"/>
      <c r="AH53" s="1085">
        <v>1883</v>
      </c>
      <c r="AI53" s="1086"/>
      <c r="AJ53" s="1085">
        <v>2032</v>
      </c>
      <c r="AK53" s="1086"/>
      <c r="AL53" s="1085">
        <v>2004</v>
      </c>
      <c r="AM53" s="1086"/>
      <c r="AN53" s="1085">
        <v>1811</v>
      </c>
      <c r="AO53" s="1086"/>
      <c r="AP53" s="1085">
        <v>1382</v>
      </c>
      <c r="AQ53" s="1086"/>
      <c r="AR53" s="1085">
        <v>0</v>
      </c>
      <c r="AS53" s="1086"/>
      <c r="AT53" s="1085">
        <v>0</v>
      </c>
      <c r="AU53" s="1086"/>
      <c r="AV53" s="1085">
        <v>0</v>
      </c>
      <c r="AW53" s="1086"/>
      <c r="AX53" s="1085">
        <v>0</v>
      </c>
      <c r="AY53" s="1087"/>
      <c r="AZ53" s="1088">
        <v>0</v>
      </c>
      <c r="BA53" s="1089"/>
      <c r="BB53" s="1090">
        <v>0</v>
      </c>
      <c r="BC53" s="981"/>
      <c r="BD53" s="1079" t="s">
        <v>681</v>
      </c>
      <c r="BE53" s="1080"/>
      <c r="BF53" s="1081"/>
      <c r="BG53" s="1081"/>
      <c r="BH53" s="1082"/>
      <c r="BI53" s="1083"/>
      <c r="BJ53" s="1084"/>
      <c r="BK53" s="1085">
        <v>0</v>
      </c>
      <c r="BL53" s="1086"/>
      <c r="BM53" s="1085">
        <v>0</v>
      </c>
      <c r="BN53" s="1086"/>
      <c r="BO53" s="1085">
        <v>0</v>
      </c>
      <c r="BP53" s="1086"/>
      <c r="BQ53" s="1085">
        <v>0</v>
      </c>
      <c r="BR53" s="1086"/>
      <c r="BS53" s="1085">
        <v>0</v>
      </c>
      <c r="BT53" s="1086"/>
      <c r="BU53" s="1085">
        <v>0</v>
      </c>
      <c r="BV53" s="1086"/>
      <c r="BW53" s="1085">
        <v>0</v>
      </c>
      <c r="BX53" s="1086"/>
      <c r="BY53" s="1085">
        <v>0</v>
      </c>
      <c r="BZ53" s="1086"/>
      <c r="CA53" s="1085">
        <v>1550</v>
      </c>
      <c r="CB53" s="1086"/>
      <c r="CC53" s="1085">
        <v>1452</v>
      </c>
      <c r="CD53" s="1086"/>
      <c r="CE53" s="1085">
        <v>1499</v>
      </c>
      <c r="CF53" s="1086"/>
      <c r="CG53" s="1085">
        <v>1517</v>
      </c>
      <c r="CH53" s="1086"/>
      <c r="CI53" s="1085">
        <v>1592</v>
      </c>
      <c r="CJ53" s="1086"/>
      <c r="CK53" s="1085">
        <v>1979</v>
      </c>
      <c r="CL53" s="1086"/>
      <c r="CM53" s="1085">
        <v>2341</v>
      </c>
      <c r="CN53" s="1086"/>
      <c r="CO53" s="1085">
        <v>2465</v>
      </c>
      <c r="CP53" s="1086"/>
      <c r="CQ53" s="1085">
        <v>2421</v>
      </c>
      <c r="CR53" s="1086"/>
      <c r="CS53" s="1085">
        <v>1867</v>
      </c>
      <c r="CT53" s="1086"/>
      <c r="CU53" s="1085">
        <v>0</v>
      </c>
      <c r="CV53" s="1086"/>
      <c r="CW53" s="1085">
        <v>0</v>
      </c>
      <c r="CX53" s="1086"/>
      <c r="CY53" s="1085">
        <v>0</v>
      </c>
      <c r="CZ53" s="1086"/>
      <c r="DA53" s="1085">
        <v>0</v>
      </c>
      <c r="DB53" s="1087"/>
      <c r="DC53" s="1088">
        <v>0</v>
      </c>
      <c r="DD53" s="1089"/>
      <c r="DE53" s="1090">
        <v>0</v>
      </c>
      <c r="DF53" s="981"/>
      <c r="DG53" s="1079" t="s">
        <v>681</v>
      </c>
      <c r="DH53" s="1080"/>
      <c r="DI53" s="1081"/>
      <c r="DJ53" s="1081"/>
      <c r="DK53" s="1082"/>
      <c r="DL53" s="1083"/>
      <c r="DM53" s="1084"/>
      <c r="DN53" s="1085">
        <v>0</v>
      </c>
      <c r="DO53" s="1086"/>
      <c r="DP53" s="1085">
        <v>0</v>
      </c>
      <c r="DQ53" s="1086"/>
      <c r="DR53" s="1085">
        <v>0</v>
      </c>
      <c r="DS53" s="1086"/>
      <c r="DT53" s="1085">
        <v>0</v>
      </c>
      <c r="DU53" s="1086"/>
      <c r="DV53" s="1085">
        <v>0</v>
      </c>
      <c r="DW53" s="1086"/>
      <c r="DX53" s="1085">
        <v>0</v>
      </c>
      <c r="DY53" s="1086"/>
      <c r="DZ53" s="1085">
        <v>0</v>
      </c>
      <c r="EA53" s="1086"/>
      <c r="EB53" s="1085">
        <v>0</v>
      </c>
      <c r="EC53" s="1086"/>
      <c r="ED53" s="1085">
        <v>1385</v>
      </c>
      <c r="EE53" s="1086"/>
      <c r="EF53" s="1085">
        <v>1304</v>
      </c>
      <c r="EG53" s="1086"/>
      <c r="EH53" s="1085">
        <v>1357</v>
      </c>
      <c r="EI53" s="1086"/>
      <c r="EJ53" s="1085">
        <v>1393</v>
      </c>
      <c r="EK53" s="1086"/>
      <c r="EL53" s="1085">
        <v>1398</v>
      </c>
      <c r="EM53" s="1086"/>
      <c r="EN53" s="1085">
        <v>1701</v>
      </c>
      <c r="EO53" s="1086"/>
      <c r="EP53" s="1085">
        <v>2077</v>
      </c>
      <c r="EQ53" s="1086"/>
      <c r="ER53" s="1085">
        <v>2131</v>
      </c>
      <c r="ES53" s="1086"/>
      <c r="ET53" s="1085">
        <v>1829</v>
      </c>
      <c r="EU53" s="1086"/>
      <c r="EV53" s="1085">
        <v>1120</v>
      </c>
      <c r="EW53" s="1086"/>
      <c r="EX53" s="1085">
        <v>0</v>
      </c>
      <c r="EY53" s="1086"/>
      <c r="EZ53" s="1085">
        <v>0</v>
      </c>
      <c r="FA53" s="1086"/>
      <c r="FB53" s="1085">
        <v>0</v>
      </c>
      <c r="FC53" s="1086"/>
      <c r="FD53" s="1085">
        <v>0</v>
      </c>
      <c r="FE53" s="1087"/>
      <c r="FF53" s="1088">
        <v>0</v>
      </c>
      <c r="FG53" s="1089"/>
      <c r="FH53" s="1090">
        <v>0</v>
      </c>
      <c r="FI53" s="981"/>
      <c r="FJ53" s="1079" t="s">
        <v>344</v>
      </c>
      <c r="FK53" s="1080"/>
      <c r="FL53" s="1081"/>
      <c r="FM53" s="1081"/>
      <c r="FN53" s="1082"/>
      <c r="FO53" s="1083"/>
      <c r="FP53" s="1091"/>
      <c r="FQ53" s="1092"/>
      <c r="FR53" s="1085">
        <v>1617</v>
      </c>
      <c r="FS53" s="1093"/>
      <c r="FT53" s="1092"/>
      <c r="FU53" s="1094">
        <v>1642</v>
      </c>
      <c r="FV53" s="1095">
        <v>15</v>
      </c>
      <c r="FW53" s="1096">
        <v>2032</v>
      </c>
      <c r="FX53" s="1097">
        <v>16</v>
      </c>
      <c r="FY53" s="1096">
        <v>2465</v>
      </c>
      <c r="FZ53" s="1097">
        <v>16</v>
      </c>
      <c r="GA53" s="1096">
        <v>2131</v>
      </c>
      <c r="GB53" s="1098" t="s">
        <v>951</v>
      </c>
      <c r="GC53" s="1096">
        <v>2465</v>
      </c>
      <c r="GD53" s="1098" t="s">
        <v>815</v>
      </c>
      <c r="GE53" s="1099">
        <v>1642</v>
      </c>
      <c r="GF53" s="688"/>
      <c r="GG53" s="990"/>
      <c r="GH53" s="990"/>
      <c r="GI53" s="990"/>
      <c r="GJ53" s="953"/>
      <c r="GK53" s="413"/>
      <c r="GL53" s="1100">
        <v>10</v>
      </c>
      <c r="GM53" s="1101">
        <v>1</v>
      </c>
      <c r="GN53" s="1102">
        <v>0.92</v>
      </c>
      <c r="GO53" s="1103">
        <v>6</v>
      </c>
      <c r="GP53" s="1103">
        <v>16</v>
      </c>
      <c r="GQ53" s="1104">
        <v>22</v>
      </c>
      <c r="GR53" s="580"/>
      <c r="GS53" s="483"/>
      <c r="GT53" s="861"/>
      <c r="GU53" s="580" t="s">
        <v>980</v>
      </c>
      <c r="GV53" s="580"/>
      <c r="GW53" s="580"/>
      <c r="GX53" s="580"/>
      <c r="GY53" s="413"/>
      <c r="GZ53" s="409"/>
      <c r="HA53" s="615">
        <v>17.5</v>
      </c>
      <c r="HB53" s="579" t="s">
        <v>319</v>
      </c>
      <c r="HC53" s="799"/>
      <c r="HD53" s="415"/>
    </row>
    <row r="54" spans="1:212" ht="20.100000000000001" customHeight="1">
      <c r="A54" s="1105" t="s">
        <v>345</v>
      </c>
      <c r="B54" s="1106"/>
      <c r="C54" s="1107"/>
      <c r="D54" s="1108"/>
      <c r="E54" s="1109"/>
      <c r="F54" s="1110"/>
      <c r="G54" s="1111"/>
      <c r="H54" s="1112">
        <v>0</v>
      </c>
      <c r="I54" s="1113"/>
      <c r="J54" s="1112">
        <v>0</v>
      </c>
      <c r="K54" s="1113"/>
      <c r="L54" s="1112">
        <v>0</v>
      </c>
      <c r="M54" s="1113"/>
      <c r="N54" s="1112">
        <v>0</v>
      </c>
      <c r="O54" s="1113"/>
      <c r="P54" s="1112">
        <v>0</v>
      </c>
      <c r="Q54" s="1113"/>
      <c r="R54" s="1112">
        <v>0</v>
      </c>
      <c r="S54" s="1113"/>
      <c r="T54" s="1112">
        <v>0</v>
      </c>
      <c r="U54" s="1113"/>
      <c r="V54" s="1112">
        <v>0</v>
      </c>
      <c r="W54" s="1113"/>
      <c r="X54" s="1112">
        <v>120.6</v>
      </c>
      <c r="Y54" s="1113"/>
      <c r="Z54" s="1112">
        <v>115</v>
      </c>
      <c r="AA54" s="1113"/>
      <c r="AB54" s="1112">
        <v>119</v>
      </c>
      <c r="AC54" s="1113"/>
      <c r="AD54" s="1112">
        <v>121</v>
      </c>
      <c r="AE54" s="1113"/>
      <c r="AF54" s="1112">
        <v>124.6</v>
      </c>
      <c r="AG54" s="1113"/>
      <c r="AH54" s="1112">
        <v>142.30000000000001</v>
      </c>
      <c r="AI54" s="1113"/>
      <c r="AJ54" s="1112">
        <v>153.6</v>
      </c>
      <c r="AK54" s="1113"/>
      <c r="AL54" s="1112">
        <v>151.5</v>
      </c>
      <c r="AM54" s="1113"/>
      <c r="AN54" s="1112">
        <v>136.9</v>
      </c>
      <c r="AO54" s="1113"/>
      <c r="AP54" s="1112">
        <v>104.5</v>
      </c>
      <c r="AQ54" s="1113"/>
      <c r="AR54" s="1112">
        <v>0</v>
      </c>
      <c r="AS54" s="1113"/>
      <c r="AT54" s="1112">
        <v>0</v>
      </c>
      <c r="AU54" s="1113"/>
      <c r="AV54" s="1112">
        <v>0</v>
      </c>
      <c r="AW54" s="1113"/>
      <c r="AX54" s="1112">
        <v>0</v>
      </c>
      <c r="AY54" s="1113"/>
      <c r="AZ54" s="1112">
        <v>0</v>
      </c>
      <c r="BA54" s="1113"/>
      <c r="BB54" s="1114">
        <v>0</v>
      </c>
      <c r="BC54" s="1017"/>
      <c r="BD54" s="1105" t="s">
        <v>682</v>
      </c>
      <c r="BE54" s="1106"/>
      <c r="BF54" s="1107"/>
      <c r="BG54" s="1108"/>
      <c r="BH54" s="1109"/>
      <c r="BI54" s="1110"/>
      <c r="BJ54" s="1111"/>
      <c r="BK54" s="1112">
        <v>0</v>
      </c>
      <c r="BL54" s="1113"/>
      <c r="BM54" s="1112">
        <v>0</v>
      </c>
      <c r="BN54" s="1113"/>
      <c r="BO54" s="1112">
        <v>0</v>
      </c>
      <c r="BP54" s="1113"/>
      <c r="BQ54" s="1112">
        <v>0</v>
      </c>
      <c r="BR54" s="1113"/>
      <c r="BS54" s="1112">
        <v>0</v>
      </c>
      <c r="BT54" s="1113"/>
      <c r="BU54" s="1112">
        <v>0</v>
      </c>
      <c r="BV54" s="1113"/>
      <c r="BW54" s="1112">
        <v>0</v>
      </c>
      <c r="BX54" s="1113"/>
      <c r="BY54" s="1112">
        <v>0</v>
      </c>
      <c r="BZ54" s="1113"/>
      <c r="CA54" s="1112">
        <v>117.2</v>
      </c>
      <c r="CB54" s="1113"/>
      <c r="CC54" s="1112">
        <v>109.8</v>
      </c>
      <c r="CD54" s="1113"/>
      <c r="CE54" s="1112">
        <v>113.3</v>
      </c>
      <c r="CF54" s="1113"/>
      <c r="CG54" s="1112">
        <v>114.7</v>
      </c>
      <c r="CH54" s="1113"/>
      <c r="CI54" s="1112">
        <v>120.3</v>
      </c>
      <c r="CJ54" s="1113"/>
      <c r="CK54" s="1112">
        <v>149.6</v>
      </c>
      <c r="CL54" s="1113"/>
      <c r="CM54" s="1112">
        <v>176.9</v>
      </c>
      <c r="CN54" s="1113"/>
      <c r="CO54" s="1112">
        <v>186.3</v>
      </c>
      <c r="CP54" s="1113"/>
      <c r="CQ54" s="1112">
        <v>183</v>
      </c>
      <c r="CR54" s="1113"/>
      <c r="CS54" s="1112">
        <v>141.1</v>
      </c>
      <c r="CT54" s="1113"/>
      <c r="CU54" s="1112">
        <v>0</v>
      </c>
      <c r="CV54" s="1113"/>
      <c r="CW54" s="1112">
        <v>0</v>
      </c>
      <c r="CX54" s="1113"/>
      <c r="CY54" s="1112">
        <v>0</v>
      </c>
      <c r="CZ54" s="1113"/>
      <c r="DA54" s="1112">
        <v>0</v>
      </c>
      <c r="DB54" s="1113"/>
      <c r="DC54" s="1112">
        <v>0</v>
      </c>
      <c r="DD54" s="1113"/>
      <c r="DE54" s="1114">
        <v>0</v>
      </c>
      <c r="DF54" s="1017"/>
      <c r="DG54" s="1105" t="s">
        <v>345</v>
      </c>
      <c r="DH54" s="1106"/>
      <c r="DI54" s="1107"/>
      <c r="DJ54" s="1108"/>
      <c r="DK54" s="1109"/>
      <c r="DL54" s="1110"/>
      <c r="DM54" s="1111"/>
      <c r="DN54" s="1112">
        <v>0</v>
      </c>
      <c r="DO54" s="1113"/>
      <c r="DP54" s="1112">
        <v>0</v>
      </c>
      <c r="DQ54" s="1113"/>
      <c r="DR54" s="1112">
        <v>0</v>
      </c>
      <c r="DS54" s="1113"/>
      <c r="DT54" s="1112">
        <v>0</v>
      </c>
      <c r="DU54" s="1113"/>
      <c r="DV54" s="1112">
        <v>0</v>
      </c>
      <c r="DW54" s="1113"/>
      <c r="DX54" s="1112">
        <v>0</v>
      </c>
      <c r="DY54" s="1113"/>
      <c r="DZ54" s="1112">
        <v>0</v>
      </c>
      <c r="EA54" s="1113"/>
      <c r="EB54" s="1112">
        <v>0</v>
      </c>
      <c r="EC54" s="1113"/>
      <c r="ED54" s="1112">
        <v>104.7</v>
      </c>
      <c r="EE54" s="1113"/>
      <c r="EF54" s="1112">
        <v>98.6</v>
      </c>
      <c r="EG54" s="1113"/>
      <c r="EH54" s="1112">
        <v>102.6</v>
      </c>
      <c r="EI54" s="1113"/>
      <c r="EJ54" s="1112">
        <v>105.3</v>
      </c>
      <c r="EK54" s="1113"/>
      <c r="EL54" s="1112">
        <v>105.7</v>
      </c>
      <c r="EM54" s="1113"/>
      <c r="EN54" s="1112">
        <v>128.6</v>
      </c>
      <c r="EO54" s="1113"/>
      <c r="EP54" s="1112">
        <v>157</v>
      </c>
      <c r="EQ54" s="1113"/>
      <c r="ER54" s="1112">
        <v>161.1</v>
      </c>
      <c r="ES54" s="1113"/>
      <c r="ET54" s="1112">
        <v>138.19999999999999</v>
      </c>
      <c r="EU54" s="1113"/>
      <c r="EV54" s="1112">
        <v>84.7</v>
      </c>
      <c r="EW54" s="1113"/>
      <c r="EX54" s="1112">
        <v>0</v>
      </c>
      <c r="EY54" s="1113"/>
      <c r="EZ54" s="1112">
        <v>0</v>
      </c>
      <c r="FA54" s="1113"/>
      <c r="FB54" s="1112">
        <v>0</v>
      </c>
      <c r="FC54" s="1113"/>
      <c r="FD54" s="1112">
        <v>0</v>
      </c>
      <c r="FE54" s="1113"/>
      <c r="FF54" s="1112">
        <v>0</v>
      </c>
      <c r="FG54" s="1113"/>
      <c r="FH54" s="1114">
        <v>0</v>
      </c>
      <c r="FI54" s="1017"/>
      <c r="FJ54" s="1105" t="s">
        <v>682</v>
      </c>
      <c r="FK54" s="1106"/>
      <c r="FL54" s="1107"/>
      <c r="FM54" s="1108"/>
      <c r="FN54" s="1109"/>
      <c r="FO54" s="1110"/>
      <c r="FP54" s="1115"/>
      <c r="FQ54" s="1113"/>
      <c r="FR54" s="1112">
        <v>122.2</v>
      </c>
      <c r="FS54" s="1116"/>
      <c r="FT54" s="1113"/>
      <c r="FU54" s="1117">
        <v>124.1</v>
      </c>
      <c r="FV54" s="1116"/>
      <c r="FW54" s="1112">
        <f>IF(面積=0,0,ROUND(FW53/面積,1))</f>
        <v>153.6</v>
      </c>
      <c r="FX54" s="1116"/>
      <c r="FY54" s="1112">
        <f>IF(面積=0,0,ROUND(FY53/面積,1))</f>
        <v>186.3</v>
      </c>
      <c r="FZ54" s="1116"/>
      <c r="GA54" s="1112">
        <f>IF(面積=0,0,ROUND(GA53/面積,1))</f>
        <v>161.1</v>
      </c>
      <c r="GB54" s="1116"/>
      <c r="GC54" s="1112">
        <f>IF(面積=0,0,ROUND(GC53/面積,1))</f>
        <v>186.3</v>
      </c>
      <c r="GD54" s="1116"/>
      <c r="GE54" s="1114">
        <f>IF(面積=0,0,ROUND(GE53/面積,1))</f>
        <v>124.1</v>
      </c>
      <c r="GF54" s="688"/>
      <c r="GG54" s="937"/>
      <c r="GH54" s="937"/>
      <c r="GI54" s="937"/>
      <c r="GJ54" s="580"/>
      <c r="GK54" s="579"/>
      <c r="GL54" s="1100">
        <v>11</v>
      </c>
      <c r="GM54" s="1101">
        <v>2</v>
      </c>
      <c r="GN54" s="1102">
        <v>0.85</v>
      </c>
      <c r="GO54" s="1103">
        <v>5.5</v>
      </c>
      <c r="GP54" s="1103">
        <v>16</v>
      </c>
      <c r="GQ54" s="1104">
        <v>21.5</v>
      </c>
      <c r="GR54" s="530"/>
      <c r="GS54" s="580"/>
      <c r="GT54" s="861"/>
      <c r="GU54" s="1118" t="s">
        <v>847</v>
      </c>
      <c r="GV54" s="1118"/>
      <c r="GW54" s="1118"/>
      <c r="GX54" s="1118"/>
      <c r="GY54" s="775"/>
      <c r="GZ54" s="1119"/>
      <c r="HA54" s="1120">
        <v>52.6</v>
      </c>
      <c r="HB54" s="1121" t="s">
        <v>705</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5.0999999999999996</v>
      </c>
      <c r="GP55" s="1103">
        <v>16</v>
      </c>
      <c r="GQ55" s="1104">
        <v>21.1</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759</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4.7</v>
      </c>
      <c r="GP56" s="1103">
        <v>16</v>
      </c>
      <c r="GQ56" s="1104">
        <v>20.7</v>
      </c>
      <c r="GR56" s="530"/>
      <c r="GS56" s="529"/>
      <c r="GT56" s="1303"/>
      <c r="GU56" s="578"/>
      <c r="GV56" s="579"/>
      <c r="GW56" s="578"/>
      <c r="GX56" s="579"/>
      <c r="GY56" s="579"/>
      <c r="GZ56" s="500"/>
      <c r="HA56" s="578"/>
      <c r="HB56" s="500"/>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4.3</v>
      </c>
      <c r="GP57" s="1103">
        <v>16</v>
      </c>
      <c r="GQ57" s="1104">
        <v>20.3</v>
      </c>
      <c r="GR57" s="953"/>
      <c r="GS57" s="529"/>
      <c r="GT57" s="1303"/>
      <c r="GU57" s="578"/>
      <c r="GV57" s="578"/>
      <c r="GW57" s="500"/>
      <c r="GX57" s="1306"/>
      <c r="GY57" s="579"/>
      <c r="GZ57" s="500"/>
      <c r="HA57" s="578"/>
      <c r="HB57" s="500"/>
      <c r="HC57" s="1052"/>
    </row>
    <row r="58" spans="1:212" ht="20.100000000000001" customHeight="1">
      <c r="A58" s="1163" t="s">
        <v>929</v>
      </c>
      <c r="B58" s="1164"/>
      <c r="C58" s="1164"/>
      <c r="D58" s="1164"/>
      <c r="E58" s="1165"/>
      <c r="F58" s="1166"/>
      <c r="G58" s="1167"/>
      <c r="H58" s="1168"/>
      <c r="I58" s="1169"/>
      <c r="J58" s="1168"/>
      <c r="K58" s="1169"/>
      <c r="L58" s="1168"/>
      <c r="M58" s="1169"/>
      <c r="N58" s="1168"/>
      <c r="O58" s="1169"/>
      <c r="P58" s="1168"/>
      <c r="Q58" s="1169"/>
      <c r="R58" s="1168"/>
      <c r="S58" s="1169"/>
      <c r="T58" s="1168"/>
      <c r="U58" s="1169"/>
      <c r="V58" s="1168"/>
      <c r="W58" s="1169"/>
      <c r="X58" s="1168">
        <v>120</v>
      </c>
      <c r="Y58" s="1169"/>
      <c r="Z58" s="1168">
        <v>120</v>
      </c>
      <c r="AA58" s="1169"/>
      <c r="AB58" s="1168">
        <v>120</v>
      </c>
      <c r="AC58" s="1169"/>
      <c r="AD58" s="1168">
        <v>120</v>
      </c>
      <c r="AE58" s="1169"/>
      <c r="AF58" s="1168">
        <v>120</v>
      </c>
      <c r="AG58" s="1169"/>
      <c r="AH58" s="1168">
        <v>120</v>
      </c>
      <c r="AI58" s="1169"/>
      <c r="AJ58" s="1168">
        <v>120</v>
      </c>
      <c r="AK58" s="1169"/>
      <c r="AL58" s="1168">
        <v>120</v>
      </c>
      <c r="AM58" s="1169"/>
      <c r="AN58" s="1168">
        <v>120</v>
      </c>
      <c r="AO58" s="1169"/>
      <c r="AP58" s="1168">
        <v>120</v>
      </c>
      <c r="AQ58" s="1169"/>
      <c r="AR58" s="1168"/>
      <c r="AS58" s="1169"/>
      <c r="AT58" s="1168"/>
      <c r="AU58" s="1169"/>
      <c r="AV58" s="1168"/>
      <c r="AW58" s="1169"/>
      <c r="AX58" s="1168"/>
      <c r="AY58" s="1169"/>
      <c r="AZ58" s="1168"/>
      <c r="BA58" s="1169"/>
      <c r="BB58" s="561"/>
      <c r="BC58" s="563"/>
      <c r="BD58" s="1163" t="s">
        <v>737</v>
      </c>
      <c r="BE58" s="1164"/>
      <c r="BF58" s="1164"/>
      <c r="BG58" s="1164"/>
      <c r="BH58" s="1165"/>
      <c r="BI58" s="1166"/>
      <c r="BJ58" s="1167"/>
      <c r="BK58" s="1168"/>
      <c r="BL58" s="1169"/>
      <c r="BM58" s="1168"/>
      <c r="BN58" s="1169"/>
      <c r="BO58" s="1168"/>
      <c r="BP58" s="1169"/>
      <c r="BQ58" s="1168"/>
      <c r="BR58" s="1169"/>
      <c r="BS58" s="1168"/>
      <c r="BT58" s="1169"/>
      <c r="BU58" s="1168"/>
      <c r="BV58" s="1169"/>
      <c r="BW58" s="1168"/>
      <c r="BX58" s="1169"/>
      <c r="BY58" s="1168"/>
      <c r="BZ58" s="1169"/>
      <c r="CA58" s="1168">
        <v>120</v>
      </c>
      <c r="CB58" s="1169"/>
      <c r="CC58" s="1168">
        <v>120</v>
      </c>
      <c r="CD58" s="1169"/>
      <c r="CE58" s="1168">
        <v>120</v>
      </c>
      <c r="CF58" s="1169"/>
      <c r="CG58" s="1168">
        <v>120</v>
      </c>
      <c r="CH58" s="1169"/>
      <c r="CI58" s="1168">
        <v>120</v>
      </c>
      <c r="CJ58" s="1169"/>
      <c r="CK58" s="1168">
        <v>120</v>
      </c>
      <c r="CL58" s="1169"/>
      <c r="CM58" s="1168">
        <v>120</v>
      </c>
      <c r="CN58" s="1169"/>
      <c r="CO58" s="1168">
        <v>120</v>
      </c>
      <c r="CP58" s="1169"/>
      <c r="CQ58" s="1168">
        <v>120</v>
      </c>
      <c r="CR58" s="1169"/>
      <c r="CS58" s="1168">
        <v>120</v>
      </c>
      <c r="CT58" s="1169"/>
      <c r="CU58" s="1168"/>
      <c r="CV58" s="1169"/>
      <c r="CW58" s="1168"/>
      <c r="CX58" s="1169"/>
      <c r="CY58" s="1168"/>
      <c r="CZ58" s="1169"/>
      <c r="DA58" s="1168"/>
      <c r="DB58" s="1169"/>
      <c r="DC58" s="1168"/>
      <c r="DD58" s="1169"/>
      <c r="DE58" s="561"/>
      <c r="DF58" s="562"/>
      <c r="DG58" s="1163" t="s">
        <v>737</v>
      </c>
      <c r="DH58" s="1164"/>
      <c r="DI58" s="1164"/>
      <c r="DJ58" s="1164"/>
      <c r="DK58" s="1165"/>
      <c r="DL58" s="1166"/>
      <c r="DM58" s="1167"/>
      <c r="DN58" s="1168"/>
      <c r="DO58" s="1169"/>
      <c r="DP58" s="1168"/>
      <c r="DQ58" s="1169"/>
      <c r="DR58" s="1168"/>
      <c r="DS58" s="1169"/>
      <c r="DT58" s="1168"/>
      <c r="DU58" s="1169"/>
      <c r="DV58" s="1168"/>
      <c r="DW58" s="1169"/>
      <c r="DX58" s="1168"/>
      <c r="DY58" s="1169"/>
      <c r="DZ58" s="1168"/>
      <c r="EA58" s="1169"/>
      <c r="EB58" s="1168"/>
      <c r="EC58" s="1169"/>
      <c r="ED58" s="1168">
        <v>120</v>
      </c>
      <c r="EE58" s="1169"/>
      <c r="EF58" s="1168">
        <v>120</v>
      </c>
      <c r="EG58" s="1169"/>
      <c r="EH58" s="1168">
        <v>120</v>
      </c>
      <c r="EI58" s="1169"/>
      <c r="EJ58" s="1168">
        <v>120</v>
      </c>
      <c r="EK58" s="1169"/>
      <c r="EL58" s="1168">
        <v>120</v>
      </c>
      <c r="EM58" s="1169"/>
      <c r="EN58" s="1168">
        <v>120</v>
      </c>
      <c r="EO58" s="1169"/>
      <c r="EP58" s="1168">
        <v>120</v>
      </c>
      <c r="EQ58" s="1169"/>
      <c r="ER58" s="1168">
        <v>120</v>
      </c>
      <c r="ES58" s="1169"/>
      <c r="ET58" s="1168">
        <v>120</v>
      </c>
      <c r="EU58" s="1169"/>
      <c r="EV58" s="1168">
        <v>120</v>
      </c>
      <c r="EW58" s="1169"/>
      <c r="EX58" s="1168"/>
      <c r="EY58" s="1169"/>
      <c r="EZ58" s="1168"/>
      <c r="FA58" s="1169"/>
      <c r="FB58" s="1168"/>
      <c r="FC58" s="1169"/>
      <c r="FD58" s="1168"/>
      <c r="FE58" s="1169"/>
      <c r="FF58" s="1168"/>
      <c r="FG58" s="1169"/>
      <c r="FH58" s="561"/>
      <c r="FI58" s="563"/>
      <c r="FJ58" s="1163" t="s">
        <v>737</v>
      </c>
      <c r="FK58" s="1164"/>
      <c r="FL58" s="1164"/>
      <c r="FM58" s="1164"/>
      <c r="FN58" s="1165"/>
      <c r="FO58" s="1166"/>
      <c r="FP58" s="1170"/>
      <c r="FQ58" s="1171"/>
      <c r="FR58" s="1168">
        <v>120</v>
      </c>
      <c r="FS58" s="1172"/>
      <c r="FT58" s="1171"/>
      <c r="FU58" s="1173">
        <v>120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4</v>
      </c>
      <c r="GP58" s="1103">
        <v>16</v>
      </c>
      <c r="GQ58" s="1104">
        <v>20</v>
      </c>
      <c r="GR58" s="953"/>
      <c r="GS58" s="530"/>
      <c r="GT58" s="689"/>
      <c r="GU58" s="500"/>
      <c r="GV58" s="578"/>
      <c r="GW58" s="500"/>
      <c r="GX58" s="1306"/>
      <c r="GY58" s="1304"/>
      <c r="GZ58" s="579"/>
      <c r="HA58" s="578"/>
      <c r="HB58" s="500"/>
      <c r="HC58" s="562"/>
      <c r="HD58" s="1179"/>
    </row>
    <row r="59" spans="1:212" ht="20.100000000000001" customHeight="1">
      <c r="A59" s="1180" t="s">
        <v>738</v>
      </c>
      <c r="B59" s="1181"/>
      <c r="C59" s="1181"/>
      <c r="D59" s="1182" t="s">
        <v>615</v>
      </c>
      <c r="E59" s="1183"/>
      <c r="F59" s="1021"/>
      <c r="G59" s="1184">
        <v>0</v>
      </c>
      <c r="H59" s="585">
        <v>0</v>
      </c>
      <c r="I59" s="1185">
        <v>0</v>
      </c>
      <c r="J59" s="587">
        <v>0</v>
      </c>
      <c r="K59" s="1185">
        <v>0</v>
      </c>
      <c r="L59" s="587">
        <v>0</v>
      </c>
      <c r="M59" s="1185">
        <v>0</v>
      </c>
      <c r="N59" s="587">
        <v>0</v>
      </c>
      <c r="O59" s="1185">
        <v>0</v>
      </c>
      <c r="P59" s="587">
        <v>0</v>
      </c>
      <c r="Q59" s="1185">
        <v>0</v>
      </c>
      <c r="R59" s="587">
        <v>0</v>
      </c>
      <c r="S59" s="1185">
        <v>0</v>
      </c>
      <c r="T59" s="587">
        <v>0</v>
      </c>
      <c r="U59" s="1185">
        <v>0</v>
      </c>
      <c r="V59" s="587">
        <v>0</v>
      </c>
      <c r="W59" s="1185">
        <v>23.7</v>
      </c>
      <c r="X59" s="587">
        <v>948</v>
      </c>
      <c r="Y59" s="1185">
        <v>24.6</v>
      </c>
      <c r="Z59" s="587">
        <v>984</v>
      </c>
      <c r="AA59" s="1185">
        <v>24.9</v>
      </c>
      <c r="AB59" s="587">
        <v>996</v>
      </c>
      <c r="AC59" s="1185">
        <v>26.2</v>
      </c>
      <c r="AD59" s="587">
        <v>1048</v>
      </c>
      <c r="AE59" s="1185">
        <v>25.8</v>
      </c>
      <c r="AF59" s="587">
        <v>1032</v>
      </c>
      <c r="AG59" s="1185">
        <v>25.1</v>
      </c>
      <c r="AH59" s="587">
        <v>1004</v>
      </c>
      <c r="AI59" s="1185">
        <v>25.1</v>
      </c>
      <c r="AJ59" s="587">
        <v>1004</v>
      </c>
      <c r="AK59" s="1185">
        <v>24.8</v>
      </c>
      <c r="AL59" s="587">
        <v>992</v>
      </c>
      <c r="AM59" s="1185">
        <v>24.1</v>
      </c>
      <c r="AN59" s="587">
        <v>964</v>
      </c>
      <c r="AO59" s="1185">
        <v>23.4</v>
      </c>
      <c r="AP59" s="587">
        <v>936</v>
      </c>
      <c r="AQ59" s="1185">
        <v>0</v>
      </c>
      <c r="AR59" s="587">
        <v>0</v>
      </c>
      <c r="AS59" s="1185">
        <v>0</v>
      </c>
      <c r="AT59" s="587">
        <v>0</v>
      </c>
      <c r="AU59" s="1185">
        <v>0</v>
      </c>
      <c r="AV59" s="587">
        <v>0</v>
      </c>
      <c r="AW59" s="1185">
        <v>0</v>
      </c>
      <c r="AX59" s="587">
        <v>0</v>
      </c>
      <c r="AY59" s="1185">
        <v>0</v>
      </c>
      <c r="AZ59" s="587">
        <v>0</v>
      </c>
      <c r="BA59" s="1185">
        <v>0</v>
      </c>
      <c r="BB59" s="589">
        <v>0</v>
      </c>
      <c r="BC59" s="563"/>
      <c r="BD59" s="1180" t="s">
        <v>616</v>
      </c>
      <c r="BE59" s="1181"/>
      <c r="BF59" s="1181"/>
      <c r="BG59" s="1182" t="s">
        <v>615</v>
      </c>
      <c r="BH59" s="1183"/>
      <c r="BI59" s="1021"/>
      <c r="BJ59" s="1184">
        <v>0</v>
      </c>
      <c r="BK59" s="585">
        <v>0</v>
      </c>
      <c r="BL59" s="1185">
        <v>0</v>
      </c>
      <c r="BM59" s="587">
        <v>0</v>
      </c>
      <c r="BN59" s="1185">
        <v>0</v>
      </c>
      <c r="BO59" s="587">
        <v>0</v>
      </c>
      <c r="BP59" s="1185">
        <v>0</v>
      </c>
      <c r="BQ59" s="587">
        <v>0</v>
      </c>
      <c r="BR59" s="1185">
        <v>0</v>
      </c>
      <c r="BS59" s="587">
        <v>0</v>
      </c>
      <c r="BT59" s="1185">
        <v>0</v>
      </c>
      <c r="BU59" s="587">
        <v>0</v>
      </c>
      <c r="BV59" s="1185">
        <v>0</v>
      </c>
      <c r="BW59" s="587">
        <v>0</v>
      </c>
      <c r="BX59" s="1185">
        <v>0</v>
      </c>
      <c r="BY59" s="587">
        <v>0</v>
      </c>
      <c r="BZ59" s="1185">
        <v>18.600000000000001</v>
      </c>
      <c r="CA59" s="587">
        <v>744</v>
      </c>
      <c r="CB59" s="1185">
        <v>19.399999999999999</v>
      </c>
      <c r="CC59" s="587">
        <v>776</v>
      </c>
      <c r="CD59" s="1185">
        <v>20.3</v>
      </c>
      <c r="CE59" s="587">
        <v>812</v>
      </c>
      <c r="CF59" s="1185">
        <v>21</v>
      </c>
      <c r="CG59" s="587">
        <v>840</v>
      </c>
      <c r="CH59" s="1185">
        <v>21.4</v>
      </c>
      <c r="CI59" s="587">
        <v>856</v>
      </c>
      <c r="CJ59" s="1185">
        <v>20.7</v>
      </c>
      <c r="CK59" s="587">
        <v>828</v>
      </c>
      <c r="CL59" s="1185">
        <v>20.5</v>
      </c>
      <c r="CM59" s="587">
        <v>820</v>
      </c>
      <c r="CN59" s="1185">
        <v>20.3</v>
      </c>
      <c r="CO59" s="587">
        <v>812</v>
      </c>
      <c r="CP59" s="1185">
        <v>20.3</v>
      </c>
      <c r="CQ59" s="587">
        <v>812</v>
      </c>
      <c r="CR59" s="1185">
        <v>19.600000000000001</v>
      </c>
      <c r="CS59" s="587">
        <v>784</v>
      </c>
      <c r="CT59" s="1185">
        <v>0</v>
      </c>
      <c r="CU59" s="587">
        <v>0</v>
      </c>
      <c r="CV59" s="1185">
        <v>0</v>
      </c>
      <c r="CW59" s="587">
        <v>0</v>
      </c>
      <c r="CX59" s="1185">
        <v>0</v>
      </c>
      <c r="CY59" s="587">
        <v>0</v>
      </c>
      <c r="CZ59" s="1185">
        <v>0</v>
      </c>
      <c r="DA59" s="587">
        <v>0</v>
      </c>
      <c r="DB59" s="1185">
        <v>0</v>
      </c>
      <c r="DC59" s="587">
        <v>0</v>
      </c>
      <c r="DD59" s="1185">
        <v>0</v>
      </c>
      <c r="DE59" s="589">
        <v>0</v>
      </c>
      <c r="DF59" s="562"/>
      <c r="DG59" s="1180" t="s">
        <v>738</v>
      </c>
      <c r="DH59" s="1181"/>
      <c r="DI59" s="1181"/>
      <c r="DJ59" s="1182" t="s">
        <v>615</v>
      </c>
      <c r="DK59" s="1183"/>
      <c r="DL59" s="1021"/>
      <c r="DM59" s="1184">
        <v>0</v>
      </c>
      <c r="DN59" s="585">
        <v>0</v>
      </c>
      <c r="DO59" s="1185">
        <v>0</v>
      </c>
      <c r="DP59" s="587">
        <v>0</v>
      </c>
      <c r="DQ59" s="1185">
        <v>0</v>
      </c>
      <c r="DR59" s="587">
        <v>0</v>
      </c>
      <c r="DS59" s="1185">
        <v>0</v>
      </c>
      <c r="DT59" s="587">
        <v>0</v>
      </c>
      <c r="DU59" s="1185">
        <v>0</v>
      </c>
      <c r="DV59" s="587">
        <v>0</v>
      </c>
      <c r="DW59" s="1185">
        <v>0</v>
      </c>
      <c r="DX59" s="587">
        <v>0</v>
      </c>
      <c r="DY59" s="1185">
        <v>0</v>
      </c>
      <c r="DZ59" s="587">
        <v>0</v>
      </c>
      <c r="EA59" s="1185">
        <v>0</v>
      </c>
      <c r="EB59" s="587">
        <v>0</v>
      </c>
      <c r="EC59" s="1185">
        <v>9.8000000000000007</v>
      </c>
      <c r="ED59" s="587">
        <v>392</v>
      </c>
      <c r="EE59" s="1185">
        <v>10.9</v>
      </c>
      <c r="EF59" s="587">
        <v>436</v>
      </c>
      <c r="EG59" s="1185">
        <v>11</v>
      </c>
      <c r="EH59" s="587">
        <v>440</v>
      </c>
      <c r="EI59" s="1185">
        <v>11.4</v>
      </c>
      <c r="EJ59" s="587">
        <v>456</v>
      </c>
      <c r="EK59" s="1185">
        <v>11.1</v>
      </c>
      <c r="EL59" s="587">
        <v>444</v>
      </c>
      <c r="EM59" s="1185">
        <v>10.6</v>
      </c>
      <c r="EN59" s="587">
        <v>424</v>
      </c>
      <c r="EO59" s="1185">
        <v>10.4</v>
      </c>
      <c r="EP59" s="587">
        <v>416</v>
      </c>
      <c r="EQ59" s="1185">
        <v>10.5</v>
      </c>
      <c r="ER59" s="587">
        <v>420</v>
      </c>
      <c r="ES59" s="1185">
        <v>10</v>
      </c>
      <c r="ET59" s="587">
        <v>400</v>
      </c>
      <c r="EU59" s="1185">
        <v>10.5</v>
      </c>
      <c r="EV59" s="587">
        <v>420</v>
      </c>
      <c r="EW59" s="1185">
        <v>0</v>
      </c>
      <c r="EX59" s="587">
        <v>0</v>
      </c>
      <c r="EY59" s="1185">
        <v>0</v>
      </c>
      <c r="EZ59" s="587">
        <v>0</v>
      </c>
      <c r="FA59" s="1185">
        <v>0</v>
      </c>
      <c r="FB59" s="587">
        <v>0</v>
      </c>
      <c r="FC59" s="1185">
        <v>0</v>
      </c>
      <c r="FD59" s="587">
        <v>0</v>
      </c>
      <c r="FE59" s="1185">
        <v>0</v>
      </c>
      <c r="FF59" s="587">
        <v>0</v>
      </c>
      <c r="FG59" s="1185">
        <v>0</v>
      </c>
      <c r="FH59" s="589">
        <v>0</v>
      </c>
      <c r="FI59" s="563"/>
      <c r="FJ59" s="1180" t="s">
        <v>738</v>
      </c>
      <c r="FK59" s="1181"/>
      <c r="FL59" s="1181"/>
      <c r="FM59" s="1182" t="s">
        <v>615</v>
      </c>
      <c r="FN59" s="1183"/>
      <c r="FO59" s="1021"/>
      <c r="FP59" s="625">
        <v>9</v>
      </c>
      <c r="FQ59" s="1186">
        <v>5.7</v>
      </c>
      <c r="FR59" s="1187">
        <v>228</v>
      </c>
      <c r="FS59" s="1188">
        <v>9</v>
      </c>
      <c r="FT59" s="1186">
        <v>5.9</v>
      </c>
      <c r="FU59" s="1189">
        <v>236</v>
      </c>
      <c r="FV59" s="1190">
        <v>15</v>
      </c>
      <c r="FW59" s="1191">
        <v>1004</v>
      </c>
      <c r="FX59" s="1192">
        <v>16</v>
      </c>
      <c r="FY59" s="1191">
        <v>812</v>
      </c>
      <c r="FZ59" s="1192">
        <v>16</v>
      </c>
      <c r="GA59" s="1191">
        <v>420</v>
      </c>
      <c r="GB59" s="1192" t="s">
        <v>962</v>
      </c>
      <c r="GC59" s="1191">
        <v>812</v>
      </c>
      <c r="GD59" s="1192" t="s">
        <v>909</v>
      </c>
      <c r="GE59" s="1193">
        <v>236</v>
      </c>
      <c r="GF59" s="688"/>
      <c r="GG59" s="1194"/>
      <c r="GH59" s="1194"/>
      <c r="GI59" s="1194"/>
      <c r="GJ59" s="893"/>
      <c r="GK59" s="409"/>
      <c r="GL59" s="1124">
        <v>16</v>
      </c>
      <c r="GM59" s="1125">
        <v>7</v>
      </c>
      <c r="GN59" s="1102">
        <v>0.56000000000000005</v>
      </c>
      <c r="GO59" s="1103">
        <v>3.6</v>
      </c>
      <c r="GP59" s="1103">
        <v>16</v>
      </c>
      <c r="GQ59" s="1104">
        <v>19.600000000000001</v>
      </c>
      <c r="GR59" s="893"/>
      <c r="GS59" s="391"/>
      <c r="GT59" s="1305"/>
      <c r="GU59" s="579"/>
      <c r="GV59" s="500"/>
      <c r="GW59" s="500"/>
      <c r="GX59" s="1306"/>
      <c r="GY59" s="1304"/>
      <c r="GZ59" s="579"/>
      <c r="HA59" s="578"/>
      <c r="HB59" s="500"/>
      <c r="HC59" s="1179"/>
      <c r="HD59" s="1195"/>
    </row>
    <row r="60" spans="1:212" ht="20.100000000000001" customHeight="1">
      <c r="A60" s="1180"/>
      <c r="B60" s="1181"/>
      <c r="C60" s="1181"/>
      <c r="D60" s="1196"/>
      <c r="E60" s="1196"/>
      <c r="F60" s="1197">
        <v>0</v>
      </c>
      <c r="G60" s="584"/>
      <c r="H60" s="585"/>
      <c r="I60" s="588"/>
      <c r="J60" s="587"/>
      <c r="K60" s="588"/>
      <c r="L60" s="587"/>
      <c r="M60" s="588"/>
      <c r="N60" s="587"/>
      <c r="O60" s="588"/>
      <c r="P60" s="587"/>
      <c r="Q60" s="588"/>
      <c r="R60" s="587"/>
      <c r="S60" s="588"/>
      <c r="T60" s="587"/>
      <c r="U60" s="588"/>
      <c r="V60" s="587"/>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c r="AS60" s="588"/>
      <c r="AT60" s="587"/>
      <c r="AU60" s="588"/>
      <c r="AV60" s="587"/>
      <c r="AW60" s="588"/>
      <c r="AX60" s="587"/>
      <c r="AY60" s="588"/>
      <c r="AZ60" s="587"/>
      <c r="BA60" s="588"/>
      <c r="BB60" s="589"/>
      <c r="BC60" s="563"/>
      <c r="BD60" s="1180"/>
      <c r="BE60" s="1181"/>
      <c r="BF60" s="1181"/>
      <c r="BG60" s="1196"/>
      <c r="BH60" s="1196"/>
      <c r="BI60" s="1197"/>
      <c r="BJ60" s="584"/>
      <c r="BK60" s="585"/>
      <c r="BL60" s="588"/>
      <c r="BM60" s="587"/>
      <c r="BN60" s="588"/>
      <c r="BO60" s="587"/>
      <c r="BP60" s="588"/>
      <c r="BQ60" s="587"/>
      <c r="BR60" s="588"/>
      <c r="BS60" s="587"/>
      <c r="BT60" s="588"/>
      <c r="BU60" s="587"/>
      <c r="BV60" s="588"/>
      <c r="BW60" s="587"/>
      <c r="BX60" s="588"/>
      <c r="BY60" s="587"/>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c r="CV60" s="588"/>
      <c r="CW60" s="587"/>
      <c r="CX60" s="588"/>
      <c r="CY60" s="587"/>
      <c r="CZ60" s="588"/>
      <c r="DA60" s="587"/>
      <c r="DB60" s="588"/>
      <c r="DC60" s="587"/>
      <c r="DD60" s="588"/>
      <c r="DE60" s="589"/>
      <c r="DF60" s="562"/>
      <c r="DG60" s="1180"/>
      <c r="DH60" s="1181"/>
      <c r="DI60" s="1181"/>
      <c r="DJ60" s="1196"/>
      <c r="DK60" s="1196"/>
      <c r="DL60" s="1197"/>
      <c r="DM60" s="584"/>
      <c r="DN60" s="585"/>
      <c r="DO60" s="588"/>
      <c r="DP60" s="587"/>
      <c r="DQ60" s="588"/>
      <c r="DR60" s="587"/>
      <c r="DS60" s="588"/>
      <c r="DT60" s="587"/>
      <c r="DU60" s="588"/>
      <c r="DV60" s="587"/>
      <c r="DW60" s="588"/>
      <c r="DX60" s="587"/>
      <c r="DY60" s="588"/>
      <c r="DZ60" s="587"/>
      <c r="EA60" s="588"/>
      <c r="EB60" s="587"/>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c r="EY60" s="588"/>
      <c r="EZ60" s="587"/>
      <c r="FA60" s="588"/>
      <c r="FB60" s="587"/>
      <c r="FC60" s="588"/>
      <c r="FD60" s="587"/>
      <c r="FE60" s="588"/>
      <c r="FF60" s="587"/>
      <c r="FG60" s="588"/>
      <c r="FH60" s="589"/>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3.3</v>
      </c>
      <c r="GP60" s="1103">
        <v>16</v>
      </c>
      <c r="GQ60" s="1104">
        <v>19.3</v>
      </c>
      <c r="GR60" s="391"/>
      <c r="GS60" s="483"/>
      <c r="GT60" s="1305"/>
      <c r="GU60" s="500"/>
      <c r="GV60" s="579"/>
      <c r="GW60" s="500"/>
      <c r="GX60" s="579"/>
      <c r="GY60" s="500"/>
      <c r="GZ60" s="500"/>
      <c r="HA60" s="578"/>
      <c r="HB60" s="500"/>
      <c r="HC60" s="1201"/>
      <c r="HD60" s="1038"/>
    </row>
    <row r="61" spans="1:212" ht="20.100000000000001" customHeight="1">
      <c r="A61" s="1202" t="s">
        <v>740</v>
      </c>
      <c r="B61" s="1203"/>
      <c r="C61" s="1203"/>
      <c r="D61" s="1203"/>
      <c r="E61" s="1203"/>
      <c r="F61" s="1204"/>
      <c r="G61" s="1205"/>
      <c r="H61" s="1206">
        <v>0</v>
      </c>
      <c r="I61" s="1207"/>
      <c r="J61" s="1208">
        <v>0</v>
      </c>
      <c r="K61" s="1207"/>
      <c r="L61" s="1208">
        <v>0</v>
      </c>
      <c r="M61" s="1207"/>
      <c r="N61" s="1208">
        <v>0</v>
      </c>
      <c r="O61" s="1207"/>
      <c r="P61" s="1208">
        <v>0</v>
      </c>
      <c r="Q61" s="1207"/>
      <c r="R61" s="1208">
        <v>0</v>
      </c>
      <c r="S61" s="1207"/>
      <c r="T61" s="1208">
        <v>0</v>
      </c>
      <c r="U61" s="1207"/>
      <c r="V61" s="1208">
        <v>0</v>
      </c>
      <c r="W61" s="1207"/>
      <c r="X61" s="1208">
        <v>2543</v>
      </c>
      <c r="Y61" s="1207"/>
      <c r="Z61" s="1208">
        <v>2505</v>
      </c>
      <c r="AA61" s="1207"/>
      <c r="AB61" s="1208">
        <v>2570</v>
      </c>
      <c r="AC61" s="1207"/>
      <c r="AD61" s="1208">
        <v>2649</v>
      </c>
      <c r="AE61" s="1207"/>
      <c r="AF61" s="1208">
        <v>2680</v>
      </c>
      <c r="AG61" s="1207"/>
      <c r="AH61" s="1208">
        <v>2887</v>
      </c>
      <c r="AI61" s="1207"/>
      <c r="AJ61" s="1208">
        <v>3036</v>
      </c>
      <c r="AK61" s="1207"/>
      <c r="AL61" s="1208">
        <v>2996</v>
      </c>
      <c r="AM61" s="1207"/>
      <c r="AN61" s="1208">
        <v>2775</v>
      </c>
      <c r="AO61" s="1207"/>
      <c r="AP61" s="1208">
        <v>2318</v>
      </c>
      <c r="AQ61" s="1207"/>
      <c r="AR61" s="1208">
        <v>0</v>
      </c>
      <c r="AS61" s="1207"/>
      <c r="AT61" s="1208">
        <v>0</v>
      </c>
      <c r="AU61" s="1207"/>
      <c r="AV61" s="1208">
        <v>0</v>
      </c>
      <c r="AW61" s="1207"/>
      <c r="AX61" s="1208">
        <v>0</v>
      </c>
      <c r="AY61" s="1207"/>
      <c r="AZ61" s="1208">
        <v>0</v>
      </c>
      <c r="BA61" s="1207"/>
      <c r="BB61" s="1209">
        <v>0</v>
      </c>
      <c r="BC61" s="563"/>
      <c r="BD61" s="1202" t="s">
        <v>740</v>
      </c>
      <c r="BE61" s="1203"/>
      <c r="BF61" s="1203"/>
      <c r="BG61" s="1203"/>
      <c r="BH61" s="1203"/>
      <c r="BI61" s="1204"/>
      <c r="BJ61" s="1205"/>
      <c r="BK61" s="1206">
        <v>0</v>
      </c>
      <c r="BL61" s="1207"/>
      <c r="BM61" s="1208">
        <v>0</v>
      </c>
      <c r="BN61" s="1207"/>
      <c r="BO61" s="1208">
        <v>0</v>
      </c>
      <c r="BP61" s="1207"/>
      <c r="BQ61" s="1208">
        <v>0</v>
      </c>
      <c r="BR61" s="1207"/>
      <c r="BS61" s="1208">
        <v>0</v>
      </c>
      <c r="BT61" s="1207"/>
      <c r="BU61" s="1208">
        <v>0</v>
      </c>
      <c r="BV61" s="1207"/>
      <c r="BW61" s="1208">
        <v>0</v>
      </c>
      <c r="BX61" s="1207"/>
      <c r="BY61" s="1208">
        <v>0</v>
      </c>
      <c r="BZ61" s="1207"/>
      <c r="CA61" s="1208">
        <v>2294</v>
      </c>
      <c r="CB61" s="1207"/>
      <c r="CC61" s="1208">
        <v>2228</v>
      </c>
      <c r="CD61" s="1207"/>
      <c r="CE61" s="1208">
        <v>2311</v>
      </c>
      <c r="CF61" s="1207"/>
      <c r="CG61" s="1208">
        <v>2357</v>
      </c>
      <c r="CH61" s="1207"/>
      <c r="CI61" s="1208">
        <v>2448</v>
      </c>
      <c r="CJ61" s="1207"/>
      <c r="CK61" s="1208">
        <v>2807</v>
      </c>
      <c r="CL61" s="1207"/>
      <c r="CM61" s="1208">
        <v>3161</v>
      </c>
      <c r="CN61" s="1207"/>
      <c r="CO61" s="1208">
        <v>3277</v>
      </c>
      <c r="CP61" s="1207"/>
      <c r="CQ61" s="1208">
        <v>3233</v>
      </c>
      <c r="CR61" s="1207"/>
      <c r="CS61" s="1208">
        <v>2651</v>
      </c>
      <c r="CT61" s="1207"/>
      <c r="CU61" s="1208">
        <v>0</v>
      </c>
      <c r="CV61" s="1207"/>
      <c r="CW61" s="1208">
        <v>0</v>
      </c>
      <c r="CX61" s="1207"/>
      <c r="CY61" s="1208">
        <v>0</v>
      </c>
      <c r="CZ61" s="1207"/>
      <c r="DA61" s="1208">
        <v>0</v>
      </c>
      <c r="DB61" s="1207"/>
      <c r="DC61" s="1208">
        <v>0</v>
      </c>
      <c r="DD61" s="1207"/>
      <c r="DE61" s="1209">
        <v>0</v>
      </c>
      <c r="DF61" s="562"/>
      <c r="DG61" s="1202" t="s">
        <v>621</v>
      </c>
      <c r="DH61" s="1203"/>
      <c r="DI61" s="1203"/>
      <c r="DJ61" s="1203"/>
      <c r="DK61" s="1203"/>
      <c r="DL61" s="1204"/>
      <c r="DM61" s="1205"/>
      <c r="DN61" s="1206">
        <v>0</v>
      </c>
      <c r="DO61" s="1207"/>
      <c r="DP61" s="1208">
        <v>0</v>
      </c>
      <c r="DQ61" s="1207"/>
      <c r="DR61" s="1208">
        <v>0</v>
      </c>
      <c r="DS61" s="1207"/>
      <c r="DT61" s="1208">
        <v>0</v>
      </c>
      <c r="DU61" s="1207"/>
      <c r="DV61" s="1208">
        <v>0</v>
      </c>
      <c r="DW61" s="1207"/>
      <c r="DX61" s="1208">
        <v>0</v>
      </c>
      <c r="DY61" s="1207"/>
      <c r="DZ61" s="1208">
        <v>0</v>
      </c>
      <c r="EA61" s="1207"/>
      <c r="EB61" s="1208">
        <v>0</v>
      </c>
      <c r="EC61" s="1207"/>
      <c r="ED61" s="1208">
        <v>1777</v>
      </c>
      <c r="EE61" s="1207"/>
      <c r="EF61" s="1208">
        <v>1740</v>
      </c>
      <c r="EG61" s="1207"/>
      <c r="EH61" s="1208">
        <v>1797</v>
      </c>
      <c r="EI61" s="1207"/>
      <c r="EJ61" s="1208">
        <v>1849</v>
      </c>
      <c r="EK61" s="1207"/>
      <c r="EL61" s="1208">
        <v>1842</v>
      </c>
      <c r="EM61" s="1207"/>
      <c r="EN61" s="1208">
        <v>2125</v>
      </c>
      <c r="EO61" s="1207"/>
      <c r="EP61" s="1208">
        <v>2493</v>
      </c>
      <c r="EQ61" s="1207"/>
      <c r="ER61" s="1208">
        <v>2551</v>
      </c>
      <c r="ES61" s="1207"/>
      <c r="ET61" s="1208">
        <v>2229</v>
      </c>
      <c r="EU61" s="1207"/>
      <c r="EV61" s="1208">
        <v>1540</v>
      </c>
      <c r="EW61" s="1207"/>
      <c r="EX61" s="1208">
        <v>0</v>
      </c>
      <c r="EY61" s="1207"/>
      <c r="EZ61" s="1208">
        <v>0</v>
      </c>
      <c r="FA61" s="1207"/>
      <c r="FB61" s="1208">
        <v>0</v>
      </c>
      <c r="FC61" s="1207"/>
      <c r="FD61" s="1208">
        <v>0</v>
      </c>
      <c r="FE61" s="1207"/>
      <c r="FF61" s="1208">
        <v>0</v>
      </c>
      <c r="FG61" s="1207"/>
      <c r="FH61" s="1209">
        <v>0</v>
      </c>
      <c r="FI61" s="563"/>
      <c r="FJ61" s="1202" t="s">
        <v>740</v>
      </c>
      <c r="FK61" s="1203"/>
      <c r="FL61" s="1203"/>
      <c r="FM61" s="1203"/>
      <c r="FN61" s="1203"/>
      <c r="FO61" s="1203"/>
      <c r="FP61" s="1210"/>
      <c r="FQ61" s="1211"/>
      <c r="FR61" s="1212">
        <v>1845</v>
      </c>
      <c r="FS61" s="1213"/>
      <c r="FT61" s="1211"/>
      <c r="FU61" s="1214">
        <v>1878</v>
      </c>
      <c r="FV61" s="1215">
        <v>15</v>
      </c>
      <c r="FW61" s="1216">
        <v>3036</v>
      </c>
      <c r="FX61" s="1217">
        <v>16</v>
      </c>
      <c r="FY61" s="1216">
        <v>3277</v>
      </c>
      <c r="FZ61" s="1217">
        <v>16</v>
      </c>
      <c r="GA61" s="1216">
        <v>2551</v>
      </c>
      <c r="GB61" s="1218" t="s">
        <v>962</v>
      </c>
      <c r="GC61" s="1216">
        <v>3277</v>
      </c>
      <c r="GD61" s="1218" t="s">
        <v>909</v>
      </c>
      <c r="GE61" s="1219">
        <v>1878</v>
      </c>
      <c r="GF61" s="688"/>
      <c r="GG61" s="483"/>
      <c r="GH61" s="483"/>
      <c r="GI61" s="483"/>
      <c r="GJ61" s="483"/>
      <c r="GK61" s="486"/>
      <c r="GL61" s="1124">
        <v>18</v>
      </c>
      <c r="GM61" s="1220">
        <v>9</v>
      </c>
      <c r="GN61" s="1102">
        <v>0.47</v>
      </c>
      <c r="GO61" s="1103">
        <v>3.1</v>
      </c>
      <c r="GP61" s="1103">
        <v>16</v>
      </c>
      <c r="GQ61" s="1104">
        <v>19.100000000000001</v>
      </c>
      <c r="GR61" s="483"/>
      <c r="GS61" s="580"/>
      <c r="GT61" s="1305"/>
      <c r="GU61" s="689"/>
      <c r="GV61" s="689"/>
      <c r="GW61" s="689"/>
      <c r="GX61" s="689"/>
      <c r="GY61" s="579"/>
      <c r="GZ61" s="500"/>
      <c r="HA61" s="579"/>
      <c r="HB61" s="500"/>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579"/>
      <c r="GU62" s="689"/>
      <c r="GV62" s="689"/>
      <c r="GW62" s="689"/>
      <c r="GX62" s="689"/>
      <c r="GY62" s="579"/>
      <c r="GZ62" s="500"/>
      <c r="HA62" s="579"/>
      <c r="HB62" s="500"/>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759</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303"/>
      <c r="GK63" s="1303"/>
      <c r="GL63" s="578"/>
      <c r="GM63" s="500"/>
      <c r="GN63" s="578"/>
      <c r="GO63" s="500"/>
      <c r="GP63" s="500"/>
      <c r="GQ63" s="500"/>
      <c r="GR63" s="578"/>
      <c r="GS63" s="530"/>
      <c r="GT63" s="579"/>
      <c r="GU63" s="578"/>
      <c r="GV63" s="500"/>
      <c r="GW63" s="578"/>
      <c r="GX63" s="500"/>
      <c r="GY63" s="500"/>
      <c r="GZ63" s="500"/>
      <c r="HA63" s="579"/>
      <c r="HB63" s="500"/>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00"/>
      <c r="GK64" s="500"/>
      <c r="GL64" s="578"/>
      <c r="GM64" s="500"/>
      <c r="GN64" s="578"/>
      <c r="GO64" s="500"/>
      <c r="GP64" s="500"/>
      <c r="GQ64" s="500"/>
      <c r="GR64" s="578"/>
      <c r="GS64" s="409"/>
      <c r="GT64" s="1305"/>
      <c r="GU64" s="578"/>
      <c r="GV64" s="500"/>
      <c r="GW64" s="578"/>
      <c r="GX64" s="500"/>
      <c r="GY64" s="500"/>
      <c r="GZ64" s="579"/>
      <c r="HA64" s="579"/>
      <c r="HB64" s="579"/>
      <c r="HC64" s="562"/>
    </row>
    <row r="65" spans="1:211" ht="20.100000000000001" customHeight="1">
      <c r="A65" s="1163"/>
      <c r="B65" s="1164"/>
      <c r="C65" s="1164"/>
      <c r="D65" s="1232"/>
      <c r="E65" s="1233"/>
      <c r="F65" s="1234"/>
      <c r="G65" s="1235"/>
      <c r="H65" s="1168"/>
      <c r="I65" s="1236"/>
      <c r="J65" s="1237"/>
      <c r="K65" s="1238"/>
      <c r="L65" s="1237"/>
      <c r="M65" s="1238"/>
      <c r="N65" s="1237"/>
      <c r="O65" s="1238"/>
      <c r="P65" s="1237"/>
      <c r="Q65" s="1238"/>
      <c r="R65" s="1237"/>
      <c r="S65" s="1238"/>
      <c r="T65" s="1237"/>
      <c r="U65" s="1238"/>
      <c r="V65" s="1237"/>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c r="AS65" s="1238"/>
      <c r="AT65" s="1237"/>
      <c r="AU65" s="1238"/>
      <c r="AV65" s="1237"/>
      <c r="AW65" s="1238"/>
      <c r="AX65" s="1237"/>
      <c r="AY65" s="1238"/>
      <c r="AZ65" s="1237"/>
      <c r="BA65" s="1238"/>
      <c r="BB65" s="561"/>
      <c r="BC65" s="563"/>
      <c r="BD65" s="1163"/>
      <c r="BE65" s="1164"/>
      <c r="BF65" s="1164"/>
      <c r="BG65" s="1232"/>
      <c r="BH65" s="1233"/>
      <c r="BI65" s="1234"/>
      <c r="BJ65" s="1235"/>
      <c r="BK65" s="1168"/>
      <c r="BL65" s="1236"/>
      <c r="BM65" s="1237"/>
      <c r="BN65" s="1238"/>
      <c r="BO65" s="1237"/>
      <c r="BP65" s="1238"/>
      <c r="BQ65" s="1237"/>
      <c r="BR65" s="1238"/>
      <c r="BS65" s="1237"/>
      <c r="BT65" s="1238"/>
      <c r="BU65" s="1237"/>
      <c r="BV65" s="1238"/>
      <c r="BW65" s="1237"/>
      <c r="BX65" s="1238"/>
      <c r="BY65" s="1237"/>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c r="CV65" s="1238"/>
      <c r="CW65" s="1237"/>
      <c r="CX65" s="1238"/>
      <c r="CY65" s="1237"/>
      <c r="CZ65" s="1238"/>
      <c r="DA65" s="1237"/>
      <c r="DB65" s="1238"/>
      <c r="DC65" s="1237"/>
      <c r="DD65" s="1238"/>
      <c r="DE65" s="561"/>
      <c r="DF65" s="562"/>
      <c r="DG65" s="1163"/>
      <c r="DH65" s="1164"/>
      <c r="DI65" s="1164"/>
      <c r="DJ65" s="1232"/>
      <c r="DK65" s="1233"/>
      <c r="DL65" s="1234"/>
      <c r="DM65" s="1235"/>
      <c r="DN65" s="1168"/>
      <c r="DO65" s="1236"/>
      <c r="DP65" s="1237"/>
      <c r="DQ65" s="1238"/>
      <c r="DR65" s="1237"/>
      <c r="DS65" s="1238"/>
      <c r="DT65" s="1237"/>
      <c r="DU65" s="1238"/>
      <c r="DV65" s="1237"/>
      <c r="DW65" s="1238"/>
      <c r="DX65" s="1237"/>
      <c r="DY65" s="1238"/>
      <c r="DZ65" s="1237"/>
      <c r="EA65" s="1238"/>
      <c r="EB65" s="1237"/>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c r="EY65" s="1238"/>
      <c r="EZ65" s="1237"/>
      <c r="FA65" s="1238"/>
      <c r="FB65" s="1237"/>
      <c r="FC65" s="1238"/>
      <c r="FD65" s="1237"/>
      <c r="FE65" s="1238"/>
      <c r="FF65" s="1237"/>
      <c r="FG65" s="1238"/>
      <c r="FH65" s="561"/>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391"/>
      <c r="GK65" s="529"/>
      <c r="GL65" s="529"/>
      <c r="GM65" s="529"/>
      <c r="GN65" s="529"/>
      <c r="GO65" s="529"/>
      <c r="GP65" s="529"/>
      <c r="GQ65" s="529"/>
      <c r="GR65" s="529"/>
      <c r="GS65" s="409"/>
      <c r="GT65" s="1305"/>
      <c r="GU65" s="500"/>
      <c r="GV65" s="500"/>
      <c r="GW65" s="500"/>
      <c r="GX65" s="500"/>
      <c r="GY65" s="500"/>
      <c r="GZ65" s="579"/>
      <c r="HA65" s="579"/>
      <c r="HB65" s="579"/>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798</v>
      </c>
      <c r="FK66" s="1203"/>
      <c r="FL66" s="1249"/>
      <c r="FM66" s="1250" t="s">
        <v>624</v>
      </c>
      <c r="FN66" s="1251"/>
      <c r="FO66" s="1204"/>
      <c r="FP66" s="1210">
        <v>9</v>
      </c>
      <c r="FQ66" s="1252">
        <v>0</v>
      </c>
      <c r="FR66" s="1253">
        <v>0</v>
      </c>
      <c r="FS66" s="1213">
        <v>9</v>
      </c>
      <c r="FT66" s="1252">
        <v>0</v>
      </c>
      <c r="FU66" s="1254">
        <v>0</v>
      </c>
      <c r="FV66" s="1255"/>
      <c r="FW66" s="1256"/>
      <c r="FX66" s="1256"/>
      <c r="FY66" s="1256"/>
      <c r="FZ66" s="1256"/>
      <c r="GA66" s="1256"/>
      <c r="GB66" s="1256"/>
      <c r="GC66" s="1257"/>
      <c r="GD66" s="1213"/>
      <c r="GE66" s="1258">
        <v>0</v>
      </c>
      <c r="GF66" s="688"/>
      <c r="GG66" s="391"/>
      <c r="GH66" s="391"/>
      <c r="GI66" s="391"/>
      <c r="GJ66" s="483"/>
      <c r="GK66" s="529"/>
      <c r="GL66" s="530"/>
      <c r="GM66" s="529"/>
      <c r="GN66" s="530"/>
      <c r="GO66" s="529"/>
      <c r="GP66" s="529"/>
      <c r="GQ66" s="529"/>
      <c r="GR66" s="530"/>
      <c r="GT66" s="1305"/>
      <c r="GU66" s="579"/>
      <c r="GV66" s="579"/>
      <c r="GW66" s="579"/>
      <c r="GX66" s="579"/>
      <c r="GY66" s="579"/>
      <c r="GZ66" s="500"/>
      <c r="HA66" s="500"/>
      <c r="HB66" s="500"/>
      <c r="HC66" s="406"/>
    </row>
    <row r="67" spans="1:211" ht="20.100000000000001" customHeight="1" thickBot="1">
      <c r="BC67" s="389"/>
      <c r="DF67" s="389"/>
      <c r="FI67" s="389"/>
      <c r="GD67" s="688"/>
      <c r="GE67" s="799"/>
      <c r="GF67" s="688"/>
      <c r="GG67" s="483"/>
      <c r="GH67" s="483"/>
      <c r="GI67" s="483"/>
      <c r="GJ67" s="391"/>
      <c r="GT67" s="689"/>
      <c r="GU67" s="500"/>
      <c r="GV67" s="500"/>
      <c r="GW67" s="500"/>
      <c r="GX67" s="500"/>
      <c r="GY67" s="500"/>
      <c r="GZ67" s="579"/>
      <c r="HA67" s="578"/>
      <c r="HB67" s="579"/>
      <c r="HC67" s="406"/>
    </row>
    <row r="68" spans="1:211" ht="20.100000000000001" customHeight="1">
      <c r="A68" s="1260" t="s">
        <v>360</v>
      </c>
      <c r="B68" s="1261"/>
      <c r="C68" s="1261"/>
      <c r="D68" s="1261"/>
      <c r="E68" s="825"/>
      <c r="F68" s="825"/>
      <c r="G68" s="1262"/>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f>$G68</f>
        <v>0</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f>$G68</f>
        <v>0</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579"/>
      <c r="GU68" s="1303"/>
      <c r="GV68" s="1303"/>
      <c r="GW68" s="1303"/>
      <c r="GX68" s="1303"/>
      <c r="GY68" s="1121"/>
      <c r="GZ68" s="1304"/>
      <c r="HA68" s="1304"/>
      <c r="HB68" s="1304"/>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19">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993</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9時-18時</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9時-18時</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1000</v>
      </c>
      <c r="GZ1" s="376" t="s">
        <v>812</v>
      </c>
      <c r="HA1" s="376"/>
      <c r="HB1" s="379"/>
      <c r="HC1" s="1276" t="s">
        <v>514</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996</v>
      </c>
      <c r="B3" s="394">
        <v>211</v>
      </c>
      <c r="C3" s="395" t="s">
        <v>997</v>
      </c>
      <c r="D3" s="396" t="s">
        <v>998</v>
      </c>
      <c r="E3" s="396"/>
      <c r="F3" s="396"/>
      <c r="G3" s="396"/>
      <c r="H3" s="396"/>
      <c r="I3" s="396"/>
      <c r="J3" s="397"/>
      <c r="K3" s="398" t="s">
        <v>381</v>
      </c>
      <c r="L3" s="399"/>
      <c r="M3" s="398" t="s">
        <v>377</v>
      </c>
      <c r="N3" s="399"/>
      <c r="O3" s="400" t="s">
        <v>382</v>
      </c>
      <c r="P3" s="401"/>
      <c r="Q3" s="401"/>
      <c r="R3" s="401"/>
      <c r="S3" s="401"/>
      <c r="T3" s="401"/>
      <c r="U3" s="401"/>
      <c r="V3" s="402"/>
      <c r="W3" s="403" t="s">
        <v>379</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999</v>
      </c>
      <c r="BE3" s="394">
        <v>211</v>
      </c>
      <c r="BF3" s="395" t="s">
        <v>373</v>
      </c>
      <c r="BG3" s="407" t="s">
        <v>992</v>
      </c>
      <c r="BH3" s="407"/>
      <c r="BI3" s="407"/>
      <c r="BJ3" s="407"/>
      <c r="BK3" s="407"/>
      <c r="BL3" s="407"/>
      <c r="BM3" s="408"/>
      <c r="BN3" s="398" t="s">
        <v>381</v>
      </c>
      <c r="BO3" s="399"/>
      <c r="BP3" s="398" t="s">
        <v>377</v>
      </c>
      <c r="BQ3" s="399"/>
      <c r="BR3" s="400" t="s">
        <v>382</v>
      </c>
      <c r="BS3" s="401"/>
      <c r="BT3" s="401"/>
      <c r="BU3" s="401"/>
      <c r="BV3" s="401"/>
      <c r="BW3" s="401"/>
      <c r="BX3" s="401"/>
      <c r="BY3" s="402"/>
      <c r="BZ3" s="403" t="s">
        <v>379</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380</v>
      </c>
      <c r="DH3" s="394">
        <v>211</v>
      </c>
      <c r="DI3" s="395" t="s">
        <v>373</v>
      </c>
      <c r="DJ3" s="407" t="s">
        <v>992</v>
      </c>
      <c r="DK3" s="407"/>
      <c r="DL3" s="407"/>
      <c r="DM3" s="407"/>
      <c r="DN3" s="407"/>
      <c r="DO3" s="407"/>
      <c r="DP3" s="408"/>
      <c r="DQ3" s="398" t="s">
        <v>381</v>
      </c>
      <c r="DR3" s="399"/>
      <c r="DS3" s="398" t="s">
        <v>377</v>
      </c>
      <c r="DT3" s="399"/>
      <c r="DU3" s="400" t="s">
        <v>382</v>
      </c>
      <c r="DV3" s="401"/>
      <c r="DW3" s="401"/>
      <c r="DX3" s="401"/>
      <c r="DY3" s="401"/>
      <c r="DZ3" s="401"/>
      <c r="EA3" s="401"/>
      <c r="EB3" s="402"/>
      <c r="EC3" s="403" t="s">
        <v>379</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380</v>
      </c>
      <c r="FK3" s="394">
        <v>211</v>
      </c>
      <c r="FL3" s="395" t="s">
        <v>373</v>
      </c>
      <c r="FM3" s="407" t="s">
        <v>992</v>
      </c>
      <c r="FN3" s="407"/>
      <c r="FO3" s="407"/>
      <c r="FP3" s="407"/>
      <c r="FQ3" s="407"/>
      <c r="FR3" s="407"/>
      <c r="FS3" s="408"/>
      <c r="FT3" s="398" t="s">
        <v>381</v>
      </c>
      <c r="FU3" s="399"/>
      <c r="FV3" s="398" t="s">
        <v>377</v>
      </c>
      <c r="FW3" s="399"/>
      <c r="FX3" s="400" t="s">
        <v>1092</v>
      </c>
      <c r="FY3" s="401"/>
      <c r="FZ3" s="401"/>
      <c r="GA3" s="401"/>
      <c r="GB3" s="401"/>
      <c r="GC3" s="401"/>
      <c r="GD3" s="401"/>
      <c r="GE3" s="402"/>
      <c r="GF3" s="403" t="s">
        <v>379</v>
      </c>
      <c r="GG3" s="404"/>
      <c r="GH3" s="405"/>
      <c r="GI3" s="409"/>
      <c r="GJ3" s="410" t="s">
        <v>683</v>
      </c>
      <c r="GK3" s="411"/>
      <c r="GL3" s="411"/>
      <c r="GM3" s="411"/>
      <c r="GN3" s="411"/>
      <c r="GO3" s="411"/>
      <c r="GP3" s="411"/>
      <c r="GQ3" s="411"/>
      <c r="GR3" s="412"/>
      <c r="GS3" s="413"/>
      <c r="GT3" s="410" t="s">
        <v>684</v>
      </c>
      <c r="GU3" s="411"/>
      <c r="GV3" s="411"/>
      <c r="GW3" s="411"/>
      <c r="GX3" s="411"/>
      <c r="GY3" s="411"/>
      <c r="GZ3" s="411"/>
      <c r="HA3" s="411"/>
      <c r="HB3" s="412"/>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387</v>
      </c>
      <c r="P4" s="425"/>
      <c r="Q4" s="426" t="s">
        <v>391</v>
      </c>
      <c r="R4" s="425"/>
      <c r="S4" s="427" t="s">
        <v>389</v>
      </c>
      <c r="T4" s="428"/>
      <c r="U4" s="429" t="s">
        <v>390</v>
      </c>
      <c r="V4" s="430"/>
      <c r="W4" s="431" t="s">
        <v>821</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387</v>
      </c>
      <c r="BS4" s="425"/>
      <c r="BT4" s="426" t="s">
        <v>391</v>
      </c>
      <c r="BU4" s="425"/>
      <c r="BV4" s="427" t="s">
        <v>389</v>
      </c>
      <c r="BW4" s="428"/>
      <c r="BX4" s="429" t="s">
        <v>390</v>
      </c>
      <c r="BY4" s="430"/>
      <c r="BZ4" s="431" t="s">
        <v>821</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387</v>
      </c>
      <c r="DV4" s="425"/>
      <c r="DW4" s="426" t="s">
        <v>391</v>
      </c>
      <c r="DX4" s="425"/>
      <c r="DY4" s="427" t="s">
        <v>389</v>
      </c>
      <c r="DZ4" s="428"/>
      <c r="EA4" s="429" t="s">
        <v>390</v>
      </c>
      <c r="EB4" s="430"/>
      <c r="EC4" s="431" t="s">
        <v>821</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387</v>
      </c>
      <c r="FY4" s="425"/>
      <c r="FZ4" s="426" t="s">
        <v>391</v>
      </c>
      <c r="GA4" s="425"/>
      <c r="GB4" s="427" t="s">
        <v>389</v>
      </c>
      <c r="GC4" s="428"/>
      <c r="GD4" s="429" t="s">
        <v>390</v>
      </c>
      <c r="GE4" s="430"/>
      <c r="GF4" s="431" t="s">
        <v>811</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c r="MO4" s="392" t="s">
        <v>811</v>
      </c>
    </row>
    <row r="5" spans="1:353" ht="24.95" customHeight="1" thickBot="1">
      <c r="A5" s="438" t="s">
        <v>408</v>
      </c>
      <c r="B5" s="439">
        <v>2</v>
      </c>
      <c r="C5" s="440" t="s">
        <v>656</v>
      </c>
      <c r="D5" s="441">
        <v>13.23</v>
      </c>
      <c r="E5" s="442" t="s">
        <v>410</v>
      </c>
      <c r="F5" s="443">
        <v>2.8</v>
      </c>
      <c r="G5" s="444" t="s">
        <v>399</v>
      </c>
      <c r="H5" s="445"/>
      <c r="I5" s="446">
        <v>37.1</v>
      </c>
      <c r="J5" s="447"/>
      <c r="K5" s="448">
        <v>120</v>
      </c>
      <c r="L5" s="449"/>
      <c r="M5" s="448">
        <v>20</v>
      </c>
      <c r="N5" s="449"/>
      <c r="O5" s="450" t="s">
        <v>400</v>
      </c>
      <c r="P5" s="451"/>
      <c r="Q5" s="452" t="s">
        <v>401</v>
      </c>
      <c r="R5" s="453"/>
      <c r="S5" s="454" t="s">
        <v>402</v>
      </c>
      <c r="T5" s="455"/>
      <c r="U5" s="456" t="s">
        <v>403</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408</v>
      </c>
      <c r="BE5" s="439">
        <v>2</v>
      </c>
      <c r="BF5" s="440" t="s">
        <v>278</v>
      </c>
      <c r="BG5" s="441">
        <v>13.23</v>
      </c>
      <c r="BH5" s="442" t="s">
        <v>410</v>
      </c>
      <c r="BI5" s="443">
        <v>2.8</v>
      </c>
      <c r="BJ5" s="444" t="s">
        <v>399</v>
      </c>
      <c r="BK5" s="445"/>
      <c r="BL5" s="446">
        <v>37.1</v>
      </c>
      <c r="BM5" s="447"/>
      <c r="BN5" s="448">
        <v>120</v>
      </c>
      <c r="BO5" s="449"/>
      <c r="BP5" s="448">
        <v>20</v>
      </c>
      <c r="BQ5" s="449"/>
      <c r="BR5" s="450" t="s">
        <v>400</v>
      </c>
      <c r="BS5" s="451"/>
      <c r="BT5" s="452" t="s">
        <v>401</v>
      </c>
      <c r="BU5" s="453"/>
      <c r="BV5" s="454" t="s">
        <v>402</v>
      </c>
      <c r="BW5" s="455"/>
      <c r="BX5" s="456" t="s">
        <v>403</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408</v>
      </c>
      <c r="DH5" s="439">
        <v>2</v>
      </c>
      <c r="DI5" s="440" t="s">
        <v>278</v>
      </c>
      <c r="DJ5" s="441">
        <v>13.23</v>
      </c>
      <c r="DK5" s="442" t="s">
        <v>410</v>
      </c>
      <c r="DL5" s="443">
        <v>2.8</v>
      </c>
      <c r="DM5" s="444" t="s">
        <v>399</v>
      </c>
      <c r="DN5" s="445"/>
      <c r="DO5" s="446">
        <v>37.1</v>
      </c>
      <c r="DP5" s="447"/>
      <c r="DQ5" s="448">
        <v>120</v>
      </c>
      <c r="DR5" s="449"/>
      <c r="DS5" s="448">
        <v>20</v>
      </c>
      <c r="DT5" s="449"/>
      <c r="DU5" s="450" t="s">
        <v>400</v>
      </c>
      <c r="DV5" s="451"/>
      <c r="DW5" s="452" t="s">
        <v>401</v>
      </c>
      <c r="DX5" s="453"/>
      <c r="DY5" s="454" t="s">
        <v>402</v>
      </c>
      <c r="DZ5" s="455"/>
      <c r="EA5" s="456" t="s">
        <v>403</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408</v>
      </c>
      <c r="FK5" s="439">
        <v>2</v>
      </c>
      <c r="FL5" s="440" t="s">
        <v>278</v>
      </c>
      <c r="FM5" s="441">
        <v>13.23</v>
      </c>
      <c r="FN5" s="442" t="s">
        <v>410</v>
      </c>
      <c r="FO5" s="443">
        <v>2.8</v>
      </c>
      <c r="FP5" s="444" t="s">
        <v>399</v>
      </c>
      <c r="FQ5" s="445"/>
      <c r="FR5" s="446">
        <v>37.1</v>
      </c>
      <c r="FS5" s="447"/>
      <c r="FT5" s="448">
        <v>120</v>
      </c>
      <c r="FU5" s="449"/>
      <c r="FV5" s="448">
        <v>20</v>
      </c>
      <c r="FW5" s="449"/>
      <c r="FX5" s="1430" t="s">
        <v>1115</v>
      </c>
      <c r="FY5" s="451"/>
      <c r="FZ5" s="1431" t="s">
        <v>1116</v>
      </c>
      <c r="GA5" s="453"/>
      <c r="GB5" s="1432" t="s">
        <v>1090</v>
      </c>
      <c r="GC5" s="455"/>
      <c r="GD5" s="1433" t="s">
        <v>1095</v>
      </c>
      <c r="GE5" s="457"/>
      <c r="GF5" s="458"/>
      <c r="GG5" s="459"/>
      <c r="GH5" s="460"/>
      <c r="GI5" s="462"/>
      <c r="GJ5" s="409"/>
      <c r="GK5" s="463" t="s">
        <v>772</v>
      </c>
      <c r="GL5" s="463"/>
      <c r="GM5" s="463"/>
      <c r="GN5" s="409" t="s">
        <v>827</v>
      </c>
      <c r="GO5" s="464"/>
      <c r="GP5" s="464"/>
      <c r="GQ5" s="464"/>
      <c r="GR5" s="409"/>
      <c r="GS5" s="409"/>
      <c r="GT5" s="413"/>
      <c r="GU5" s="463" t="s">
        <v>519</v>
      </c>
      <c r="GV5" s="463"/>
      <c r="GW5" s="463"/>
      <c r="GX5" s="409" t="s">
        <v>827</v>
      </c>
      <c r="GY5" s="464"/>
      <c r="GZ5" s="464"/>
      <c r="HA5" s="464"/>
      <c r="HB5" s="409"/>
      <c r="HC5" s="465"/>
      <c r="HD5" s="437"/>
      <c r="HE5" s="437"/>
      <c r="HF5" s="504"/>
      <c r="HG5" s="386"/>
    </row>
    <row r="6" spans="1:353" ht="20.100000000000001" customHeight="1" thickBot="1">
      <c r="A6" s="466" t="s">
        <v>415</v>
      </c>
      <c r="B6" s="467"/>
      <c r="C6" s="468" t="s">
        <v>416</v>
      </c>
      <c r="D6" s="468"/>
      <c r="E6" s="468"/>
      <c r="F6" s="469">
        <v>0</v>
      </c>
      <c r="G6" s="469"/>
      <c r="H6" s="468" t="s">
        <v>417</v>
      </c>
      <c r="I6" s="468"/>
      <c r="J6" s="468"/>
      <c r="K6" s="468"/>
      <c r="L6" s="468"/>
      <c r="M6" s="470">
        <v>0</v>
      </c>
      <c r="N6" s="470"/>
      <c r="O6" s="471"/>
      <c r="P6" s="472"/>
      <c r="Q6" s="472" t="s">
        <v>665</v>
      </c>
      <c r="R6" s="473">
        <v>0</v>
      </c>
      <c r="S6" s="473"/>
      <c r="T6" s="474"/>
      <c r="U6" s="475" t="s">
        <v>874</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29</v>
      </c>
      <c r="BC6" s="479"/>
      <c r="BD6" s="466" t="s">
        <v>415</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34</v>
      </c>
      <c r="DF6" s="481"/>
      <c r="DG6" s="466" t="s">
        <v>415</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19</v>
      </c>
      <c r="FI6" s="481"/>
      <c r="FJ6" s="466" t="s">
        <v>424</v>
      </c>
      <c r="FK6" s="467"/>
      <c r="FL6" s="468" t="s">
        <v>416</v>
      </c>
      <c r="FM6" s="468"/>
      <c r="FN6" s="468"/>
      <c r="FO6" s="469">
        <v>0</v>
      </c>
      <c r="FP6" s="469"/>
      <c r="FQ6" s="468" t="s">
        <v>417</v>
      </c>
      <c r="FR6" s="468"/>
      <c r="FS6" s="468"/>
      <c r="FT6" s="468"/>
      <c r="FU6" s="468"/>
      <c r="FV6" s="470">
        <v>0</v>
      </c>
      <c r="FW6" s="470"/>
      <c r="FX6" s="471"/>
      <c r="FY6" s="472"/>
      <c r="FZ6" s="472" t="s">
        <v>425</v>
      </c>
      <c r="GA6" s="473">
        <v>0</v>
      </c>
      <c r="GB6" s="473"/>
      <c r="GC6" s="474"/>
      <c r="GD6" s="475" t="s">
        <v>426</v>
      </c>
      <c r="GE6" s="476">
        <v>0</v>
      </c>
      <c r="GF6" s="476"/>
      <c r="GG6" s="477"/>
      <c r="GH6" s="472"/>
      <c r="GI6" s="472"/>
      <c r="GJ6" s="483"/>
      <c r="GK6" s="484" t="s">
        <v>828</v>
      </c>
      <c r="GL6" s="484"/>
      <c r="GM6" s="484"/>
      <c r="GN6" s="485">
        <v>2</v>
      </c>
      <c r="GO6" s="486"/>
      <c r="GP6" s="486"/>
      <c r="GQ6" s="486"/>
      <c r="GR6" s="483"/>
      <c r="GS6" s="483"/>
      <c r="GT6" s="413"/>
      <c r="GU6" s="484" t="s">
        <v>522</v>
      </c>
      <c r="GV6" s="484"/>
      <c r="GW6" s="484"/>
      <c r="GX6" s="485">
        <v>2</v>
      </c>
      <c r="GY6" s="413"/>
      <c r="GZ6" s="413"/>
      <c r="HA6" s="486"/>
      <c r="HB6" s="486"/>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470</v>
      </c>
      <c r="GK8" s="528"/>
      <c r="GL8" s="529"/>
      <c r="GM8" s="530"/>
      <c r="GN8" s="529"/>
      <c r="GO8" s="530"/>
      <c r="GP8" s="529"/>
      <c r="GQ8" s="529"/>
      <c r="GR8" s="529"/>
      <c r="GS8" s="529"/>
      <c r="GT8" s="528" t="s">
        <v>470</v>
      </c>
      <c r="GU8" s="528"/>
      <c r="GV8" s="413"/>
      <c r="GW8" s="483"/>
      <c r="GX8" s="486"/>
      <c r="GY8" s="483"/>
      <c r="GZ8" s="486"/>
      <c r="HA8" s="530"/>
      <c r="HB8" s="530"/>
      <c r="HC8" s="530"/>
      <c r="HD8" s="437"/>
      <c r="HE8" s="437"/>
      <c r="HF8" s="1275"/>
      <c r="HG8" s="1275"/>
    </row>
    <row r="9" spans="1:353" ht="22.5" customHeight="1">
      <c r="A9" s="532" t="s">
        <v>289</v>
      </c>
      <c r="B9" s="533" t="s">
        <v>290</v>
      </c>
      <c r="C9" s="534" t="s">
        <v>291</v>
      </c>
      <c r="D9" s="534" t="s">
        <v>982</v>
      </c>
      <c r="E9" s="535" t="s">
        <v>983</v>
      </c>
      <c r="F9" s="536" t="s">
        <v>294</v>
      </c>
      <c r="G9" s="537" t="s">
        <v>984</v>
      </c>
      <c r="H9" s="538" t="s">
        <v>985</v>
      </c>
      <c r="I9" s="539" t="s">
        <v>297</v>
      </c>
      <c r="J9" s="538" t="s">
        <v>985</v>
      </c>
      <c r="K9" s="539" t="s">
        <v>297</v>
      </c>
      <c r="L9" s="538" t="s">
        <v>985</v>
      </c>
      <c r="M9" s="539" t="s">
        <v>297</v>
      </c>
      <c r="N9" s="538" t="s">
        <v>985</v>
      </c>
      <c r="O9" s="539" t="s">
        <v>297</v>
      </c>
      <c r="P9" s="538" t="s">
        <v>985</v>
      </c>
      <c r="Q9" s="539" t="s">
        <v>297</v>
      </c>
      <c r="R9" s="538" t="s">
        <v>985</v>
      </c>
      <c r="S9" s="539" t="s">
        <v>297</v>
      </c>
      <c r="T9" s="538" t="s">
        <v>985</v>
      </c>
      <c r="U9" s="539" t="s">
        <v>297</v>
      </c>
      <c r="V9" s="538" t="s">
        <v>985</v>
      </c>
      <c r="W9" s="539" t="s">
        <v>297</v>
      </c>
      <c r="X9" s="538" t="s">
        <v>985</v>
      </c>
      <c r="Y9" s="539" t="s">
        <v>297</v>
      </c>
      <c r="Z9" s="538" t="s">
        <v>985</v>
      </c>
      <c r="AA9" s="539" t="s">
        <v>297</v>
      </c>
      <c r="AB9" s="538" t="s">
        <v>985</v>
      </c>
      <c r="AC9" s="539" t="s">
        <v>297</v>
      </c>
      <c r="AD9" s="538" t="s">
        <v>985</v>
      </c>
      <c r="AE9" s="539" t="s">
        <v>297</v>
      </c>
      <c r="AF9" s="538" t="s">
        <v>985</v>
      </c>
      <c r="AG9" s="539" t="s">
        <v>297</v>
      </c>
      <c r="AH9" s="538" t="s">
        <v>985</v>
      </c>
      <c r="AI9" s="539" t="s">
        <v>297</v>
      </c>
      <c r="AJ9" s="538" t="s">
        <v>985</v>
      </c>
      <c r="AK9" s="539" t="s">
        <v>297</v>
      </c>
      <c r="AL9" s="538" t="s">
        <v>985</v>
      </c>
      <c r="AM9" s="539" t="s">
        <v>297</v>
      </c>
      <c r="AN9" s="538" t="s">
        <v>985</v>
      </c>
      <c r="AO9" s="539" t="s">
        <v>297</v>
      </c>
      <c r="AP9" s="538" t="s">
        <v>985</v>
      </c>
      <c r="AQ9" s="539" t="s">
        <v>297</v>
      </c>
      <c r="AR9" s="538" t="s">
        <v>985</v>
      </c>
      <c r="AS9" s="539" t="s">
        <v>297</v>
      </c>
      <c r="AT9" s="538" t="s">
        <v>985</v>
      </c>
      <c r="AU9" s="539" t="s">
        <v>297</v>
      </c>
      <c r="AV9" s="538" t="s">
        <v>985</v>
      </c>
      <c r="AW9" s="539" t="s">
        <v>297</v>
      </c>
      <c r="AX9" s="538" t="s">
        <v>985</v>
      </c>
      <c r="AY9" s="539" t="s">
        <v>297</v>
      </c>
      <c r="AZ9" s="538" t="s">
        <v>985</v>
      </c>
      <c r="BA9" s="539" t="s">
        <v>297</v>
      </c>
      <c r="BB9" s="540" t="s">
        <v>298</v>
      </c>
      <c r="BC9" s="503"/>
      <c r="BD9" s="532" t="s">
        <v>289</v>
      </c>
      <c r="BE9" s="533" t="s">
        <v>290</v>
      </c>
      <c r="BF9" s="534" t="s">
        <v>291</v>
      </c>
      <c r="BG9" s="534" t="s">
        <v>982</v>
      </c>
      <c r="BH9" s="535" t="s">
        <v>983</v>
      </c>
      <c r="BI9" s="536" t="s">
        <v>294</v>
      </c>
      <c r="BJ9" s="537" t="s">
        <v>984</v>
      </c>
      <c r="BK9" s="538" t="s">
        <v>985</v>
      </c>
      <c r="BL9" s="539" t="s">
        <v>297</v>
      </c>
      <c r="BM9" s="538" t="s">
        <v>985</v>
      </c>
      <c r="BN9" s="539" t="s">
        <v>297</v>
      </c>
      <c r="BO9" s="538" t="s">
        <v>985</v>
      </c>
      <c r="BP9" s="539" t="s">
        <v>297</v>
      </c>
      <c r="BQ9" s="538" t="s">
        <v>985</v>
      </c>
      <c r="BR9" s="539" t="s">
        <v>297</v>
      </c>
      <c r="BS9" s="538" t="s">
        <v>985</v>
      </c>
      <c r="BT9" s="539" t="s">
        <v>297</v>
      </c>
      <c r="BU9" s="538" t="s">
        <v>985</v>
      </c>
      <c r="BV9" s="539" t="s">
        <v>297</v>
      </c>
      <c r="BW9" s="538" t="s">
        <v>985</v>
      </c>
      <c r="BX9" s="539" t="s">
        <v>297</v>
      </c>
      <c r="BY9" s="538" t="s">
        <v>985</v>
      </c>
      <c r="BZ9" s="539" t="s">
        <v>297</v>
      </c>
      <c r="CA9" s="538" t="s">
        <v>985</v>
      </c>
      <c r="CB9" s="539" t="s">
        <v>297</v>
      </c>
      <c r="CC9" s="538" t="s">
        <v>985</v>
      </c>
      <c r="CD9" s="539" t="s">
        <v>297</v>
      </c>
      <c r="CE9" s="538" t="s">
        <v>985</v>
      </c>
      <c r="CF9" s="539" t="s">
        <v>297</v>
      </c>
      <c r="CG9" s="538" t="s">
        <v>985</v>
      </c>
      <c r="CH9" s="539" t="s">
        <v>297</v>
      </c>
      <c r="CI9" s="538" t="s">
        <v>985</v>
      </c>
      <c r="CJ9" s="539" t="s">
        <v>297</v>
      </c>
      <c r="CK9" s="538" t="s">
        <v>985</v>
      </c>
      <c r="CL9" s="539" t="s">
        <v>297</v>
      </c>
      <c r="CM9" s="538" t="s">
        <v>985</v>
      </c>
      <c r="CN9" s="539" t="s">
        <v>297</v>
      </c>
      <c r="CO9" s="538" t="s">
        <v>985</v>
      </c>
      <c r="CP9" s="539" t="s">
        <v>297</v>
      </c>
      <c r="CQ9" s="538" t="s">
        <v>985</v>
      </c>
      <c r="CR9" s="539" t="s">
        <v>297</v>
      </c>
      <c r="CS9" s="538" t="s">
        <v>985</v>
      </c>
      <c r="CT9" s="539" t="s">
        <v>297</v>
      </c>
      <c r="CU9" s="538" t="s">
        <v>985</v>
      </c>
      <c r="CV9" s="539" t="s">
        <v>297</v>
      </c>
      <c r="CW9" s="538" t="s">
        <v>985</v>
      </c>
      <c r="CX9" s="539" t="s">
        <v>297</v>
      </c>
      <c r="CY9" s="538" t="s">
        <v>985</v>
      </c>
      <c r="CZ9" s="539" t="s">
        <v>297</v>
      </c>
      <c r="DA9" s="538" t="s">
        <v>985</v>
      </c>
      <c r="DB9" s="539" t="s">
        <v>297</v>
      </c>
      <c r="DC9" s="538" t="s">
        <v>985</v>
      </c>
      <c r="DD9" s="539" t="s">
        <v>297</v>
      </c>
      <c r="DE9" s="540" t="s">
        <v>298</v>
      </c>
      <c r="DF9" s="503"/>
      <c r="DG9" s="532" t="s">
        <v>289</v>
      </c>
      <c r="DH9" s="533" t="s">
        <v>290</v>
      </c>
      <c r="DI9" s="534" t="s">
        <v>291</v>
      </c>
      <c r="DJ9" s="534" t="s">
        <v>982</v>
      </c>
      <c r="DK9" s="535" t="s">
        <v>983</v>
      </c>
      <c r="DL9" s="536" t="s">
        <v>294</v>
      </c>
      <c r="DM9" s="537" t="s">
        <v>984</v>
      </c>
      <c r="DN9" s="538" t="s">
        <v>985</v>
      </c>
      <c r="DO9" s="539" t="s">
        <v>297</v>
      </c>
      <c r="DP9" s="538" t="s">
        <v>985</v>
      </c>
      <c r="DQ9" s="539" t="s">
        <v>297</v>
      </c>
      <c r="DR9" s="538" t="s">
        <v>985</v>
      </c>
      <c r="DS9" s="539" t="s">
        <v>297</v>
      </c>
      <c r="DT9" s="538" t="s">
        <v>985</v>
      </c>
      <c r="DU9" s="539" t="s">
        <v>297</v>
      </c>
      <c r="DV9" s="538" t="s">
        <v>985</v>
      </c>
      <c r="DW9" s="539" t="s">
        <v>297</v>
      </c>
      <c r="DX9" s="538" t="s">
        <v>985</v>
      </c>
      <c r="DY9" s="539" t="s">
        <v>297</v>
      </c>
      <c r="DZ9" s="538" t="s">
        <v>985</v>
      </c>
      <c r="EA9" s="539" t="s">
        <v>297</v>
      </c>
      <c r="EB9" s="538" t="s">
        <v>985</v>
      </c>
      <c r="EC9" s="539" t="s">
        <v>297</v>
      </c>
      <c r="ED9" s="538" t="s">
        <v>985</v>
      </c>
      <c r="EE9" s="539" t="s">
        <v>297</v>
      </c>
      <c r="EF9" s="538" t="s">
        <v>985</v>
      </c>
      <c r="EG9" s="539" t="s">
        <v>297</v>
      </c>
      <c r="EH9" s="538" t="s">
        <v>985</v>
      </c>
      <c r="EI9" s="539" t="s">
        <v>297</v>
      </c>
      <c r="EJ9" s="538" t="s">
        <v>985</v>
      </c>
      <c r="EK9" s="539" t="s">
        <v>297</v>
      </c>
      <c r="EL9" s="538" t="s">
        <v>985</v>
      </c>
      <c r="EM9" s="539" t="s">
        <v>297</v>
      </c>
      <c r="EN9" s="538" t="s">
        <v>985</v>
      </c>
      <c r="EO9" s="539" t="s">
        <v>297</v>
      </c>
      <c r="EP9" s="538" t="s">
        <v>985</v>
      </c>
      <c r="EQ9" s="539" t="s">
        <v>297</v>
      </c>
      <c r="ER9" s="538" t="s">
        <v>985</v>
      </c>
      <c r="ES9" s="539" t="s">
        <v>297</v>
      </c>
      <c r="ET9" s="538" t="s">
        <v>985</v>
      </c>
      <c r="EU9" s="539" t="s">
        <v>297</v>
      </c>
      <c r="EV9" s="538" t="s">
        <v>985</v>
      </c>
      <c r="EW9" s="539" t="s">
        <v>297</v>
      </c>
      <c r="EX9" s="538" t="s">
        <v>985</v>
      </c>
      <c r="EY9" s="539" t="s">
        <v>297</v>
      </c>
      <c r="EZ9" s="538" t="s">
        <v>985</v>
      </c>
      <c r="FA9" s="539" t="s">
        <v>297</v>
      </c>
      <c r="FB9" s="538" t="s">
        <v>985</v>
      </c>
      <c r="FC9" s="539" t="s">
        <v>297</v>
      </c>
      <c r="FD9" s="538" t="s">
        <v>985</v>
      </c>
      <c r="FE9" s="539" t="s">
        <v>297</v>
      </c>
      <c r="FF9" s="538" t="s">
        <v>985</v>
      </c>
      <c r="FG9" s="539" t="s">
        <v>297</v>
      </c>
      <c r="FH9" s="540" t="s">
        <v>298</v>
      </c>
      <c r="FI9" s="541"/>
      <c r="FJ9" s="542" t="s">
        <v>289</v>
      </c>
      <c r="FK9" s="533" t="s">
        <v>290</v>
      </c>
      <c r="FL9" s="534" t="s">
        <v>291</v>
      </c>
      <c r="FM9" s="534" t="s">
        <v>982</v>
      </c>
      <c r="FN9" s="535" t="s">
        <v>983</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523</v>
      </c>
      <c r="GL9" s="529"/>
      <c r="GM9" s="530"/>
      <c r="GN9" s="529"/>
      <c r="GO9" s="549">
        <v>0.92</v>
      </c>
      <c r="GP9" s="529"/>
      <c r="GQ9" s="529"/>
      <c r="GR9" s="529"/>
      <c r="GS9" s="529"/>
      <c r="GT9" s="550"/>
      <c r="GU9" s="483" t="s">
        <v>524</v>
      </c>
      <c r="GV9" s="413"/>
      <c r="GW9" s="483"/>
      <c r="GX9" s="551">
        <v>1</v>
      </c>
      <c r="GY9" s="483"/>
      <c r="GZ9" s="486"/>
      <c r="HA9" s="530"/>
      <c r="HB9" s="530"/>
      <c r="HC9" s="530"/>
      <c r="HD9" s="437"/>
      <c r="HE9" s="437"/>
      <c r="HF9" s="1279"/>
      <c r="HG9" s="1279"/>
    </row>
    <row r="10" spans="1:353" ht="20.100000000000001" customHeight="1">
      <c r="A10" s="552"/>
      <c r="B10" s="553"/>
      <c r="C10" s="554"/>
      <c r="D10" s="555"/>
      <c r="E10" s="553"/>
      <c r="F10" s="554"/>
      <c r="G10" s="556"/>
      <c r="H10" s="557"/>
      <c r="I10" s="558"/>
      <c r="J10" s="559"/>
      <c r="K10" s="560"/>
      <c r="L10" s="559"/>
      <c r="M10" s="560"/>
      <c r="N10" s="559"/>
      <c r="O10" s="560"/>
      <c r="P10" s="559"/>
      <c r="Q10" s="560"/>
      <c r="R10" s="559"/>
      <c r="S10" s="560"/>
      <c r="T10" s="559"/>
      <c r="U10" s="560"/>
      <c r="V10" s="559"/>
      <c r="W10" s="560"/>
      <c r="X10" s="559"/>
      <c r="Y10" s="560"/>
      <c r="Z10" s="559"/>
      <c r="AA10" s="560"/>
      <c r="AB10" s="559"/>
      <c r="AC10" s="560"/>
      <c r="AD10" s="559"/>
      <c r="AE10" s="560"/>
      <c r="AF10" s="559"/>
      <c r="AG10" s="560"/>
      <c r="AH10" s="559"/>
      <c r="AI10" s="560"/>
      <c r="AJ10" s="559"/>
      <c r="AK10" s="560"/>
      <c r="AL10" s="559"/>
      <c r="AM10" s="560"/>
      <c r="AN10" s="559"/>
      <c r="AO10" s="560"/>
      <c r="AP10" s="559"/>
      <c r="AQ10" s="560"/>
      <c r="AR10" s="559"/>
      <c r="AS10" s="560"/>
      <c r="AT10" s="559"/>
      <c r="AU10" s="560"/>
      <c r="AV10" s="559"/>
      <c r="AW10" s="560"/>
      <c r="AX10" s="559"/>
      <c r="AY10" s="560"/>
      <c r="AZ10" s="559"/>
      <c r="BA10" s="560"/>
      <c r="BB10" s="561"/>
      <c r="BC10" s="562"/>
      <c r="BD10" s="552"/>
      <c r="BE10" s="553"/>
      <c r="BF10" s="554"/>
      <c r="BG10" s="555"/>
      <c r="BH10" s="553"/>
      <c r="BI10" s="554"/>
      <c r="BJ10" s="556"/>
      <c r="BK10" s="557"/>
      <c r="BL10" s="558"/>
      <c r="BM10" s="559"/>
      <c r="BN10" s="560"/>
      <c r="BO10" s="559"/>
      <c r="BP10" s="560"/>
      <c r="BQ10" s="559"/>
      <c r="BR10" s="560"/>
      <c r="BS10" s="559"/>
      <c r="BT10" s="560"/>
      <c r="BU10" s="559"/>
      <c r="BV10" s="560"/>
      <c r="BW10" s="559"/>
      <c r="BX10" s="560"/>
      <c r="BY10" s="559"/>
      <c r="BZ10" s="560"/>
      <c r="CA10" s="559"/>
      <c r="CB10" s="560"/>
      <c r="CC10" s="559"/>
      <c r="CD10" s="560"/>
      <c r="CE10" s="559"/>
      <c r="CF10" s="560"/>
      <c r="CG10" s="559"/>
      <c r="CH10" s="560"/>
      <c r="CI10" s="559"/>
      <c r="CJ10" s="560"/>
      <c r="CK10" s="559"/>
      <c r="CL10" s="560"/>
      <c r="CM10" s="559"/>
      <c r="CN10" s="560"/>
      <c r="CO10" s="559"/>
      <c r="CP10" s="560"/>
      <c r="CQ10" s="559"/>
      <c r="CR10" s="560"/>
      <c r="CS10" s="559"/>
      <c r="CT10" s="560"/>
      <c r="CU10" s="559"/>
      <c r="CV10" s="560"/>
      <c r="CW10" s="559"/>
      <c r="CX10" s="560"/>
      <c r="CY10" s="559"/>
      <c r="CZ10" s="560"/>
      <c r="DA10" s="559"/>
      <c r="DB10" s="560"/>
      <c r="DC10" s="559"/>
      <c r="DD10" s="560"/>
      <c r="DE10" s="561"/>
      <c r="DF10" s="562"/>
      <c r="DG10" s="552"/>
      <c r="DH10" s="553"/>
      <c r="DI10" s="554"/>
      <c r="DJ10" s="555"/>
      <c r="DK10" s="553"/>
      <c r="DL10" s="554"/>
      <c r="DM10" s="556"/>
      <c r="DN10" s="557"/>
      <c r="DO10" s="558"/>
      <c r="DP10" s="559"/>
      <c r="DQ10" s="560"/>
      <c r="DR10" s="559"/>
      <c r="DS10" s="560"/>
      <c r="DT10" s="559"/>
      <c r="DU10" s="560"/>
      <c r="DV10" s="559"/>
      <c r="DW10" s="560"/>
      <c r="DX10" s="559"/>
      <c r="DY10" s="560"/>
      <c r="DZ10" s="559"/>
      <c r="EA10" s="560"/>
      <c r="EB10" s="559"/>
      <c r="EC10" s="560"/>
      <c r="ED10" s="559"/>
      <c r="EE10" s="560"/>
      <c r="EF10" s="559"/>
      <c r="EG10" s="560"/>
      <c r="EH10" s="559"/>
      <c r="EI10" s="560"/>
      <c r="EJ10" s="559"/>
      <c r="EK10" s="560"/>
      <c r="EL10" s="559"/>
      <c r="EM10" s="560"/>
      <c r="EN10" s="559"/>
      <c r="EO10" s="560"/>
      <c r="EP10" s="559"/>
      <c r="EQ10" s="560"/>
      <c r="ER10" s="559"/>
      <c r="ES10" s="560"/>
      <c r="ET10" s="559"/>
      <c r="EU10" s="560"/>
      <c r="EV10" s="559"/>
      <c r="EW10" s="560"/>
      <c r="EX10" s="559"/>
      <c r="EY10" s="560"/>
      <c r="EZ10" s="559"/>
      <c r="FA10" s="560"/>
      <c r="FB10" s="559"/>
      <c r="FC10" s="560"/>
      <c r="FD10" s="559"/>
      <c r="FE10" s="560"/>
      <c r="FF10" s="559"/>
      <c r="FG10" s="560"/>
      <c r="FH10" s="561"/>
      <c r="FI10" s="563"/>
      <c r="FJ10" s="564"/>
      <c r="FK10" s="553"/>
      <c r="FL10" s="554"/>
      <c r="FM10" s="555"/>
      <c r="FN10" s="553"/>
      <c r="FO10" s="554"/>
      <c r="FP10" s="565"/>
      <c r="FQ10" s="558"/>
      <c r="FR10" s="557" t="s">
        <v>986</v>
      </c>
      <c r="FS10" s="566"/>
      <c r="FT10" s="558"/>
      <c r="FU10" s="567" t="s">
        <v>629</v>
      </c>
      <c r="FV10" s="568" t="s">
        <v>301</v>
      </c>
      <c r="FW10" s="1299"/>
      <c r="FX10" s="1281" t="s">
        <v>302</v>
      </c>
      <c r="FY10" s="1300"/>
      <c r="FZ10" s="1283" t="s">
        <v>303</v>
      </c>
      <c r="GA10" s="1301"/>
      <c r="GB10" s="1285" t="s">
        <v>994</v>
      </c>
      <c r="GC10" s="1302"/>
      <c r="GD10" s="576" t="s">
        <v>995</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986</v>
      </c>
      <c r="FS11" s="591"/>
      <c r="FT11" s="586"/>
      <c r="FU11" s="592" t="s">
        <v>986</v>
      </c>
      <c r="FV11" s="593"/>
      <c r="FW11" s="594"/>
      <c r="FX11" s="595"/>
      <c r="FY11" s="596"/>
      <c r="FZ11" s="597"/>
      <c r="GA11" s="598"/>
      <c r="GB11" s="599"/>
      <c r="GC11" s="600"/>
      <c r="GD11" s="599"/>
      <c r="GE11" s="601"/>
      <c r="GF11" s="499"/>
      <c r="GG11" s="602"/>
      <c r="GH11" s="602"/>
      <c r="GI11" s="602"/>
      <c r="GJ11" s="529"/>
      <c r="GK11" s="580" t="s">
        <v>525</v>
      </c>
      <c r="GL11" s="413"/>
      <c r="GM11" s="483"/>
      <c r="GN11" s="486"/>
      <c r="GO11" s="483"/>
      <c r="GP11" s="413"/>
      <c r="GQ11" s="529"/>
      <c r="GR11" s="529"/>
      <c r="GS11" s="529"/>
      <c r="GT11" s="548"/>
      <c r="GU11" s="580" t="s">
        <v>830</v>
      </c>
      <c r="GV11" s="413"/>
      <c r="GW11" s="483"/>
      <c r="GX11" s="486"/>
      <c r="GY11" s="483"/>
      <c r="GZ11" s="413"/>
      <c r="HA11" s="530"/>
      <c r="HB11" s="530"/>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986</v>
      </c>
      <c r="FS12" s="591"/>
      <c r="FT12" s="586"/>
      <c r="FU12" s="592" t="s">
        <v>629</v>
      </c>
      <c r="FV12" s="593"/>
      <c r="FW12" s="594"/>
      <c r="FX12" s="595"/>
      <c r="FY12" s="596"/>
      <c r="FZ12" s="597"/>
      <c r="GA12" s="598"/>
      <c r="GB12" s="599"/>
      <c r="GC12" s="600"/>
      <c r="GD12" s="599"/>
      <c r="GE12" s="601"/>
      <c r="GF12" s="499"/>
      <c r="GG12" s="602"/>
      <c r="GH12" s="602"/>
      <c r="GI12" s="602"/>
      <c r="GJ12" s="413"/>
      <c r="GK12" s="603" t="s">
        <v>380</v>
      </c>
      <c r="GL12" s="604"/>
      <c r="GM12" s="605" t="s">
        <v>527</v>
      </c>
      <c r="GN12" s="606" t="s">
        <v>528</v>
      </c>
      <c r="GO12" s="607" t="s">
        <v>529</v>
      </c>
      <c r="GP12" s="608" t="s">
        <v>530</v>
      </c>
      <c r="GQ12" s="607" t="s">
        <v>531</v>
      </c>
      <c r="GR12" s="607" t="s">
        <v>532</v>
      </c>
      <c r="GS12" s="609"/>
      <c r="GT12" s="548"/>
      <c r="GU12" s="603" t="s">
        <v>380</v>
      </c>
      <c r="GV12" s="604"/>
      <c r="GW12" s="605" t="s">
        <v>527</v>
      </c>
      <c r="GX12" s="610" t="s">
        <v>534</v>
      </c>
      <c r="GY12" s="611"/>
      <c r="GZ12" s="612" t="s">
        <v>529</v>
      </c>
      <c r="HA12" s="613" t="s">
        <v>535</v>
      </c>
      <c r="HB12" s="614"/>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986</v>
      </c>
      <c r="FS13" s="626"/>
      <c r="FT13" s="621"/>
      <c r="FU13" s="627" t="s">
        <v>986</v>
      </c>
      <c r="FV13" s="593"/>
      <c r="FW13" s="594"/>
      <c r="FX13" s="595"/>
      <c r="FY13" s="596"/>
      <c r="FZ13" s="597"/>
      <c r="GA13" s="598"/>
      <c r="GB13" s="599"/>
      <c r="GC13" s="600"/>
      <c r="GD13" s="599"/>
      <c r="GE13" s="601"/>
      <c r="GF13" s="499"/>
      <c r="GG13" s="602"/>
      <c r="GH13" s="602"/>
      <c r="GI13" s="602"/>
      <c r="GJ13" s="413"/>
      <c r="GK13" s="628"/>
      <c r="GL13" s="629"/>
      <c r="GM13" s="630"/>
      <c r="GN13" s="631"/>
      <c r="GO13" s="632"/>
      <c r="GP13" s="632"/>
      <c r="GQ13" s="633">
        <v>0</v>
      </c>
      <c r="GR13" s="634">
        <v>0</v>
      </c>
      <c r="GS13" s="578"/>
      <c r="GT13" s="413"/>
      <c r="GU13" s="628"/>
      <c r="GV13" s="629"/>
      <c r="GW13" s="635"/>
      <c r="GX13" s="636"/>
      <c r="GY13" s="637"/>
      <c r="GZ13" s="638"/>
      <c r="HA13" s="639">
        <v>0</v>
      </c>
      <c r="HB13" s="640"/>
      <c r="HC13" s="530"/>
      <c r="HD13" s="799"/>
      <c r="HE13" s="437"/>
      <c r="HF13" s="386"/>
      <c r="HG13" s="386"/>
    </row>
    <row r="14" spans="1:353" ht="20.100000000000001" customHeight="1">
      <c r="A14" s="641"/>
      <c r="B14" s="642"/>
      <c r="C14" s="642"/>
      <c r="D14" s="643" t="s">
        <v>306</v>
      </c>
      <c r="E14" s="642"/>
      <c r="F14" s="642"/>
      <c r="G14" s="644"/>
      <c r="H14" s="645">
        <f>SUM(H10:H13)</f>
        <v>0</v>
      </c>
      <c r="I14" s="735"/>
      <c r="J14" s="645">
        <f>SUM(J10:J13)</f>
        <v>0</v>
      </c>
      <c r="K14" s="735"/>
      <c r="L14" s="645">
        <f>SUM(L10:L13)</f>
        <v>0</v>
      </c>
      <c r="M14" s="735"/>
      <c r="N14" s="645">
        <f>SUM(N10:N13)</f>
        <v>0</v>
      </c>
      <c r="O14" s="735"/>
      <c r="P14" s="645">
        <f>SUM(P10:P13)</f>
        <v>0</v>
      </c>
      <c r="Q14" s="735"/>
      <c r="R14" s="645">
        <f>SUM(R10:R13)</f>
        <v>0</v>
      </c>
      <c r="S14" s="735"/>
      <c r="T14" s="645">
        <f>SUM(T10:T13)</f>
        <v>0</v>
      </c>
      <c r="U14" s="735"/>
      <c r="V14" s="645">
        <f>SUM(V10:V13)</f>
        <v>0</v>
      </c>
      <c r="W14" s="735"/>
      <c r="X14" s="645">
        <f>SUM(X10:X13)</f>
        <v>0</v>
      </c>
      <c r="Y14" s="735"/>
      <c r="Z14" s="645">
        <f>SUM(Z10:Z13)</f>
        <v>0</v>
      </c>
      <c r="AA14" s="735"/>
      <c r="AB14" s="645">
        <f>SUM(AB10:AB13)</f>
        <v>0</v>
      </c>
      <c r="AC14" s="735"/>
      <c r="AD14" s="645">
        <f>SUM(AD10:AD13)</f>
        <v>0</v>
      </c>
      <c r="AE14" s="735"/>
      <c r="AF14" s="645">
        <f>SUM(AF10:AF13)</f>
        <v>0</v>
      </c>
      <c r="AG14" s="735"/>
      <c r="AH14" s="645">
        <f>SUM(AH10:AH13)</f>
        <v>0</v>
      </c>
      <c r="AI14" s="735"/>
      <c r="AJ14" s="645">
        <f>SUM(AJ10:AJ13)</f>
        <v>0</v>
      </c>
      <c r="AK14" s="735"/>
      <c r="AL14" s="645">
        <f>SUM(AL10:AL13)</f>
        <v>0</v>
      </c>
      <c r="AM14" s="735"/>
      <c r="AN14" s="645">
        <f>SUM(AN10:AN13)</f>
        <v>0</v>
      </c>
      <c r="AO14" s="735"/>
      <c r="AP14" s="645">
        <f>SUM(AP10:AP13)</f>
        <v>0</v>
      </c>
      <c r="AQ14" s="735"/>
      <c r="AR14" s="645">
        <f>SUM(AR10:AR13)</f>
        <v>0</v>
      </c>
      <c r="AS14" s="735"/>
      <c r="AT14" s="645">
        <f>SUM(AT10:AT13)</f>
        <v>0</v>
      </c>
      <c r="AU14" s="735"/>
      <c r="AV14" s="645">
        <f>SUM(AV10:AV13)</f>
        <v>0</v>
      </c>
      <c r="AW14" s="735"/>
      <c r="AX14" s="645">
        <f>SUM(AX10:AX13)</f>
        <v>0</v>
      </c>
      <c r="AY14" s="735"/>
      <c r="AZ14" s="645">
        <f>SUM(AZ10:AZ13)</f>
        <v>0</v>
      </c>
      <c r="BA14" s="735"/>
      <c r="BB14" s="647">
        <f>SUM(BB10:BB13)</f>
        <v>0</v>
      </c>
      <c r="BC14" s="648"/>
      <c r="BD14" s="641"/>
      <c r="BE14" s="642"/>
      <c r="BF14" s="642"/>
      <c r="BG14" s="643" t="s">
        <v>987</v>
      </c>
      <c r="BH14" s="642"/>
      <c r="BI14" s="642"/>
      <c r="BJ14" s="644"/>
      <c r="BK14" s="645">
        <f>SUM(BK10:BK13)</f>
        <v>0</v>
      </c>
      <c r="BL14" s="735"/>
      <c r="BM14" s="645">
        <f>SUM(BM10:BM13)</f>
        <v>0</v>
      </c>
      <c r="BN14" s="735"/>
      <c r="BO14" s="645">
        <f>SUM(BO10:BO13)</f>
        <v>0</v>
      </c>
      <c r="BP14" s="735"/>
      <c r="BQ14" s="645">
        <f>SUM(BQ10:BQ13)</f>
        <v>0</v>
      </c>
      <c r="BR14" s="735"/>
      <c r="BS14" s="645">
        <f>SUM(BS10:BS13)</f>
        <v>0</v>
      </c>
      <c r="BT14" s="735"/>
      <c r="BU14" s="645">
        <f>SUM(BU10:BU13)</f>
        <v>0</v>
      </c>
      <c r="BV14" s="735"/>
      <c r="BW14" s="645">
        <f>SUM(BW10:BW13)</f>
        <v>0</v>
      </c>
      <c r="BX14" s="735"/>
      <c r="BY14" s="645">
        <f>SUM(BY10:BY13)</f>
        <v>0</v>
      </c>
      <c r="BZ14" s="735"/>
      <c r="CA14" s="645">
        <f>SUM(CA10:CA13)</f>
        <v>0</v>
      </c>
      <c r="CB14" s="735"/>
      <c r="CC14" s="645">
        <f>SUM(CC10:CC13)</f>
        <v>0</v>
      </c>
      <c r="CD14" s="735"/>
      <c r="CE14" s="645">
        <f>SUM(CE10:CE13)</f>
        <v>0</v>
      </c>
      <c r="CF14" s="735"/>
      <c r="CG14" s="645">
        <f>SUM(CG10:CG13)</f>
        <v>0</v>
      </c>
      <c r="CH14" s="735"/>
      <c r="CI14" s="645">
        <f>SUM(CI10:CI13)</f>
        <v>0</v>
      </c>
      <c r="CJ14" s="735"/>
      <c r="CK14" s="645">
        <f>SUM(CK10:CK13)</f>
        <v>0</v>
      </c>
      <c r="CL14" s="735"/>
      <c r="CM14" s="645">
        <f>SUM(CM10:CM13)</f>
        <v>0</v>
      </c>
      <c r="CN14" s="735"/>
      <c r="CO14" s="645">
        <f>SUM(CO10:CO13)</f>
        <v>0</v>
      </c>
      <c r="CP14" s="735"/>
      <c r="CQ14" s="645">
        <f>SUM(CQ10:CQ13)</f>
        <v>0</v>
      </c>
      <c r="CR14" s="735"/>
      <c r="CS14" s="645">
        <f>SUM(CS10:CS13)</f>
        <v>0</v>
      </c>
      <c r="CT14" s="735"/>
      <c r="CU14" s="645">
        <f>SUM(CU10:CU13)</f>
        <v>0</v>
      </c>
      <c r="CV14" s="735"/>
      <c r="CW14" s="645">
        <f>SUM(CW10:CW13)</f>
        <v>0</v>
      </c>
      <c r="CX14" s="735"/>
      <c r="CY14" s="645">
        <f>SUM(CY10:CY13)</f>
        <v>0</v>
      </c>
      <c r="CZ14" s="735"/>
      <c r="DA14" s="645">
        <f>SUM(DA10:DA13)</f>
        <v>0</v>
      </c>
      <c r="DB14" s="735"/>
      <c r="DC14" s="645">
        <f>SUM(DC10:DC13)</f>
        <v>0</v>
      </c>
      <c r="DD14" s="735"/>
      <c r="DE14" s="647">
        <f>SUM(DE10:DE13)</f>
        <v>0</v>
      </c>
      <c r="DF14" s="648"/>
      <c r="DG14" s="641"/>
      <c r="DH14" s="642"/>
      <c r="DI14" s="642"/>
      <c r="DJ14" s="643" t="s">
        <v>306</v>
      </c>
      <c r="DK14" s="642"/>
      <c r="DL14" s="642"/>
      <c r="DM14" s="644"/>
      <c r="DN14" s="645">
        <f>SUM(DN10:DN13)</f>
        <v>0</v>
      </c>
      <c r="DO14" s="735"/>
      <c r="DP14" s="645">
        <f>SUM(DP10:DP13)</f>
        <v>0</v>
      </c>
      <c r="DQ14" s="735"/>
      <c r="DR14" s="645">
        <f>SUM(DR10:DR13)</f>
        <v>0</v>
      </c>
      <c r="DS14" s="735"/>
      <c r="DT14" s="645">
        <f>SUM(DT10:DT13)</f>
        <v>0</v>
      </c>
      <c r="DU14" s="735"/>
      <c r="DV14" s="645">
        <f>SUM(DV10:DV13)</f>
        <v>0</v>
      </c>
      <c r="DW14" s="735"/>
      <c r="DX14" s="645">
        <f>SUM(DX10:DX13)</f>
        <v>0</v>
      </c>
      <c r="DY14" s="735"/>
      <c r="DZ14" s="645">
        <f>SUM(DZ10:DZ13)</f>
        <v>0</v>
      </c>
      <c r="EA14" s="735"/>
      <c r="EB14" s="645">
        <f>SUM(EB10:EB13)</f>
        <v>0</v>
      </c>
      <c r="EC14" s="735"/>
      <c r="ED14" s="645">
        <f>SUM(ED10:ED13)</f>
        <v>0</v>
      </c>
      <c r="EE14" s="735"/>
      <c r="EF14" s="645">
        <f>SUM(EF10:EF13)</f>
        <v>0</v>
      </c>
      <c r="EG14" s="735"/>
      <c r="EH14" s="645">
        <f>SUM(EH10:EH13)</f>
        <v>0</v>
      </c>
      <c r="EI14" s="735"/>
      <c r="EJ14" s="645">
        <f>SUM(EJ10:EJ13)</f>
        <v>0</v>
      </c>
      <c r="EK14" s="735"/>
      <c r="EL14" s="645">
        <f>SUM(EL10:EL13)</f>
        <v>0</v>
      </c>
      <c r="EM14" s="735"/>
      <c r="EN14" s="645">
        <f>SUM(EN10:EN13)</f>
        <v>0</v>
      </c>
      <c r="EO14" s="735"/>
      <c r="EP14" s="645">
        <f>SUM(EP10:EP13)</f>
        <v>0</v>
      </c>
      <c r="EQ14" s="735"/>
      <c r="ER14" s="645">
        <f>SUM(ER10:ER13)</f>
        <v>0</v>
      </c>
      <c r="ES14" s="735"/>
      <c r="ET14" s="645">
        <f>SUM(ET10:ET13)</f>
        <v>0</v>
      </c>
      <c r="EU14" s="735"/>
      <c r="EV14" s="645">
        <f>SUM(EV10:EV13)</f>
        <v>0</v>
      </c>
      <c r="EW14" s="735"/>
      <c r="EX14" s="645">
        <f>SUM(EX10:EX13)</f>
        <v>0</v>
      </c>
      <c r="EY14" s="735"/>
      <c r="EZ14" s="645">
        <f>SUM(EZ10:EZ13)</f>
        <v>0</v>
      </c>
      <c r="FA14" s="735"/>
      <c r="FB14" s="645">
        <f>SUM(FB10:FB13)</f>
        <v>0</v>
      </c>
      <c r="FC14" s="735"/>
      <c r="FD14" s="645">
        <f>SUM(FD10:FD13)</f>
        <v>0</v>
      </c>
      <c r="FE14" s="735"/>
      <c r="FF14" s="645">
        <f>SUM(FF10:FF13)</f>
        <v>0</v>
      </c>
      <c r="FG14" s="735"/>
      <c r="FH14" s="647">
        <f>SUM(FH10:FH13)</f>
        <v>0</v>
      </c>
      <c r="FI14" s="649"/>
      <c r="FJ14" s="564"/>
      <c r="FK14" s="642"/>
      <c r="FL14" s="642"/>
      <c r="FM14" s="643" t="s">
        <v>987</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c r="GV14" s="629"/>
      <c r="GW14" s="635"/>
      <c r="GX14" s="636"/>
      <c r="GY14" s="637"/>
      <c r="GZ14" s="638"/>
      <c r="HA14" s="639">
        <v>0</v>
      </c>
      <c r="HB14" s="640"/>
      <c r="HC14" s="530"/>
      <c r="HD14" s="1278"/>
      <c r="HE14" s="415"/>
      <c r="HF14" s="415"/>
      <c r="HG14" s="415"/>
    </row>
    <row r="15" spans="1:353" ht="24" customHeight="1">
      <c r="A15" s="532" t="s">
        <v>307</v>
      </c>
      <c r="B15" s="658" t="s">
        <v>290</v>
      </c>
      <c r="C15" s="659" t="s">
        <v>291</v>
      </c>
      <c r="D15" s="660" t="s">
        <v>639</v>
      </c>
      <c r="E15" s="660" t="s">
        <v>309</v>
      </c>
      <c r="F15" s="661" t="s">
        <v>310</v>
      </c>
      <c r="G15" s="662" t="s">
        <v>634</v>
      </c>
      <c r="H15" s="663" t="s">
        <v>635</v>
      </c>
      <c r="I15" s="664" t="s">
        <v>313</v>
      </c>
      <c r="J15" s="663" t="s">
        <v>988</v>
      </c>
      <c r="K15" s="664" t="s">
        <v>313</v>
      </c>
      <c r="L15" s="663" t="s">
        <v>988</v>
      </c>
      <c r="M15" s="664" t="s">
        <v>313</v>
      </c>
      <c r="N15" s="663" t="s">
        <v>988</v>
      </c>
      <c r="O15" s="664" t="s">
        <v>313</v>
      </c>
      <c r="P15" s="663" t="s">
        <v>635</v>
      </c>
      <c r="Q15" s="664" t="s">
        <v>313</v>
      </c>
      <c r="R15" s="663" t="s">
        <v>988</v>
      </c>
      <c r="S15" s="664" t="s">
        <v>313</v>
      </c>
      <c r="T15" s="663" t="s">
        <v>988</v>
      </c>
      <c r="U15" s="664" t="s">
        <v>313</v>
      </c>
      <c r="V15" s="663" t="s">
        <v>637</v>
      </c>
      <c r="W15" s="664" t="s">
        <v>313</v>
      </c>
      <c r="X15" s="663" t="s">
        <v>988</v>
      </c>
      <c r="Y15" s="664" t="s">
        <v>313</v>
      </c>
      <c r="Z15" s="663" t="s">
        <v>635</v>
      </c>
      <c r="AA15" s="664" t="s">
        <v>313</v>
      </c>
      <c r="AB15" s="663" t="s">
        <v>635</v>
      </c>
      <c r="AC15" s="664" t="s">
        <v>313</v>
      </c>
      <c r="AD15" s="663" t="s">
        <v>635</v>
      </c>
      <c r="AE15" s="664" t="s">
        <v>313</v>
      </c>
      <c r="AF15" s="663" t="s">
        <v>635</v>
      </c>
      <c r="AG15" s="664" t="s">
        <v>313</v>
      </c>
      <c r="AH15" s="663" t="s">
        <v>637</v>
      </c>
      <c r="AI15" s="664" t="s">
        <v>313</v>
      </c>
      <c r="AJ15" s="663" t="s">
        <v>635</v>
      </c>
      <c r="AK15" s="664" t="s">
        <v>313</v>
      </c>
      <c r="AL15" s="663" t="s">
        <v>988</v>
      </c>
      <c r="AM15" s="664" t="s">
        <v>313</v>
      </c>
      <c r="AN15" s="663" t="s">
        <v>637</v>
      </c>
      <c r="AO15" s="664" t="s">
        <v>313</v>
      </c>
      <c r="AP15" s="663" t="s">
        <v>988</v>
      </c>
      <c r="AQ15" s="664" t="s">
        <v>313</v>
      </c>
      <c r="AR15" s="663" t="s">
        <v>637</v>
      </c>
      <c r="AS15" s="664" t="s">
        <v>313</v>
      </c>
      <c r="AT15" s="663" t="s">
        <v>635</v>
      </c>
      <c r="AU15" s="664" t="s">
        <v>313</v>
      </c>
      <c r="AV15" s="663" t="s">
        <v>988</v>
      </c>
      <c r="AW15" s="664" t="s">
        <v>313</v>
      </c>
      <c r="AX15" s="663" t="s">
        <v>635</v>
      </c>
      <c r="AY15" s="664" t="s">
        <v>313</v>
      </c>
      <c r="AZ15" s="663" t="s">
        <v>635</v>
      </c>
      <c r="BA15" s="664" t="s">
        <v>313</v>
      </c>
      <c r="BB15" s="665" t="s">
        <v>316</v>
      </c>
      <c r="BC15" s="666"/>
      <c r="BD15" s="532" t="s">
        <v>307</v>
      </c>
      <c r="BE15" s="658" t="s">
        <v>290</v>
      </c>
      <c r="BF15" s="659" t="s">
        <v>291</v>
      </c>
      <c r="BG15" s="660" t="s">
        <v>633</v>
      </c>
      <c r="BH15" s="660" t="s">
        <v>309</v>
      </c>
      <c r="BI15" s="661" t="s">
        <v>310</v>
      </c>
      <c r="BJ15" s="662" t="s">
        <v>989</v>
      </c>
      <c r="BK15" s="663" t="s">
        <v>988</v>
      </c>
      <c r="BL15" s="664" t="s">
        <v>313</v>
      </c>
      <c r="BM15" s="663" t="s">
        <v>635</v>
      </c>
      <c r="BN15" s="664" t="s">
        <v>313</v>
      </c>
      <c r="BO15" s="663" t="s">
        <v>988</v>
      </c>
      <c r="BP15" s="664" t="s">
        <v>313</v>
      </c>
      <c r="BQ15" s="663" t="s">
        <v>635</v>
      </c>
      <c r="BR15" s="664" t="s">
        <v>313</v>
      </c>
      <c r="BS15" s="663" t="s">
        <v>988</v>
      </c>
      <c r="BT15" s="664" t="s">
        <v>313</v>
      </c>
      <c r="BU15" s="663" t="s">
        <v>988</v>
      </c>
      <c r="BV15" s="664" t="s">
        <v>313</v>
      </c>
      <c r="BW15" s="663" t="s">
        <v>988</v>
      </c>
      <c r="BX15" s="664" t="s">
        <v>313</v>
      </c>
      <c r="BY15" s="663" t="s">
        <v>988</v>
      </c>
      <c r="BZ15" s="664" t="s">
        <v>313</v>
      </c>
      <c r="CA15" s="663" t="s">
        <v>988</v>
      </c>
      <c r="CB15" s="664" t="s">
        <v>313</v>
      </c>
      <c r="CC15" s="663" t="s">
        <v>635</v>
      </c>
      <c r="CD15" s="664" t="s">
        <v>313</v>
      </c>
      <c r="CE15" s="663" t="s">
        <v>637</v>
      </c>
      <c r="CF15" s="664" t="s">
        <v>313</v>
      </c>
      <c r="CG15" s="663" t="s">
        <v>637</v>
      </c>
      <c r="CH15" s="664" t="s">
        <v>313</v>
      </c>
      <c r="CI15" s="663" t="s">
        <v>635</v>
      </c>
      <c r="CJ15" s="664" t="s">
        <v>313</v>
      </c>
      <c r="CK15" s="663" t="s">
        <v>988</v>
      </c>
      <c r="CL15" s="664" t="s">
        <v>313</v>
      </c>
      <c r="CM15" s="663" t="s">
        <v>635</v>
      </c>
      <c r="CN15" s="664" t="s">
        <v>313</v>
      </c>
      <c r="CO15" s="663" t="s">
        <v>635</v>
      </c>
      <c r="CP15" s="664" t="s">
        <v>313</v>
      </c>
      <c r="CQ15" s="663" t="s">
        <v>637</v>
      </c>
      <c r="CR15" s="664" t="s">
        <v>313</v>
      </c>
      <c r="CS15" s="663" t="s">
        <v>988</v>
      </c>
      <c r="CT15" s="664" t="s">
        <v>313</v>
      </c>
      <c r="CU15" s="663" t="s">
        <v>988</v>
      </c>
      <c r="CV15" s="664" t="s">
        <v>313</v>
      </c>
      <c r="CW15" s="663" t="s">
        <v>637</v>
      </c>
      <c r="CX15" s="664" t="s">
        <v>313</v>
      </c>
      <c r="CY15" s="663" t="s">
        <v>988</v>
      </c>
      <c r="CZ15" s="664" t="s">
        <v>313</v>
      </c>
      <c r="DA15" s="663" t="s">
        <v>988</v>
      </c>
      <c r="DB15" s="664" t="s">
        <v>313</v>
      </c>
      <c r="DC15" s="663" t="s">
        <v>988</v>
      </c>
      <c r="DD15" s="664" t="s">
        <v>313</v>
      </c>
      <c r="DE15" s="665" t="s">
        <v>316</v>
      </c>
      <c r="DF15" s="666"/>
      <c r="DG15" s="532" t="s">
        <v>307</v>
      </c>
      <c r="DH15" s="667" t="s">
        <v>290</v>
      </c>
      <c r="DI15" s="668" t="s">
        <v>291</v>
      </c>
      <c r="DJ15" s="669" t="s">
        <v>982</v>
      </c>
      <c r="DK15" s="669" t="s">
        <v>309</v>
      </c>
      <c r="DL15" s="670" t="s">
        <v>310</v>
      </c>
      <c r="DM15" s="662" t="s">
        <v>990</v>
      </c>
      <c r="DN15" s="663" t="s">
        <v>988</v>
      </c>
      <c r="DO15" s="664" t="s">
        <v>313</v>
      </c>
      <c r="DP15" s="663" t="s">
        <v>988</v>
      </c>
      <c r="DQ15" s="664" t="s">
        <v>313</v>
      </c>
      <c r="DR15" s="663" t="s">
        <v>988</v>
      </c>
      <c r="DS15" s="664" t="s">
        <v>313</v>
      </c>
      <c r="DT15" s="663" t="s">
        <v>635</v>
      </c>
      <c r="DU15" s="664" t="s">
        <v>313</v>
      </c>
      <c r="DV15" s="663" t="s">
        <v>988</v>
      </c>
      <c r="DW15" s="664" t="s">
        <v>313</v>
      </c>
      <c r="DX15" s="663" t="s">
        <v>988</v>
      </c>
      <c r="DY15" s="664" t="s">
        <v>313</v>
      </c>
      <c r="DZ15" s="663" t="s">
        <v>988</v>
      </c>
      <c r="EA15" s="664" t="s">
        <v>313</v>
      </c>
      <c r="EB15" s="663" t="s">
        <v>635</v>
      </c>
      <c r="EC15" s="664" t="s">
        <v>313</v>
      </c>
      <c r="ED15" s="663" t="s">
        <v>991</v>
      </c>
      <c r="EE15" s="664" t="s">
        <v>313</v>
      </c>
      <c r="EF15" s="663" t="s">
        <v>635</v>
      </c>
      <c r="EG15" s="664" t="s">
        <v>313</v>
      </c>
      <c r="EH15" s="663" t="s">
        <v>635</v>
      </c>
      <c r="EI15" s="664" t="s">
        <v>313</v>
      </c>
      <c r="EJ15" s="663" t="s">
        <v>988</v>
      </c>
      <c r="EK15" s="664" t="s">
        <v>313</v>
      </c>
      <c r="EL15" s="663" t="s">
        <v>988</v>
      </c>
      <c r="EM15" s="664" t="s">
        <v>313</v>
      </c>
      <c r="EN15" s="663" t="s">
        <v>635</v>
      </c>
      <c r="EO15" s="664" t="s">
        <v>313</v>
      </c>
      <c r="EP15" s="663" t="s">
        <v>988</v>
      </c>
      <c r="EQ15" s="664" t="s">
        <v>313</v>
      </c>
      <c r="ER15" s="663" t="s">
        <v>988</v>
      </c>
      <c r="ES15" s="664" t="s">
        <v>313</v>
      </c>
      <c r="ET15" s="663" t="s">
        <v>635</v>
      </c>
      <c r="EU15" s="664" t="s">
        <v>313</v>
      </c>
      <c r="EV15" s="663" t="s">
        <v>635</v>
      </c>
      <c r="EW15" s="664" t="s">
        <v>313</v>
      </c>
      <c r="EX15" s="663" t="s">
        <v>988</v>
      </c>
      <c r="EY15" s="664" t="s">
        <v>313</v>
      </c>
      <c r="EZ15" s="663" t="s">
        <v>635</v>
      </c>
      <c r="FA15" s="664" t="s">
        <v>313</v>
      </c>
      <c r="FB15" s="663" t="s">
        <v>988</v>
      </c>
      <c r="FC15" s="664" t="s">
        <v>313</v>
      </c>
      <c r="FD15" s="663" t="s">
        <v>635</v>
      </c>
      <c r="FE15" s="664" t="s">
        <v>313</v>
      </c>
      <c r="FF15" s="663" t="s">
        <v>988</v>
      </c>
      <c r="FG15" s="664" t="s">
        <v>313</v>
      </c>
      <c r="FH15" s="665" t="s">
        <v>316</v>
      </c>
      <c r="FI15" s="671"/>
      <c r="FJ15" s="542" t="s">
        <v>307</v>
      </c>
      <c r="FK15" s="658" t="s">
        <v>290</v>
      </c>
      <c r="FL15" s="659" t="s">
        <v>291</v>
      </c>
      <c r="FM15" s="660" t="s">
        <v>982</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353" ht="20.100000000000001" customHeight="1">
      <c r="A16" s="552"/>
      <c r="B16" s="554" t="s">
        <v>250</v>
      </c>
      <c r="C16" s="679"/>
      <c r="D16" s="555">
        <v>8.82</v>
      </c>
      <c r="E16" s="680">
        <v>2.35</v>
      </c>
      <c r="F16" s="681"/>
      <c r="G16" s="682">
        <v>0</v>
      </c>
      <c r="H16" s="559">
        <f>ROUND(8.82*2.35*0,0)</f>
        <v>0</v>
      </c>
      <c r="I16" s="683">
        <v>0</v>
      </c>
      <c r="J16" s="559">
        <f>ROUND(8.82*2.35*0,0)</f>
        <v>0</v>
      </c>
      <c r="K16" s="683">
        <v>0</v>
      </c>
      <c r="L16" s="559">
        <f>ROUND(8.82*2.35*0,0)</f>
        <v>0</v>
      </c>
      <c r="M16" s="683">
        <v>0</v>
      </c>
      <c r="N16" s="559">
        <f>ROUND(8.82*2.35*0,0)</f>
        <v>0</v>
      </c>
      <c r="O16" s="683">
        <v>0</v>
      </c>
      <c r="P16" s="559">
        <f>ROUND(8.82*2.35*0,0)</f>
        <v>0</v>
      </c>
      <c r="Q16" s="683">
        <v>0</v>
      </c>
      <c r="R16" s="559">
        <f>ROUND(8.82*2.35*0,0)</f>
        <v>0</v>
      </c>
      <c r="S16" s="683">
        <v>0</v>
      </c>
      <c r="T16" s="559">
        <f>ROUND(8.82*2.35*0,0)</f>
        <v>0</v>
      </c>
      <c r="U16" s="683">
        <v>0</v>
      </c>
      <c r="V16" s="559">
        <f>ROUND(8.82*2.35*0,0)</f>
        <v>0</v>
      </c>
      <c r="W16" s="683">
        <v>1</v>
      </c>
      <c r="X16" s="559">
        <f>ROUND(8.82*2.35*1,0)</f>
        <v>21</v>
      </c>
      <c r="Y16" s="683">
        <v>1.3</v>
      </c>
      <c r="Z16" s="559">
        <f>ROUND(8.82*2.35*1.3,0)</f>
        <v>27</v>
      </c>
      <c r="AA16" s="683">
        <v>1.6</v>
      </c>
      <c r="AB16" s="559">
        <f>ROUND(8.82*2.35*1.6,0)</f>
        <v>33</v>
      </c>
      <c r="AC16" s="683">
        <v>1.7</v>
      </c>
      <c r="AD16" s="559">
        <f>ROUND(8.82*2.35*1.7,0)</f>
        <v>35</v>
      </c>
      <c r="AE16" s="683">
        <v>1.8</v>
      </c>
      <c r="AF16" s="559">
        <f>ROUND(8.82*2.35*1.8,0)</f>
        <v>37</v>
      </c>
      <c r="AG16" s="683">
        <v>1.8</v>
      </c>
      <c r="AH16" s="559">
        <f>ROUND(8.82*2.35*1.8,0)</f>
        <v>37</v>
      </c>
      <c r="AI16" s="683">
        <v>1.6</v>
      </c>
      <c r="AJ16" s="559">
        <f>ROUND(8.82*2.35*1.6,0)</f>
        <v>33</v>
      </c>
      <c r="AK16" s="683">
        <v>1.5</v>
      </c>
      <c r="AL16" s="559">
        <f>ROUND(8.82*2.35*1.5,0)</f>
        <v>31</v>
      </c>
      <c r="AM16" s="683">
        <v>1.2</v>
      </c>
      <c r="AN16" s="559">
        <f>ROUND(8.82*2.35*1.2,0)</f>
        <v>25</v>
      </c>
      <c r="AO16" s="683">
        <v>1</v>
      </c>
      <c r="AP16" s="559">
        <f>ROUND(8.82*2.35*1,0)</f>
        <v>21</v>
      </c>
      <c r="AQ16" s="683">
        <v>0</v>
      </c>
      <c r="AR16" s="559">
        <f>ROUND(8.82*2.35*0,0)</f>
        <v>0</v>
      </c>
      <c r="AS16" s="683">
        <v>0</v>
      </c>
      <c r="AT16" s="559">
        <f>ROUND(8.82*2.35*0,0)</f>
        <v>0</v>
      </c>
      <c r="AU16" s="683">
        <v>0</v>
      </c>
      <c r="AV16" s="559">
        <f>ROUND(8.82*2.35*0,0)</f>
        <v>0</v>
      </c>
      <c r="AW16" s="683">
        <v>0</v>
      </c>
      <c r="AX16" s="559">
        <f>ROUND(8.82*2.35*0,0)</f>
        <v>0</v>
      </c>
      <c r="AY16" s="683">
        <v>0</v>
      </c>
      <c r="AZ16" s="559">
        <f>ROUND(8.82*2.35*0,0)</f>
        <v>0</v>
      </c>
      <c r="BA16" s="683">
        <v>0</v>
      </c>
      <c r="BB16" s="684">
        <f>ROUND(8.82*2.35*0,0)</f>
        <v>0</v>
      </c>
      <c r="BC16" s="562"/>
      <c r="BD16" s="552"/>
      <c r="BE16" s="554" t="s">
        <v>250</v>
      </c>
      <c r="BF16" s="679"/>
      <c r="BG16" s="555">
        <v>8.82</v>
      </c>
      <c r="BH16" s="680">
        <v>2.35</v>
      </c>
      <c r="BI16" s="681"/>
      <c r="BJ16" s="682">
        <v>0</v>
      </c>
      <c r="BK16" s="559">
        <f>ROUND(8.82*2.35*0,0)</f>
        <v>0</v>
      </c>
      <c r="BL16" s="683">
        <v>0</v>
      </c>
      <c r="BM16" s="559">
        <f>ROUND(8.82*2.35*0,0)</f>
        <v>0</v>
      </c>
      <c r="BN16" s="683">
        <v>0</v>
      </c>
      <c r="BO16" s="559">
        <f>ROUND(8.82*2.35*0,0)</f>
        <v>0</v>
      </c>
      <c r="BP16" s="683">
        <v>0</v>
      </c>
      <c r="BQ16" s="559">
        <f>ROUND(8.82*2.35*0,0)</f>
        <v>0</v>
      </c>
      <c r="BR16" s="683">
        <v>0</v>
      </c>
      <c r="BS16" s="559">
        <f>ROUND(8.82*2.35*0,0)</f>
        <v>0</v>
      </c>
      <c r="BT16" s="683">
        <v>0</v>
      </c>
      <c r="BU16" s="559">
        <f>ROUND(8.82*2.35*0,0)</f>
        <v>0</v>
      </c>
      <c r="BV16" s="683">
        <v>0</v>
      </c>
      <c r="BW16" s="559">
        <f>ROUND(8.82*2.35*0,0)</f>
        <v>0</v>
      </c>
      <c r="BX16" s="683">
        <v>0</v>
      </c>
      <c r="BY16" s="559">
        <f>ROUND(8.82*2.35*0,0)</f>
        <v>0</v>
      </c>
      <c r="BZ16" s="683">
        <v>0.9</v>
      </c>
      <c r="CA16" s="559">
        <f>ROUND(8.82*2.35*0.9,0)</f>
        <v>19</v>
      </c>
      <c r="CB16" s="683">
        <v>1.2</v>
      </c>
      <c r="CC16" s="559">
        <f>ROUND(8.82*2.35*1.2,0)</f>
        <v>25</v>
      </c>
      <c r="CD16" s="683">
        <v>1.5</v>
      </c>
      <c r="CE16" s="559">
        <f>ROUND(8.82*2.35*1.5,0)</f>
        <v>31</v>
      </c>
      <c r="CF16" s="683">
        <v>1.6</v>
      </c>
      <c r="CG16" s="559">
        <f>ROUND(8.82*2.35*1.6,0)</f>
        <v>33</v>
      </c>
      <c r="CH16" s="683">
        <v>1.7</v>
      </c>
      <c r="CI16" s="559">
        <f>ROUND(8.82*2.35*1.7,0)</f>
        <v>35</v>
      </c>
      <c r="CJ16" s="683">
        <v>1.6</v>
      </c>
      <c r="CK16" s="559">
        <f>ROUND(8.82*2.35*1.6,0)</f>
        <v>33</v>
      </c>
      <c r="CL16" s="683">
        <v>1.5</v>
      </c>
      <c r="CM16" s="559">
        <f>ROUND(8.82*2.35*1.5,0)</f>
        <v>31</v>
      </c>
      <c r="CN16" s="683">
        <v>1.3</v>
      </c>
      <c r="CO16" s="559">
        <f>ROUND(8.82*2.35*1.3,0)</f>
        <v>27</v>
      </c>
      <c r="CP16" s="683">
        <v>1.2</v>
      </c>
      <c r="CQ16" s="559">
        <f>ROUND(8.82*2.35*1.2,0)</f>
        <v>25</v>
      </c>
      <c r="CR16" s="683">
        <v>0.9</v>
      </c>
      <c r="CS16" s="559">
        <f>ROUND(8.82*2.35*0.9,0)</f>
        <v>19</v>
      </c>
      <c r="CT16" s="683">
        <v>0</v>
      </c>
      <c r="CU16" s="559">
        <f>ROUND(8.82*2.35*0,0)</f>
        <v>0</v>
      </c>
      <c r="CV16" s="683">
        <v>0</v>
      </c>
      <c r="CW16" s="559">
        <f>ROUND(8.82*2.35*0,0)</f>
        <v>0</v>
      </c>
      <c r="CX16" s="683">
        <v>0</v>
      </c>
      <c r="CY16" s="559">
        <f>ROUND(8.82*2.35*0,0)</f>
        <v>0</v>
      </c>
      <c r="CZ16" s="683">
        <v>0</v>
      </c>
      <c r="DA16" s="559">
        <f>ROUND(8.82*2.35*0,0)</f>
        <v>0</v>
      </c>
      <c r="DB16" s="683">
        <v>0</v>
      </c>
      <c r="DC16" s="559">
        <f>ROUND(8.82*2.35*0,0)</f>
        <v>0</v>
      </c>
      <c r="DD16" s="683">
        <v>0</v>
      </c>
      <c r="DE16" s="684">
        <f>ROUND(8.82*2.35*0,0)</f>
        <v>0</v>
      </c>
      <c r="DF16" s="562"/>
      <c r="DG16" s="552"/>
      <c r="DH16" s="554" t="s">
        <v>250</v>
      </c>
      <c r="DI16" s="679"/>
      <c r="DJ16" s="555">
        <v>8.82</v>
      </c>
      <c r="DK16" s="680">
        <v>2.35</v>
      </c>
      <c r="DL16" s="681"/>
      <c r="DM16" s="682">
        <v>0</v>
      </c>
      <c r="DN16" s="559">
        <f>ROUND(8.82*2.35*0,0)</f>
        <v>0</v>
      </c>
      <c r="DO16" s="683">
        <v>0</v>
      </c>
      <c r="DP16" s="559">
        <f>ROUND(8.82*2.35*0,0)</f>
        <v>0</v>
      </c>
      <c r="DQ16" s="683">
        <v>0</v>
      </c>
      <c r="DR16" s="559">
        <f>ROUND(8.82*2.35*0,0)</f>
        <v>0</v>
      </c>
      <c r="DS16" s="683">
        <v>0</v>
      </c>
      <c r="DT16" s="559">
        <f>ROUND(8.82*2.35*0,0)</f>
        <v>0</v>
      </c>
      <c r="DU16" s="683">
        <v>0</v>
      </c>
      <c r="DV16" s="559">
        <f>ROUND(8.82*2.35*0,0)</f>
        <v>0</v>
      </c>
      <c r="DW16" s="683">
        <v>0</v>
      </c>
      <c r="DX16" s="559">
        <f>ROUND(8.82*2.35*0,0)</f>
        <v>0</v>
      </c>
      <c r="DY16" s="683">
        <v>0</v>
      </c>
      <c r="DZ16" s="559">
        <f>ROUND(8.82*2.35*0,0)</f>
        <v>0</v>
      </c>
      <c r="EA16" s="683">
        <v>0</v>
      </c>
      <c r="EB16" s="559">
        <f>ROUND(8.82*2.35*0,0)</f>
        <v>0</v>
      </c>
      <c r="EC16" s="683">
        <v>0.2</v>
      </c>
      <c r="ED16" s="559">
        <f>ROUND(8.82*2.35*0.2,0)</f>
        <v>4</v>
      </c>
      <c r="EE16" s="683">
        <v>0.6</v>
      </c>
      <c r="EF16" s="559">
        <f>ROUND(8.82*2.35*0.6,0)</f>
        <v>12</v>
      </c>
      <c r="EG16" s="683">
        <v>0.9</v>
      </c>
      <c r="EH16" s="559">
        <f>ROUND(8.82*2.35*0.9,0)</f>
        <v>19</v>
      </c>
      <c r="EI16" s="683">
        <v>1.1000000000000001</v>
      </c>
      <c r="EJ16" s="559">
        <f>ROUND(8.82*2.35*1.1,0)</f>
        <v>23</v>
      </c>
      <c r="EK16" s="683">
        <v>1.1000000000000001</v>
      </c>
      <c r="EL16" s="559">
        <f>ROUND(8.82*2.35*1.1,0)</f>
        <v>23</v>
      </c>
      <c r="EM16" s="683">
        <v>1</v>
      </c>
      <c r="EN16" s="559">
        <f>ROUND(8.82*2.35*1,0)</f>
        <v>21</v>
      </c>
      <c r="EO16" s="683">
        <v>0.9</v>
      </c>
      <c r="EP16" s="559">
        <f>ROUND(8.82*2.35*0.9,0)</f>
        <v>19</v>
      </c>
      <c r="EQ16" s="683">
        <v>0.8</v>
      </c>
      <c r="ER16" s="559">
        <f>ROUND(8.82*2.35*0.8,0)</f>
        <v>17</v>
      </c>
      <c r="ES16" s="683">
        <v>0.5</v>
      </c>
      <c r="ET16" s="559">
        <f>ROUND(8.82*2.35*0.5,0)</f>
        <v>10</v>
      </c>
      <c r="EU16" s="683">
        <v>0.2</v>
      </c>
      <c r="EV16" s="559">
        <f>ROUND(8.82*2.35*0.2,0)</f>
        <v>4</v>
      </c>
      <c r="EW16" s="683">
        <v>0</v>
      </c>
      <c r="EX16" s="559">
        <f>ROUND(8.82*2.35*0,0)</f>
        <v>0</v>
      </c>
      <c r="EY16" s="683">
        <v>0</v>
      </c>
      <c r="EZ16" s="559">
        <f>ROUND(8.82*2.35*0,0)</f>
        <v>0</v>
      </c>
      <c r="FA16" s="683">
        <v>0</v>
      </c>
      <c r="FB16" s="559">
        <f>ROUND(8.82*2.35*0,0)</f>
        <v>0</v>
      </c>
      <c r="FC16" s="683">
        <v>0</v>
      </c>
      <c r="FD16" s="559">
        <f>ROUND(8.82*2.35*0,0)</f>
        <v>0</v>
      </c>
      <c r="FE16" s="683">
        <v>0</v>
      </c>
      <c r="FF16" s="559">
        <f>ROUND(8.82*2.35*0,0)</f>
        <v>0</v>
      </c>
      <c r="FG16" s="683">
        <v>0</v>
      </c>
      <c r="FH16" s="684">
        <f>ROUND(8.82*2.35*0,0)</f>
        <v>0</v>
      </c>
      <c r="FI16" s="563"/>
      <c r="FJ16" s="564"/>
      <c r="FK16" s="554" t="s">
        <v>250</v>
      </c>
      <c r="FL16" s="679"/>
      <c r="FM16" s="555">
        <v>8.82</v>
      </c>
      <c r="FN16" s="680">
        <v>2.35</v>
      </c>
      <c r="FO16" s="681"/>
      <c r="FP16" s="685">
        <v>9</v>
      </c>
      <c r="FQ16" s="686">
        <v>5.0999999999999996</v>
      </c>
      <c r="FR16" s="559">
        <f>ROUND(8.82*2.35*5.1,0)</f>
        <v>106</v>
      </c>
      <c r="FS16" s="687">
        <v>9</v>
      </c>
      <c r="FT16" s="686">
        <v>5.2</v>
      </c>
      <c r="FU16" s="567">
        <f>ROUND(8.82*2.35*5.2,0)</f>
        <v>108</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238</v>
      </c>
      <c r="C17" s="691"/>
      <c r="D17" s="583">
        <v>13.2</v>
      </c>
      <c r="E17" s="692">
        <v>0.47</v>
      </c>
      <c r="F17" s="693"/>
      <c r="G17" s="694">
        <v>0</v>
      </c>
      <c r="H17" s="587">
        <f>ROUND(13.2*0.47*0,0)</f>
        <v>0</v>
      </c>
      <c r="I17" s="695">
        <v>0</v>
      </c>
      <c r="J17" s="587">
        <f>ROUND(13.2*0.47*0,0)</f>
        <v>0</v>
      </c>
      <c r="K17" s="695">
        <v>0</v>
      </c>
      <c r="L17" s="587">
        <f>ROUND(13.2*0.47*0,0)</f>
        <v>0</v>
      </c>
      <c r="M17" s="695">
        <v>0</v>
      </c>
      <c r="N17" s="587">
        <f>ROUND(13.2*0.47*0,0)</f>
        <v>0</v>
      </c>
      <c r="O17" s="695">
        <v>0</v>
      </c>
      <c r="P17" s="587">
        <f>ROUND(13.2*0.47*0,0)</f>
        <v>0</v>
      </c>
      <c r="Q17" s="695">
        <v>0</v>
      </c>
      <c r="R17" s="587">
        <f>ROUND(13.2*0.47*0,0)</f>
        <v>0</v>
      </c>
      <c r="S17" s="695">
        <v>0</v>
      </c>
      <c r="T17" s="587">
        <f>ROUND(13.2*0.47*0,0)</f>
        <v>0</v>
      </c>
      <c r="U17" s="695">
        <v>0</v>
      </c>
      <c r="V17" s="587">
        <f>ROUND(13.2*0.47*0,0)</f>
        <v>0</v>
      </c>
      <c r="W17" s="695">
        <v>3.3</v>
      </c>
      <c r="X17" s="587">
        <f>ROUND(13.2*0.47*3.3,0)</f>
        <v>20</v>
      </c>
      <c r="Y17" s="695">
        <v>3.2</v>
      </c>
      <c r="Z17" s="587">
        <f>ROUND(13.2*0.47*3.2,0)</f>
        <v>20</v>
      </c>
      <c r="AA17" s="695">
        <v>3.2</v>
      </c>
      <c r="AB17" s="587">
        <f>ROUND(13.2*0.47*3.2,0)</f>
        <v>20</v>
      </c>
      <c r="AC17" s="695">
        <v>3.3</v>
      </c>
      <c r="AD17" s="587">
        <f>ROUND(13.2*0.47*3.3,0)</f>
        <v>20</v>
      </c>
      <c r="AE17" s="695">
        <v>3.7</v>
      </c>
      <c r="AF17" s="587">
        <f>ROUND(13.2*0.47*3.7,0)</f>
        <v>23</v>
      </c>
      <c r="AG17" s="695">
        <v>4.3</v>
      </c>
      <c r="AH17" s="587">
        <f>ROUND(13.2*0.47*4.3,0)</f>
        <v>27</v>
      </c>
      <c r="AI17" s="695">
        <v>5</v>
      </c>
      <c r="AJ17" s="587">
        <f>ROUND(13.2*0.47*5,0)</f>
        <v>31</v>
      </c>
      <c r="AK17" s="695">
        <v>5.8</v>
      </c>
      <c r="AL17" s="587">
        <f>ROUND(13.2*0.47*5.8,0)</f>
        <v>36</v>
      </c>
      <c r="AM17" s="695">
        <v>6.6</v>
      </c>
      <c r="AN17" s="587">
        <f>ROUND(13.2*0.47*6.6,0)</f>
        <v>41</v>
      </c>
      <c r="AO17" s="695">
        <v>7.4</v>
      </c>
      <c r="AP17" s="587">
        <f>ROUND(13.2*0.47*7.4,0)</f>
        <v>46</v>
      </c>
      <c r="AQ17" s="695">
        <v>0</v>
      </c>
      <c r="AR17" s="587">
        <f>ROUND(13.2*0.47*0,0)</f>
        <v>0</v>
      </c>
      <c r="AS17" s="695">
        <v>0</v>
      </c>
      <c r="AT17" s="587">
        <f>ROUND(13.2*0.47*0,0)</f>
        <v>0</v>
      </c>
      <c r="AU17" s="695">
        <v>0</v>
      </c>
      <c r="AV17" s="587">
        <f>ROUND(13.2*0.47*0,0)</f>
        <v>0</v>
      </c>
      <c r="AW17" s="695">
        <v>0</v>
      </c>
      <c r="AX17" s="587">
        <f>ROUND(13.2*0.47*0,0)</f>
        <v>0</v>
      </c>
      <c r="AY17" s="695">
        <v>0</v>
      </c>
      <c r="AZ17" s="587">
        <f>ROUND(13.2*0.47*0,0)</f>
        <v>0</v>
      </c>
      <c r="BA17" s="695">
        <v>0</v>
      </c>
      <c r="BB17" s="589">
        <f>ROUND(13.2*0.47*0,0)</f>
        <v>0</v>
      </c>
      <c r="BC17" s="562"/>
      <c r="BD17" s="552"/>
      <c r="BE17" s="582" t="s">
        <v>238</v>
      </c>
      <c r="BF17" s="691"/>
      <c r="BG17" s="583">
        <v>13.2</v>
      </c>
      <c r="BH17" s="692">
        <v>0.47</v>
      </c>
      <c r="BI17" s="693"/>
      <c r="BJ17" s="694">
        <v>0</v>
      </c>
      <c r="BK17" s="587">
        <f>ROUND(13.2*0.47*0,0)</f>
        <v>0</v>
      </c>
      <c r="BL17" s="695">
        <v>0</v>
      </c>
      <c r="BM17" s="587">
        <f>ROUND(13.2*0.47*0,0)</f>
        <v>0</v>
      </c>
      <c r="BN17" s="695">
        <v>0</v>
      </c>
      <c r="BO17" s="587">
        <f>ROUND(13.2*0.47*0,0)</f>
        <v>0</v>
      </c>
      <c r="BP17" s="695">
        <v>0</v>
      </c>
      <c r="BQ17" s="587">
        <f>ROUND(13.2*0.47*0,0)</f>
        <v>0</v>
      </c>
      <c r="BR17" s="695">
        <v>0</v>
      </c>
      <c r="BS17" s="587">
        <f>ROUND(13.2*0.47*0,0)</f>
        <v>0</v>
      </c>
      <c r="BT17" s="695">
        <v>0</v>
      </c>
      <c r="BU17" s="587">
        <f>ROUND(13.2*0.47*0,0)</f>
        <v>0</v>
      </c>
      <c r="BV17" s="695">
        <v>0</v>
      </c>
      <c r="BW17" s="587">
        <f>ROUND(13.2*0.47*0,0)</f>
        <v>0</v>
      </c>
      <c r="BX17" s="695">
        <v>0</v>
      </c>
      <c r="BY17" s="587">
        <f>ROUND(13.2*0.47*0,0)</f>
        <v>0</v>
      </c>
      <c r="BZ17" s="695">
        <v>3.2</v>
      </c>
      <c r="CA17" s="587">
        <f>ROUND(13.2*0.47*3.2,0)</f>
        <v>20</v>
      </c>
      <c r="CB17" s="695">
        <v>3</v>
      </c>
      <c r="CC17" s="587">
        <f>ROUND(13.2*0.47*3,0)</f>
        <v>19</v>
      </c>
      <c r="CD17" s="695">
        <v>3</v>
      </c>
      <c r="CE17" s="587">
        <f>ROUND(13.2*0.47*3,0)</f>
        <v>19</v>
      </c>
      <c r="CF17" s="695">
        <v>3.1</v>
      </c>
      <c r="CG17" s="587">
        <f>ROUND(13.2*0.47*3.1,0)</f>
        <v>19</v>
      </c>
      <c r="CH17" s="695">
        <v>3.4</v>
      </c>
      <c r="CI17" s="587">
        <f>ROUND(13.2*0.47*3.4,0)</f>
        <v>21</v>
      </c>
      <c r="CJ17" s="695">
        <v>4</v>
      </c>
      <c r="CK17" s="587">
        <f>ROUND(13.2*0.47*4,0)</f>
        <v>25</v>
      </c>
      <c r="CL17" s="695">
        <v>4.8</v>
      </c>
      <c r="CM17" s="587">
        <f>ROUND(13.2*0.47*4.8,0)</f>
        <v>30</v>
      </c>
      <c r="CN17" s="695">
        <v>5.8</v>
      </c>
      <c r="CO17" s="587">
        <f>ROUND(13.2*0.47*5.8,0)</f>
        <v>36</v>
      </c>
      <c r="CP17" s="695">
        <v>6.7</v>
      </c>
      <c r="CQ17" s="587">
        <f>ROUND(13.2*0.47*6.7,0)</f>
        <v>42</v>
      </c>
      <c r="CR17" s="695">
        <v>7.6</v>
      </c>
      <c r="CS17" s="587">
        <f>ROUND(13.2*0.47*7.6,0)</f>
        <v>47</v>
      </c>
      <c r="CT17" s="695">
        <v>0</v>
      </c>
      <c r="CU17" s="587">
        <f>ROUND(13.2*0.47*0,0)</f>
        <v>0</v>
      </c>
      <c r="CV17" s="695">
        <v>0</v>
      </c>
      <c r="CW17" s="587">
        <f>ROUND(13.2*0.47*0,0)</f>
        <v>0</v>
      </c>
      <c r="CX17" s="695">
        <v>0</v>
      </c>
      <c r="CY17" s="587">
        <f>ROUND(13.2*0.47*0,0)</f>
        <v>0</v>
      </c>
      <c r="CZ17" s="695">
        <v>0</v>
      </c>
      <c r="DA17" s="587">
        <f>ROUND(13.2*0.47*0,0)</f>
        <v>0</v>
      </c>
      <c r="DB17" s="695">
        <v>0</v>
      </c>
      <c r="DC17" s="587">
        <f>ROUND(13.2*0.47*0,0)</f>
        <v>0</v>
      </c>
      <c r="DD17" s="695">
        <v>0</v>
      </c>
      <c r="DE17" s="589">
        <f>ROUND(13.2*0.47*0,0)</f>
        <v>0</v>
      </c>
      <c r="DF17" s="562"/>
      <c r="DG17" s="552"/>
      <c r="DH17" s="582" t="s">
        <v>238</v>
      </c>
      <c r="DI17" s="691"/>
      <c r="DJ17" s="583">
        <v>13.2</v>
      </c>
      <c r="DK17" s="692">
        <v>0.47</v>
      </c>
      <c r="DL17" s="693"/>
      <c r="DM17" s="694">
        <v>0</v>
      </c>
      <c r="DN17" s="587">
        <f>ROUND(13.2*0.47*0,0)</f>
        <v>0</v>
      </c>
      <c r="DO17" s="695">
        <v>0</v>
      </c>
      <c r="DP17" s="587">
        <f>ROUND(13.2*0.47*0,0)</f>
        <v>0</v>
      </c>
      <c r="DQ17" s="695">
        <v>0</v>
      </c>
      <c r="DR17" s="587">
        <f>ROUND(13.2*0.47*0,0)</f>
        <v>0</v>
      </c>
      <c r="DS17" s="695">
        <v>0</v>
      </c>
      <c r="DT17" s="587">
        <f>ROUND(13.2*0.47*0,0)</f>
        <v>0</v>
      </c>
      <c r="DU17" s="695">
        <v>0</v>
      </c>
      <c r="DV17" s="587">
        <f>ROUND(13.2*0.47*0,0)</f>
        <v>0</v>
      </c>
      <c r="DW17" s="695">
        <v>0</v>
      </c>
      <c r="DX17" s="587">
        <f>ROUND(13.2*0.47*0,0)</f>
        <v>0</v>
      </c>
      <c r="DY17" s="695">
        <v>0</v>
      </c>
      <c r="DZ17" s="587">
        <f>ROUND(13.2*0.47*0,0)</f>
        <v>0</v>
      </c>
      <c r="EA17" s="695">
        <v>0</v>
      </c>
      <c r="EB17" s="587">
        <f>ROUND(13.2*0.47*0,0)</f>
        <v>0</v>
      </c>
      <c r="EC17" s="695">
        <v>1.8</v>
      </c>
      <c r="ED17" s="587">
        <f>ROUND(13.2*0.47*1.8,0)</f>
        <v>11</v>
      </c>
      <c r="EE17" s="695">
        <v>1.5</v>
      </c>
      <c r="EF17" s="587">
        <f>ROUND(13.2*0.47*1.5,0)</f>
        <v>9</v>
      </c>
      <c r="EG17" s="695">
        <v>1.4</v>
      </c>
      <c r="EH17" s="587">
        <f>ROUND(13.2*0.47*1.4,0)</f>
        <v>9</v>
      </c>
      <c r="EI17" s="695">
        <v>1.6</v>
      </c>
      <c r="EJ17" s="587">
        <f>ROUND(13.2*0.47*1.6,0)</f>
        <v>10</v>
      </c>
      <c r="EK17" s="695">
        <v>2.1</v>
      </c>
      <c r="EL17" s="587">
        <f>ROUND(13.2*0.47*2.1,0)</f>
        <v>13</v>
      </c>
      <c r="EM17" s="695">
        <v>2.9</v>
      </c>
      <c r="EN17" s="587">
        <f>ROUND(13.2*0.47*2.9,0)</f>
        <v>18</v>
      </c>
      <c r="EO17" s="695">
        <v>4</v>
      </c>
      <c r="EP17" s="587">
        <f>ROUND(13.2*0.47*4,0)</f>
        <v>25</v>
      </c>
      <c r="EQ17" s="695">
        <v>5.3</v>
      </c>
      <c r="ER17" s="587">
        <f>ROUND(13.2*0.47*5.3,0)</f>
        <v>33</v>
      </c>
      <c r="ES17" s="695">
        <v>6.5</v>
      </c>
      <c r="ET17" s="587">
        <f>ROUND(13.2*0.47*6.5,0)</f>
        <v>40</v>
      </c>
      <c r="EU17" s="695">
        <v>7.6</v>
      </c>
      <c r="EV17" s="587">
        <f>ROUND(13.2*0.47*7.6,0)</f>
        <v>47</v>
      </c>
      <c r="EW17" s="695">
        <v>0</v>
      </c>
      <c r="EX17" s="587">
        <f>ROUND(13.2*0.47*0,0)</f>
        <v>0</v>
      </c>
      <c r="EY17" s="695">
        <v>0</v>
      </c>
      <c r="EZ17" s="587">
        <f>ROUND(13.2*0.47*0,0)</f>
        <v>0</v>
      </c>
      <c r="FA17" s="695">
        <v>0</v>
      </c>
      <c r="FB17" s="587">
        <f>ROUND(13.2*0.47*0,0)</f>
        <v>0</v>
      </c>
      <c r="FC17" s="695">
        <v>0</v>
      </c>
      <c r="FD17" s="587">
        <f>ROUND(13.2*0.47*0,0)</f>
        <v>0</v>
      </c>
      <c r="FE17" s="695">
        <v>0</v>
      </c>
      <c r="FF17" s="587">
        <f>ROUND(13.2*0.47*0,0)</f>
        <v>0</v>
      </c>
      <c r="FG17" s="695">
        <v>0</v>
      </c>
      <c r="FH17" s="589">
        <f>ROUND(13.2*0.47*0,0)</f>
        <v>0</v>
      </c>
      <c r="FI17" s="563"/>
      <c r="FJ17" s="564"/>
      <c r="FK17" s="582" t="s">
        <v>238</v>
      </c>
      <c r="FL17" s="691"/>
      <c r="FM17" s="583">
        <v>13.2</v>
      </c>
      <c r="FN17" s="692">
        <v>0.47</v>
      </c>
      <c r="FO17" s="693"/>
      <c r="FP17" s="696">
        <v>9</v>
      </c>
      <c r="FQ17" s="697">
        <v>17</v>
      </c>
      <c r="FR17" s="587">
        <f>ROUND(13.2*0.47*17,0)</f>
        <v>105</v>
      </c>
      <c r="FS17" s="698">
        <v>9</v>
      </c>
      <c r="FT17" s="697">
        <v>17.5</v>
      </c>
      <c r="FU17" s="592">
        <f>ROUND(13.2*0.47*17.5,0)</f>
        <v>109</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261</v>
      </c>
      <c r="C18" s="691"/>
      <c r="D18" s="583">
        <v>13.2</v>
      </c>
      <c r="E18" s="692">
        <v>2.84</v>
      </c>
      <c r="F18" s="693"/>
      <c r="G18" s="694">
        <v>0</v>
      </c>
      <c r="H18" s="587">
        <f>ROUND(13.2*2.84*0,0)</f>
        <v>0</v>
      </c>
      <c r="I18" s="695">
        <v>0</v>
      </c>
      <c r="J18" s="587">
        <f>ROUND(13.2*2.84*0,0)</f>
        <v>0</v>
      </c>
      <c r="K18" s="695">
        <v>0</v>
      </c>
      <c r="L18" s="587">
        <f>ROUND(13.2*2.84*0,0)</f>
        <v>0</v>
      </c>
      <c r="M18" s="695">
        <v>0</v>
      </c>
      <c r="N18" s="587">
        <f>ROUND(13.2*2.84*0,0)</f>
        <v>0</v>
      </c>
      <c r="O18" s="695">
        <v>0</v>
      </c>
      <c r="P18" s="587">
        <f>ROUND(13.2*2.84*0,0)</f>
        <v>0</v>
      </c>
      <c r="Q18" s="695">
        <v>0</v>
      </c>
      <c r="R18" s="587">
        <f>ROUND(13.2*2.84*0,0)</f>
        <v>0</v>
      </c>
      <c r="S18" s="695">
        <v>0</v>
      </c>
      <c r="T18" s="587">
        <f>ROUND(13.2*2.84*0,0)</f>
        <v>0</v>
      </c>
      <c r="U18" s="695">
        <v>0</v>
      </c>
      <c r="V18" s="587">
        <f>ROUND(13.2*2.84*0,0)</f>
        <v>0</v>
      </c>
      <c r="W18" s="695">
        <v>1</v>
      </c>
      <c r="X18" s="587">
        <f>ROUND(13.2*2.84*1,0)</f>
        <v>37</v>
      </c>
      <c r="Y18" s="695">
        <v>1.3</v>
      </c>
      <c r="Z18" s="587">
        <f>ROUND(13.2*2.84*1.3,0)</f>
        <v>49</v>
      </c>
      <c r="AA18" s="695">
        <v>1.6</v>
      </c>
      <c r="AB18" s="587">
        <f>ROUND(13.2*2.84*1.6,0)</f>
        <v>60</v>
      </c>
      <c r="AC18" s="695">
        <v>1.7</v>
      </c>
      <c r="AD18" s="587">
        <f>ROUND(13.2*2.84*1.7,0)</f>
        <v>64</v>
      </c>
      <c r="AE18" s="695">
        <v>1.8</v>
      </c>
      <c r="AF18" s="587">
        <f>ROUND(13.2*2.84*1.8,0)</f>
        <v>67</v>
      </c>
      <c r="AG18" s="695">
        <v>1.8</v>
      </c>
      <c r="AH18" s="587">
        <f>ROUND(13.2*2.84*1.8,0)</f>
        <v>67</v>
      </c>
      <c r="AI18" s="695">
        <v>1.6</v>
      </c>
      <c r="AJ18" s="587">
        <f>ROUND(13.2*2.84*1.6,0)</f>
        <v>60</v>
      </c>
      <c r="AK18" s="695">
        <v>1.5</v>
      </c>
      <c r="AL18" s="587">
        <f>ROUND(13.2*2.84*1.5,0)</f>
        <v>56</v>
      </c>
      <c r="AM18" s="695">
        <v>1.2</v>
      </c>
      <c r="AN18" s="587">
        <f>ROUND(13.2*2.84*1.2,0)</f>
        <v>45</v>
      </c>
      <c r="AO18" s="695">
        <v>1</v>
      </c>
      <c r="AP18" s="587">
        <f>ROUND(13.2*2.84*1,0)</f>
        <v>37</v>
      </c>
      <c r="AQ18" s="695">
        <v>0</v>
      </c>
      <c r="AR18" s="587">
        <f>ROUND(13.2*2.84*0,0)</f>
        <v>0</v>
      </c>
      <c r="AS18" s="695">
        <v>0</v>
      </c>
      <c r="AT18" s="587">
        <f>ROUND(13.2*2.84*0,0)</f>
        <v>0</v>
      </c>
      <c r="AU18" s="695">
        <v>0</v>
      </c>
      <c r="AV18" s="587">
        <f>ROUND(13.2*2.84*0,0)</f>
        <v>0</v>
      </c>
      <c r="AW18" s="695">
        <v>0</v>
      </c>
      <c r="AX18" s="587">
        <f>ROUND(13.2*2.84*0,0)</f>
        <v>0</v>
      </c>
      <c r="AY18" s="695">
        <v>0</v>
      </c>
      <c r="AZ18" s="587">
        <f>ROUND(13.2*2.84*0,0)</f>
        <v>0</v>
      </c>
      <c r="BA18" s="695">
        <v>0</v>
      </c>
      <c r="BB18" s="589">
        <f>ROUND(13.2*2.84*0,0)</f>
        <v>0</v>
      </c>
      <c r="BC18" s="562"/>
      <c r="BD18" s="552"/>
      <c r="BE18" s="700" t="s">
        <v>261</v>
      </c>
      <c r="BF18" s="691"/>
      <c r="BG18" s="583">
        <v>13.2</v>
      </c>
      <c r="BH18" s="692">
        <v>2.84</v>
      </c>
      <c r="BI18" s="693"/>
      <c r="BJ18" s="694">
        <v>0</v>
      </c>
      <c r="BK18" s="587">
        <f>ROUND(13.2*2.84*0,0)</f>
        <v>0</v>
      </c>
      <c r="BL18" s="695">
        <v>0</v>
      </c>
      <c r="BM18" s="587">
        <f>ROUND(13.2*2.84*0,0)</f>
        <v>0</v>
      </c>
      <c r="BN18" s="695">
        <v>0</v>
      </c>
      <c r="BO18" s="587">
        <f>ROUND(13.2*2.84*0,0)</f>
        <v>0</v>
      </c>
      <c r="BP18" s="695">
        <v>0</v>
      </c>
      <c r="BQ18" s="587">
        <f>ROUND(13.2*2.84*0,0)</f>
        <v>0</v>
      </c>
      <c r="BR18" s="695">
        <v>0</v>
      </c>
      <c r="BS18" s="587">
        <f>ROUND(13.2*2.84*0,0)</f>
        <v>0</v>
      </c>
      <c r="BT18" s="695">
        <v>0</v>
      </c>
      <c r="BU18" s="587">
        <f>ROUND(13.2*2.84*0,0)</f>
        <v>0</v>
      </c>
      <c r="BV18" s="695">
        <v>0</v>
      </c>
      <c r="BW18" s="587">
        <f>ROUND(13.2*2.84*0,0)</f>
        <v>0</v>
      </c>
      <c r="BX18" s="695">
        <v>0</v>
      </c>
      <c r="BY18" s="587">
        <f>ROUND(13.2*2.84*0,0)</f>
        <v>0</v>
      </c>
      <c r="BZ18" s="695">
        <v>0.9</v>
      </c>
      <c r="CA18" s="587">
        <f>ROUND(13.2*2.84*0.9,0)</f>
        <v>34</v>
      </c>
      <c r="CB18" s="695">
        <v>1.2</v>
      </c>
      <c r="CC18" s="587">
        <f>ROUND(13.2*2.84*1.2,0)</f>
        <v>45</v>
      </c>
      <c r="CD18" s="695">
        <v>1.5</v>
      </c>
      <c r="CE18" s="587">
        <f>ROUND(13.2*2.84*1.5,0)</f>
        <v>56</v>
      </c>
      <c r="CF18" s="695">
        <v>1.6</v>
      </c>
      <c r="CG18" s="587">
        <f>ROUND(13.2*2.84*1.6,0)</f>
        <v>60</v>
      </c>
      <c r="CH18" s="695">
        <v>1.7</v>
      </c>
      <c r="CI18" s="587">
        <f>ROUND(13.2*2.84*1.7,0)</f>
        <v>64</v>
      </c>
      <c r="CJ18" s="695">
        <v>1.6</v>
      </c>
      <c r="CK18" s="587">
        <f>ROUND(13.2*2.84*1.6,0)</f>
        <v>60</v>
      </c>
      <c r="CL18" s="695">
        <v>1.5</v>
      </c>
      <c r="CM18" s="587">
        <f>ROUND(13.2*2.84*1.5,0)</f>
        <v>56</v>
      </c>
      <c r="CN18" s="695">
        <v>1.3</v>
      </c>
      <c r="CO18" s="587">
        <f>ROUND(13.2*2.84*1.3,0)</f>
        <v>49</v>
      </c>
      <c r="CP18" s="695">
        <v>1.2</v>
      </c>
      <c r="CQ18" s="587">
        <f>ROUND(13.2*2.84*1.2,0)</f>
        <v>45</v>
      </c>
      <c r="CR18" s="695">
        <v>0.9</v>
      </c>
      <c r="CS18" s="587">
        <f>ROUND(13.2*2.84*0.9,0)</f>
        <v>34</v>
      </c>
      <c r="CT18" s="695">
        <v>0</v>
      </c>
      <c r="CU18" s="587">
        <f>ROUND(13.2*2.84*0,0)</f>
        <v>0</v>
      </c>
      <c r="CV18" s="695">
        <v>0</v>
      </c>
      <c r="CW18" s="587">
        <f>ROUND(13.2*2.84*0,0)</f>
        <v>0</v>
      </c>
      <c r="CX18" s="695">
        <v>0</v>
      </c>
      <c r="CY18" s="587">
        <f>ROUND(13.2*2.84*0,0)</f>
        <v>0</v>
      </c>
      <c r="CZ18" s="695">
        <v>0</v>
      </c>
      <c r="DA18" s="587">
        <f>ROUND(13.2*2.84*0,0)</f>
        <v>0</v>
      </c>
      <c r="DB18" s="695">
        <v>0</v>
      </c>
      <c r="DC18" s="587">
        <f>ROUND(13.2*2.84*0,0)</f>
        <v>0</v>
      </c>
      <c r="DD18" s="695">
        <v>0</v>
      </c>
      <c r="DE18" s="589">
        <f>ROUND(13.2*2.84*0,0)</f>
        <v>0</v>
      </c>
      <c r="DF18" s="562"/>
      <c r="DG18" s="552"/>
      <c r="DH18" s="700" t="s">
        <v>261</v>
      </c>
      <c r="DI18" s="691"/>
      <c r="DJ18" s="583">
        <v>13.2</v>
      </c>
      <c r="DK18" s="692">
        <v>2.84</v>
      </c>
      <c r="DL18" s="693"/>
      <c r="DM18" s="694">
        <v>0</v>
      </c>
      <c r="DN18" s="587">
        <f>ROUND(13.2*2.84*0,0)</f>
        <v>0</v>
      </c>
      <c r="DO18" s="695">
        <v>0</v>
      </c>
      <c r="DP18" s="587">
        <f>ROUND(13.2*2.84*0,0)</f>
        <v>0</v>
      </c>
      <c r="DQ18" s="695">
        <v>0</v>
      </c>
      <c r="DR18" s="587">
        <f>ROUND(13.2*2.84*0,0)</f>
        <v>0</v>
      </c>
      <c r="DS18" s="695">
        <v>0</v>
      </c>
      <c r="DT18" s="587">
        <f>ROUND(13.2*2.84*0,0)</f>
        <v>0</v>
      </c>
      <c r="DU18" s="695">
        <v>0</v>
      </c>
      <c r="DV18" s="587">
        <f>ROUND(13.2*2.84*0,0)</f>
        <v>0</v>
      </c>
      <c r="DW18" s="695">
        <v>0</v>
      </c>
      <c r="DX18" s="587">
        <f>ROUND(13.2*2.84*0,0)</f>
        <v>0</v>
      </c>
      <c r="DY18" s="695">
        <v>0</v>
      </c>
      <c r="DZ18" s="587">
        <f>ROUND(13.2*2.84*0,0)</f>
        <v>0</v>
      </c>
      <c r="EA18" s="695">
        <v>0</v>
      </c>
      <c r="EB18" s="587">
        <f>ROUND(13.2*2.84*0,0)</f>
        <v>0</v>
      </c>
      <c r="EC18" s="695">
        <v>0.2</v>
      </c>
      <c r="ED18" s="587">
        <f>ROUND(13.2*2.84*0.2,0)</f>
        <v>7</v>
      </c>
      <c r="EE18" s="695">
        <v>0.6</v>
      </c>
      <c r="EF18" s="587">
        <f>ROUND(13.2*2.84*0.6,0)</f>
        <v>22</v>
      </c>
      <c r="EG18" s="695">
        <v>0.9</v>
      </c>
      <c r="EH18" s="587">
        <f>ROUND(13.2*2.84*0.9,0)</f>
        <v>34</v>
      </c>
      <c r="EI18" s="695">
        <v>1.1000000000000001</v>
      </c>
      <c r="EJ18" s="587">
        <f>ROUND(13.2*2.84*1.1,0)</f>
        <v>41</v>
      </c>
      <c r="EK18" s="695">
        <v>1.1000000000000001</v>
      </c>
      <c r="EL18" s="587">
        <f>ROUND(13.2*2.84*1.1,0)</f>
        <v>41</v>
      </c>
      <c r="EM18" s="695">
        <v>1</v>
      </c>
      <c r="EN18" s="587">
        <f>ROUND(13.2*2.84*1,0)</f>
        <v>37</v>
      </c>
      <c r="EO18" s="695">
        <v>0.9</v>
      </c>
      <c r="EP18" s="587">
        <f>ROUND(13.2*2.84*0.9,0)</f>
        <v>34</v>
      </c>
      <c r="EQ18" s="695">
        <v>0.8</v>
      </c>
      <c r="ER18" s="587">
        <f>ROUND(13.2*2.84*0.8,0)</f>
        <v>30</v>
      </c>
      <c r="ES18" s="695">
        <v>0.5</v>
      </c>
      <c r="ET18" s="587">
        <f>ROUND(13.2*2.84*0.5,0)</f>
        <v>19</v>
      </c>
      <c r="EU18" s="695">
        <v>0.2</v>
      </c>
      <c r="EV18" s="587">
        <f>ROUND(13.2*2.84*0.2,0)</f>
        <v>7</v>
      </c>
      <c r="EW18" s="695">
        <v>0</v>
      </c>
      <c r="EX18" s="587">
        <f>ROUND(13.2*2.84*0,0)</f>
        <v>0</v>
      </c>
      <c r="EY18" s="695">
        <v>0</v>
      </c>
      <c r="EZ18" s="587">
        <f>ROUND(13.2*2.84*0,0)</f>
        <v>0</v>
      </c>
      <c r="FA18" s="695">
        <v>0</v>
      </c>
      <c r="FB18" s="587">
        <f>ROUND(13.2*2.84*0,0)</f>
        <v>0</v>
      </c>
      <c r="FC18" s="695">
        <v>0</v>
      </c>
      <c r="FD18" s="587">
        <f>ROUND(13.2*2.84*0,0)</f>
        <v>0</v>
      </c>
      <c r="FE18" s="695">
        <v>0</v>
      </c>
      <c r="FF18" s="587">
        <f>ROUND(13.2*2.84*0,0)</f>
        <v>0</v>
      </c>
      <c r="FG18" s="695">
        <v>0</v>
      </c>
      <c r="FH18" s="589">
        <f>ROUND(13.2*2.84*0,0)</f>
        <v>0</v>
      </c>
      <c r="FI18" s="563"/>
      <c r="FJ18" s="564"/>
      <c r="FK18" s="700" t="s">
        <v>261</v>
      </c>
      <c r="FL18" s="691"/>
      <c r="FM18" s="583">
        <v>13.2</v>
      </c>
      <c r="FN18" s="692">
        <v>2.84</v>
      </c>
      <c r="FO18" s="693"/>
      <c r="FP18" s="696">
        <v>9</v>
      </c>
      <c r="FQ18" s="697">
        <v>5.0999999999999996</v>
      </c>
      <c r="FR18" s="587">
        <f>ROUND(13.2*2.84*5.1,0)</f>
        <v>191</v>
      </c>
      <c r="FS18" s="698">
        <v>9</v>
      </c>
      <c r="FT18" s="697">
        <v>5.2</v>
      </c>
      <c r="FU18" s="592">
        <f>ROUND(13.2*2.84*5.2,0)</f>
        <v>195</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c r="C19" s="691"/>
      <c r="D19" s="583"/>
      <c r="E19" s="692"/>
      <c r="F19" s="693"/>
      <c r="G19" s="694"/>
      <c r="H19" s="587"/>
      <c r="I19" s="695"/>
      <c r="J19" s="587"/>
      <c r="K19" s="695"/>
      <c r="L19" s="587"/>
      <c r="M19" s="695"/>
      <c r="N19" s="587"/>
      <c r="O19" s="695"/>
      <c r="P19" s="587"/>
      <c r="Q19" s="695"/>
      <c r="R19" s="587"/>
      <c r="S19" s="695"/>
      <c r="T19" s="587"/>
      <c r="U19" s="695"/>
      <c r="V19" s="587"/>
      <c r="W19" s="695"/>
      <c r="X19" s="587"/>
      <c r="Y19" s="695"/>
      <c r="Z19" s="587"/>
      <c r="AA19" s="695"/>
      <c r="AB19" s="587"/>
      <c r="AC19" s="695"/>
      <c r="AD19" s="587"/>
      <c r="AE19" s="695"/>
      <c r="AF19" s="587"/>
      <c r="AG19" s="695"/>
      <c r="AH19" s="587"/>
      <c r="AI19" s="695"/>
      <c r="AJ19" s="587"/>
      <c r="AK19" s="695"/>
      <c r="AL19" s="587"/>
      <c r="AM19" s="695"/>
      <c r="AN19" s="587"/>
      <c r="AO19" s="695"/>
      <c r="AP19" s="587"/>
      <c r="AQ19" s="695"/>
      <c r="AR19" s="587"/>
      <c r="AS19" s="695"/>
      <c r="AT19" s="587"/>
      <c r="AU19" s="695"/>
      <c r="AV19" s="587"/>
      <c r="AW19" s="695"/>
      <c r="AX19" s="587"/>
      <c r="AY19" s="695"/>
      <c r="AZ19" s="587"/>
      <c r="BA19" s="695"/>
      <c r="BB19" s="589"/>
      <c r="BC19" s="562"/>
      <c r="BD19" s="552"/>
      <c r="BE19" s="700"/>
      <c r="BF19" s="691"/>
      <c r="BG19" s="583"/>
      <c r="BH19" s="692"/>
      <c r="BI19" s="693"/>
      <c r="BJ19" s="694"/>
      <c r="BK19" s="587"/>
      <c r="BL19" s="695"/>
      <c r="BM19" s="587"/>
      <c r="BN19" s="695"/>
      <c r="BO19" s="587"/>
      <c r="BP19" s="695"/>
      <c r="BQ19" s="587"/>
      <c r="BR19" s="695"/>
      <c r="BS19" s="587"/>
      <c r="BT19" s="695"/>
      <c r="BU19" s="587"/>
      <c r="BV19" s="695"/>
      <c r="BW19" s="587"/>
      <c r="BX19" s="695"/>
      <c r="BY19" s="587"/>
      <c r="BZ19" s="695"/>
      <c r="CA19" s="587"/>
      <c r="CB19" s="695"/>
      <c r="CC19" s="587"/>
      <c r="CD19" s="695"/>
      <c r="CE19" s="587"/>
      <c r="CF19" s="695"/>
      <c r="CG19" s="587"/>
      <c r="CH19" s="695"/>
      <c r="CI19" s="587"/>
      <c r="CJ19" s="695"/>
      <c r="CK19" s="587"/>
      <c r="CL19" s="695"/>
      <c r="CM19" s="587"/>
      <c r="CN19" s="695"/>
      <c r="CO19" s="587"/>
      <c r="CP19" s="695"/>
      <c r="CQ19" s="587"/>
      <c r="CR19" s="695"/>
      <c r="CS19" s="587"/>
      <c r="CT19" s="695"/>
      <c r="CU19" s="587"/>
      <c r="CV19" s="695"/>
      <c r="CW19" s="587"/>
      <c r="CX19" s="695"/>
      <c r="CY19" s="587"/>
      <c r="CZ19" s="695"/>
      <c r="DA19" s="587"/>
      <c r="DB19" s="695"/>
      <c r="DC19" s="587"/>
      <c r="DD19" s="695"/>
      <c r="DE19" s="589"/>
      <c r="DF19" s="562"/>
      <c r="DG19" s="552"/>
      <c r="DH19" s="700"/>
      <c r="DI19" s="691"/>
      <c r="DJ19" s="583"/>
      <c r="DK19" s="692"/>
      <c r="DL19" s="693"/>
      <c r="DM19" s="694"/>
      <c r="DN19" s="587"/>
      <c r="DO19" s="695"/>
      <c r="DP19" s="587"/>
      <c r="DQ19" s="695"/>
      <c r="DR19" s="587"/>
      <c r="DS19" s="695"/>
      <c r="DT19" s="587"/>
      <c r="DU19" s="695"/>
      <c r="DV19" s="587"/>
      <c r="DW19" s="695"/>
      <c r="DX19" s="587"/>
      <c r="DY19" s="695"/>
      <c r="DZ19" s="587"/>
      <c r="EA19" s="695"/>
      <c r="EB19" s="587"/>
      <c r="EC19" s="695"/>
      <c r="ED19" s="587"/>
      <c r="EE19" s="695"/>
      <c r="EF19" s="587"/>
      <c r="EG19" s="695"/>
      <c r="EH19" s="587"/>
      <c r="EI19" s="695"/>
      <c r="EJ19" s="587"/>
      <c r="EK19" s="695"/>
      <c r="EL19" s="587"/>
      <c r="EM19" s="695"/>
      <c r="EN19" s="587"/>
      <c r="EO19" s="695"/>
      <c r="EP19" s="587"/>
      <c r="EQ19" s="695"/>
      <c r="ER19" s="587"/>
      <c r="ES19" s="695"/>
      <c r="ET19" s="587"/>
      <c r="EU19" s="695"/>
      <c r="EV19" s="587"/>
      <c r="EW19" s="695"/>
      <c r="EX19" s="587"/>
      <c r="EY19" s="695"/>
      <c r="EZ19" s="587"/>
      <c r="FA19" s="695"/>
      <c r="FB19" s="587"/>
      <c r="FC19" s="695"/>
      <c r="FD19" s="587"/>
      <c r="FE19" s="695"/>
      <c r="FF19" s="587"/>
      <c r="FG19" s="695"/>
      <c r="FH19" s="589"/>
      <c r="FI19" s="563"/>
      <c r="FJ19" s="564"/>
      <c r="FK19" s="700"/>
      <c r="FL19" s="691"/>
      <c r="FM19" s="583"/>
      <c r="FN19" s="692"/>
      <c r="FO19" s="693"/>
      <c r="FP19" s="696"/>
      <c r="FQ19" s="697"/>
      <c r="FR19" s="587"/>
      <c r="FS19" s="698"/>
      <c r="FT19" s="697"/>
      <c r="FU19" s="592"/>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c r="C20" s="691"/>
      <c r="D20" s="583"/>
      <c r="E20" s="692"/>
      <c r="F20" s="693"/>
      <c r="G20" s="694"/>
      <c r="H20" s="587"/>
      <c r="I20" s="695"/>
      <c r="J20" s="587"/>
      <c r="K20" s="695"/>
      <c r="L20" s="587"/>
      <c r="M20" s="695"/>
      <c r="N20" s="587"/>
      <c r="O20" s="695"/>
      <c r="P20" s="587"/>
      <c r="Q20" s="695"/>
      <c r="R20" s="587"/>
      <c r="S20" s="695"/>
      <c r="T20" s="587"/>
      <c r="U20" s="695"/>
      <c r="V20" s="587"/>
      <c r="W20" s="695"/>
      <c r="X20" s="587"/>
      <c r="Y20" s="695"/>
      <c r="Z20" s="587"/>
      <c r="AA20" s="695"/>
      <c r="AB20" s="587"/>
      <c r="AC20" s="695"/>
      <c r="AD20" s="587"/>
      <c r="AE20" s="695"/>
      <c r="AF20" s="587"/>
      <c r="AG20" s="695"/>
      <c r="AH20" s="587"/>
      <c r="AI20" s="695"/>
      <c r="AJ20" s="587"/>
      <c r="AK20" s="695"/>
      <c r="AL20" s="587"/>
      <c r="AM20" s="695"/>
      <c r="AN20" s="587"/>
      <c r="AO20" s="695"/>
      <c r="AP20" s="587"/>
      <c r="AQ20" s="695"/>
      <c r="AR20" s="587"/>
      <c r="AS20" s="695"/>
      <c r="AT20" s="587"/>
      <c r="AU20" s="695"/>
      <c r="AV20" s="587"/>
      <c r="AW20" s="695"/>
      <c r="AX20" s="587"/>
      <c r="AY20" s="695"/>
      <c r="AZ20" s="587"/>
      <c r="BA20" s="695"/>
      <c r="BB20" s="589"/>
      <c r="BC20" s="562"/>
      <c r="BD20" s="552"/>
      <c r="BE20" s="700"/>
      <c r="BF20" s="691"/>
      <c r="BG20" s="583"/>
      <c r="BH20" s="692"/>
      <c r="BI20" s="693"/>
      <c r="BJ20" s="694"/>
      <c r="BK20" s="587"/>
      <c r="BL20" s="695"/>
      <c r="BM20" s="587"/>
      <c r="BN20" s="695"/>
      <c r="BO20" s="587"/>
      <c r="BP20" s="695"/>
      <c r="BQ20" s="587"/>
      <c r="BR20" s="695"/>
      <c r="BS20" s="587"/>
      <c r="BT20" s="695"/>
      <c r="BU20" s="587"/>
      <c r="BV20" s="695"/>
      <c r="BW20" s="587"/>
      <c r="BX20" s="695"/>
      <c r="BY20" s="587"/>
      <c r="BZ20" s="695"/>
      <c r="CA20" s="587"/>
      <c r="CB20" s="695"/>
      <c r="CC20" s="587"/>
      <c r="CD20" s="695"/>
      <c r="CE20" s="587"/>
      <c r="CF20" s="695"/>
      <c r="CG20" s="587"/>
      <c r="CH20" s="695"/>
      <c r="CI20" s="587"/>
      <c r="CJ20" s="695"/>
      <c r="CK20" s="587"/>
      <c r="CL20" s="695"/>
      <c r="CM20" s="587"/>
      <c r="CN20" s="695"/>
      <c r="CO20" s="587"/>
      <c r="CP20" s="695"/>
      <c r="CQ20" s="587"/>
      <c r="CR20" s="695"/>
      <c r="CS20" s="587"/>
      <c r="CT20" s="695"/>
      <c r="CU20" s="587"/>
      <c r="CV20" s="695"/>
      <c r="CW20" s="587"/>
      <c r="CX20" s="695"/>
      <c r="CY20" s="587"/>
      <c r="CZ20" s="695"/>
      <c r="DA20" s="587"/>
      <c r="DB20" s="695"/>
      <c r="DC20" s="587"/>
      <c r="DD20" s="695"/>
      <c r="DE20" s="589"/>
      <c r="DF20" s="562"/>
      <c r="DG20" s="552"/>
      <c r="DH20" s="700"/>
      <c r="DI20" s="691"/>
      <c r="DJ20" s="583"/>
      <c r="DK20" s="692"/>
      <c r="DL20" s="693"/>
      <c r="DM20" s="694"/>
      <c r="DN20" s="587"/>
      <c r="DO20" s="695"/>
      <c r="DP20" s="587"/>
      <c r="DQ20" s="695"/>
      <c r="DR20" s="587"/>
      <c r="DS20" s="695"/>
      <c r="DT20" s="587"/>
      <c r="DU20" s="695"/>
      <c r="DV20" s="587"/>
      <c r="DW20" s="695"/>
      <c r="DX20" s="587"/>
      <c r="DY20" s="695"/>
      <c r="DZ20" s="587"/>
      <c r="EA20" s="695"/>
      <c r="EB20" s="587"/>
      <c r="EC20" s="695"/>
      <c r="ED20" s="587"/>
      <c r="EE20" s="695"/>
      <c r="EF20" s="587"/>
      <c r="EG20" s="695"/>
      <c r="EH20" s="587"/>
      <c r="EI20" s="695"/>
      <c r="EJ20" s="587"/>
      <c r="EK20" s="695"/>
      <c r="EL20" s="587"/>
      <c r="EM20" s="695"/>
      <c r="EN20" s="587"/>
      <c r="EO20" s="695"/>
      <c r="EP20" s="587"/>
      <c r="EQ20" s="695"/>
      <c r="ER20" s="587"/>
      <c r="ES20" s="695"/>
      <c r="ET20" s="587"/>
      <c r="EU20" s="695"/>
      <c r="EV20" s="587"/>
      <c r="EW20" s="695"/>
      <c r="EX20" s="587"/>
      <c r="EY20" s="695"/>
      <c r="EZ20" s="587"/>
      <c r="FA20" s="695"/>
      <c r="FB20" s="587"/>
      <c r="FC20" s="695"/>
      <c r="FD20" s="587"/>
      <c r="FE20" s="695"/>
      <c r="FF20" s="587"/>
      <c r="FG20" s="695"/>
      <c r="FH20" s="589"/>
      <c r="FI20" s="563"/>
      <c r="FJ20" s="564"/>
      <c r="FK20" s="700"/>
      <c r="FL20" s="691"/>
      <c r="FM20" s="583"/>
      <c r="FN20" s="692"/>
      <c r="FO20" s="693"/>
      <c r="FP20" s="696"/>
      <c r="FQ20" s="697"/>
      <c r="FR20" s="587"/>
      <c r="FS20" s="698"/>
      <c r="FT20" s="697"/>
      <c r="FU20" s="592"/>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c r="C21" s="691"/>
      <c r="D21" s="583"/>
      <c r="E21" s="692"/>
      <c r="F21" s="693"/>
      <c r="G21" s="694"/>
      <c r="H21" s="587"/>
      <c r="I21" s="695"/>
      <c r="J21" s="587"/>
      <c r="K21" s="695"/>
      <c r="L21" s="587"/>
      <c r="M21" s="695"/>
      <c r="N21" s="587"/>
      <c r="O21" s="695"/>
      <c r="P21" s="587"/>
      <c r="Q21" s="695"/>
      <c r="R21" s="587"/>
      <c r="S21" s="695"/>
      <c r="T21" s="587"/>
      <c r="U21" s="695"/>
      <c r="V21" s="587"/>
      <c r="W21" s="695"/>
      <c r="X21" s="587"/>
      <c r="Y21" s="695"/>
      <c r="Z21" s="587"/>
      <c r="AA21" s="695"/>
      <c r="AB21" s="587"/>
      <c r="AC21" s="695"/>
      <c r="AD21" s="587"/>
      <c r="AE21" s="695"/>
      <c r="AF21" s="587"/>
      <c r="AG21" s="695"/>
      <c r="AH21" s="587"/>
      <c r="AI21" s="695"/>
      <c r="AJ21" s="587"/>
      <c r="AK21" s="695"/>
      <c r="AL21" s="587"/>
      <c r="AM21" s="695"/>
      <c r="AN21" s="587"/>
      <c r="AO21" s="695"/>
      <c r="AP21" s="587"/>
      <c r="AQ21" s="695"/>
      <c r="AR21" s="587"/>
      <c r="AS21" s="695"/>
      <c r="AT21" s="587"/>
      <c r="AU21" s="695"/>
      <c r="AV21" s="587"/>
      <c r="AW21" s="695"/>
      <c r="AX21" s="587"/>
      <c r="AY21" s="695"/>
      <c r="AZ21" s="587"/>
      <c r="BA21" s="695"/>
      <c r="BB21" s="589"/>
      <c r="BC21" s="562"/>
      <c r="BD21" s="552"/>
      <c r="BE21" s="700"/>
      <c r="BF21" s="691"/>
      <c r="BG21" s="583"/>
      <c r="BH21" s="692"/>
      <c r="BI21" s="693"/>
      <c r="BJ21" s="694"/>
      <c r="BK21" s="587"/>
      <c r="BL21" s="695"/>
      <c r="BM21" s="587"/>
      <c r="BN21" s="695"/>
      <c r="BO21" s="587"/>
      <c r="BP21" s="695"/>
      <c r="BQ21" s="587"/>
      <c r="BR21" s="695"/>
      <c r="BS21" s="587"/>
      <c r="BT21" s="695"/>
      <c r="BU21" s="587"/>
      <c r="BV21" s="695"/>
      <c r="BW21" s="587"/>
      <c r="BX21" s="695"/>
      <c r="BY21" s="587"/>
      <c r="BZ21" s="695"/>
      <c r="CA21" s="587"/>
      <c r="CB21" s="695"/>
      <c r="CC21" s="587"/>
      <c r="CD21" s="695"/>
      <c r="CE21" s="587"/>
      <c r="CF21" s="695"/>
      <c r="CG21" s="587"/>
      <c r="CH21" s="695"/>
      <c r="CI21" s="587"/>
      <c r="CJ21" s="695"/>
      <c r="CK21" s="587"/>
      <c r="CL21" s="695"/>
      <c r="CM21" s="587"/>
      <c r="CN21" s="695"/>
      <c r="CO21" s="587"/>
      <c r="CP21" s="695"/>
      <c r="CQ21" s="587"/>
      <c r="CR21" s="695"/>
      <c r="CS21" s="587"/>
      <c r="CT21" s="695"/>
      <c r="CU21" s="587"/>
      <c r="CV21" s="695"/>
      <c r="CW21" s="587"/>
      <c r="CX21" s="695"/>
      <c r="CY21" s="587"/>
      <c r="CZ21" s="695"/>
      <c r="DA21" s="587"/>
      <c r="DB21" s="695"/>
      <c r="DC21" s="587"/>
      <c r="DD21" s="695"/>
      <c r="DE21" s="589"/>
      <c r="DF21" s="562"/>
      <c r="DG21" s="552"/>
      <c r="DH21" s="700"/>
      <c r="DI21" s="691"/>
      <c r="DJ21" s="583"/>
      <c r="DK21" s="692"/>
      <c r="DL21" s="693"/>
      <c r="DM21" s="694"/>
      <c r="DN21" s="587"/>
      <c r="DO21" s="695"/>
      <c r="DP21" s="587"/>
      <c r="DQ21" s="695"/>
      <c r="DR21" s="587"/>
      <c r="DS21" s="695"/>
      <c r="DT21" s="587"/>
      <c r="DU21" s="695"/>
      <c r="DV21" s="587"/>
      <c r="DW21" s="695"/>
      <c r="DX21" s="587"/>
      <c r="DY21" s="695"/>
      <c r="DZ21" s="587"/>
      <c r="EA21" s="695"/>
      <c r="EB21" s="587"/>
      <c r="EC21" s="695"/>
      <c r="ED21" s="587"/>
      <c r="EE21" s="695"/>
      <c r="EF21" s="587"/>
      <c r="EG21" s="695"/>
      <c r="EH21" s="587"/>
      <c r="EI21" s="695"/>
      <c r="EJ21" s="587"/>
      <c r="EK21" s="695"/>
      <c r="EL21" s="587"/>
      <c r="EM21" s="695"/>
      <c r="EN21" s="587"/>
      <c r="EO21" s="695"/>
      <c r="EP21" s="587"/>
      <c r="EQ21" s="695"/>
      <c r="ER21" s="587"/>
      <c r="ES21" s="695"/>
      <c r="ET21" s="587"/>
      <c r="EU21" s="695"/>
      <c r="EV21" s="587"/>
      <c r="EW21" s="695"/>
      <c r="EX21" s="587"/>
      <c r="EY21" s="695"/>
      <c r="EZ21" s="587"/>
      <c r="FA21" s="695"/>
      <c r="FB21" s="587"/>
      <c r="FC21" s="695"/>
      <c r="FD21" s="587"/>
      <c r="FE21" s="695"/>
      <c r="FF21" s="587"/>
      <c r="FG21" s="695"/>
      <c r="FH21" s="589"/>
      <c r="FI21" s="563"/>
      <c r="FJ21" s="564"/>
      <c r="FK21" s="700"/>
      <c r="FL21" s="691"/>
      <c r="FM21" s="583"/>
      <c r="FN21" s="692"/>
      <c r="FO21" s="693"/>
      <c r="FP21" s="696"/>
      <c r="FQ21" s="697"/>
      <c r="FR21" s="587"/>
      <c r="FS21" s="698"/>
      <c r="FT21" s="697"/>
      <c r="FU21" s="592"/>
      <c r="FV21" s="593"/>
      <c r="FW21" s="594"/>
      <c r="FX21" s="595"/>
      <c r="FY21" s="596"/>
      <c r="FZ21" s="597"/>
      <c r="GA21" s="598"/>
      <c r="GB21" s="599"/>
      <c r="GC21" s="600"/>
      <c r="GD21" s="599"/>
      <c r="GE21" s="601"/>
      <c r="GF21" s="688"/>
      <c r="GG21" s="602"/>
      <c r="GH21" s="602"/>
      <c r="GI21" s="602"/>
      <c r="GJ21" s="409"/>
      <c r="GK21" s="701" t="s">
        <v>536</v>
      </c>
      <c r="GL21" s="702"/>
      <c r="GM21" s="703"/>
      <c r="GN21" s="638">
        <v>0</v>
      </c>
      <c r="GO21" s="704"/>
      <c r="GP21" s="705"/>
      <c r="GQ21" s="633">
        <v>0</v>
      </c>
      <c r="GR21" s="634">
        <v>0</v>
      </c>
      <c r="GS21" s="578"/>
      <c r="GT21" s="677"/>
      <c r="GU21" s="701" t="s">
        <v>536</v>
      </c>
      <c r="GV21" s="702"/>
      <c r="GW21" s="703"/>
      <c r="GX21" s="706">
        <v>0</v>
      </c>
      <c r="GY21" s="707"/>
      <c r="GZ21" s="704"/>
      <c r="HA21" s="708">
        <v>0</v>
      </c>
      <c r="HB21" s="709"/>
      <c r="HC21" s="710"/>
      <c r="HD21" s="562"/>
      <c r="HE21" s="615"/>
      <c r="HF21" s="615"/>
      <c r="HG21" s="415"/>
    </row>
    <row r="22" spans="1:218" ht="20.100000000000001" customHeight="1">
      <c r="A22" s="552"/>
      <c r="B22" s="700"/>
      <c r="C22" s="691"/>
      <c r="D22" s="583"/>
      <c r="E22" s="692"/>
      <c r="F22" s="693"/>
      <c r="G22" s="694"/>
      <c r="H22" s="587"/>
      <c r="I22" s="695"/>
      <c r="J22" s="587"/>
      <c r="K22" s="695"/>
      <c r="L22" s="587"/>
      <c r="M22" s="695"/>
      <c r="N22" s="587"/>
      <c r="O22" s="695"/>
      <c r="P22" s="587"/>
      <c r="Q22" s="695"/>
      <c r="R22" s="587"/>
      <c r="S22" s="695"/>
      <c r="T22" s="587"/>
      <c r="U22" s="695"/>
      <c r="V22" s="587"/>
      <c r="W22" s="695"/>
      <c r="X22" s="587"/>
      <c r="Y22" s="695"/>
      <c r="Z22" s="587"/>
      <c r="AA22" s="695"/>
      <c r="AB22" s="587"/>
      <c r="AC22" s="695"/>
      <c r="AD22" s="587"/>
      <c r="AE22" s="695"/>
      <c r="AF22" s="587"/>
      <c r="AG22" s="695"/>
      <c r="AH22" s="587"/>
      <c r="AI22" s="695"/>
      <c r="AJ22" s="587"/>
      <c r="AK22" s="695"/>
      <c r="AL22" s="587"/>
      <c r="AM22" s="695"/>
      <c r="AN22" s="587"/>
      <c r="AO22" s="695"/>
      <c r="AP22" s="587"/>
      <c r="AQ22" s="695"/>
      <c r="AR22" s="587"/>
      <c r="AS22" s="695"/>
      <c r="AT22" s="587"/>
      <c r="AU22" s="695"/>
      <c r="AV22" s="587"/>
      <c r="AW22" s="695"/>
      <c r="AX22" s="587"/>
      <c r="AY22" s="695"/>
      <c r="AZ22" s="587"/>
      <c r="BA22" s="695"/>
      <c r="BB22" s="589"/>
      <c r="BC22" s="562"/>
      <c r="BD22" s="552"/>
      <c r="BE22" s="700"/>
      <c r="BF22" s="691"/>
      <c r="BG22" s="583"/>
      <c r="BH22" s="692"/>
      <c r="BI22" s="693"/>
      <c r="BJ22" s="694"/>
      <c r="BK22" s="587"/>
      <c r="BL22" s="695"/>
      <c r="BM22" s="587"/>
      <c r="BN22" s="695"/>
      <c r="BO22" s="587"/>
      <c r="BP22" s="695"/>
      <c r="BQ22" s="587"/>
      <c r="BR22" s="695"/>
      <c r="BS22" s="587"/>
      <c r="BT22" s="695"/>
      <c r="BU22" s="587"/>
      <c r="BV22" s="695"/>
      <c r="BW22" s="587"/>
      <c r="BX22" s="695"/>
      <c r="BY22" s="587"/>
      <c r="BZ22" s="695"/>
      <c r="CA22" s="587"/>
      <c r="CB22" s="695"/>
      <c r="CC22" s="587"/>
      <c r="CD22" s="695"/>
      <c r="CE22" s="587"/>
      <c r="CF22" s="695"/>
      <c r="CG22" s="587"/>
      <c r="CH22" s="695"/>
      <c r="CI22" s="587"/>
      <c r="CJ22" s="695"/>
      <c r="CK22" s="587"/>
      <c r="CL22" s="695"/>
      <c r="CM22" s="587"/>
      <c r="CN22" s="695"/>
      <c r="CO22" s="587"/>
      <c r="CP22" s="695"/>
      <c r="CQ22" s="587"/>
      <c r="CR22" s="695"/>
      <c r="CS22" s="587"/>
      <c r="CT22" s="695"/>
      <c r="CU22" s="587"/>
      <c r="CV22" s="695"/>
      <c r="CW22" s="587"/>
      <c r="CX22" s="695"/>
      <c r="CY22" s="587"/>
      <c r="CZ22" s="695"/>
      <c r="DA22" s="587"/>
      <c r="DB22" s="695"/>
      <c r="DC22" s="587"/>
      <c r="DD22" s="695"/>
      <c r="DE22" s="589"/>
      <c r="DF22" s="562"/>
      <c r="DG22" s="552"/>
      <c r="DH22" s="700"/>
      <c r="DI22" s="691"/>
      <c r="DJ22" s="583"/>
      <c r="DK22" s="692"/>
      <c r="DL22" s="693"/>
      <c r="DM22" s="694"/>
      <c r="DN22" s="587"/>
      <c r="DO22" s="695"/>
      <c r="DP22" s="587"/>
      <c r="DQ22" s="695"/>
      <c r="DR22" s="587"/>
      <c r="DS22" s="695"/>
      <c r="DT22" s="587"/>
      <c r="DU22" s="695"/>
      <c r="DV22" s="587"/>
      <c r="DW22" s="695"/>
      <c r="DX22" s="587"/>
      <c r="DY22" s="695"/>
      <c r="DZ22" s="587"/>
      <c r="EA22" s="695"/>
      <c r="EB22" s="587"/>
      <c r="EC22" s="695"/>
      <c r="ED22" s="587"/>
      <c r="EE22" s="695"/>
      <c r="EF22" s="587"/>
      <c r="EG22" s="695"/>
      <c r="EH22" s="587"/>
      <c r="EI22" s="695"/>
      <c r="EJ22" s="587"/>
      <c r="EK22" s="695"/>
      <c r="EL22" s="587"/>
      <c r="EM22" s="695"/>
      <c r="EN22" s="587"/>
      <c r="EO22" s="695"/>
      <c r="EP22" s="587"/>
      <c r="EQ22" s="695"/>
      <c r="ER22" s="587"/>
      <c r="ES22" s="695"/>
      <c r="ET22" s="587"/>
      <c r="EU22" s="695"/>
      <c r="EV22" s="587"/>
      <c r="EW22" s="695"/>
      <c r="EX22" s="587"/>
      <c r="EY22" s="695"/>
      <c r="EZ22" s="587"/>
      <c r="FA22" s="695"/>
      <c r="FB22" s="587"/>
      <c r="FC22" s="695"/>
      <c r="FD22" s="587"/>
      <c r="FE22" s="695"/>
      <c r="FF22" s="587"/>
      <c r="FG22" s="695"/>
      <c r="FH22" s="589"/>
      <c r="FI22" s="563"/>
      <c r="FJ22" s="564"/>
      <c r="FK22" s="700"/>
      <c r="FL22" s="691"/>
      <c r="FM22" s="583"/>
      <c r="FN22" s="692"/>
      <c r="FO22" s="693"/>
      <c r="FP22" s="696"/>
      <c r="FQ22" s="697"/>
      <c r="FR22" s="587"/>
      <c r="FS22" s="698"/>
      <c r="FT22" s="697"/>
      <c r="FU22" s="592"/>
      <c r="FV22" s="593"/>
      <c r="FW22" s="594"/>
      <c r="FX22" s="595"/>
      <c r="FY22" s="596"/>
      <c r="FZ22" s="597"/>
      <c r="GA22" s="598"/>
      <c r="GB22" s="599"/>
      <c r="GC22" s="600"/>
      <c r="GD22" s="599"/>
      <c r="GE22" s="601"/>
      <c r="GF22" s="688"/>
      <c r="GG22" s="602"/>
      <c r="GH22" s="602"/>
      <c r="GI22" s="602"/>
      <c r="GJ22" s="530"/>
      <c r="GK22" s="711" t="s">
        <v>539</v>
      </c>
      <c r="GL22" s="712"/>
      <c r="GM22" s="712"/>
      <c r="GN22" s="713"/>
      <c r="GO22" s="633">
        <v>0</v>
      </c>
      <c r="GP22" s="633">
        <v>1</v>
      </c>
      <c r="GQ22" s="714"/>
      <c r="GR22" s="715"/>
      <c r="GS22" s="578"/>
      <c r="GT22" s="677"/>
      <c r="GU22" s="711" t="s">
        <v>539</v>
      </c>
      <c r="GV22" s="712"/>
      <c r="GW22" s="712"/>
      <c r="GX22" s="712"/>
      <c r="GY22" s="713"/>
      <c r="GZ22" s="633">
        <v>0</v>
      </c>
      <c r="HA22" s="716"/>
      <c r="HB22" s="717"/>
      <c r="HC22" s="413"/>
      <c r="HD22" s="562"/>
      <c r="HE22" s="415"/>
      <c r="HF22" s="415"/>
      <c r="HG22" s="415"/>
    </row>
    <row r="23" spans="1:218" ht="20.100000000000001" customHeight="1">
      <c r="A23" s="552"/>
      <c r="B23" s="700"/>
      <c r="C23" s="691"/>
      <c r="D23" s="583"/>
      <c r="E23" s="692"/>
      <c r="F23" s="693"/>
      <c r="G23" s="694"/>
      <c r="H23" s="587"/>
      <c r="I23" s="695"/>
      <c r="J23" s="587"/>
      <c r="K23" s="695"/>
      <c r="L23" s="587"/>
      <c r="M23" s="695"/>
      <c r="N23" s="587"/>
      <c r="O23" s="695"/>
      <c r="P23" s="587"/>
      <c r="Q23" s="695"/>
      <c r="R23" s="587"/>
      <c r="S23" s="695"/>
      <c r="T23" s="587"/>
      <c r="U23" s="695"/>
      <c r="V23" s="587"/>
      <c r="W23" s="695"/>
      <c r="X23" s="587"/>
      <c r="Y23" s="695"/>
      <c r="Z23" s="587"/>
      <c r="AA23" s="695"/>
      <c r="AB23" s="587"/>
      <c r="AC23" s="695"/>
      <c r="AD23" s="587"/>
      <c r="AE23" s="695"/>
      <c r="AF23" s="587"/>
      <c r="AG23" s="695"/>
      <c r="AH23" s="587"/>
      <c r="AI23" s="695"/>
      <c r="AJ23" s="587"/>
      <c r="AK23" s="695"/>
      <c r="AL23" s="587"/>
      <c r="AM23" s="695"/>
      <c r="AN23" s="587"/>
      <c r="AO23" s="695"/>
      <c r="AP23" s="587"/>
      <c r="AQ23" s="695"/>
      <c r="AR23" s="587"/>
      <c r="AS23" s="695"/>
      <c r="AT23" s="587"/>
      <c r="AU23" s="695"/>
      <c r="AV23" s="587"/>
      <c r="AW23" s="695"/>
      <c r="AX23" s="587"/>
      <c r="AY23" s="695"/>
      <c r="AZ23" s="587"/>
      <c r="BA23" s="695"/>
      <c r="BB23" s="589"/>
      <c r="BC23" s="562"/>
      <c r="BD23" s="552"/>
      <c r="BE23" s="700"/>
      <c r="BF23" s="691"/>
      <c r="BG23" s="583"/>
      <c r="BH23" s="692"/>
      <c r="BI23" s="693"/>
      <c r="BJ23" s="694"/>
      <c r="BK23" s="587"/>
      <c r="BL23" s="695"/>
      <c r="BM23" s="587"/>
      <c r="BN23" s="695"/>
      <c r="BO23" s="587"/>
      <c r="BP23" s="695"/>
      <c r="BQ23" s="587"/>
      <c r="BR23" s="695"/>
      <c r="BS23" s="587"/>
      <c r="BT23" s="695"/>
      <c r="BU23" s="587"/>
      <c r="BV23" s="695"/>
      <c r="BW23" s="587"/>
      <c r="BX23" s="695"/>
      <c r="BY23" s="587"/>
      <c r="BZ23" s="695"/>
      <c r="CA23" s="587"/>
      <c r="CB23" s="695"/>
      <c r="CC23" s="587"/>
      <c r="CD23" s="695"/>
      <c r="CE23" s="587"/>
      <c r="CF23" s="695"/>
      <c r="CG23" s="587"/>
      <c r="CH23" s="695"/>
      <c r="CI23" s="587"/>
      <c r="CJ23" s="695"/>
      <c r="CK23" s="587"/>
      <c r="CL23" s="695"/>
      <c r="CM23" s="587"/>
      <c r="CN23" s="695"/>
      <c r="CO23" s="587"/>
      <c r="CP23" s="695"/>
      <c r="CQ23" s="587"/>
      <c r="CR23" s="695"/>
      <c r="CS23" s="587"/>
      <c r="CT23" s="695"/>
      <c r="CU23" s="587"/>
      <c r="CV23" s="695"/>
      <c r="CW23" s="587"/>
      <c r="CX23" s="695"/>
      <c r="CY23" s="587"/>
      <c r="CZ23" s="695"/>
      <c r="DA23" s="587"/>
      <c r="DB23" s="695"/>
      <c r="DC23" s="587"/>
      <c r="DD23" s="695"/>
      <c r="DE23" s="589"/>
      <c r="DF23" s="562"/>
      <c r="DG23" s="552"/>
      <c r="DH23" s="700"/>
      <c r="DI23" s="691"/>
      <c r="DJ23" s="583"/>
      <c r="DK23" s="692"/>
      <c r="DL23" s="693"/>
      <c r="DM23" s="694"/>
      <c r="DN23" s="587"/>
      <c r="DO23" s="695"/>
      <c r="DP23" s="587"/>
      <c r="DQ23" s="695"/>
      <c r="DR23" s="587"/>
      <c r="DS23" s="695"/>
      <c r="DT23" s="587"/>
      <c r="DU23" s="695"/>
      <c r="DV23" s="587"/>
      <c r="DW23" s="695"/>
      <c r="DX23" s="587"/>
      <c r="DY23" s="695"/>
      <c r="DZ23" s="587"/>
      <c r="EA23" s="695"/>
      <c r="EB23" s="587"/>
      <c r="EC23" s="695"/>
      <c r="ED23" s="587"/>
      <c r="EE23" s="695"/>
      <c r="EF23" s="587"/>
      <c r="EG23" s="695"/>
      <c r="EH23" s="587"/>
      <c r="EI23" s="695"/>
      <c r="EJ23" s="587"/>
      <c r="EK23" s="695"/>
      <c r="EL23" s="587"/>
      <c r="EM23" s="695"/>
      <c r="EN23" s="587"/>
      <c r="EO23" s="695"/>
      <c r="EP23" s="587"/>
      <c r="EQ23" s="695"/>
      <c r="ER23" s="587"/>
      <c r="ES23" s="695"/>
      <c r="ET23" s="587"/>
      <c r="EU23" s="695"/>
      <c r="EV23" s="587"/>
      <c r="EW23" s="695"/>
      <c r="EX23" s="587"/>
      <c r="EY23" s="695"/>
      <c r="EZ23" s="587"/>
      <c r="FA23" s="695"/>
      <c r="FB23" s="587"/>
      <c r="FC23" s="695"/>
      <c r="FD23" s="587"/>
      <c r="FE23" s="695"/>
      <c r="FF23" s="587"/>
      <c r="FG23" s="695"/>
      <c r="FH23" s="589"/>
      <c r="FI23" s="563"/>
      <c r="FJ23" s="564"/>
      <c r="FK23" s="700"/>
      <c r="FL23" s="691"/>
      <c r="FM23" s="583"/>
      <c r="FN23" s="692"/>
      <c r="FO23" s="693"/>
      <c r="FP23" s="696"/>
      <c r="FQ23" s="697"/>
      <c r="FR23" s="587"/>
      <c r="FS23" s="698"/>
      <c r="FT23" s="697"/>
      <c r="FU23" s="592"/>
      <c r="FV23" s="593"/>
      <c r="FW23" s="594"/>
      <c r="FX23" s="595"/>
      <c r="FY23" s="596"/>
      <c r="FZ23" s="597"/>
      <c r="GA23" s="598"/>
      <c r="GB23" s="599"/>
      <c r="GC23" s="600"/>
      <c r="GD23" s="599"/>
      <c r="GE23" s="601"/>
      <c r="GF23" s="688"/>
      <c r="GG23" s="602"/>
      <c r="GH23" s="602"/>
      <c r="GI23" s="602"/>
      <c r="GJ23" s="615"/>
      <c r="GK23" s="580" t="s">
        <v>777</v>
      </c>
      <c r="GL23" s="609"/>
      <c r="GM23" s="718"/>
      <c r="GN23" s="719">
        <v>13.23</v>
      </c>
      <c r="GO23" s="500" t="s">
        <v>318</v>
      </c>
      <c r="GP23" s="719"/>
      <c r="GQ23" s="609"/>
      <c r="GR23" s="615"/>
      <c r="GS23" s="578"/>
      <c r="GT23" s="677"/>
      <c r="GU23" s="609"/>
      <c r="GV23" s="530"/>
      <c r="GW23" s="609"/>
      <c r="GX23" s="609"/>
      <c r="GY23" s="720"/>
      <c r="GZ23" s="721"/>
      <c r="HA23" s="413"/>
      <c r="HB23" s="721" t="s">
        <v>702</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542</v>
      </c>
      <c r="GL24" s="609"/>
      <c r="GM24" s="718"/>
      <c r="GN24" s="719">
        <v>0</v>
      </c>
      <c r="GO24" s="719"/>
      <c r="GP24" s="719"/>
      <c r="GQ24" s="609"/>
      <c r="GR24" s="615"/>
      <c r="GS24" s="609"/>
      <c r="GT24" s="677"/>
      <c r="GU24" s="580" t="s">
        <v>543</v>
      </c>
      <c r="GV24" s="609"/>
      <c r="GW24" s="609"/>
      <c r="GX24" s="413"/>
      <c r="GY24" s="722">
        <v>614</v>
      </c>
      <c r="GZ24" s="580" t="s">
        <v>319</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544</v>
      </c>
      <c r="GV25" s="609"/>
      <c r="GW25" s="609"/>
      <c r="GX25" s="413"/>
      <c r="GY25" s="733">
        <v>1</v>
      </c>
      <c r="GZ25" s="580"/>
      <c r="HA25" s="530"/>
      <c r="HB25" s="530"/>
      <c r="HC25" s="530"/>
      <c r="HD25" s="562"/>
      <c r="HE25" s="562"/>
      <c r="HF25" s="415"/>
      <c r="HG25" s="415"/>
    </row>
    <row r="26" spans="1:218" ht="20.100000000000001" customHeight="1">
      <c r="A26" s="641"/>
      <c r="B26" s="642"/>
      <c r="C26" s="642"/>
      <c r="D26" s="642" t="s">
        <v>865</v>
      </c>
      <c r="E26" s="642"/>
      <c r="F26" s="642"/>
      <c r="G26" s="644"/>
      <c r="H26" s="645">
        <f>SUM(H16:H25)</f>
        <v>0</v>
      </c>
      <c r="I26" s="734"/>
      <c r="J26" s="645">
        <f>SUM(J16:J25)</f>
        <v>0</v>
      </c>
      <c r="K26" s="735"/>
      <c r="L26" s="645">
        <f>SUM(L16:L25)</f>
        <v>0</v>
      </c>
      <c r="M26" s="735"/>
      <c r="N26" s="645">
        <f>SUM(N16:N25)</f>
        <v>0</v>
      </c>
      <c r="O26" s="735"/>
      <c r="P26" s="645">
        <f>SUM(P16:P25)</f>
        <v>0</v>
      </c>
      <c r="Q26" s="735"/>
      <c r="R26" s="645">
        <f>SUM(R16:R25)</f>
        <v>0</v>
      </c>
      <c r="S26" s="735"/>
      <c r="T26" s="645">
        <f>SUM(T16:T25)</f>
        <v>0</v>
      </c>
      <c r="U26" s="735"/>
      <c r="V26" s="645">
        <f>SUM(V16:V25)</f>
        <v>0</v>
      </c>
      <c r="W26" s="735"/>
      <c r="X26" s="645">
        <f>SUM(X16:X25)</f>
        <v>78</v>
      </c>
      <c r="Y26" s="735"/>
      <c r="Z26" s="645">
        <f>SUM(Z16:Z25)</f>
        <v>96</v>
      </c>
      <c r="AA26" s="735"/>
      <c r="AB26" s="645">
        <f>SUM(AB16:AB25)</f>
        <v>113</v>
      </c>
      <c r="AC26" s="735"/>
      <c r="AD26" s="645">
        <f>SUM(AD16:AD25)</f>
        <v>119</v>
      </c>
      <c r="AE26" s="735"/>
      <c r="AF26" s="645">
        <f>SUM(AF16:AF25)</f>
        <v>127</v>
      </c>
      <c r="AG26" s="735"/>
      <c r="AH26" s="645">
        <f>SUM(AH16:AH25)</f>
        <v>131</v>
      </c>
      <c r="AI26" s="735"/>
      <c r="AJ26" s="645">
        <f>SUM(AJ16:AJ25)</f>
        <v>124</v>
      </c>
      <c r="AK26" s="735"/>
      <c r="AL26" s="645">
        <f>SUM(AL16:AL25)</f>
        <v>123</v>
      </c>
      <c r="AM26" s="735"/>
      <c r="AN26" s="645">
        <f>SUM(AN16:AN25)</f>
        <v>111</v>
      </c>
      <c r="AO26" s="735"/>
      <c r="AP26" s="645">
        <f>SUM(AP16:AP25)</f>
        <v>104</v>
      </c>
      <c r="AQ26" s="735"/>
      <c r="AR26" s="645">
        <f>SUM(AR16:AR25)</f>
        <v>0</v>
      </c>
      <c r="AS26" s="735"/>
      <c r="AT26" s="645">
        <f>SUM(AT16:AT25)</f>
        <v>0</v>
      </c>
      <c r="AU26" s="735"/>
      <c r="AV26" s="645">
        <f>SUM(AV16:AV25)</f>
        <v>0</v>
      </c>
      <c r="AW26" s="735"/>
      <c r="AX26" s="645">
        <f>SUM(AX16:AX25)</f>
        <v>0</v>
      </c>
      <c r="AY26" s="735"/>
      <c r="AZ26" s="645">
        <f>SUM(AZ16:AZ25)</f>
        <v>0</v>
      </c>
      <c r="BA26" s="735"/>
      <c r="BB26" s="647">
        <f>SUM(BB16:BB25)</f>
        <v>0</v>
      </c>
      <c r="BC26" s="648"/>
      <c r="BD26" s="641"/>
      <c r="BE26" s="642"/>
      <c r="BF26" s="642"/>
      <c r="BG26" s="642" t="s">
        <v>641</v>
      </c>
      <c r="BH26" s="642"/>
      <c r="BI26" s="642"/>
      <c r="BJ26" s="644"/>
      <c r="BK26" s="645">
        <f>SUM(BK16:BK25)</f>
        <v>0</v>
      </c>
      <c r="BL26" s="734"/>
      <c r="BM26" s="645">
        <f>SUM(BM16:BM25)</f>
        <v>0</v>
      </c>
      <c r="BN26" s="735"/>
      <c r="BO26" s="645">
        <f>SUM(BO16:BO25)</f>
        <v>0</v>
      </c>
      <c r="BP26" s="735"/>
      <c r="BQ26" s="645">
        <f>SUM(BQ16:BQ25)</f>
        <v>0</v>
      </c>
      <c r="BR26" s="735"/>
      <c r="BS26" s="645">
        <f>SUM(BS16:BS25)</f>
        <v>0</v>
      </c>
      <c r="BT26" s="735"/>
      <c r="BU26" s="645">
        <f>SUM(BU16:BU25)</f>
        <v>0</v>
      </c>
      <c r="BV26" s="735"/>
      <c r="BW26" s="645">
        <f>SUM(BW16:BW25)</f>
        <v>0</v>
      </c>
      <c r="BX26" s="735"/>
      <c r="BY26" s="645">
        <f>SUM(BY16:BY25)</f>
        <v>0</v>
      </c>
      <c r="BZ26" s="735"/>
      <c r="CA26" s="645">
        <f>SUM(CA16:CA25)</f>
        <v>73</v>
      </c>
      <c r="CB26" s="735"/>
      <c r="CC26" s="645">
        <f>SUM(CC16:CC25)</f>
        <v>89</v>
      </c>
      <c r="CD26" s="735"/>
      <c r="CE26" s="645">
        <f>SUM(CE16:CE25)</f>
        <v>106</v>
      </c>
      <c r="CF26" s="735"/>
      <c r="CG26" s="645">
        <f>SUM(CG16:CG25)</f>
        <v>112</v>
      </c>
      <c r="CH26" s="735"/>
      <c r="CI26" s="645">
        <f>SUM(CI16:CI25)</f>
        <v>120</v>
      </c>
      <c r="CJ26" s="735"/>
      <c r="CK26" s="645">
        <f>SUM(CK16:CK25)</f>
        <v>118</v>
      </c>
      <c r="CL26" s="735"/>
      <c r="CM26" s="645">
        <f>SUM(CM16:CM25)</f>
        <v>117</v>
      </c>
      <c r="CN26" s="735"/>
      <c r="CO26" s="645">
        <f>SUM(CO16:CO25)</f>
        <v>112</v>
      </c>
      <c r="CP26" s="735"/>
      <c r="CQ26" s="645">
        <f>SUM(CQ16:CQ25)</f>
        <v>112</v>
      </c>
      <c r="CR26" s="735"/>
      <c r="CS26" s="645">
        <f>SUM(CS16:CS25)</f>
        <v>100</v>
      </c>
      <c r="CT26" s="735"/>
      <c r="CU26" s="645">
        <f>SUM(CU16:CU25)</f>
        <v>0</v>
      </c>
      <c r="CV26" s="735"/>
      <c r="CW26" s="645">
        <f>SUM(CW16:CW25)</f>
        <v>0</v>
      </c>
      <c r="CX26" s="735"/>
      <c r="CY26" s="645">
        <f>SUM(CY16:CY25)</f>
        <v>0</v>
      </c>
      <c r="CZ26" s="735"/>
      <c r="DA26" s="645">
        <f>SUM(DA16:DA25)</f>
        <v>0</v>
      </c>
      <c r="DB26" s="735"/>
      <c r="DC26" s="645">
        <f>SUM(DC16:DC25)</f>
        <v>0</v>
      </c>
      <c r="DD26" s="735"/>
      <c r="DE26" s="647">
        <f>SUM(DE16:DE25)</f>
        <v>0</v>
      </c>
      <c r="DF26" s="648"/>
      <c r="DG26" s="641"/>
      <c r="DH26" s="642"/>
      <c r="DI26" s="642"/>
      <c r="DJ26" s="642" t="s">
        <v>865</v>
      </c>
      <c r="DK26" s="642"/>
      <c r="DL26" s="642"/>
      <c r="DM26" s="644"/>
      <c r="DN26" s="645">
        <f>SUM(DN16:DN25)</f>
        <v>0</v>
      </c>
      <c r="DO26" s="734"/>
      <c r="DP26" s="645">
        <f>SUM(DP16:DP25)</f>
        <v>0</v>
      </c>
      <c r="DQ26" s="735"/>
      <c r="DR26" s="645">
        <f>SUM(DR16:DR25)</f>
        <v>0</v>
      </c>
      <c r="DS26" s="735"/>
      <c r="DT26" s="645">
        <f>SUM(DT16:DT25)</f>
        <v>0</v>
      </c>
      <c r="DU26" s="735"/>
      <c r="DV26" s="645">
        <f>SUM(DV16:DV25)</f>
        <v>0</v>
      </c>
      <c r="DW26" s="735"/>
      <c r="DX26" s="645">
        <f>SUM(DX16:DX25)</f>
        <v>0</v>
      </c>
      <c r="DY26" s="735"/>
      <c r="DZ26" s="645">
        <f>SUM(DZ16:DZ25)</f>
        <v>0</v>
      </c>
      <c r="EA26" s="735"/>
      <c r="EB26" s="645">
        <f>SUM(EB16:EB25)</f>
        <v>0</v>
      </c>
      <c r="EC26" s="735"/>
      <c r="ED26" s="645">
        <f>SUM(ED16:ED25)</f>
        <v>22</v>
      </c>
      <c r="EE26" s="735"/>
      <c r="EF26" s="645">
        <f>SUM(EF16:EF25)</f>
        <v>43</v>
      </c>
      <c r="EG26" s="735"/>
      <c r="EH26" s="645">
        <f>SUM(EH16:EH25)</f>
        <v>62</v>
      </c>
      <c r="EI26" s="735"/>
      <c r="EJ26" s="645">
        <f>SUM(EJ16:EJ25)</f>
        <v>74</v>
      </c>
      <c r="EK26" s="735"/>
      <c r="EL26" s="645">
        <f>SUM(EL16:EL25)</f>
        <v>77</v>
      </c>
      <c r="EM26" s="735"/>
      <c r="EN26" s="645">
        <f>SUM(EN16:EN25)</f>
        <v>76</v>
      </c>
      <c r="EO26" s="735"/>
      <c r="EP26" s="645">
        <f>SUM(EP16:EP25)</f>
        <v>78</v>
      </c>
      <c r="EQ26" s="735"/>
      <c r="ER26" s="645">
        <f>SUM(ER16:ER25)</f>
        <v>80</v>
      </c>
      <c r="ES26" s="735"/>
      <c r="ET26" s="645">
        <f>SUM(ET16:ET25)</f>
        <v>69</v>
      </c>
      <c r="EU26" s="735"/>
      <c r="EV26" s="645">
        <f>SUM(EV16:EV25)</f>
        <v>58</v>
      </c>
      <c r="EW26" s="735"/>
      <c r="EX26" s="645">
        <f>SUM(EX16:EX25)</f>
        <v>0</v>
      </c>
      <c r="EY26" s="735"/>
      <c r="EZ26" s="645">
        <f>SUM(EZ16:EZ25)</f>
        <v>0</v>
      </c>
      <c r="FA26" s="735"/>
      <c r="FB26" s="645">
        <f>SUM(FB16:FB25)</f>
        <v>0</v>
      </c>
      <c r="FC26" s="735"/>
      <c r="FD26" s="645">
        <f>SUM(FD16:FD25)</f>
        <v>0</v>
      </c>
      <c r="FE26" s="735"/>
      <c r="FF26" s="645">
        <f>SUM(FF16:FF25)</f>
        <v>0</v>
      </c>
      <c r="FG26" s="735"/>
      <c r="FH26" s="647">
        <f>SUM(FH16:FH25)</f>
        <v>0</v>
      </c>
      <c r="FI26" s="649"/>
      <c r="FJ26" s="564"/>
      <c r="FK26" s="642"/>
      <c r="FL26" s="642"/>
      <c r="FM26" s="642" t="s">
        <v>865</v>
      </c>
      <c r="FN26" s="642"/>
      <c r="FO26" s="642"/>
      <c r="FP26" s="650"/>
      <c r="FQ26" s="651"/>
      <c r="FR26" s="645">
        <f>SUM(FR16:FR25)</f>
        <v>402</v>
      </c>
      <c r="FS26" s="736"/>
      <c r="FT26" s="651"/>
      <c r="FU26" s="653">
        <f>SUM(FU16:FU25)</f>
        <v>412</v>
      </c>
      <c r="FV26" s="593"/>
      <c r="FW26" s="594"/>
      <c r="FX26" s="595"/>
      <c r="FY26" s="596"/>
      <c r="FZ26" s="597"/>
      <c r="GA26" s="598"/>
      <c r="GB26" s="599"/>
      <c r="GC26" s="600"/>
      <c r="GD26" s="599"/>
      <c r="GE26" s="601"/>
      <c r="GF26" s="654"/>
      <c r="GG26" s="655"/>
      <c r="GH26" s="655"/>
      <c r="GI26" s="655"/>
      <c r="GJ26" s="615"/>
      <c r="GK26" s="530" t="s">
        <v>545</v>
      </c>
      <c r="GL26" s="615"/>
      <c r="GM26" s="530"/>
      <c r="GN26" s="615"/>
      <c r="GO26" s="530"/>
      <c r="GP26" s="615"/>
      <c r="GQ26" s="615"/>
      <c r="GR26" s="615"/>
      <c r="GS26" s="579"/>
      <c r="GT26" s="677"/>
      <c r="GU26" s="580" t="s">
        <v>706</v>
      </c>
      <c r="GV26" s="609"/>
      <c r="GW26" s="609"/>
      <c r="GX26" s="413"/>
      <c r="GY26" s="733">
        <v>0</v>
      </c>
      <c r="GZ26" s="580"/>
      <c r="HA26" s="530"/>
      <c r="HB26" s="530"/>
      <c r="HC26" s="530"/>
      <c r="HD26" s="648"/>
      <c r="HE26" s="415"/>
      <c r="HF26" s="415"/>
      <c r="HG26" s="580"/>
      <c r="HH26" s="648"/>
      <c r="HI26" s="415"/>
      <c r="HJ26" s="415"/>
    </row>
    <row r="27" spans="1:218" ht="20.100000000000001" customHeight="1">
      <c r="A27" s="1292" t="s">
        <v>432</v>
      </c>
      <c r="B27" s="738"/>
      <c r="C27" s="739"/>
      <c r="D27" s="663"/>
      <c r="E27" s="739"/>
      <c r="F27" s="739"/>
      <c r="G27" s="740" t="s">
        <v>322</v>
      </c>
      <c r="H27" s="663" t="s">
        <v>430</v>
      </c>
      <c r="I27" s="741" t="s">
        <v>322</v>
      </c>
      <c r="J27" s="663" t="s">
        <v>430</v>
      </c>
      <c r="K27" s="742" t="s">
        <v>322</v>
      </c>
      <c r="L27" s="663" t="s">
        <v>430</v>
      </c>
      <c r="M27" s="742" t="s">
        <v>322</v>
      </c>
      <c r="N27" s="663" t="s">
        <v>430</v>
      </c>
      <c r="O27" s="742" t="s">
        <v>322</v>
      </c>
      <c r="P27" s="663" t="s">
        <v>430</v>
      </c>
      <c r="Q27" s="742" t="s">
        <v>322</v>
      </c>
      <c r="R27" s="663" t="s">
        <v>430</v>
      </c>
      <c r="S27" s="742" t="s">
        <v>322</v>
      </c>
      <c r="T27" s="663" t="s">
        <v>430</v>
      </c>
      <c r="U27" s="742" t="s">
        <v>322</v>
      </c>
      <c r="V27" s="663" t="s">
        <v>430</v>
      </c>
      <c r="W27" s="742" t="s">
        <v>322</v>
      </c>
      <c r="X27" s="663" t="s">
        <v>430</v>
      </c>
      <c r="Y27" s="742" t="s">
        <v>322</v>
      </c>
      <c r="Z27" s="663" t="s">
        <v>430</v>
      </c>
      <c r="AA27" s="742" t="s">
        <v>322</v>
      </c>
      <c r="AB27" s="663" t="s">
        <v>430</v>
      </c>
      <c r="AC27" s="742" t="s">
        <v>322</v>
      </c>
      <c r="AD27" s="663" t="s">
        <v>430</v>
      </c>
      <c r="AE27" s="742" t="s">
        <v>322</v>
      </c>
      <c r="AF27" s="663" t="s">
        <v>430</v>
      </c>
      <c r="AG27" s="742" t="s">
        <v>322</v>
      </c>
      <c r="AH27" s="663" t="s">
        <v>430</v>
      </c>
      <c r="AI27" s="742" t="s">
        <v>322</v>
      </c>
      <c r="AJ27" s="663" t="s">
        <v>430</v>
      </c>
      <c r="AK27" s="742" t="s">
        <v>322</v>
      </c>
      <c r="AL27" s="663" t="s">
        <v>430</v>
      </c>
      <c r="AM27" s="742" t="s">
        <v>322</v>
      </c>
      <c r="AN27" s="663" t="s">
        <v>430</v>
      </c>
      <c r="AO27" s="742" t="s">
        <v>322</v>
      </c>
      <c r="AP27" s="663" t="s">
        <v>430</v>
      </c>
      <c r="AQ27" s="742" t="s">
        <v>322</v>
      </c>
      <c r="AR27" s="663" t="s">
        <v>430</v>
      </c>
      <c r="AS27" s="742" t="s">
        <v>322</v>
      </c>
      <c r="AT27" s="663" t="s">
        <v>430</v>
      </c>
      <c r="AU27" s="742" t="s">
        <v>322</v>
      </c>
      <c r="AV27" s="663" t="s">
        <v>430</v>
      </c>
      <c r="AW27" s="742" t="s">
        <v>322</v>
      </c>
      <c r="AX27" s="663" t="s">
        <v>430</v>
      </c>
      <c r="AY27" s="742" t="s">
        <v>322</v>
      </c>
      <c r="AZ27" s="663" t="s">
        <v>430</v>
      </c>
      <c r="BA27" s="742" t="s">
        <v>322</v>
      </c>
      <c r="BB27" s="665" t="s">
        <v>430</v>
      </c>
      <c r="BC27" s="723"/>
      <c r="BD27" s="1292" t="s">
        <v>432</v>
      </c>
      <c r="BE27" s="738"/>
      <c r="BF27" s="739"/>
      <c r="BG27" s="663"/>
      <c r="BH27" s="739"/>
      <c r="BI27" s="739"/>
      <c r="BJ27" s="740" t="s">
        <v>322</v>
      </c>
      <c r="BK27" s="663" t="s">
        <v>430</v>
      </c>
      <c r="BL27" s="741" t="s">
        <v>322</v>
      </c>
      <c r="BM27" s="663" t="s">
        <v>430</v>
      </c>
      <c r="BN27" s="742" t="s">
        <v>322</v>
      </c>
      <c r="BO27" s="663" t="s">
        <v>430</v>
      </c>
      <c r="BP27" s="742" t="s">
        <v>322</v>
      </c>
      <c r="BQ27" s="663" t="s">
        <v>430</v>
      </c>
      <c r="BR27" s="742" t="s">
        <v>322</v>
      </c>
      <c r="BS27" s="663" t="s">
        <v>430</v>
      </c>
      <c r="BT27" s="742" t="s">
        <v>322</v>
      </c>
      <c r="BU27" s="663" t="s">
        <v>430</v>
      </c>
      <c r="BV27" s="742" t="s">
        <v>322</v>
      </c>
      <c r="BW27" s="663" t="s">
        <v>430</v>
      </c>
      <c r="BX27" s="742" t="s">
        <v>322</v>
      </c>
      <c r="BY27" s="663" t="s">
        <v>430</v>
      </c>
      <c r="BZ27" s="742" t="s">
        <v>322</v>
      </c>
      <c r="CA27" s="663" t="s">
        <v>430</v>
      </c>
      <c r="CB27" s="742" t="s">
        <v>322</v>
      </c>
      <c r="CC27" s="663" t="s">
        <v>430</v>
      </c>
      <c r="CD27" s="742" t="s">
        <v>322</v>
      </c>
      <c r="CE27" s="663" t="s">
        <v>430</v>
      </c>
      <c r="CF27" s="742" t="s">
        <v>322</v>
      </c>
      <c r="CG27" s="663" t="s">
        <v>430</v>
      </c>
      <c r="CH27" s="742" t="s">
        <v>322</v>
      </c>
      <c r="CI27" s="663" t="s">
        <v>430</v>
      </c>
      <c r="CJ27" s="742" t="s">
        <v>322</v>
      </c>
      <c r="CK27" s="663" t="s">
        <v>430</v>
      </c>
      <c r="CL27" s="742" t="s">
        <v>322</v>
      </c>
      <c r="CM27" s="663" t="s">
        <v>430</v>
      </c>
      <c r="CN27" s="742" t="s">
        <v>322</v>
      </c>
      <c r="CO27" s="663" t="s">
        <v>430</v>
      </c>
      <c r="CP27" s="742" t="s">
        <v>322</v>
      </c>
      <c r="CQ27" s="663" t="s">
        <v>430</v>
      </c>
      <c r="CR27" s="742" t="s">
        <v>322</v>
      </c>
      <c r="CS27" s="663" t="s">
        <v>430</v>
      </c>
      <c r="CT27" s="742" t="s">
        <v>322</v>
      </c>
      <c r="CU27" s="663" t="s">
        <v>430</v>
      </c>
      <c r="CV27" s="742" t="s">
        <v>322</v>
      </c>
      <c r="CW27" s="663" t="s">
        <v>430</v>
      </c>
      <c r="CX27" s="742" t="s">
        <v>322</v>
      </c>
      <c r="CY27" s="663" t="s">
        <v>430</v>
      </c>
      <c r="CZ27" s="742" t="s">
        <v>322</v>
      </c>
      <c r="DA27" s="663" t="s">
        <v>430</v>
      </c>
      <c r="DB27" s="742" t="s">
        <v>322</v>
      </c>
      <c r="DC27" s="663" t="s">
        <v>430</v>
      </c>
      <c r="DD27" s="742" t="s">
        <v>322</v>
      </c>
      <c r="DE27" s="665" t="s">
        <v>430</v>
      </c>
      <c r="DF27" s="723"/>
      <c r="DG27" s="1292" t="s">
        <v>432</v>
      </c>
      <c r="DH27" s="743"/>
      <c r="DI27" s="744"/>
      <c r="DJ27" s="745"/>
      <c r="DK27" s="744"/>
      <c r="DL27" s="744"/>
      <c r="DM27" s="740" t="s">
        <v>322</v>
      </c>
      <c r="DN27" s="663" t="s">
        <v>430</v>
      </c>
      <c r="DO27" s="741" t="s">
        <v>322</v>
      </c>
      <c r="DP27" s="663" t="s">
        <v>430</v>
      </c>
      <c r="DQ27" s="742" t="s">
        <v>322</v>
      </c>
      <c r="DR27" s="663" t="s">
        <v>430</v>
      </c>
      <c r="DS27" s="742" t="s">
        <v>322</v>
      </c>
      <c r="DT27" s="663" t="s">
        <v>430</v>
      </c>
      <c r="DU27" s="742" t="s">
        <v>322</v>
      </c>
      <c r="DV27" s="663" t="s">
        <v>430</v>
      </c>
      <c r="DW27" s="742" t="s">
        <v>322</v>
      </c>
      <c r="DX27" s="663" t="s">
        <v>430</v>
      </c>
      <c r="DY27" s="742" t="s">
        <v>322</v>
      </c>
      <c r="DZ27" s="663" t="s">
        <v>430</v>
      </c>
      <c r="EA27" s="742" t="s">
        <v>322</v>
      </c>
      <c r="EB27" s="663" t="s">
        <v>430</v>
      </c>
      <c r="EC27" s="742" t="s">
        <v>322</v>
      </c>
      <c r="ED27" s="663" t="s">
        <v>430</v>
      </c>
      <c r="EE27" s="742" t="s">
        <v>322</v>
      </c>
      <c r="EF27" s="663" t="s">
        <v>430</v>
      </c>
      <c r="EG27" s="742" t="s">
        <v>322</v>
      </c>
      <c r="EH27" s="663" t="s">
        <v>430</v>
      </c>
      <c r="EI27" s="742" t="s">
        <v>322</v>
      </c>
      <c r="EJ27" s="663" t="s">
        <v>430</v>
      </c>
      <c r="EK27" s="742" t="s">
        <v>322</v>
      </c>
      <c r="EL27" s="663" t="s">
        <v>430</v>
      </c>
      <c r="EM27" s="742" t="s">
        <v>322</v>
      </c>
      <c r="EN27" s="663" t="s">
        <v>430</v>
      </c>
      <c r="EO27" s="742" t="s">
        <v>322</v>
      </c>
      <c r="EP27" s="663" t="s">
        <v>430</v>
      </c>
      <c r="EQ27" s="742" t="s">
        <v>322</v>
      </c>
      <c r="ER27" s="663" t="s">
        <v>430</v>
      </c>
      <c r="ES27" s="742" t="s">
        <v>322</v>
      </c>
      <c r="ET27" s="663" t="s">
        <v>430</v>
      </c>
      <c r="EU27" s="742" t="s">
        <v>322</v>
      </c>
      <c r="EV27" s="663" t="s">
        <v>430</v>
      </c>
      <c r="EW27" s="742" t="s">
        <v>322</v>
      </c>
      <c r="EX27" s="663" t="s">
        <v>430</v>
      </c>
      <c r="EY27" s="742" t="s">
        <v>322</v>
      </c>
      <c r="EZ27" s="663" t="s">
        <v>430</v>
      </c>
      <c r="FA27" s="742" t="s">
        <v>322</v>
      </c>
      <c r="FB27" s="663" t="s">
        <v>430</v>
      </c>
      <c r="FC27" s="742" t="s">
        <v>322</v>
      </c>
      <c r="FD27" s="663" t="s">
        <v>430</v>
      </c>
      <c r="FE27" s="742" t="s">
        <v>322</v>
      </c>
      <c r="FF27" s="663" t="s">
        <v>430</v>
      </c>
      <c r="FG27" s="742" t="s">
        <v>322</v>
      </c>
      <c r="FH27" s="665" t="s">
        <v>430</v>
      </c>
      <c r="FI27" s="746"/>
      <c r="FJ27" s="542" t="s">
        <v>432</v>
      </c>
      <c r="FK27" s="743"/>
      <c r="FL27" s="744"/>
      <c r="FM27" s="745"/>
      <c r="FN27" s="744"/>
      <c r="FO27" s="744"/>
      <c r="FP27" s="747" t="s">
        <v>450</v>
      </c>
      <c r="FQ27" s="673" t="s">
        <v>322</v>
      </c>
      <c r="FR27" s="663" t="s">
        <v>451</v>
      </c>
      <c r="FS27" s="748" t="s">
        <v>450</v>
      </c>
      <c r="FT27" s="673" t="s">
        <v>322</v>
      </c>
      <c r="FU27" s="675" t="s">
        <v>451</v>
      </c>
      <c r="FV27" s="593"/>
      <c r="FW27" s="594"/>
      <c r="FX27" s="595"/>
      <c r="FY27" s="596"/>
      <c r="FZ27" s="597"/>
      <c r="GA27" s="598"/>
      <c r="GB27" s="599"/>
      <c r="GC27" s="600"/>
      <c r="GD27" s="599"/>
      <c r="GE27" s="601"/>
      <c r="GF27" s="749"/>
      <c r="GG27" s="750"/>
      <c r="GH27" s="750"/>
      <c r="GI27" s="750"/>
      <c r="GJ27" s="615"/>
      <c r="GK27" s="530" t="s">
        <v>547</v>
      </c>
      <c r="GL27" s="615"/>
      <c r="GM27" s="615"/>
      <c r="GN27" s="615"/>
      <c r="GO27" s="413"/>
      <c r="GP27" s="751">
        <v>27.3</v>
      </c>
      <c r="GQ27" s="413" t="s">
        <v>550</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435</v>
      </c>
      <c r="C28" s="753"/>
      <c r="D28" s="754">
        <v>55</v>
      </c>
      <c r="E28" s="755">
        <v>4</v>
      </c>
      <c r="F28" s="756" t="s">
        <v>436</v>
      </c>
      <c r="G28" s="757"/>
      <c r="H28" s="559"/>
      <c r="I28" s="758"/>
      <c r="J28" s="559"/>
      <c r="K28" s="758"/>
      <c r="L28" s="559"/>
      <c r="M28" s="758"/>
      <c r="N28" s="559"/>
      <c r="O28" s="758"/>
      <c r="P28" s="559"/>
      <c r="Q28" s="758"/>
      <c r="R28" s="559"/>
      <c r="S28" s="758"/>
      <c r="T28" s="559"/>
      <c r="U28" s="758"/>
      <c r="V28" s="559"/>
      <c r="W28" s="758">
        <v>1</v>
      </c>
      <c r="X28" s="559">
        <v>220</v>
      </c>
      <c r="Y28" s="758">
        <v>1</v>
      </c>
      <c r="Z28" s="559">
        <v>220</v>
      </c>
      <c r="AA28" s="758">
        <v>1</v>
      </c>
      <c r="AB28" s="559">
        <v>220</v>
      </c>
      <c r="AC28" s="758">
        <v>1</v>
      </c>
      <c r="AD28" s="559">
        <v>220</v>
      </c>
      <c r="AE28" s="758">
        <v>1</v>
      </c>
      <c r="AF28" s="559">
        <v>220</v>
      </c>
      <c r="AG28" s="758">
        <v>1</v>
      </c>
      <c r="AH28" s="559">
        <v>220</v>
      </c>
      <c r="AI28" s="758">
        <v>1</v>
      </c>
      <c r="AJ28" s="559">
        <v>220</v>
      </c>
      <c r="AK28" s="758">
        <v>1</v>
      </c>
      <c r="AL28" s="559">
        <v>220</v>
      </c>
      <c r="AM28" s="758">
        <v>1</v>
      </c>
      <c r="AN28" s="559">
        <v>220</v>
      </c>
      <c r="AO28" s="758">
        <v>1</v>
      </c>
      <c r="AP28" s="559">
        <v>220</v>
      </c>
      <c r="AQ28" s="758"/>
      <c r="AR28" s="559"/>
      <c r="AS28" s="758"/>
      <c r="AT28" s="559"/>
      <c r="AU28" s="758"/>
      <c r="AV28" s="559"/>
      <c r="AW28" s="758"/>
      <c r="AX28" s="559"/>
      <c r="AY28" s="758"/>
      <c r="AZ28" s="559"/>
      <c r="BA28" s="758"/>
      <c r="BB28" s="684"/>
      <c r="BC28" s="562"/>
      <c r="BD28" s="552"/>
      <c r="BE28" s="752" t="s">
        <v>435</v>
      </c>
      <c r="BF28" s="753"/>
      <c r="BG28" s="754">
        <v>55</v>
      </c>
      <c r="BH28" s="755">
        <v>4</v>
      </c>
      <c r="BI28" s="756" t="s">
        <v>436</v>
      </c>
      <c r="BJ28" s="757"/>
      <c r="BK28" s="559"/>
      <c r="BL28" s="758"/>
      <c r="BM28" s="559"/>
      <c r="BN28" s="758"/>
      <c r="BO28" s="559"/>
      <c r="BP28" s="758"/>
      <c r="BQ28" s="559"/>
      <c r="BR28" s="758"/>
      <c r="BS28" s="559"/>
      <c r="BT28" s="758"/>
      <c r="BU28" s="559"/>
      <c r="BV28" s="758"/>
      <c r="BW28" s="559"/>
      <c r="BX28" s="758"/>
      <c r="BY28" s="559"/>
      <c r="BZ28" s="758">
        <v>1</v>
      </c>
      <c r="CA28" s="559">
        <v>220</v>
      </c>
      <c r="CB28" s="758">
        <v>1</v>
      </c>
      <c r="CC28" s="559">
        <v>220</v>
      </c>
      <c r="CD28" s="758">
        <v>1</v>
      </c>
      <c r="CE28" s="559">
        <v>220</v>
      </c>
      <c r="CF28" s="758">
        <v>1</v>
      </c>
      <c r="CG28" s="559">
        <v>220</v>
      </c>
      <c r="CH28" s="758">
        <v>1</v>
      </c>
      <c r="CI28" s="559">
        <v>220</v>
      </c>
      <c r="CJ28" s="758">
        <v>1</v>
      </c>
      <c r="CK28" s="559">
        <v>220</v>
      </c>
      <c r="CL28" s="758">
        <v>1</v>
      </c>
      <c r="CM28" s="559">
        <v>220</v>
      </c>
      <c r="CN28" s="758">
        <v>1</v>
      </c>
      <c r="CO28" s="559">
        <v>220</v>
      </c>
      <c r="CP28" s="758">
        <v>1</v>
      </c>
      <c r="CQ28" s="559">
        <v>220</v>
      </c>
      <c r="CR28" s="758">
        <v>1</v>
      </c>
      <c r="CS28" s="559">
        <v>220</v>
      </c>
      <c r="CT28" s="758"/>
      <c r="CU28" s="559"/>
      <c r="CV28" s="758"/>
      <c r="CW28" s="559"/>
      <c r="CX28" s="758"/>
      <c r="CY28" s="559"/>
      <c r="CZ28" s="758"/>
      <c r="DA28" s="559"/>
      <c r="DB28" s="758"/>
      <c r="DC28" s="559"/>
      <c r="DD28" s="758"/>
      <c r="DE28" s="684"/>
      <c r="DF28" s="562"/>
      <c r="DG28" s="552"/>
      <c r="DH28" s="752" t="s">
        <v>435</v>
      </c>
      <c r="DI28" s="753"/>
      <c r="DJ28" s="754">
        <v>55</v>
      </c>
      <c r="DK28" s="755">
        <v>4</v>
      </c>
      <c r="DL28" s="756" t="s">
        <v>436</v>
      </c>
      <c r="DM28" s="757"/>
      <c r="DN28" s="559"/>
      <c r="DO28" s="758"/>
      <c r="DP28" s="559"/>
      <c r="DQ28" s="758"/>
      <c r="DR28" s="559"/>
      <c r="DS28" s="758"/>
      <c r="DT28" s="559"/>
      <c r="DU28" s="758"/>
      <c r="DV28" s="559"/>
      <c r="DW28" s="758"/>
      <c r="DX28" s="559"/>
      <c r="DY28" s="758"/>
      <c r="DZ28" s="559"/>
      <c r="EA28" s="758"/>
      <c r="EB28" s="559"/>
      <c r="EC28" s="758">
        <v>1</v>
      </c>
      <c r="ED28" s="559">
        <v>220</v>
      </c>
      <c r="EE28" s="758">
        <v>1</v>
      </c>
      <c r="EF28" s="559">
        <v>220</v>
      </c>
      <c r="EG28" s="758">
        <v>1</v>
      </c>
      <c r="EH28" s="559">
        <v>220</v>
      </c>
      <c r="EI28" s="758">
        <v>1</v>
      </c>
      <c r="EJ28" s="559">
        <v>220</v>
      </c>
      <c r="EK28" s="758">
        <v>1</v>
      </c>
      <c r="EL28" s="559">
        <v>220</v>
      </c>
      <c r="EM28" s="758">
        <v>1</v>
      </c>
      <c r="EN28" s="559">
        <v>220</v>
      </c>
      <c r="EO28" s="758">
        <v>1</v>
      </c>
      <c r="EP28" s="559">
        <v>220</v>
      </c>
      <c r="EQ28" s="758">
        <v>1</v>
      </c>
      <c r="ER28" s="559">
        <v>220</v>
      </c>
      <c r="ES28" s="758">
        <v>1</v>
      </c>
      <c r="ET28" s="559">
        <v>220</v>
      </c>
      <c r="EU28" s="758">
        <v>1</v>
      </c>
      <c r="EV28" s="559">
        <v>220</v>
      </c>
      <c r="EW28" s="758"/>
      <c r="EX28" s="559"/>
      <c r="EY28" s="758"/>
      <c r="EZ28" s="559"/>
      <c r="FA28" s="758"/>
      <c r="FB28" s="559"/>
      <c r="FC28" s="758"/>
      <c r="FD28" s="559"/>
      <c r="FE28" s="758"/>
      <c r="FF28" s="559"/>
      <c r="FG28" s="758"/>
      <c r="FH28" s="684"/>
      <c r="FI28" s="563"/>
      <c r="FJ28" s="564"/>
      <c r="FK28" s="752" t="s">
        <v>435</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549</v>
      </c>
      <c r="GL28" s="413"/>
      <c r="GM28" s="413"/>
      <c r="GN28" s="413"/>
      <c r="GO28" s="530"/>
      <c r="GP28" s="751">
        <v>28</v>
      </c>
      <c r="GQ28" s="413" t="s">
        <v>550</v>
      </c>
      <c r="GR28" s="733"/>
      <c r="GS28" s="530"/>
      <c r="GT28" s="763"/>
      <c r="GU28" s="580" t="s">
        <v>709</v>
      </c>
      <c r="GV28" s="609"/>
      <c r="GW28" s="530"/>
      <c r="GX28" s="529"/>
      <c r="GY28" s="409"/>
      <c r="GZ28" s="615"/>
      <c r="HA28" s="530"/>
      <c r="HB28" s="530"/>
      <c r="HC28" s="530"/>
      <c r="HD28" s="530"/>
      <c r="HE28" s="415"/>
      <c r="HF28" s="415"/>
      <c r="HG28" s="415"/>
      <c r="HH28" s="415"/>
    </row>
    <row r="29" spans="1:218" ht="20.100000000000001" customHeight="1" thickBot="1">
      <c r="A29" s="552"/>
      <c r="B29" s="764" t="s">
        <v>438</v>
      </c>
      <c r="C29" s="765"/>
      <c r="D29" s="766">
        <v>10</v>
      </c>
      <c r="E29" s="767">
        <v>13.23</v>
      </c>
      <c r="F29" s="768" t="s">
        <v>436</v>
      </c>
      <c r="G29" s="769"/>
      <c r="H29" s="587"/>
      <c r="I29" s="770"/>
      <c r="J29" s="587"/>
      <c r="K29" s="770"/>
      <c r="L29" s="587"/>
      <c r="M29" s="770"/>
      <c r="N29" s="587"/>
      <c r="O29" s="770"/>
      <c r="P29" s="587"/>
      <c r="Q29" s="770"/>
      <c r="R29" s="587"/>
      <c r="S29" s="770"/>
      <c r="T29" s="587"/>
      <c r="U29" s="770"/>
      <c r="V29" s="587"/>
      <c r="W29" s="770">
        <v>1</v>
      </c>
      <c r="X29" s="587">
        <v>132</v>
      </c>
      <c r="Y29" s="770">
        <v>1</v>
      </c>
      <c r="Z29" s="587">
        <v>132</v>
      </c>
      <c r="AA29" s="770">
        <v>1</v>
      </c>
      <c r="AB29" s="587">
        <v>132</v>
      </c>
      <c r="AC29" s="770">
        <v>1</v>
      </c>
      <c r="AD29" s="587">
        <v>132</v>
      </c>
      <c r="AE29" s="770">
        <v>1</v>
      </c>
      <c r="AF29" s="587">
        <v>132</v>
      </c>
      <c r="AG29" s="770">
        <v>1</v>
      </c>
      <c r="AH29" s="587">
        <v>132</v>
      </c>
      <c r="AI29" s="770">
        <v>1</v>
      </c>
      <c r="AJ29" s="587">
        <v>132</v>
      </c>
      <c r="AK29" s="770">
        <v>1</v>
      </c>
      <c r="AL29" s="587">
        <v>132</v>
      </c>
      <c r="AM29" s="770">
        <v>1</v>
      </c>
      <c r="AN29" s="587">
        <v>132</v>
      </c>
      <c r="AO29" s="770">
        <v>1</v>
      </c>
      <c r="AP29" s="587">
        <v>132</v>
      </c>
      <c r="AQ29" s="770"/>
      <c r="AR29" s="587"/>
      <c r="AS29" s="770"/>
      <c r="AT29" s="587"/>
      <c r="AU29" s="770"/>
      <c r="AV29" s="587"/>
      <c r="AW29" s="770"/>
      <c r="AX29" s="587"/>
      <c r="AY29" s="770"/>
      <c r="AZ29" s="587"/>
      <c r="BA29" s="770"/>
      <c r="BB29" s="589"/>
      <c r="BC29" s="562"/>
      <c r="BD29" s="552"/>
      <c r="BE29" s="764" t="s">
        <v>438</v>
      </c>
      <c r="BF29" s="765"/>
      <c r="BG29" s="766">
        <v>10</v>
      </c>
      <c r="BH29" s="767">
        <v>13.23</v>
      </c>
      <c r="BI29" s="768" t="s">
        <v>436</v>
      </c>
      <c r="BJ29" s="769"/>
      <c r="BK29" s="587"/>
      <c r="BL29" s="770"/>
      <c r="BM29" s="587"/>
      <c r="BN29" s="770"/>
      <c r="BO29" s="587"/>
      <c r="BP29" s="770"/>
      <c r="BQ29" s="587"/>
      <c r="BR29" s="770"/>
      <c r="BS29" s="587"/>
      <c r="BT29" s="770"/>
      <c r="BU29" s="587"/>
      <c r="BV29" s="770"/>
      <c r="BW29" s="587"/>
      <c r="BX29" s="770"/>
      <c r="BY29" s="587"/>
      <c r="BZ29" s="770">
        <v>1</v>
      </c>
      <c r="CA29" s="587">
        <v>132</v>
      </c>
      <c r="CB29" s="770">
        <v>1</v>
      </c>
      <c r="CC29" s="587">
        <v>132</v>
      </c>
      <c r="CD29" s="770">
        <v>1</v>
      </c>
      <c r="CE29" s="587">
        <v>132</v>
      </c>
      <c r="CF29" s="770">
        <v>1</v>
      </c>
      <c r="CG29" s="587">
        <v>132</v>
      </c>
      <c r="CH29" s="770">
        <v>1</v>
      </c>
      <c r="CI29" s="587">
        <v>132</v>
      </c>
      <c r="CJ29" s="770">
        <v>1</v>
      </c>
      <c r="CK29" s="587">
        <v>132</v>
      </c>
      <c r="CL29" s="770">
        <v>1</v>
      </c>
      <c r="CM29" s="587">
        <v>132</v>
      </c>
      <c r="CN29" s="770">
        <v>1</v>
      </c>
      <c r="CO29" s="587">
        <v>132</v>
      </c>
      <c r="CP29" s="770">
        <v>1</v>
      </c>
      <c r="CQ29" s="587">
        <v>132</v>
      </c>
      <c r="CR29" s="770">
        <v>1</v>
      </c>
      <c r="CS29" s="587">
        <v>132</v>
      </c>
      <c r="CT29" s="770"/>
      <c r="CU29" s="587"/>
      <c r="CV29" s="770"/>
      <c r="CW29" s="587"/>
      <c r="CX29" s="770"/>
      <c r="CY29" s="587"/>
      <c r="CZ29" s="770"/>
      <c r="DA29" s="587"/>
      <c r="DB29" s="770"/>
      <c r="DC29" s="587"/>
      <c r="DD29" s="770"/>
      <c r="DE29" s="589"/>
      <c r="DF29" s="562"/>
      <c r="DG29" s="552"/>
      <c r="DH29" s="764" t="s">
        <v>438</v>
      </c>
      <c r="DI29" s="765"/>
      <c r="DJ29" s="766">
        <v>10</v>
      </c>
      <c r="DK29" s="767">
        <v>13.23</v>
      </c>
      <c r="DL29" s="768" t="s">
        <v>436</v>
      </c>
      <c r="DM29" s="769"/>
      <c r="DN29" s="587"/>
      <c r="DO29" s="770"/>
      <c r="DP29" s="587"/>
      <c r="DQ29" s="770"/>
      <c r="DR29" s="587"/>
      <c r="DS29" s="770"/>
      <c r="DT29" s="587"/>
      <c r="DU29" s="770"/>
      <c r="DV29" s="587"/>
      <c r="DW29" s="770"/>
      <c r="DX29" s="587"/>
      <c r="DY29" s="770"/>
      <c r="DZ29" s="587"/>
      <c r="EA29" s="770"/>
      <c r="EB29" s="587"/>
      <c r="EC29" s="770">
        <v>1</v>
      </c>
      <c r="ED29" s="587">
        <v>132</v>
      </c>
      <c r="EE29" s="770">
        <v>1</v>
      </c>
      <c r="EF29" s="587">
        <v>132</v>
      </c>
      <c r="EG29" s="770">
        <v>1</v>
      </c>
      <c r="EH29" s="587">
        <v>132</v>
      </c>
      <c r="EI29" s="770">
        <v>1</v>
      </c>
      <c r="EJ29" s="587">
        <v>132</v>
      </c>
      <c r="EK29" s="770">
        <v>1</v>
      </c>
      <c r="EL29" s="587">
        <v>132</v>
      </c>
      <c r="EM29" s="770">
        <v>1</v>
      </c>
      <c r="EN29" s="587">
        <v>132</v>
      </c>
      <c r="EO29" s="770">
        <v>1</v>
      </c>
      <c r="EP29" s="587">
        <v>132</v>
      </c>
      <c r="EQ29" s="770">
        <v>1</v>
      </c>
      <c r="ER29" s="587">
        <v>132</v>
      </c>
      <c r="ES29" s="770">
        <v>1</v>
      </c>
      <c r="ET29" s="587">
        <v>132</v>
      </c>
      <c r="EU29" s="770">
        <v>1</v>
      </c>
      <c r="EV29" s="587">
        <v>132</v>
      </c>
      <c r="EW29" s="770"/>
      <c r="EX29" s="587"/>
      <c r="EY29" s="770"/>
      <c r="EZ29" s="587"/>
      <c r="FA29" s="770"/>
      <c r="FB29" s="587"/>
      <c r="FC29" s="770"/>
      <c r="FD29" s="587"/>
      <c r="FE29" s="770"/>
      <c r="FF29" s="587"/>
      <c r="FG29" s="770"/>
      <c r="FH29" s="589"/>
      <c r="FI29" s="563"/>
      <c r="FJ29" s="564"/>
      <c r="FK29" s="764" t="s">
        <v>438</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552</v>
      </c>
      <c r="GL29" s="774"/>
      <c r="GM29" s="774"/>
      <c r="GN29" s="774"/>
      <c r="GO29" s="615"/>
      <c r="GP29" s="751">
        <v>-0.69999999999999929</v>
      </c>
      <c r="GQ29" s="413" t="s">
        <v>550</v>
      </c>
      <c r="GR29" s="775"/>
      <c r="GS29" s="530"/>
      <c r="GT29" s="763"/>
      <c r="GU29" s="580" t="s">
        <v>553</v>
      </c>
      <c r="GV29" s="609"/>
      <c r="GW29" s="530"/>
      <c r="GX29" s="529"/>
      <c r="GY29" s="409"/>
      <c r="GZ29" s="530"/>
      <c r="HA29" s="580"/>
      <c r="HB29" s="580"/>
      <c r="HC29" s="579"/>
      <c r="HD29" s="530"/>
      <c r="HE29" s="415"/>
      <c r="HF29" s="415"/>
    </row>
    <row r="30" spans="1:218" ht="20.100000000000001" customHeight="1">
      <c r="A30" s="552"/>
      <c r="B30" s="764" t="s">
        <v>440</v>
      </c>
      <c r="C30" s="766">
        <v>2</v>
      </c>
      <c r="D30" s="767">
        <v>13.23</v>
      </c>
      <c r="E30" s="776">
        <v>1</v>
      </c>
      <c r="F30" s="777" t="s">
        <v>436</v>
      </c>
      <c r="G30" s="769"/>
      <c r="H30" s="587"/>
      <c r="I30" s="770"/>
      <c r="J30" s="587"/>
      <c r="K30" s="770"/>
      <c r="L30" s="587"/>
      <c r="M30" s="770"/>
      <c r="N30" s="587"/>
      <c r="O30" s="770"/>
      <c r="P30" s="587"/>
      <c r="Q30" s="770"/>
      <c r="R30" s="587"/>
      <c r="S30" s="770"/>
      <c r="T30" s="587"/>
      <c r="U30" s="770"/>
      <c r="V30" s="587"/>
      <c r="W30" s="770">
        <v>1</v>
      </c>
      <c r="X30" s="587">
        <v>26</v>
      </c>
      <c r="Y30" s="770">
        <v>1</v>
      </c>
      <c r="Z30" s="587">
        <v>26</v>
      </c>
      <c r="AA30" s="770">
        <v>1</v>
      </c>
      <c r="AB30" s="587">
        <v>26</v>
      </c>
      <c r="AC30" s="770">
        <v>1</v>
      </c>
      <c r="AD30" s="587">
        <v>26</v>
      </c>
      <c r="AE30" s="770">
        <v>1</v>
      </c>
      <c r="AF30" s="587">
        <v>26</v>
      </c>
      <c r="AG30" s="770">
        <v>1</v>
      </c>
      <c r="AH30" s="587">
        <v>26</v>
      </c>
      <c r="AI30" s="770">
        <v>1</v>
      </c>
      <c r="AJ30" s="587">
        <v>26</v>
      </c>
      <c r="AK30" s="770">
        <v>1</v>
      </c>
      <c r="AL30" s="587">
        <v>26</v>
      </c>
      <c r="AM30" s="770">
        <v>1</v>
      </c>
      <c r="AN30" s="587">
        <v>26</v>
      </c>
      <c r="AO30" s="770">
        <v>1</v>
      </c>
      <c r="AP30" s="587">
        <v>26</v>
      </c>
      <c r="AQ30" s="770"/>
      <c r="AR30" s="587"/>
      <c r="AS30" s="770"/>
      <c r="AT30" s="587"/>
      <c r="AU30" s="770"/>
      <c r="AV30" s="587"/>
      <c r="AW30" s="770"/>
      <c r="AX30" s="587"/>
      <c r="AY30" s="770"/>
      <c r="AZ30" s="587"/>
      <c r="BA30" s="770"/>
      <c r="BB30" s="589"/>
      <c r="BC30" s="562"/>
      <c r="BD30" s="552"/>
      <c r="BE30" s="764" t="s">
        <v>440</v>
      </c>
      <c r="BF30" s="766">
        <v>2</v>
      </c>
      <c r="BG30" s="767">
        <v>13.23</v>
      </c>
      <c r="BH30" s="776">
        <v>1</v>
      </c>
      <c r="BI30" s="777" t="s">
        <v>436</v>
      </c>
      <c r="BJ30" s="769"/>
      <c r="BK30" s="587"/>
      <c r="BL30" s="770"/>
      <c r="BM30" s="587"/>
      <c r="BN30" s="770"/>
      <c r="BO30" s="587"/>
      <c r="BP30" s="770"/>
      <c r="BQ30" s="587"/>
      <c r="BR30" s="770"/>
      <c r="BS30" s="587"/>
      <c r="BT30" s="770"/>
      <c r="BU30" s="587"/>
      <c r="BV30" s="770"/>
      <c r="BW30" s="587"/>
      <c r="BX30" s="770"/>
      <c r="BY30" s="587"/>
      <c r="BZ30" s="770">
        <v>1</v>
      </c>
      <c r="CA30" s="587">
        <v>26</v>
      </c>
      <c r="CB30" s="770">
        <v>1</v>
      </c>
      <c r="CC30" s="587">
        <v>26</v>
      </c>
      <c r="CD30" s="770">
        <v>1</v>
      </c>
      <c r="CE30" s="587">
        <v>26</v>
      </c>
      <c r="CF30" s="770">
        <v>1</v>
      </c>
      <c r="CG30" s="587">
        <v>26</v>
      </c>
      <c r="CH30" s="770">
        <v>1</v>
      </c>
      <c r="CI30" s="587">
        <v>26</v>
      </c>
      <c r="CJ30" s="770">
        <v>1</v>
      </c>
      <c r="CK30" s="587">
        <v>26</v>
      </c>
      <c r="CL30" s="770">
        <v>1</v>
      </c>
      <c r="CM30" s="587">
        <v>26</v>
      </c>
      <c r="CN30" s="770">
        <v>1</v>
      </c>
      <c r="CO30" s="587">
        <v>26</v>
      </c>
      <c r="CP30" s="770">
        <v>1</v>
      </c>
      <c r="CQ30" s="587">
        <v>26</v>
      </c>
      <c r="CR30" s="770">
        <v>1</v>
      </c>
      <c r="CS30" s="587">
        <v>26</v>
      </c>
      <c r="CT30" s="770"/>
      <c r="CU30" s="587"/>
      <c r="CV30" s="770"/>
      <c r="CW30" s="587"/>
      <c r="CX30" s="770"/>
      <c r="CY30" s="587"/>
      <c r="CZ30" s="770"/>
      <c r="DA30" s="587"/>
      <c r="DB30" s="770"/>
      <c r="DC30" s="587"/>
      <c r="DD30" s="770"/>
      <c r="DE30" s="589"/>
      <c r="DF30" s="562"/>
      <c r="DG30" s="552"/>
      <c r="DH30" s="764" t="s">
        <v>440</v>
      </c>
      <c r="DI30" s="766">
        <v>2</v>
      </c>
      <c r="DJ30" s="767">
        <v>13.23</v>
      </c>
      <c r="DK30" s="776">
        <v>1</v>
      </c>
      <c r="DL30" s="777" t="s">
        <v>436</v>
      </c>
      <c r="DM30" s="769"/>
      <c r="DN30" s="587"/>
      <c r="DO30" s="770"/>
      <c r="DP30" s="587"/>
      <c r="DQ30" s="770"/>
      <c r="DR30" s="587"/>
      <c r="DS30" s="770"/>
      <c r="DT30" s="587"/>
      <c r="DU30" s="770"/>
      <c r="DV30" s="587"/>
      <c r="DW30" s="770"/>
      <c r="DX30" s="587"/>
      <c r="DY30" s="770"/>
      <c r="DZ30" s="587"/>
      <c r="EA30" s="770"/>
      <c r="EB30" s="587"/>
      <c r="EC30" s="770">
        <v>1</v>
      </c>
      <c r="ED30" s="587">
        <v>26</v>
      </c>
      <c r="EE30" s="770">
        <v>1</v>
      </c>
      <c r="EF30" s="587">
        <v>26</v>
      </c>
      <c r="EG30" s="770">
        <v>1</v>
      </c>
      <c r="EH30" s="587">
        <v>26</v>
      </c>
      <c r="EI30" s="770">
        <v>1</v>
      </c>
      <c r="EJ30" s="587">
        <v>26</v>
      </c>
      <c r="EK30" s="770">
        <v>1</v>
      </c>
      <c r="EL30" s="587">
        <v>26</v>
      </c>
      <c r="EM30" s="770">
        <v>1</v>
      </c>
      <c r="EN30" s="587">
        <v>26</v>
      </c>
      <c r="EO30" s="770">
        <v>1</v>
      </c>
      <c r="EP30" s="587">
        <v>26</v>
      </c>
      <c r="EQ30" s="770">
        <v>1</v>
      </c>
      <c r="ER30" s="587">
        <v>26</v>
      </c>
      <c r="ES30" s="770">
        <v>1</v>
      </c>
      <c r="ET30" s="587">
        <v>26</v>
      </c>
      <c r="EU30" s="770">
        <v>1</v>
      </c>
      <c r="EV30" s="587">
        <v>26</v>
      </c>
      <c r="EW30" s="770"/>
      <c r="EX30" s="587"/>
      <c r="EY30" s="770"/>
      <c r="EZ30" s="587"/>
      <c r="FA30" s="770"/>
      <c r="FB30" s="587"/>
      <c r="FC30" s="770"/>
      <c r="FD30" s="587"/>
      <c r="FE30" s="770"/>
      <c r="FF30" s="587"/>
      <c r="FG30" s="770"/>
      <c r="FH30" s="589"/>
      <c r="FI30" s="563"/>
      <c r="FJ30" s="564"/>
      <c r="FK30" s="764" t="s">
        <v>440</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554</v>
      </c>
      <c r="GL30" s="774"/>
      <c r="GM30" s="774"/>
      <c r="GN30" s="774"/>
      <c r="GO30" s="530"/>
      <c r="GP30" s="778">
        <v>-0.44</v>
      </c>
      <c r="GQ30" s="413"/>
      <c r="GR30" s="413"/>
      <c r="GS30" s="530"/>
      <c r="GT30" s="763"/>
      <c r="GU30" s="779" t="s">
        <v>380</v>
      </c>
      <c r="GV30" s="780"/>
      <c r="GW30" s="781" t="s">
        <v>782</v>
      </c>
      <c r="GX30" s="781"/>
      <c r="GY30" s="781"/>
      <c r="GZ30" s="781"/>
      <c r="HA30" s="782"/>
      <c r="HB30" s="783" t="s">
        <v>878</v>
      </c>
      <c r="HC30" s="579"/>
      <c r="HD30" s="562"/>
      <c r="HE30" s="415"/>
      <c r="HF30" s="415"/>
    </row>
    <row r="31" spans="1:218" ht="20.100000000000001" customHeight="1">
      <c r="A31" s="552"/>
      <c r="B31" s="784" t="s">
        <v>443</v>
      </c>
      <c r="C31" s="784"/>
      <c r="D31" s="785"/>
      <c r="E31" s="786"/>
      <c r="F31" s="787"/>
      <c r="G31" s="769"/>
      <c r="H31" s="587"/>
      <c r="I31" s="770"/>
      <c r="J31" s="587"/>
      <c r="K31" s="770"/>
      <c r="L31" s="587"/>
      <c r="M31" s="770"/>
      <c r="N31" s="587"/>
      <c r="O31" s="770"/>
      <c r="P31" s="587"/>
      <c r="Q31" s="770"/>
      <c r="R31" s="587"/>
      <c r="S31" s="770"/>
      <c r="T31" s="587"/>
      <c r="U31" s="770"/>
      <c r="V31" s="587"/>
      <c r="W31" s="770"/>
      <c r="X31" s="587">
        <v>0</v>
      </c>
      <c r="Y31" s="770"/>
      <c r="Z31" s="587">
        <v>0</v>
      </c>
      <c r="AA31" s="770"/>
      <c r="AB31" s="587">
        <v>0</v>
      </c>
      <c r="AC31" s="770"/>
      <c r="AD31" s="587">
        <v>0</v>
      </c>
      <c r="AE31" s="770"/>
      <c r="AF31" s="587">
        <v>0</v>
      </c>
      <c r="AG31" s="770"/>
      <c r="AH31" s="587">
        <v>0</v>
      </c>
      <c r="AI31" s="770"/>
      <c r="AJ31" s="587">
        <v>0</v>
      </c>
      <c r="AK31" s="770"/>
      <c r="AL31" s="587">
        <v>0</v>
      </c>
      <c r="AM31" s="770"/>
      <c r="AN31" s="587">
        <v>0</v>
      </c>
      <c r="AO31" s="770"/>
      <c r="AP31" s="587">
        <v>0</v>
      </c>
      <c r="AQ31" s="770"/>
      <c r="AR31" s="587"/>
      <c r="AS31" s="770"/>
      <c r="AT31" s="587"/>
      <c r="AU31" s="770"/>
      <c r="AV31" s="587"/>
      <c r="AW31" s="770"/>
      <c r="AX31" s="587"/>
      <c r="AY31" s="770"/>
      <c r="AZ31" s="587"/>
      <c r="BA31" s="770"/>
      <c r="BB31" s="589"/>
      <c r="BC31" s="562"/>
      <c r="BD31" s="552"/>
      <c r="BE31" s="784" t="s">
        <v>443</v>
      </c>
      <c r="BF31" s="784"/>
      <c r="BG31" s="785">
        <v>0</v>
      </c>
      <c r="BH31" s="786">
        <v>0</v>
      </c>
      <c r="BI31" s="787"/>
      <c r="BJ31" s="769"/>
      <c r="BK31" s="587"/>
      <c r="BL31" s="770"/>
      <c r="BM31" s="587"/>
      <c r="BN31" s="770"/>
      <c r="BO31" s="587"/>
      <c r="BP31" s="770"/>
      <c r="BQ31" s="587"/>
      <c r="BR31" s="770"/>
      <c r="BS31" s="587"/>
      <c r="BT31" s="770"/>
      <c r="BU31" s="587"/>
      <c r="BV31" s="770"/>
      <c r="BW31" s="587"/>
      <c r="BX31" s="770"/>
      <c r="BY31" s="587"/>
      <c r="BZ31" s="770"/>
      <c r="CA31" s="587">
        <v>0</v>
      </c>
      <c r="CB31" s="770"/>
      <c r="CC31" s="587">
        <v>0</v>
      </c>
      <c r="CD31" s="770"/>
      <c r="CE31" s="587">
        <v>0</v>
      </c>
      <c r="CF31" s="770"/>
      <c r="CG31" s="587">
        <v>0</v>
      </c>
      <c r="CH31" s="770"/>
      <c r="CI31" s="587">
        <v>0</v>
      </c>
      <c r="CJ31" s="770"/>
      <c r="CK31" s="587">
        <v>0</v>
      </c>
      <c r="CL31" s="770"/>
      <c r="CM31" s="587">
        <v>0</v>
      </c>
      <c r="CN31" s="770"/>
      <c r="CO31" s="587">
        <v>0</v>
      </c>
      <c r="CP31" s="770"/>
      <c r="CQ31" s="587">
        <v>0</v>
      </c>
      <c r="CR31" s="770"/>
      <c r="CS31" s="587">
        <v>0</v>
      </c>
      <c r="CT31" s="770"/>
      <c r="CU31" s="587"/>
      <c r="CV31" s="770"/>
      <c r="CW31" s="587"/>
      <c r="CX31" s="770"/>
      <c r="CY31" s="587"/>
      <c r="CZ31" s="770"/>
      <c r="DA31" s="587"/>
      <c r="DB31" s="770"/>
      <c r="DC31" s="587"/>
      <c r="DD31" s="770"/>
      <c r="DE31" s="589"/>
      <c r="DF31" s="562"/>
      <c r="DG31" s="552"/>
      <c r="DH31" s="784" t="s">
        <v>443</v>
      </c>
      <c r="DI31" s="784"/>
      <c r="DJ31" s="785">
        <v>0</v>
      </c>
      <c r="DK31" s="786">
        <v>0</v>
      </c>
      <c r="DL31" s="787"/>
      <c r="DM31" s="769"/>
      <c r="DN31" s="587"/>
      <c r="DO31" s="770"/>
      <c r="DP31" s="587"/>
      <c r="DQ31" s="770"/>
      <c r="DR31" s="587"/>
      <c r="DS31" s="770"/>
      <c r="DT31" s="587"/>
      <c r="DU31" s="770"/>
      <c r="DV31" s="587"/>
      <c r="DW31" s="770"/>
      <c r="DX31" s="587"/>
      <c r="DY31" s="770"/>
      <c r="DZ31" s="587"/>
      <c r="EA31" s="770"/>
      <c r="EB31" s="587"/>
      <c r="EC31" s="770"/>
      <c r="ED31" s="587">
        <v>0</v>
      </c>
      <c r="EE31" s="770"/>
      <c r="EF31" s="587">
        <v>0</v>
      </c>
      <c r="EG31" s="770"/>
      <c r="EH31" s="587">
        <v>0</v>
      </c>
      <c r="EI31" s="770"/>
      <c r="EJ31" s="587">
        <v>0</v>
      </c>
      <c r="EK31" s="770"/>
      <c r="EL31" s="587">
        <v>0</v>
      </c>
      <c r="EM31" s="770"/>
      <c r="EN31" s="587">
        <v>0</v>
      </c>
      <c r="EO31" s="770"/>
      <c r="EP31" s="587">
        <v>0</v>
      </c>
      <c r="EQ31" s="770"/>
      <c r="ER31" s="587">
        <v>0</v>
      </c>
      <c r="ES31" s="770"/>
      <c r="ET31" s="587">
        <v>0</v>
      </c>
      <c r="EU31" s="770"/>
      <c r="EV31" s="587">
        <v>0</v>
      </c>
      <c r="EW31" s="770"/>
      <c r="EX31" s="587"/>
      <c r="EY31" s="770"/>
      <c r="EZ31" s="587"/>
      <c r="FA31" s="770"/>
      <c r="FB31" s="587"/>
      <c r="FC31" s="770"/>
      <c r="FD31" s="587"/>
      <c r="FE31" s="770"/>
      <c r="FF31" s="587"/>
      <c r="FG31" s="770"/>
      <c r="FH31" s="589"/>
      <c r="FI31" s="563"/>
      <c r="FJ31" s="564"/>
      <c r="FK31" s="784" t="s">
        <v>443</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-0.44</v>
      </c>
      <c r="GQ31" s="413"/>
      <c r="GR31" s="413"/>
      <c r="GS31" s="580"/>
      <c r="GT31" s="763"/>
      <c r="GU31" s="779"/>
      <c r="GV31" s="780"/>
      <c r="GW31" s="789" t="s">
        <v>835</v>
      </c>
      <c r="GX31" s="790" t="s">
        <v>559</v>
      </c>
      <c r="GY31" s="791" t="s">
        <v>560</v>
      </c>
      <c r="GZ31" s="792" t="s">
        <v>717</v>
      </c>
      <c r="HA31" s="792" t="s">
        <v>536</v>
      </c>
      <c r="HB31" s="793"/>
      <c r="HC31" s="579"/>
      <c r="HD31" s="562"/>
      <c r="HE31" s="415"/>
      <c r="HF31" s="415"/>
    </row>
    <row r="32" spans="1:218" ht="20.100000000000001" customHeight="1">
      <c r="A32" s="552"/>
      <c r="B32" s="794" t="s">
        <v>669</v>
      </c>
      <c r="C32" s="795"/>
      <c r="D32" s="785"/>
      <c r="E32" s="796"/>
      <c r="F32" s="797"/>
      <c r="G32" s="798"/>
      <c r="H32" s="799"/>
      <c r="I32" s="800"/>
      <c r="J32" s="799"/>
      <c r="K32" s="800"/>
      <c r="L32" s="799"/>
      <c r="M32" s="800"/>
      <c r="N32" s="799"/>
      <c r="O32" s="800"/>
      <c r="P32" s="799"/>
      <c r="Q32" s="800"/>
      <c r="R32" s="799"/>
      <c r="S32" s="800"/>
      <c r="T32" s="799"/>
      <c r="U32" s="800"/>
      <c r="V32" s="799"/>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c r="AS32" s="800"/>
      <c r="AT32" s="799"/>
      <c r="AU32" s="800"/>
      <c r="AV32" s="799"/>
      <c r="AW32" s="800"/>
      <c r="AX32" s="799"/>
      <c r="AY32" s="800"/>
      <c r="AZ32" s="799"/>
      <c r="BA32" s="800"/>
      <c r="BB32" s="801"/>
      <c r="BC32" s="562"/>
      <c r="BD32" s="552"/>
      <c r="BE32" s="794" t="s">
        <v>669</v>
      </c>
      <c r="BF32" s="795"/>
      <c r="BG32" s="785">
        <v>0</v>
      </c>
      <c r="BH32" s="796">
        <v>0</v>
      </c>
      <c r="BI32" s="797"/>
      <c r="BJ32" s="798"/>
      <c r="BK32" s="799"/>
      <c r="BL32" s="800"/>
      <c r="BM32" s="799"/>
      <c r="BN32" s="800"/>
      <c r="BO32" s="799"/>
      <c r="BP32" s="800"/>
      <c r="BQ32" s="799"/>
      <c r="BR32" s="800"/>
      <c r="BS32" s="799"/>
      <c r="BT32" s="800"/>
      <c r="BU32" s="799"/>
      <c r="BV32" s="800"/>
      <c r="BW32" s="799"/>
      <c r="BX32" s="800"/>
      <c r="BY32" s="799"/>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c r="CV32" s="800"/>
      <c r="CW32" s="799"/>
      <c r="CX32" s="800"/>
      <c r="CY32" s="799"/>
      <c r="CZ32" s="800"/>
      <c r="DA32" s="799"/>
      <c r="DB32" s="800"/>
      <c r="DC32" s="799"/>
      <c r="DD32" s="800"/>
      <c r="DE32" s="801"/>
      <c r="DF32" s="562"/>
      <c r="DG32" s="552"/>
      <c r="DH32" s="794" t="s">
        <v>669</v>
      </c>
      <c r="DI32" s="795"/>
      <c r="DJ32" s="785">
        <v>0</v>
      </c>
      <c r="DK32" s="796">
        <v>0</v>
      </c>
      <c r="DL32" s="797"/>
      <c r="DM32" s="798"/>
      <c r="DN32" s="799"/>
      <c r="DO32" s="800"/>
      <c r="DP32" s="799"/>
      <c r="DQ32" s="800"/>
      <c r="DR32" s="799"/>
      <c r="DS32" s="800"/>
      <c r="DT32" s="799"/>
      <c r="DU32" s="800"/>
      <c r="DV32" s="799"/>
      <c r="DW32" s="800"/>
      <c r="DX32" s="799"/>
      <c r="DY32" s="800"/>
      <c r="DZ32" s="799"/>
      <c r="EA32" s="800"/>
      <c r="EB32" s="799"/>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c r="EY32" s="800"/>
      <c r="EZ32" s="799"/>
      <c r="FA32" s="800"/>
      <c r="FB32" s="799"/>
      <c r="FC32" s="800"/>
      <c r="FD32" s="799"/>
      <c r="FE32" s="800"/>
      <c r="FF32" s="799"/>
      <c r="FG32" s="800"/>
      <c r="FH32" s="801"/>
      <c r="FI32" s="563"/>
      <c r="FJ32" s="564"/>
      <c r="FK32" s="794" t="s">
        <v>669</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325</v>
      </c>
      <c r="E33" s="642"/>
      <c r="F33" s="642"/>
      <c r="G33" s="644"/>
      <c r="H33" s="645">
        <v>0</v>
      </c>
      <c r="I33" s="1291"/>
      <c r="J33" s="645">
        <v>0</v>
      </c>
      <c r="K33" s="1291"/>
      <c r="L33" s="645">
        <v>0</v>
      </c>
      <c r="M33" s="1291"/>
      <c r="N33" s="645">
        <v>0</v>
      </c>
      <c r="O33" s="1291"/>
      <c r="P33" s="645">
        <v>0</v>
      </c>
      <c r="Q33" s="1291"/>
      <c r="R33" s="645">
        <v>0</v>
      </c>
      <c r="S33" s="1291"/>
      <c r="T33" s="645">
        <v>0</v>
      </c>
      <c r="U33" s="1291"/>
      <c r="V33" s="645">
        <v>0</v>
      </c>
      <c r="W33" s="1291"/>
      <c r="X33" s="645">
        <v>378</v>
      </c>
      <c r="Y33" s="1291"/>
      <c r="Z33" s="645">
        <v>378</v>
      </c>
      <c r="AA33" s="1291"/>
      <c r="AB33" s="645">
        <v>378</v>
      </c>
      <c r="AC33" s="1291"/>
      <c r="AD33" s="645">
        <v>378</v>
      </c>
      <c r="AE33" s="1291"/>
      <c r="AF33" s="645">
        <v>378</v>
      </c>
      <c r="AG33" s="1291"/>
      <c r="AH33" s="645">
        <v>378</v>
      </c>
      <c r="AI33" s="1291"/>
      <c r="AJ33" s="645">
        <v>378</v>
      </c>
      <c r="AK33" s="1291"/>
      <c r="AL33" s="645">
        <v>378</v>
      </c>
      <c r="AM33" s="1291"/>
      <c r="AN33" s="645">
        <v>378</v>
      </c>
      <c r="AO33" s="1291"/>
      <c r="AP33" s="645">
        <v>378</v>
      </c>
      <c r="AQ33" s="1291"/>
      <c r="AR33" s="645">
        <v>0</v>
      </c>
      <c r="AS33" s="1291"/>
      <c r="AT33" s="645">
        <v>0</v>
      </c>
      <c r="AU33" s="1291"/>
      <c r="AV33" s="645">
        <v>0</v>
      </c>
      <c r="AW33" s="1291"/>
      <c r="AX33" s="645">
        <v>0</v>
      </c>
      <c r="AY33" s="1291"/>
      <c r="AZ33" s="645">
        <v>0</v>
      </c>
      <c r="BA33" s="1291"/>
      <c r="BB33" s="647">
        <v>0</v>
      </c>
      <c r="BC33" s="648"/>
      <c r="BD33" s="641"/>
      <c r="BE33" s="642"/>
      <c r="BF33" s="642"/>
      <c r="BG33" s="643" t="s">
        <v>325</v>
      </c>
      <c r="BH33" s="642"/>
      <c r="BI33" s="642"/>
      <c r="BJ33" s="644"/>
      <c r="BK33" s="645">
        <v>0</v>
      </c>
      <c r="BL33" s="1291"/>
      <c r="BM33" s="645">
        <v>0</v>
      </c>
      <c r="BN33" s="1291"/>
      <c r="BO33" s="645">
        <v>0</v>
      </c>
      <c r="BP33" s="1291"/>
      <c r="BQ33" s="645">
        <v>0</v>
      </c>
      <c r="BR33" s="1291"/>
      <c r="BS33" s="645">
        <v>0</v>
      </c>
      <c r="BT33" s="1291"/>
      <c r="BU33" s="645">
        <v>0</v>
      </c>
      <c r="BV33" s="1291"/>
      <c r="BW33" s="645">
        <v>0</v>
      </c>
      <c r="BX33" s="1291"/>
      <c r="BY33" s="645">
        <v>0</v>
      </c>
      <c r="BZ33" s="1291"/>
      <c r="CA33" s="645">
        <v>378</v>
      </c>
      <c r="CB33" s="1291"/>
      <c r="CC33" s="645">
        <v>378</v>
      </c>
      <c r="CD33" s="1291"/>
      <c r="CE33" s="645">
        <v>378</v>
      </c>
      <c r="CF33" s="1291"/>
      <c r="CG33" s="645">
        <v>378</v>
      </c>
      <c r="CH33" s="1291"/>
      <c r="CI33" s="645">
        <v>378</v>
      </c>
      <c r="CJ33" s="1291"/>
      <c r="CK33" s="645">
        <v>378</v>
      </c>
      <c r="CL33" s="1291"/>
      <c r="CM33" s="645">
        <v>378</v>
      </c>
      <c r="CN33" s="1291"/>
      <c r="CO33" s="645">
        <v>378</v>
      </c>
      <c r="CP33" s="1291"/>
      <c r="CQ33" s="645">
        <v>378</v>
      </c>
      <c r="CR33" s="1291"/>
      <c r="CS33" s="645">
        <v>378</v>
      </c>
      <c r="CT33" s="1291"/>
      <c r="CU33" s="645">
        <v>0</v>
      </c>
      <c r="CV33" s="1291"/>
      <c r="CW33" s="645">
        <v>0</v>
      </c>
      <c r="CX33" s="1291"/>
      <c r="CY33" s="645">
        <v>0</v>
      </c>
      <c r="CZ33" s="1291"/>
      <c r="DA33" s="645">
        <v>0</v>
      </c>
      <c r="DB33" s="1291"/>
      <c r="DC33" s="645">
        <v>0</v>
      </c>
      <c r="DD33" s="1291"/>
      <c r="DE33" s="647">
        <v>0</v>
      </c>
      <c r="DF33" s="648"/>
      <c r="DG33" s="641"/>
      <c r="DH33" s="642"/>
      <c r="DI33" s="642"/>
      <c r="DJ33" s="643" t="s">
        <v>325</v>
      </c>
      <c r="DK33" s="642"/>
      <c r="DL33" s="642"/>
      <c r="DM33" s="644"/>
      <c r="DN33" s="645">
        <v>0</v>
      </c>
      <c r="DO33" s="1291"/>
      <c r="DP33" s="645">
        <v>0</v>
      </c>
      <c r="DQ33" s="1291"/>
      <c r="DR33" s="645">
        <v>0</v>
      </c>
      <c r="DS33" s="1291"/>
      <c r="DT33" s="645">
        <v>0</v>
      </c>
      <c r="DU33" s="1291"/>
      <c r="DV33" s="645">
        <v>0</v>
      </c>
      <c r="DW33" s="1291"/>
      <c r="DX33" s="645">
        <v>0</v>
      </c>
      <c r="DY33" s="1291"/>
      <c r="DZ33" s="645">
        <v>0</v>
      </c>
      <c r="EA33" s="1291"/>
      <c r="EB33" s="645">
        <v>0</v>
      </c>
      <c r="EC33" s="1291"/>
      <c r="ED33" s="645">
        <v>378</v>
      </c>
      <c r="EE33" s="1291"/>
      <c r="EF33" s="645">
        <v>378</v>
      </c>
      <c r="EG33" s="1291"/>
      <c r="EH33" s="645">
        <v>378</v>
      </c>
      <c r="EI33" s="1291"/>
      <c r="EJ33" s="645">
        <v>378</v>
      </c>
      <c r="EK33" s="1291"/>
      <c r="EL33" s="645">
        <v>378</v>
      </c>
      <c r="EM33" s="1291"/>
      <c r="EN33" s="645">
        <v>378</v>
      </c>
      <c r="EO33" s="1291"/>
      <c r="EP33" s="645">
        <v>378</v>
      </c>
      <c r="EQ33" s="1291"/>
      <c r="ER33" s="645">
        <v>378</v>
      </c>
      <c r="ES33" s="1291"/>
      <c r="ET33" s="645">
        <v>378</v>
      </c>
      <c r="EU33" s="1291"/>
      <c r="EV33" s="645">
        <v>378</v>
      </c>
      <c r="EW33" s="1291"/>
      <c r="EX33" s="645">
        <v>0</v>
      </c>
      <c r="EY33" s="1291"/>
      <c r="EZ33" s="645">
        <v>0</v>
      </c>
      <c r="FA33" s="1291"/>
      <c r="FB33" s="645">
        <v>0</v>
      </c>
      <c r="FC33" s="1291"/>
      <c r="FD33" s="645">
        <v>0</v>
      </c>
      <c r="FE33" s="1291"/>
      <c r="FF33" s="645">
        <v>0</v>
      </c>
      <c r="FG33" s="1291"/>
      <c r="FH33" s="647">
        <v>0</v>
      </c>
      <c r="FI33" s="649"/>
      <c r="FJ33" s="564"/>
      <c r="FK33" s="642"/>
      <c r="FL33" s="642"/>
      <c r="FM33" s="643" t="s">
        <v>325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562</v>
      </c>
      <c r="GL33" s="579"/>
      <c r="GM33" s="530"/>
      <c r="GN33" s="579"/>
      <c r="GO33" s="530"/>
      <c r="GP33" s="530"/>
      <c r="GQ33" s="530"/>
      <c r="GR33" s="579"/>
      <c r="GS33" s="530"/>
      <c r="GT33" s="763"/>
      <c r="GU33" s="811">
        <v>211</v>
      </c>
      <c r="GV33" s="812"/>
      <c r="GW33" s="813">
        <v>0</v>
      </c>
      <c r="GX33" s="814">
        <v>6.2</v>
      </c>
      <c r="GY33" s="814">
        <v>17.47</v>
      </c>
      <c r="GZ33" s="814">
        <v>0</v>
      </c>
      <c r="HA33" s="814">
        <v>23.669999999999998</v>
      </c>
      <c r="HB33" s="815">
        <v>13.23</v>
      </c>
      <c r="HC33" s="413"/>
      <c r="HD33" s="648"/>
      <c r="HE33" s="415"/>
      <c r="HF33" s="415"/>
    </row>
    <row r="34" spans="1:219" ht="20.100000000000001" customHeight="1">
      <c r="A34" s="1293" t="s">
        <v>449</v>
      </c>
      <c r="B34" s="743"/>
      <c r="C34" s="817"/>
      <c r="D34" s="818"/>
      <c r="E34" s="817"/>
      <c r="F34" s="819"/>
      <c r="G34" s="740" t="s">
        <v>447</v>
      </c>
      <c r="H34" s="663" t="s">
        <v>430</v>
      </c>
      <c r="I34" s="741" t="s">
        <v>447</v>
      </c>
      <c r="J34" s="663" t="s">
        <v>430</v>
      </c>
      <c r="K34" s="742" t="s">
        <v>447</v>
      </c>
      <c r="L34" s="663" t="s">
        <v>430</v>
      </c>
      <c r="M34" s="742" t="s">
        <v>447</v>
      </c>
      <c r="N34" s="663" t="s">
        <v>430</v>
      </c>
      <c r="O34" s="742" t="s">
        <v>447</v>
      </c>
      <c r="P34" s="663" t="s">
        <v>430</v>
      </c>
      <c r="Q34" s="742" t="s">
        <v>447</v>
      </c>
      <c r="R34" s="663" t="s">
        <v>430</v>
      </c>
      <c r="S34" s="742" t="s">
        <v>447</v>
      </c>
      <c r="T34" s="663" t="s">
        <v>430</v>
      </c>
      <c r="U34" s="742" t="s">
        <v>447</v>
      </c>
      <c r="V34" s="663" t="s">
        <v>430</v>
      </c>
      <c r="W34" s="742" t="s">
        <v>447</v>
      </c>
      <c r="X34" s="663" t="s">
        <v>430</v>
      </c>
      <c r="Y34" s="742" t="s">
        <v>447</v>
      </c>
      <c r="Z34" s="663" t="s">
        <v>430</v>
      </c>
      <c r="AA34" s="742" t="s">
        <v>447</v>
      </c>
      <c r="AB34" s="663" t="s">
        <v>430</v>
      </c>
      <c r="AC34" s="742" t="s">
        <v>447</v>
      </c>
      <c r="AD34" s="663" t="s">
        <v>430</v>
      </c>
      <c r="AE34" s="742" t="s">
        <v>447</v>
      </c>
      <c r="AF34" s="663" t="s">
        <v>430</v>
      </c>
      <c r="AG34" s="742" t="s">
        <v>447</v>
      </c>
      <c r="AH34" s="663" t="s">
        <v>430</v>
      </c>
      <c r="AI34" s="742" t="s">
        <v>447</v>
      </c>
      <c r="AJ34" s="663" t="s">
        <v>430</v>
      </c>
      <c r="AK34" s="742" t="s">
        <v>447</v>
      </c>
      <c r="AL34" s="663" t="s">
        <v>430</v>
      </c>
      <c r="AM34" s="742" t="s">
        <v>447</v>
      </c>
      <c r="AN34" s="663" t="s">
        <v>430</v>
      </c>
      <c r="AO34" s="742" t="s">
        <v>447</v>
      </c>
      <c r="AP34" s="663" t="s">
        <v>430</v>
      </c>
      <c r="AQ34" s="742" t="s">
        <v>447</v>
      </c>
      <c r="AR34" s="663" t="s">
        <v>430</v>
      </c>
      <c r="AS34" s="742" t="s">
        <v>447</v>
      </c>
      <c r="AT34" s="663" t="s">
        <v>430</v>
      </c>
      <c r="AU34" s="742" t="s">
        <v>447</v>
      </c>
      <c r="AV34" s="663" t="s">
        <v>430</v>
      </c>
      <c r="AW34" s="742" t="s">
        <v>447</v>
      </c>
      <c r="AX34" s="663" t="s">
        <v>430</v>
      </c>
      <c r="AY34" s="742" t="s">
        <v>447</v>
      </c>
      <c r="AZ34" s="663" t="s">
        <v>430</v>
      </c>
      <c r="BA34" s="742" t="s">
        <v>447</v>
      </c>
      <c r="BB34" s="665" t="s">
        <v>430</v>
      </c>
      <c r="BC34" s="723"/>
      <c r="BD34" s="1293" t="s">
        <v>449</v>
      </c>
      <c r="BE34" s="820"/>
      <c r="BF34" s="821"/>
      <c r="BG34" s="822"/>
      <c r="BH34" s="821"/>
      <c r="BI34" s="823"/>
      <c r="BJ34" s="740" t="s">
        <v>447</v>
      </c>
      <c r="BK34" s="663" t="s">
        <v>430</v>
      </c>
      <c r="BL34" s="741" t="s">
        <v>447</v>
      </c>
      <c r="BM34" s="663" t="s">
        <v>430</v>
      </c>
      <c r="BN34" s="742" t="s">
        <v>447</v>
      </c>
      <c r="BO34" s="663" t="s">
        <v>430</v>
      </c>
      <c r="BP34" s="742" t="s">
        <v>447</v>
      </c>
      <c r="BQ34" s="663" t="s">
        <v>430</v>
      </c>
      <c r="BR34" s="742" t="s">
        <v>447</v>
      </c>
      <c r="BS34" s="663" t="s">
        <v>430</v>
      </c>
      <c r="BT34" s="742" t="s">
        <v>447</v>
      </c>
      <c r="BU34" s="663" t="s">
        <v>430</v>
      </c>
      <c r="BV34" s="742" t="s">
        <v>447</v>
      </c>
      <c r="BW34" s="663" t="s">
        <v>430</v>
      </c>
      <c r="BX34" s="742" t="s">
        <v>447</v>
      </c>
      <c r="BY34" s="663" t="s">
        <v>430</v>
      </c>
      <c r="BZ34" s="742" t="s">
        <v>447</v>
      </c>
      <c r="CA34" s="663" t="s">
        <v>430</v>
      </c>
      <c r="CB34" s="742" t="s">
        <v>447</v>
      </c>
      <c r="CC34" s="663" t="s">
        <v>430</v>
      </c>
      <c r="CD34" s="742" t="s">
        <v>447</v>
      </c>
      <c r="CE34" s="663" t="s">
        <v>430</v>
      </c>
      <c r="CF34" s="742" t="s">
        <v>447</v>
      </c>
      <c r="CG34" s="663" t="s">
        <v>430</v>
      </c>
      <c r="CH34" s="742" t="s">
        <v>447</v>
      </c>
      <c r="CI34" s="663" t="s">
        <v>430</v>
      </c>
      <c r="CJ34" s="742" t="s">
        <v>447</v>
      </c>
      <c r="CK34" s="663" t="s">
        <v>430</v>
      </c>
      <c r="CL34" s="742" t="s">
        <v>447</v>
      </c>
      <c r="CM34" s="663" t="s">
        <v>430</v>
      </c>
      <c r="CN34" s="742" t="s">
        <v>447</v>
      </c>
      <c r="CO34" s="663" t="s">
        <v>430</v>
      </c>
      <c r="CP34" s="742" t="s">
        <v>447</v>
      </c>
      <c r="CQ34" s="663" t="s">
        <v>430</v>
      </c>
      <c r="CR34" s="742" t="s">
        <v>447</v>
      </c>
      <c r="CS34" s="663" t="s">
        <v>430</v>
      </c>
      <c r="CT34" s="742" t="s">
        <v>447</v>
      </c>
      <c r="CU34" s="663" t="s">
        <v>430</v>
      </c>
      <c r="CV34" s="742" t="s">
        <v>447</v>
      </c>
      <c r="CW34" s="663" t="s">
        <v>430</v>
      </c>
      <c r="CX34" s="742" t="s">
        <v>447</v>
      </c>
      <c r="CY34" s="663" t="s">
        <v>430</v>
      </c>
      <c r="CZ34" s="742" t="s">
        <v>447</v>
      </c>
      <c r="DA34" s="663" t="s">
        <v>430</v>
      </c>
      <c r="DB34" s="742" t="s">
        <v>447</v>
      </c>
      <c r="DC34" s="663" t="s">
        <v>430</v>
      </c>
      <c r="DD34" s="742" t="s">
        <v>447</v>
      </c>
      <c r="DE34" s="665" t="s">
        <v>430</v>
      </c>
      <c r="DF34" s="723"/>
      <c r="DG34" s="1293" t="s">
        <v>449</v>
      </c>
      <c r="DH34" s="738"/>
      <c r="DI34" s="824"/>
      <c r="DJ34" s="825"/>
      <c r="DK34" s="824"/>
      <c r="DL34" s="826"/>
      <c r="DM34" s="740" t="s">
        <v>447</v>
      </c>
      <c r="DN34" s="663" t="s">
        <v>430</v>
      </c>
      <c r="DO34" s="741" t="s">
        <v>447</v>
      </c>
      <c r="DP34" s="663" t="s">
        <v>430</v>
      </c>
      <c r="DQ34" s="742" t="s">
        <v>447</v>
      </c>
      <c r="DR34" s="663" t="s">
        <v>430</v>
      </c>
      <c r="DS34" s="742" t="s">
        <v>447</v>
      </c>
      <c r="DT34" s="663" t="s">
        <v>430</v>
      </c>
      <c r="DU34" s="742" t="s">
        <v>447</v>
      </c>
      <c r="DV34" s="663" t="s">
        <v>430</v>
      </c>
      <c r="DW34" s="742" t="s">
        <v>447</v>
      </c>
      <c r="DX34" s="663" t="s">
        <v>430</v>
      </c>
      <c r="DY34" s="742" t="s">
        <v>447</v>
      </c>
      <c r="DZ34" s="663" t="s">
        <v>430</v>
      </c>
      <c r="EA34" s="742" t="s">
        <v>447</v>
      </c>
      <c r="EB34" s="663" t="s">
        <v>430</v>
      </c>
      <c r="EC34" s="742" t="s">
        <v>447</v>
      </c>
      <c r="ED34" s="663" t="s">
        <v>430</v>
      </c>
      <c r="EE34" s="742" t="s">
        <v>447</v>
      </c>
      <c r="EF34" s="663" t="s">
        <v>430</v>
      </c>
      <c r="EG34" s="742" t="s">
        <v>447</v>
      </c>
      <c r="EH34" s="663" t="s">
        <v>430</v>
      </c>
      <c r="EI34" s="742" t="s">
        <v>447</v>
      </c>
      <c r="EJ34" s="663" t="s">
        <v>430</v>
      </c>
      <c r="EK34" s="742" t="s">
        <v>447</v>
      </c>
      <c r="EL34" s="663" t="s">
        <v>430</v>
      </c>
      <c r="EM34" s="742" t="s">
        <v>447</v>
      </c>
      <c r="EN34" s="663" t="s">
        <v>430</v>
      </c>
      <c r="EO34" s="742" t="s">
        <v>447</v>
      </c>
      <c r="EP34" s="663" t="s">
        <v>430</v>
      </c>
      <c r="EQ34" s="742" t="s">
        <v>447</v>
      </c>
      <c r="ER34" s="663" t="s">
        <v>430</v>
      </c>
      <c r="ES34" s="742" t="s">
        <v>447</v>
      </c>
      <c r="ET34" s="663" t="s">
        <v>430</v>
      </c>
      <c r="EU34" s="742" t="s">
        <v>447</v>
      </c>
      <c r="EV34" s="663" t="s">
        <v>430</v>
      </c>
      <c r="EW34" s="742" t="s">
        <v>447</v>
      </c>
      <c r="EX34" s="663" t="s">
        <v>430</v>
      </c>
      <c r="EY34" s="742" t="s">
        <v>447</v>
      </c>
      <c r="EZ34" s="663" t="s">
        <v>430</v>
      </c>
      <c r="FA34" s="742" t="s">
        <v>447</v>
      </c>
      <c r="FB34" s="663" t="s">
        <v>430</v>
      </c>
      <c r="FC34" s="742" t="s">
        <v>447</v>
      </c>
      <c r="FD34" s="663" t="s">
        <v>430</v>
      </c>
      <c r="FE34" s="742" t="s">
        <v>447</v>
      </c>
      <c r="FF34" s="663" t="s">
        <v>430</v>
      </c>
      <c r="FG34" s="742" t="s">
        <v>447</v>
      </c>
      <c r="FH34" s="665" t="s">
        <v>430</v>
      </c>
      <c r="FI34" s="746"/>
      <c r="FJ34" s="827" t="s">
        <v>449</v>
      </c>
      <c r="FK34" s="738"/>
      <c r="FL34" s="824"/>
      <c r="FM34" s="825"/>
      <c r="FN34" s="824"/>
      <c r="FO34" s="826"/>
      <c r="FP34" s="747" t="s">
        <v>450</v>
      </c>
      <c r="FQ34" s="673" t="s">
        <v>447</v>
      </c>
      <c r="FR34" s="663" t="s">
        <v>451</v>
      </c>
      <c r="FS34" s="748" t="s">
        <v>450</v>
      </c>
      <c r="FT34" s="673" t="s">
        <v>447</v>
      </c>
      <c r="FU34" s="675" t="s">
        <v>451</v>
      </c>
      <c r="FV34" s="593"/>
      <c r="FW34" s="594"/>
      <c r="FX34" s="806"/>
      <c r="FY34" s="596"/>
      <c r="FZ34" s="807"/>
      <c r="GA34" s="598"/>
      <c r="GB34" s="808"/>
      <c r="GC34" s="600"/>
      <c r="GD34" s="808"/>
      <c r="GE34" s="601"/>
      <c r="GF34" s="749"/>
      <c r="GG34" s="750"/>
      <c r="GH34" s="750"/>
      <c r="GI34" s="750"/>
      <c r="GJ34" s="579"/>
      <c r="GK34" s="828" t="s">
        <v>836</v>
      </c>
      <c r="GL34" s="828"/>
      <c r="GM34" s="828"/>
      <c r="GN34" s="828"/>
      <c r="GO34" s="828"/>
      <c r="GP34" s="828"/>
      <c r="GQ34" s="615">
        <v>7</v>
      </c>
      <c r="GR34" s="579" t="s">
        <v>319</v>
      </c>
      <c r="GS34" s="580"/>
      <c r="GT34" s="763"/>
      <c r="GU34" s="829"/>
      <c r="GV34" s="830"/>
      <c r="GW34" s="831"/>
      <c r="GX34" s="633"/>
      <c r="GY34" s="633"/>
      <c r="GZ34" s="633"/>
      <c r="HA34" s="633"/>
      <c r="HB34" s="634"/>
      <c r="HC34" s="530"/>
      <c r="HD34" s="723"/>
      <c r="HE34" s="415"/>
      <c r="HF34" s="415"/>
    </row>
    <row r="35" spans="1:219" ht="20.100000000000001" customHeight="1">
      <c r="A35" s="832"/>
      <c r="B35" s="466" t="s">
        <v>767</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566</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327</v>
      </c>
      <c r="E36" s="642"/>
      <c r="F36" s="642"/>
      <c r="G36" s="845"/>
      <c r="H36" s="1294">
        <v>0</v>
      </c>
      <c r="I36" s="1295"/>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1296">
        <v>0</v>
      </c>
      <c r="BC36" s="648"/>
      <c r="BD36" s="832"/>
      <c r="BE36" s="642"/>
      <c r="BF36" s="642"/>
      <c r="BG36" s="643" t="s">
        <v>327</v>
      </c>
      <c r="BH36" s="642"/>
      <c r="BI36" s="642"/>
      <c r="BJ36" s="845"/>
      <c r="BK36" s="1294">
        <v>0</v>
      </c>
      <c r="BL36" s="1295"/>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1296">
        <v>0</v>
      </c>
      <c r="DF36" s="648"/>
      <c r="DG36" s="832"/>
      <c r="DH36" s="642"/>
      <c r="DI36" s="642"/>
      <c r="DJ36" s="643" t="s">
        <v>327</v>
      </c>
      <c r="DK36" s="642"/>
      <c r="DL36" s="642"/>
      <c r="DM36" s="845"/>
      <c r="DN36" s="1294">
        <v>0</v>
      </c>
      <c r="DO36" s="1295"/>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1296">
        <v>0</v>
      </c>
      <c r="FI36" s="649"/>
      <c r="FJ36" s="841"/>
      <c r="FK36" s="642"/>
      <c r="FL36" s="642"/>
      <c r="FM36" s="643" t="s">
        <v>327</v>
      </c>
      <c r="FN36" s="642"/>
      <c r="FO36" s="642"/>
      <c r="FP36" s="650"/>
      <c r="FQ36" s="1295"/>
      <c r="FR36" s="1294">
        <v>0</v>
      </c>
      <c r="FS36" s="1297"/>
      <c r="FT36" s="1295"/>
      <c r="FU36" s="1298">
        <v>0</v>
      </c>
      <c r="FV36" s="593"/>
      <c r="FW36" s="594"/>
      <c r="FX36" s="806"/>
      <c r="FY36" s="596"/>
      <c r="FZ36" s="807"/>
      <c r="GA36" s="598"/>
      <c r="GB36" s="808"/>
      <c r="GC36" s="600"/>
      <c r="GD36" s="808"/>
      <c r="GE36" s="601"/>
      <c r="GF36" s="654"/>
      <c r="GG36" s="655"/>
      <c r="GH36" s="655"/>
      <c r="GI36" s="655"/>
      <c r="GJ36" s="530"/>
      <c r="GK36" s="828" t="s">
        <v>567</v>
      </c>
      <c r="GL36" s="828"/>
      <c r="GM36" s="828"/>
      <c r="GN36" s="828"/>
      <c r="GO36" s="828"/>
      <c r="GP36" s="828"/>
      <c r="GQ36" s="615">
        <v>10</v>
      </c>
      <c r="GR36" s="579" t="s">
        <v>319</v>
      </c>
      <c r="GS36" s="530"/>
      <c r="GT36" s="763"/>
      <c r="GU36" s="829"/>
      <c r="GV36" s="830"/>
      <c r="GW36" s="831"/>
      <c r="GX36" s="633"/>
      <c r="GY36" s="633"/>
      <c r="GZ36" s="633"/>
      <c r="HA36" s="633"/>
      <c r="HB36" s="634"/>
      <c r="HC36" s="530"/>
      <c r="HD36" s="648"/>
      <c r="HE36" s="415"/>
      <c r="HF36" s="415"/>
    </row>
    <row r="37" spans="1:219" ht="24" customHeight="1">
      <c r="A37" s="853" t="s">
        <v>462</v>
      </c>
      <c r="B37" s="854"/>
      <c r="C37" s="855" t="s">
        <v>455</v>
      </c>
      <c r="D37" s="856"/>
      <c r="E37" s="857" t="s">
        <v>456</v>
      </c>
      <c r="F37" s="858"/>
      <c r="G37" s="662" t="s">
        <v>447</v>
      </c>
      <c r="H37" s="663" t="s">
        <v>328</v>
      </c>
      <c r="I37" s="664" t="s">
        <v>447</v>
      </c>
      <c r="J37" s="663" t="s">
        <v>459</v>
      </c>
      <c r="K37" s="664" t="s">
        <v>447</v>
      </c>
      <c r="L37" s="663" t="s">
        <v>459</v>
      </c>
      <c r="M37" s="664" t="s">
        <v>447</v>
      </c>
      <c r="N37" s="663" t="s">
        <v>459</v>
      </c>
      <c r="O37" s="664" t="s">
        <v>447</v>
      </c>
      <c r="P37" s="663" t="s">
        <v>459</v>
      </c>
      <c r="Q37" s="664" t="s">
        <v>447</v>
      </c>
      <c r="R37" s="663" t="s">
        <v>459</v>
      </c>
      <c r="S37" s="664" t="s">
        <v>447</v>
      </c>
      <c r="T37" s="663" t="s">
        <v>459</v>
      </c>
      <c r="U37" s="664" t="s">
        <v>447</v>
      </c>
      <c r="V37" s="663" t="s">
        <v>459</v>
      </c>
      <c r="W37" s="664" t="s">
        <v>447</v>
      </c>
      <c r="X37" s="663" t="s">
        <v>459</v>
      </c>
      <c r="Y37" s="664" t="s">
        <v>447</v>
      </c>
      <c r="Z37" s="663" t="s">
        <v>459</v>
      </c>
      <c r="AA37" s="664" t="s">
        <v>447</v>
      </c>
      <c r="AB37" s="663" t="s">
        <v>459</v>
      </c>
      <c r="AC37" s="664" t="s">
        <v>447</v>
      </c>
      <c r="AD37" s="663" t="s">
        <v>459</v>
      </c>
      <c r="AE37" s="664" t="s">
        <v>447</v>
      </c>
      <c r="AF37" s="663" t="s">
        <v>459</v>
      </c>
      <c r="AG37" s="664" t="s">
        <v>447</v>
      </c>
      <c r="AH37" s="663" t="s">
        <v>459</v>
      </c>
      <c r="AI37" s="664" t="s">
        <v>447</v>
      </c>
      <c r="AJ37" s="663" t="s">
        <v>459</v>
      </c>
      <c r="AK37" s="664" t="s">
        <v>447</v>
      </c>
      <c r="AL37" s="663" t="s">
        <v>459</v>
      </c>
      <c r="AM37" s="664" t="s">
        <v>447</v>
      </c>
      <c r="AN37" s="663" t="s">
        <v>459</v>
      </c>
      <c r="AO37" s="664" t="s">
        <v>447</v>
      </c>
      <c r="AP37" s="663" t="s">
        <v>459</v>
      </c>
      <c r="AQ37" s="664" t="s">
        <v>447</v>
      </c>
      <c r="AR37" s="663" t="s">
        <v>459</v>
      </c>
      <c r="AS37" s="664" t="s">
        <v>447</v>
      </c>
      <c r="AT37" s="663" t="s">
        <v>459</v>
      </c>
      <c r="AU37" s="664" t="s">
        <v>447</v>
      </c>
      <c r="AV37" s="663" t="s">
        <v>459</v>
      </c>
      <c r="AW37" s="664" t="s">
        <v>447</v>
      </c>
      <c r="AX37" s="663" t="s">
        <v>459</v>
      </c>
      <c r="AY37" s="664" t="s">
        <v>447</v>
      </c>
      <c r="AZ37" s="663" t="s">
        <v>459</v>
      </c>
      <c r="BA37" s="664" t="s">
        <v>447</v>
      </c>
      <c r="BB37" s="665" t="s">
        <v>459</v>
      </c>
      <c r="BC37" s="723"/>
      <c r="BD37" s="853" t="s">
        <v>462</v>
      </c>
      <c r="BE37" s="854"/>
      <c r="BF37" s="855" t="s">
        <v>455</v>
      </c>
      <c r="BG37" s="856"/>
      <c r="BH37" s="857" t="s">
        <v>456</v>
      </c>
      <c r="BI37" s="858"/>
      <c r="BJ37" s="662" t="s">
        <v>447</v>
      </c>
      <c r="BK37" s="663" t="s">
        <v>328</v>
      </c>
      <c r="BL37" s="664" t="s">
        <v>447</v>
      </c>
      <c r="BM37" s="663" t="s">
        <v>459</v>
      </c>
      <c r="BN37" s="664" t="s">
        <v>447</v>
      </c>
      <c r="BO37" s="663" t="s">
        <v>459</v>
      </c>
      <c r="BP37" s="664" t="s">
        <v>447</v>
      </c>
      <c r="BQ37" s="663" t="s">
        <v>459</v>
      </c>
      <c r="BR37" s="664" t="s">
        <v>447</v>
      </c>
      <c r="BS37" s="663" t="s">
        <v>459</v>
      </c>
      <c r="BT37" s="664" t="s">
        <v>447</v>
      </c>
      <c r="BU37" s="663" t="s">
        <v>459</v>
      </c>
      <c r="BV37" s="664" t="s">
        <v>447</v>
      </c>
      <c r="BW37" s="663" t="s">
        <v>459</v>
      </c>
      <c r="BX37" s="664" t="s">
        <v>447</v>
      </c>
      <c r="BY37" s="663" t="s">
        <v>459</v>
      </c>
      <c r="BZ37" s="664" t="s">
        <v>447</v>
      </c>
      <c r="CA37" s="663" t="s">
        <v>459</v>
      </c>
      <c r="CB37" s="664" t="s">
        <v>447</v>
      </c>
      <c r="CC37" s="663" t="s">
        <v>459</v>
      </c>
      <c r="CD37" s="664" t="s">
        <v>447</v>
      </c>
      <c r="CE37" s="663" t="s">
        <v>459</v>
      </c>
      <c r="CF37" s="664" t="s">
        <v>447</v>
      </c>
      <c r="CG37" s="663" t="s">
        <v>459</v>
      </c>
      <c r="CH37" s="664" t="s">
        <v>447</v>
      </c>
      <c r="CI37" s="663" t="s">
        <v>459</v>
      </c>
      <c r="CJ37" s="664" t="s">
        <v>447</v>
      </c>
      <c r="CK37" s="663" t="s">
        <v>459</v>
      </c>
      <c r="CL37" s="664" t="s">
        <v>447</v>
      </c>
      <c r="CM37" s="663" t="s">
        <v>459</v>
      </c>
      <c r="CN37" s="664" t="s">
        <v>447</v>
      </c>
      <c r="CO37" s="663" t="s">
        <v>459</v>
      </c>
      <c r="CP37" s="664" t="s">
        <v>447</v>
      </c>
      <c r="CQ37" s="663" t="s">
        <v>459</v>
      </c>
      <c r="CR37" s="664" t="s">
        <v>447</v>
      </c>
      <c r="CS37" s="663" t="s">
        <v>459</v>
      </c>
      <c r="CT37" s="664" t="s">
        <v>447</v>
      </c>
      <c r="CU37" s="663" t="s">
        <v>459</v>
      </c>
      <c r="CV37" s="664" t="s">
        <v>447</v>
      </c>
      <c r="CW37" s="663" t="s">
        <v>459</v>
      </c>
      <c r="CX37" s="664" t="s">
        <v>447</v>
      </c>
      <c r="CY37" s="663" t="s">
        <v>459</v>
      </c>
      <c r="CZ37" s="664" t="s">
        <v>447</v>
      </c>
      <c r="DA37" s="663" t="s">
        <v>459</v>
      </c>
      <c r="DB37" s="664" t="s">
        <v>447</v>
      </c>
      <c r="DC37" s="663" t="s">
        <v>459</v>
      </c>
      <c r="DD37" s="664" t="s">
        <v>447</v>
      </c>
      <c r="DE37" s="665" t="s">
        <v>459</v>
      </c>
      <c r="DF37" s="723"/>
      <c r="DG37" s="853" t="s">
        <v>462</v>
      </c>
      <c r="DH37" s="854"/>
      <c r="DI37" s="855" t="s">
        <v>455</v>
      </c>
      <c r="DJ37" s="856"/>
      <c r="DK37" s="857" t="s">
        <v>456</v>
      </c>
      <c r="DL37" s="858"/>
      <c r="DM37" s="662" t="s">
        <v>447</v>
      </c>
      <c r="DN37" s="663" t="s">
        <v>328</v>
      </c>
      <c r="DO37" s="664" t="s">
        <v>447</v>
      </c>
      <c r="DP37" s="663" t="s">
        <v>459</v>
      </c>
      <c r="DQ37" s="664" t="s">
        <v>447</v>
      </c>
      <c r="DR37" s="663" t="s">
        <v>459</v>
      </c>
      <c r="DS37" s="664" t="s">
        <v>447</v>
      </c>
      <c r="DT37" s="663" t="s">
        <v>459</v>
      </c>
      <c r="DU37" s="664" t="s">
        <v>447</v>
      </c>
      <c r="DV37" s="663" t="s">
        <v>459</v>
      </c>
      <c r="DW37" s="664" t="s">
        <v>447</v>
      </c>
      <c r="DX37" s="663" t="s">
        <v>459</v>
      </c>
      <c r="DY37" s="664" t="s">
        <v>447</v>
      </c>
      <c r="DZ37" s="663" t="s">
        <v>459</v>
      </c>
      <c r="EA37" s="664" t="s">
        <v>447</v>
      </c>
      <c r="EB37" s="663" t="s">
        <v>459</v>
      </c>
      <c r="EC37" s="664" t="s">
        <v>447</v>
      </c>
      <c r="ED37" s="663" t="s">
        <v>459</v>
      </c>
      <c r="EE37" s="664" t="s">
        <v>447</v>
      </c>
      <c r="EF37" s="663" t="s">
        <v>459</v>
      </c>
      <c r="EG37" s="664" t="s">
        <v>447</v>
      </c>
      <c r="EH37" s="663" t="s">
        <v>459</v>
      </c>
      <c r="EI37" s="664" t="s">
        <v>447</v>
      </c>
      <c r="EJ37" s="663" t="s">
        <v>459</v>
      </c>
      <c r="EK37" s="664" t="s">
        <v>447</v>
      </c>
      <c r="EL37" s="663" t="s">
        <v>459</v>
      </c>
      <c r="EM37" s="664" t="s">
        <v>447</v>
      </c>
      <c r="EN37" s="663" t="s">
        <v>459</v>
      </c>
      <c r="EO37" s="664" t="s">
        <v>447</v>
      </c>
      <c r="EP37" s="663" t="s">
        <v>459</v>
      </c>
      <c r="EQ37" s="664" t="s">
        <v>447</v>
      </c>
      <c r="ER37" s="663" t="s">
        <v>459</v>
      </c>
      <c r="ES37" s="664" t="s">
        <v>447</v>
      </c>
      <c r="ET37" s="663" t="s">
        <v>459</v>
      </c>
      <c r="EU37" s="664" t="s">
        <v>447</v>
      </c>
      <c r="EV37" s="663" t="s">
        <v>459</v>
      </c>
      <c r="EW37" s="664" t="s">
        <v>447</v>
      </c>
      <c r="EX37" s="663" t="s">
        <v>459</v>
      </c>
      <c r="EY37" s="664" t="s">
        <v>447</v>
      </c>
      <c r="EZ37" s="663" t="s">
        <v>459</v>
      </c>
      <c r="FA37" s="664" t="s">
        <v>447</v>
      </c>
      <c r="FB37" s="663" t="s">
        <v>459</v>
      </c>
      <c r="FC37" s="664" t="s">
        <v>447</v>
      </c>
      <c r="FD37" s="663" t="s">
        <v>459</v>
      </c>
      <c r="FE37" s="664" t="s">
        <v>447</v>
      </c>
      <c r="FF37" s="663" t="s">
        <v>459</v>
      </c>
      <c r="FG37" s="664" t="s">
        <v>447</v>
      </c>
      <c r="FH37" s="665" t="s">
        <v>459</v>
      </c>
      <c r="FI37" s="746"/>
      <c r="FJ37" s="827" t="s">
        <v>462</v>
      </c>
      <c r="FK37" s="854"/>
      <c r="FL37" s="855" t="s">
        <v>455</v>
      </c>
      <c r="FM37" s="856"/>
      <c r="FN37" s="857" t="s">
        <v>456</v>
      </c>
      <c r="FO37" s="858"/>
      <c r="FP37" s="672"/>
      <c r="FQ37" s="859" t="s">
        <v>311</v>
      </c>
      <c r="FR37" s="663" t="s">
        <v>459</v>
      </c>
      <c r="FS37" s="674"/>
      <c r="FT37" s="859" t="s">
        <v>311</v>
      </c>
      <c r="FU37" s="675" t="s">
        <v>459</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670</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c r="FM38" s="865"/>
      <c r="FN38" s="866">
        <v>0</v>
      </c>
      <c r="FO38" s="867"/>
      <c r="FP38" s="685"/>
      <c r="FQ38" s="686"/>
      <c r="FR38" s="559">
        <v>0</v>
      </c>
      <c r="FS38" s="687"/>
      <c r="FT38" s="686"/>
      <c r="FU38" s="567">
        <v>0</v>
      </c>
      <c r="FV38" s="593"/>
      <c r="FW38" s="594"/>
      <c r="FX38" s="806"/>
      <c r="FY38" s="596"/>
      <c r="FZ38" s="807"/>
      <c r="GA38" s="598"/>
      <c r="GB38" s="808"/>
      <c r="GC38" s="600"/>
      <c r="GD38" s="808"/>
      <c r="GE38" s="601"/>
      <c r="GF38" s="688"/>
      <c r="GG38" s="602"/>
      <c r="GH38" s="602"/>
      <c r="GI38" s="602"/>
      <c r="GJ38" s="580"/>
      <c r="GK38" s="413" t="s">
        <v>569</v>
      </c>
      <c r="GL38" s="409"/>
      <c r="GM38" s="413"/>
      <c r="GN38" s="409"/>
      <c r="GO38" s="413"/>
      <c r="GP38" s="413"/>
      <c r="GQ38" s="413"/>
      <c r="GR38" s="413"/>
      <c r="GS38" s="580"/>
      <c r="GT38" s="861"/>
      <c r="GU38" s="872" t="s">
        <v>536</v>
      </c>
      <c r="GV38" s="873"/>
      <c r="GW38" s="873"/>
      <c r="GX38" s="873"/>
      <c r="GY38" s="873"/>
      <c r="GZ38" s="874"/>
      <c r="HA38" s="633">
        <v>23.669999999999998</v>
      </c>
      <c r="HB38" s="875">
        <v>13.23</v>
      </c>
      <c r="HC38" s="530"/>
      <c r="HD38" s="530"/>
      <c r="HE38" s="387"/>
      <c r="HF38" s="387"/>
      <c r="HK38" s="415"/>
    </row>
    <row r="39" spans="1:219" ht="20.100000000000001" customHeight="1">
      <c r="A39" s="832"/>
      <c r="B39" s="876" t="s">
        <v>465</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409"/>
      <c r="GK39" s="885"/>
      <c r="GL39" s="886"/>
      <c r="GM39" s="887" t="s">
        <v>570</v>
      </c>
      <c r="GN39" s="886"/>
      <c r="GO39" s="887" t="s">
        <v>592</v>
      </c>
      <c r="GP39" s="886"/>
      <c r="GQ39" s="887" t="s">
        <v>572</v>
      </c>
      <c r="GR39" s="888"/>
      <c r="GS39" s="413"/>
      <c r="GT39" s="689"/>
      <c r="GU39" s="530" t="s">
        <v>573</v>
      </c>
      <c r="GV39" s="530"/>
      <c r="GW39" s="530"/>
      <c r="GX39" s="530"/>
      <c r="GY39" s="530"/>
      <c r="GZ39" s="530"/>
      <c r="HA39" s="690">
        <v>1.79</v>
      </c>
      <c r="HB39" s="579"/>
      <c r="HC39" s="530"/>
      <c r="HD39" s="562"/>
    </row>
    <row r="40" spans="1:219" ht="20.100000000000001" customHeight="1">
      <c r="A40" s="889"/>
      <c r="B40" s="642"/>
      <c r="C40" s="642"/>
      <c r="D40" s="643" t="s">
        <v>329</v>
      </c>
      <c r="E40" s="642"/>
      <c r="F40" s="642"/>
      <c r="G40" s="845"/>
      <c r="H40" s="1294">
        <v>0</v>
      </c>
      <c r="I40" s="1295"/>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1296">
        <v>0</v>
      </c>
      <c r="BC40" s="648"/>
      <c r="BD40" s="889"/>
      <c r="BE40" s="642"/>
      <c r="BF40" s="642"/>
      <c r="BG40" s="643" t="s">
        <v>329</v>
      </c>
      <c r="BH40" s="642"/>
      <c r="BI40" s="642"/>
      <c r="BJ40" s="845"/>
      <c r="BK40" s="1294">
        <v>0</v>
      </c>
      <c r="BL40" s="1295"/>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1296">
        <v>0</v>
      </c>
      <c r="DF40" s="648"/>
      <c r="DG40" s="889"/>
      <c r="DH40" s="642"/>
      <c r="DI40" s="642"/>
      <c r="DJ40" s="643" t="s">
        <v>329</v>
      </c>
      <c r="DK40" s="642"/>
      <c r="DL40" s="642"/>
      <c r="DM40" s="845"/>
      <c r="DN40" s="1294">
        <v>0</v>
      </c>
      <c r="DO40" s="1295"/>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1296">
        <v>0</v>
      </c>
      <c r="FI40" s="649"/>
      <c r="FJ40" s="841"/>
      <c r="FK40" s="642"/>
      <c r="FL40" s="642"/>
      <c r="FM40" s="643" t="s">
        <v>329</v>
      </c>
      <c r="FN40" s="642"/>
      <c r="FO40" s="642"/>
      <c r="FP40" s="650"/>
      <c r="FQ40" s="1295"/>
      <c r="FR40" s="1294">
        <v>0</v>
      </c>
      <c r="FS40" s="1297"/>
      <c r="FT40" s="1295"/>
      <c r="FU40" s="1298">
        <v>0</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610</v>
      </c>
      <c r="GV40" s="530"/>
      <c r="GW40" s="530"/>
      <c r="GX40" s="530"/>
      <c r="GY40" s="530"/>
      <c r="GZ40" s="530"/>
      <c r="HA40" s="894">
        <v>38.299999999999997</v>
      </c>
      <c r="HB40" s="413"/>
      <c r="HC40" s="530"/>
      <c r="HD40" s="580"/>
      <c r="HK40" s="415"/>
    </row>
    <row r="41" spans="1:219" ht="20.100000000000001" customHeight="1">
      <c r="A41" s="862" t="s">
        <v>468</v>
      </c>
      <c r="B41" s="738"/>
      <c r="C41" s="895"/>
      <c r="D41" s="895"/>
      <c r="E41" s="895"/>
      <c r="F41" s="896"/>
      <c r="G41" s="740"/>
      <c r="H41" s="663" t="s">
        <v>430</v>
      </c>
      <c r="I41" s="741"/>
      <c r="J41" s="663" t="s">
        <v>430</v>
      </c>
      <c r="K41" s="742"/>
      <c r="L41" s="663" t="s">
        <v>430</v>
      </c>
      <c r="M41" s="742"/>
      <c r="N41" s="663" t="s">
        <v>430</v>
      </c>
      <c r="O41" s="742"/>
      <c r="P41" s="663" t="s">
        <v>430</v>
      </c>
      <c r="Q41" s="742"/>
      <c r="R41" s="663" t="s">
        <v>430</v>
      </c>
      <c r="S41" s="742"/>
      <c r="T41" s="663" t="s">
        <v>430</v>
      </c>
      <c r="U41" s="742"/>
      <c r="V41" s="663" t="s">
        <v>430</v>
      </c>
      <c r="W41" s="742"/>
      <c r="X41" s="663" t="s">
        <v>430</v>
      </c>
      <c r="Y41" s="742" t="s">
        <v>447</v>
      </c>
      <c r="Z41" s="663" t="s">
        <v>430</v>
      </c>
      <c r="AA41" s="742" t="s">
        <v>447</v>
      </c>
      <c r="AB41" s="663" t="s">
        <v>430</v>
      </c>
      <c r="AC41" s="742"/>
      <c r="AD41" s="663" t="s">
        <v>430</v>
      </c>
      <c r="AE41" s="742"/>
      <c r="AF41" s="663" t="s">
        <v>430</v>
      </c>
      <c r="AG41" s="742"/>
      <c r="AH41" s="663" t="s">
        <v>430</v>
      </c>
      <c r="AI41" s="742"/>
      <c r="AJ41" s="663" t="s">
        <v>430</v>
      </c>
      <c r="AK41" s="742"/>
      <c r="AL41" s="663" t="s">
        <v>430</v>
      </c>
      <c r="AM41" s="742"/>
      <c r="AN41" s="663" t="s">
        <v>430</v>
      </c>
      <c r="AO41" s="742"/>
      <c r="AP41" s="663" t="s">
        <v>430</v>
      </c>
      <c r="AQ41" s="742"/>
      <c r="AR41" s="663" t="s">
        <v>430</v>
      </c>
      <c r="AS41" s="742"/>
      <c r="AT41" s="663" t="s">
        <v>430</v>
      </c>
      <c r="AU41" s="742"/>
      <c r="AV41" s="663" t="s">
        <v>430</v>
      </c>
      <c r="AW41" s="742"/>
      <c r="AX41" s="663" t="s">
        <v>430</v>
      </c>
      <c r="AY41" s="742"/>
      <c r="AZ41" s="663" t="s">
        <v>430</v>
      </c>
      <c r="BA41" s="742"/>
      <c r="BB41" s="665" t="s">
        <v>430</v>
      </c>
      <c r="BC41" s="723"/>
      <c r="BD41" s="862" t="s">
        <v>468</v>
      </c>
      <c r="BE41" s="738"/>
      <c r="BF41" s="895"/>
      <c r="BG41" s="895"/>
      <c r="BH41" s="895"/>
      <c r="BI41" s="896"/>
      <c r="BJ41" s="740"/>
      <c r="BK41" s="663" t="s">
        <v>430</v>
      </c>
      <c r="BL41" s="741"/>
      <c r="BM41" s="663" t="s">
        <v>430</v>
      </c>
      <c r="BN41" s="742"/>
      <c r="BO41" s="663" t="s">
        <v>430</v>
      </c>
      <c r="BP41" s="742"/>
      <c r="BQ41" s="663" t="s">
        <v>430</v>
      </c>
      <c r="BR41" s="742"/>
      <c r="BS41" s="663" t="s">
        <v>430</v>
      </c>
      <c r="BT41" s="742"/>
      <c r="BU41" s="663" t="s">
        <v>430</v>
      </c>
      <c r="BV41" s="742"/>
      <c r="BW41" s="663" t="s">
        <v>430</v>
      </c>
      <c r="BX41" s="742"/>
      <c r="BY41" s="663" t="s">
        <v>430</v>
      </c>
      <c r="BZ41" s="742"/>
      <c r="CA41" s="663" t="s">
        <v>430</v>
      </c>
      <c r="CB41" s="742" t="s">
        <v>447</v>
      </c>
      <c r="CC41" s="663" t="s">
        <v>430</v>
      </c>
      <c r="CD41" s="742" t="s">
        <v>447</v>
      </c>
      <c r="CE41" s="663" t="s">
        <v>430</v>
      </c>
      <c r="CF41" s="742"/>
      <c r="CG41" s="663" t="s">
        <v>430</v>
      </c>
      <c r="CH41" s="742"/>
      <c r="CI41" s="663" t="s">
        <v>430</v>
      </c>
      <c r="CJ41" s="742"/>
      <c r="CK41" s="663" t="s">
        <v>430</v>
      </c>
      <c r="CL41" s="742"/>
      <c r="CM41" s="663" t="s">
        <v>430</v>
      </c>
      <c r="CN41" s="742"/>
      <c r="CO41" s="663" t="s">
        <v>430</v>
      </c>
      <c r="CP41" s="742"/>
      <c r="CQ41" s="663" t="s">
        <v>430</v>
      </c>
      <c r="CR41" s="742"/>
      <c r="CS41" s="663" t="s">
        <v>430</v>
      </c>
      <c r="CT41" s="742"/>
      <c r="CU41" s="663" t="s">
        <v>430</v>
      </c>
      <c r="CV41" s="742"/>
      <c r="CW41" s="663" t="s">
        <v>430</v>
      </c>
      <c r="CX41" s="742"/>
      <c r="CY41" s="663" t="s">
        <v>430</v>
      </c>
      <c r="CZ41" s="742"/>
      <c r="DA41" s="663" t="s">
        <v>430</v>
      </c>
      <c r="DB41" s="742"/>
      <c r="DC41" s="663" t="s">
        <v>430</v>
      </c>
      <c r="DD41" s="742"/>
      <c r="DE41" s="665" t="s">
        <v>430</v>
      </c>
      <c r="DF41" s="723"/>
      <c r="DG41" s="862" t="s">
        <v>468</v>
      </c>
      <c r="DH41" s="738"/>
      <c r="DI41" s="895"/>
      <c r="DJ41" s="895"/>
      <c r="DK41" s="895"/>
      <c r="DL41" s="896"/>
      <c r="DM41" s="740"/>
      <c r="DN41" s="663" t="s">
        <v>430</v>
      </c>
      <c r="DO41" s="741"/>
      <c r="DP41" s="663" t="s">
        <v>430</v>
      </c>
      <c r="DQ41" s="742"/>
      <c r="DR41" s="663" t="s">
        <v>430</v>
      </c>
      <c r="DS41" s="742"/>
      <c r="DT41" s="663" t="s">
        <v>430</v>
      </c>
      <c r="DU41" s="742"/>
      <c r="DV41" s="663" t="s">
        <v>430</v>
      </c>
      <c r="DW41" s="742"/>
      <c r="DX41" s="663" t="s">
        <v>430</v>
      </c>
      <c r="DY41" s="742"/>
      <c r="DZ41" s="663" t="s">
        <v>430</v>
      </c>
      <c r="EA41" s="742"/>
      <c r="EB41" s="663" t="s">
        <v>430</v>
      </c>
      <c r="EC41" s="742"/>
      <c r="ED41" s="663" t="s">
        <v>430</v>
      </c>
      <c r="EE41" s="742" t="s">
        <v>447</v>
      </c>
      <c r="EF41" s="663" t="s">
        <v>430</v>
      </c>
      <c r="EG41" s="742" t="s">
        <v>447</v>
      </c>
      <c r="EH41" s="663" t="s">
        <v>430</v>
      </c>
      <c r="EI41" s="742"/>
      <c r="EJ41" s="663" t="s">
        <v>430</v>
      </c>
      <c r="EK41" s="742"/>
      <c r="EL41" s="663" t="s">
        <v>430</v>
      </c>
      <c r="EM41" s="742"/>
      <c r="EN41" s="663" t="s">
        <v>430</v>
      </c>
      <c r="EO41" s="742"/>
      <c r="EP41" s="663" t="s">
        <v>430</v>
      </c>
      <c r="EQ41" s="742"/>
      <c r="ER41" s="663" t="s">
        <v>430</v>
      </c>
      <c r="ES41" s="742"/>
      <c r="ET41" s="663" t="s">
        <v>430</v>
      </c>
      <c r="EU41" s="742"/>
      <c r="EV41" s="663" t="s">
        <v>430</v>
      </c>
      <c r="EW41" s="742"/>
      <c r="EX41" s="663" t="s">
        <v>430</v>
      </c>
      <c r="EY41" s="742"/>
      <c r="EZ41" s="663" t="s">
        <v>430</v>
      </c>
      <c r="FA41" s="742"/>
      <c r="FB41" s="663" t="s">
        <v>430</v>
      </c>
      <c r="FC41" s="742"/>
      <c r="FD41" s="663" t="s">
        <v>430</v>
      </c>
      <c r="FE41" s="742"/>
      <c r="FF41" s="663" t="s">
        <v>430</v>
      </c>
      <c r="FG41" s="742"/>
      <c r="FH41" s="665" t="s">
        <v>430</v>
      </c>
      <c r="FI41" s="746"/>
      <c r="FJ41" s="827" t="s">
        <v>468</v>
      </c>
      <c r="FK41" s="743"/>
      <c r="FL41" s="897"/>
      <c r="FM41" s="897"/>
      <c r="FN41" s="897"/>
      <c r="FO41" s="898"/>
      <c r="FP41" s="747"/>
      <c r="FQ41" s="673"/>
      <c r="FR41" s="663" t="s">
        <v>451</v>
      </c>
      <c r="FS41" s="748"/>
      <c r="FT41" s="673"/>
      <c r="FU41" s="675" t="s">
        <v>451</v>
      </c>
      <c r="FV41" s="593"/>
      <c r="FW41" s="594"/>
      <c r="FX41" s="806"/>
      <c r="FY41" s="596"/>
      <c r="FZ41" s="807"/>
      <c r="GA41" s="598"/>
      <c r="GB41" s="808"/>
      <c r="GC41" s="600"/>
      <c r="GD41" s="808"/>
      <c r="GE41" s="601"/>
      <c r="GF41" s="749"/>
      <c r="GG41" s="750"/>
      <c r="GH41" s="750"/>
      <c r="GI41" s="750"/>
      <c r="GJ41" s="580"/>
      <c r="GK41" s="899" t="s">
        <v>574</v>
      </c>
      <c r="GL41" s="900"/>
      <c r="GM41" s="901" t="s">
        <v>838</v>
      </c>
      <c r="GN41" s="901"/>
      <c r="GO41" s="901" t="s">
        <v>576</v>
      </c>
      <c r="GP41" s="901"/>
      <c r="GQ41" s="901"/>
      <c r="GR41" s="902"/>
      <c r="GS41" s="861"/>
      <c r="GT41" s="689"/>
      <c r="GU41" s="530" t="s">
        <v>611</v>
      </c>
      <c r="GV41" s="530"/>
      <c r="GW41" s="530"/>
      <c r="GX41" s="530"/>
      <c r="GY41" s="530"/>
      <c r="GZ41" s="530"/>
      <c r="HA41" s="894">
        <v>30.7</v>
      </c>
      <c r="HB41" s="413"/>
      <c r="HC41" s="530"/>
      <c r="HD41" s="409"/>
    </row>
    <row r="42" spans="1:219" ht="20.100000000000001" customHeight="1">
      <c r="A42" s="832"/>
      <c r="B42" s="903" t="s">
        <v>470</v>
      </c>
      <c r="C42" s="904"/>
      <c r="D42" s="904"/>
      <c r="E42" s="905"/>
      <c r="F42" s="906"/>
      <c r="G42" s="836"/>
      <c r="H42" s="837"/>
      <c r="I42" s="838"/>
      <c r="J42" s="799"/>
      <c r="K42" s="839"/>
      <c r="L42" s="799"/>
      <c r="M42" s="839"/>
      <c r="N42" s="799"/>
      <c r="O42" s="839"/>
      <c r="P42" s="799"/>
      <c r="Q42" s="839"/>
      <c r="R42" s="799"/>
      <c r="S42" s="839"/>
      <c r="T42" s="799"/>
      <c r="U42" s="839"/>
      <c r="V42" s="799"/>
      <c r="W42" s="839"/>
      <c r="X42" s="799">
        <v>225</v>
      </c>
      <c r="Y42" s="839"/>
      <c r="Z42" s="799">
        <v>148</v>
      </c>
      <c r="AA42" s="839"/>
      <c r="AB42" s="799">
        <v>144</v>
      </c>
      <c r="AC42" s="839"/>
      <c r="AD42" s="799">
        <v>140</v>
      </c>
      <c r="AE42" s="839"/>
      <c r="AF42" s="799">
        <v>136</v>
      </c>
      <c r="AG42" s="839"/>
      <c r="AH42" s="799">
        <v>132</v>
      </c>
      <c r="AI42" s="839"/>
      <c r="AJ42" s="799">
        <v>130</v>
      </c>
      <c r="AK42" s="839"/>
      <c r="AL42" s="799">
        <v>127</v>
      </c>
      <c r="AM42" s="839"/>
      <c r="AN42" s="799">
        <v>123</v>
      </c>
      <c r="AO42" s="839"/>
      <c r="AP42" s="799">
        <v>122</v>
      </c>
      <c r="AQ42" s="839"/>
      <c r="AR42" s="799"/>
      <c r="AS42" s="839"/>
      <c r="AT42" s="799"/>
      <c r="AU42" s="839"/>
      <c r="AV42" s="799"/>
      <c r="AW42" s="839"/>
      <c r="AX42" s="799"/>
      <c r="AY42" s="839"/>
      <c r="AZ42" s="799"/>
      <c r="BA42" s="839"/>
      <c r="BB42" s="840"/>
      <c r="BC42" s="562"/>
      <c r="BD42" s="832"/>
      <c r="BE42" s="907" t="s">
        <v>470</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225</v>
      </c>
      <c r="CB42" s="839"/>
      <c r="CC42" s="799">
        <v>148</v>
      </c>
      <c r="CD42" s="839"/>
      <c r="CE42" s="799">
        <v>144</v>
      </c>
      <c r="CF42" s="839"/>
      <c r="CG42" s="799">
        <v>140</v>
      </c>
      <c r="CH42" s="839"/>
      <c r="CI42" s="799">
        <v>136</v>
      </c>
      <c r="CJ42" s="839"/>
      <c r="CK42" s="799">
        <v>132</v>
      </c>
      <c r="CL42" s="839"/>
      <c r="CM42" s="799">
        <v>130</v>
      </c>
      <c r="CN42" s="839"/>
      <c r="CO42" s="799">
        <v>127</v>
      </c>
      <c r="CP42" s="839"/>
      <c r="CQ42" s="799">
        <v>123</v>
      </c>
      <c r="CR42" s="839"/>
      <c r="CS42" s="799">
        <v>122</v>
      </c>
      <c r="CT42" s="839"/>
      <c r="CU42" s="799"/>
      <c r="CV42" s="839"/>
      <c r="CW42" s="799"/>
      <c r="CX42" s="839"/>
      <c r="CY42" s="799"/>
      <c r="CZ42" s="839"/>
      <c r="DA42" s="799"/>
      <c r="DB42" s="839"/>
      <c r="DC42" s="799"/>
      <c r="DD42" s="839"/>
      <c r="DE42" s="840"/>
      <c r="DF42" s="562"/>
      <c r="DG42" s="832"/>
      <c r="DH42" s="907" t="s">
        <v>470</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225</v>
      </c>
      <c r="EE42" s="839"/>
      <c r="EF42" s="799">
        <v>148</v>
      </c>
      <c r="EG42" s="839"/>
      <c r="EH42" s="799">
        <v>144</v>
      </c>
      <c r="EI42" s="839"/>
      <c r="EJ42" s="799">
        <v>140</v>
      </c>
      <c r="EK42" s="839"/>
      <c r="EL42" s="799">
        <v>136</v>
      </c>
      <c r="EM42" s="839"/>
      <c r="EN42" s="799">
        <v>132</v>
      </c>
      <c r="EO42" s="839"/>
      <c r="EP42" s="799">
        <v>130</v>
      </c>
      <c r="EQ42" s="839"/>
      <c r="ER42" s="799">
        <v>127</v>
      </c>
      <c r="ES42" s="839"/>
      <c r="ET42" s="799">
        <v>123</v>
      </c>
      <c r="EU42" s="839"/>
      <c r="EV42" s="799">
        <v>122</v>
      </c>
      <c r="EW42" s="839"/>
      <c r="EX42" s="799"/>
      <c r="EY42" s="839"/>
      <c r="EZ42" s="799"/>
      <c r="FA42" s="839"/>
      <c r="FB42" s="799"/>
      <c r="FC42" s="839"/>
      <c r="FD42" s="799"/>
      <c r="FE42" s="839"/>
      <c r="FF42" s="799"/>
      <c r="FG42" s="839"/>
      <c r="FH42" s="840"/>
      <c r="FI42" s="563"/>
      <c r="FJ42" s="841"/>
      <c r="FK42" s="907" t="s">
        <v>470</v>
      </c>
      <c r="FL42" s="904"/>
      <c r="FM42" s="904"/>
      <c r="FN42" s="905"/>
      <c r="FO42" s="906"/>
      <c r="FP42" s="842"/>
      <c r="FQ42" s="838"/>
      <c r="FR42" s="837">
        <v>463</v>
      </c>
      <c r="FS42" s="843"/>
      <c r="FT42" s="838"/>
      <c r="FU42" s="805">
        <v>463</v>
      </c>
      <c r="FV42" s="593"/>
      <c r="FW42" s="594"/>
      <c r="FX42" s="806"/>
      <c r="FY42" s="596"/>
      <c r="FZ42" s="807"/>
      <c r="GA42" s="598"/>
      <c r="GB42" s="808"/>
      <c r="GC42" s="600"/>
      <c r="GD42" s="808"/>
      <c r="GE42" s="601"/>
      <c r="GF42" s="844"/>
      <c r="GG42" s="602"/>
      <c r="GH42" s="602"/>
      <c r="GI42" s="602"/>
      <c r="GJ42" s="409"/>
      <c r="GK42" s="908"/>
      <c r="GL42" s="909"/>
      <c r="GM42" s="910">
        <v>7</v>
      </c>
      <c r="GN42" s="910"/>
      <c r="GO42" s="910">
        <v>10</v>
      </c>
      <c r="GP42" s="910"/>
      <c r="GQ42" s="910">
        <v>17</v>
      </c>
      <c r="GR42" s="911"/>
      <c r="GS42" s="580"/>
      <c r="GT42" s="500"/>
      <c r="GU42" s="500"/>
      <c r="GV42" s="500"/>
      <c r="GW42" s="579"/>
      <c r="GX42" s="579"/>
      <c r="GY42" s="579"/>
      <c r="GZ42" s="578"/>
      <c r="HA42" s="500"/>
      <c r="HB42" s="500"/>
      <c r="HC42" s="530"/>
      <c r="HD42" s="530"/>
    </row>
    <row r="43" spans="1:219" ht="20.100000000000001" customHeight="1">
      <c r="A43" s="832"/>
      <c r="B43" s="912" t="s">
        <v>472</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472</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472</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472</v>
      </c>
      <c r="FL43" s="913"/>
      <c r="FM43" s="913"/>
      <c r="FN43" s="913"/>
      <c r="FO43" s="914"/>
      <c r="FP43" s="696"/>
      <c r="FQ43" s="697"/>
      <c r="FR43" s="587">
        <v>0</v>
      </c>
      <c r="FS43" s="698"/>
      <c r="FT43" s="697"/>
      <c r="FU43" s="592">
        <v>0</v>
      </c>
      <c r="FV43" s="918"/>
      <c r="FW43" s="919"/>
      <c r="FX43" s="920"/>
      <c r="FY43" s="921"/>
      <c r="FZ43" s="922"/>
      <c r="GA43" s="923"/>
      <c r="GB43" s="924"/>
      <c r="GC43" s="925"/>
      <c r="GD43" s="924"/>
      <c r="GE43" s="926"/>
      <c r="GF43" s="688"/>
      <c r="GG43" s="602"/>
      <c r="GH43" s="602"/>
      <c r="GI43" s="602"/>
      <c r="GJ43" s="927"/>
      <c r="GK43" s="928" t="s">
        <v>787</v>
      </c>
      <c r="GL43" s="929"/>
      <c r="GM43" s="930" t="s">
        <v>839</v>
      </c>
      <c r="GN43" s="930"/>
      <c r="GO43" s="930" t="s">
        <v>578</v>
      </c>
      <c r="GP43" s="930"/>
      <c r="GQ43" s="930"/>
      <c r="GR43" s="931"/>
      <c r="GS43" s="580"/>
      <c r="GT43" s="609"/>
      <c r="GU43" s="530" t="s">
        <v>545</v>
      </c>
      <c r="GV43" s="413"/>
      <c r="GW43" s="409"/>
      <c r="GX43" s="413"/>
      <c r="GY43" s="413"/>
      <c r="GZ43" s="413"/>
      <c r="HA43" s="409"/>
      <c r="HB43" s="413"/>
      <c r="HC43" s="932"/>
      <c r="HD43" s="415"/>
    </row>
    <row r="44" spans="1:219" ht="20.100000000000001" customHeight="1" thickBot="1">
      <c r="A44" s="933"/>
      <c r="B44" s="642"/>
      <c r="C44" s="642"/>
      <c r="D44" s="643" t="s">
        <v>330</v>
      </c>
      <c r="E44" s="642"/>
      <c r="F44" s="642"/>
      <c r="G44" s="845"/>
      <c r="H44" s="1294">
        <v>0</v>
      </c>
      <c r="I44" s="1295"/>
      <c r="J44" s="848">
        <v>0</v>
      </c>
      <c r="K44" s="849"/>
      <c r="L44" s="848">
        <v>0</v>
      </c>
      <c r="M44" s="849"/>
      <c r="N44" s="848">
        <v>0</v>
      </c>
      <c r="O44" s="849"/>
      <c r="P44" s="848">
        <v>0</v>
      </c>
      <c r="Q44" s="849"/>
      <c r="R44" s="848">
        <v>0</v>
      </c>
      <c r="S44" s="849"/>
      <c r="T44" s="848">
        <v>0</v>
      </c>
      <c r="U44" s="849"/>
      <c r="V44" s="848">
        <v>0</v>
      </c>
      <c r="W44" s="849"/>
      <c r="X44" s="848">
        <v>225</v>
      </c>
      <c r="Y44" s="849"/>
      <c r="Z44" s="848">
        <v>148</v>
      </c>
      <c r="AA44" s="849"/>
      <c r="AB44" s="848">
        <v>144</v>
      </c>
      <c r="AC44" s="849"/>
      <c r="AD44" s="848">
        <v>140</v>
      </c>
      <c r="AE44" s="849"/>
      <c r="AF44" s="848">
        <v>136</v>
      </c>
      <c r="AG44" s="849"/>
      <c r="AH44" s="848">
        <v>132</v>
      </c>
      <c r="AI44" s="849"/>
      <c r="AJ44" s="848">
        <v>130</v>
      </c>
      <c r="AK44" s="849"/>
      <c r="AL44" s="848">
        <v>127</v>
      </c>
      <c r="AM44" s="849"/>
      <c r="AN44" s="848">
        <v>123</v>
      </c>
      <c r="AO44" s="849"/>
      <c r="AP44" s="848">
        <v>122</v>
      </c>
      <c r="AQ44" s="849"/>
      <c r="AR44" s="848">
        <v>0</v>
      </c>
      <c r="AS44" s="849"/>
      <c r="AT44" s="848">
        <v>0</v>
      </c>
      <c r="AU44" s="849"/>
      <c r="AV44" s="848">
        <v>0</v>
      </c>
      <c r="AW44" s="849"/>
      <c r="AX44" s="848">
        <v>0</v>
      </c>
      <c r="AY44" s="849"/>
      <c r="AZ44" s="848">
        <v>0</v>
      </c>
      <c r="BA44" s="849"/>
      <c r="BB44" s="1296">
        <v>0</v>
      </c>
      <c r="BC44" s="648"/>
      <c r="BD44" s="933"/>
      <c r="BE44" s="642"/>
      <c r="BF44" s="642"/>
      <c r="BG44" s="643" t="s">
        <v>330</v>
      </c>
      <c r="BH44" s="642"/>
      <c r="BI44" s="642"/>
      <c r="BJ44" s="845"/>
      <c r="BK44" s="1294">
        <v>0</v>
      </c>
      <c r="BL44" s="1295"/>
      <c r="BM44" s="848">
        <v>0</v>
      </c>
      <c r="BN44" s="849"/>
      <c r="BO44" s="848">
        <v>0</v>
      </c>
      <c r="BP44" s="849"/>
      <c r="BQ44" s="848">
        <v>0</v>
      </c>
      <c r="BR44" s="849"/>
      <c r="BS44" s="848">
        <v>0</v>
      </c>
      <c r="BT44" s="849"/>
      <c r="BU44" s="848">
        <v>0</v>
      </c>
      <c r="BV44" s="849"/>
      <c r="BW44" s="848">
        <v>0</v>
      </c>
      <c r="BX44" s="849"/>
      <c r="BY44" s="848">
        <v>0</v>
      </c>
      <c r="BZ44" s="849"/>
      <c r="CA44" s="848">
        <v>225</v>
      </c>
      <c r="CB44" s="849"/>
      <c r="CC44" s="848">
        <v>148</v>
      </c>
      <c r="CD44" s="849"/>
      <c r="CE44" s="848">
        <v>144</v>
      </c>
      <c r="CF44" s="849"/>
      <c r="CG44" s="848">
        <v>140</v>
      </c>
      <c r="CH44" s="849"/>
      <c r="CI44" s="848">
        <v>136</v>
      </c>
      <c r="CJ44" s="849"/>
      <c r="CK44" s="848">
        <v>132</v>
      </c>
      <c r="CL44" s="849"/>
      <c r="CM44" s="848">
        <v>130</v>
      </c>
      <c r="CN44" s="849"/>
      <c r="CO44" s="848">
        <v>127</v>
      </c>
      <c r="CP44" s="849"/>
      <c r="CQ44" s="848">
        <v>123</v>
      </c>
      <c r="CR44" s="849"/>
      <c r="CS44" s="848">
        <v>122</v>
      </c>
      <c r="CT44" s="849"/>
      <c r="CU44" s="848">
        <v>0</v>
      </c>
      <c r="CV44" s="849"/>
      <c r="CW44" s="848">
        <v>0</v>
      </c>
      <c r="CX44" s="849"/>
      <c r="CY44" s="848">
        <v>0</v>
      </c>
      <c r="CZ44" s="849"/>
      <c r="DA44" s="848">
        <v>0</v>
      </c>
      <c r="DB44" s="849"/>
      <c r="DC44" s="848">
        <v>0</v>
      </c>
      <c r="DD44" s="849"/>
      <c r="DE44" s="1296">
        <v>0</v>
      </c>
      <c r="DF44" s="648"/>
      <c r="DG44" s="933"/>
      <c r="DH44" s="642"/>
      <c r="DI44" s="642"/>
      <c r="DJ44" s="643" t="s">
        <v>330</v>
      </c>
      <c r="DK44" s="642"/>
      <c r="DL44" s="642"/>
      <c r="DM44" s="845"/>
      <c r="DN44" s="1294">
        <v>0</v>
      </c>
      <c r="DO44" s="1295"/>
      <c r="DP44" s="848">
        <v>0</v>
      </c>
      <c r="DQ44" s="849"/>
      <c r="DR44" s="848">
        <v>0</v>
      </c>
      <c r="DS44" s="849"/>
      <c r="DT44" s="848">
        <v>0</v>
      </c>
      <c r="DU44" s="849"/>
      <c r="DV44" s="848">
        <v>0</v>
      </c>
      <c r="DW44" s="849"/>
      <c r="DX44" s="848">
        <v>0</v>
      </c>
      <c r="DY44" s="849"/>
      <c r="DZ44" s="848">
        <v>0</v>
      </c>
      <c r="EA44" s="849"/>
      <c r="EB44" s="848">
        <v>0</v>
      </c>
      <c r="EC44" s="849"/>
      <c r="ED44" s="848">
        <v>225</v>
      </c>
      <c r="EE44" s="849"/>
      <c r="EF44" s="848">
        <v>148</v>
      </c>
      <c r="EG44" s="849"/>
      <c r="EH44" s="848">
        <v>144</v>
      </c>
      <c r="EI44" s="849"/>
      <c r="EJ44" s="848">
        <v>140</v>
      </c>
      <c r="EK44" s="849"/>
      <c r="EL44" s="848">
        <v>136</v>
      </c>
      <c r="EM44" s="849"/>
      <c r="EN44" s="848">
        <v>132</v>
      </c>
      <c r="EO44" s="849"/>
      <c r="EP44" s="848">
        <v>130</v>
      </c>
      <c r="EQ44" s="849"/>
      <c r="ER44" s="848">
        <v>127</v>
      </c>
      <c r="ES44" s="849"/>
      <c r="ET44" s="848">
        <v>123</v>
      </c>
      <c r="EU44" s="849"/>
      <c r="EV44" s="848">
        <v>122</v>
      </c>
      <c r="EW44" s="849"/>
      <c r="EX44" s="848">
        <v>0</v>
      </c>
      <c r="EY44" s="849"/>
      <c r="EZ44" s="848">
        <v>0</v>
      </c>
      <c r="FA44" s="849"/>
      <c r="FB44" s="848">
        <v>0</v>
      </c>
      <c r="FC44" s="849"/>
      <c r="FD44" s="848">
        <v>0</v>
      </c>
      <c r="FE44" s="849"/>
      <c r="FF44" s="848">
        <v>0</v>
      </c>
      <c r="FG44" s="849"/>
      <c r="FH44" s="1296">
        <v>0</v>
      </c>
      <c r="FI44" s="649"/>
      <c r="FJ44" s="934"/>
      <c r="FK44" s="642"/>
      <c r="FL44" s="642"/>
      <c r="FM44" s="643" t="s">
        <v>330</v>
      </c>
      <c r="FN44" s="642"/>
      <c r="FO44" s="642"/>
      <c r="FP44" s="650"/>
      <c r="FQ44" s="1295"/>
      <c r="FR44" s="1294">
        <v>463</v>
      </c>
      <c r="FS44" s="1297"/>
      <c r="FT44" s="1295"/>
      <c r="FU44" s="1298">
        <v>463</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4.5999999999999996</v>
      </c>
      <c r="GN44" s="935"/>
      <c r="GO44" s="935">
        <v>7</v>
      </c>
      <c r="GP44" s="935"/>
      <c r="GQ44" s="910">
        <v>11.6</v>
      </c>
      <c r="GR44" s="911"/>
      <c r="GS44" s="936"/>
      <c r="GT44" s="937"/>
      <c r="GU44" s="530" t="s">
        <v>925</v>
      </c>
      <c r="GV44" s="615"/>
      <c r="GW44" s="615"/>
      <c r="GX44" s="615"/>
      <c r="GY44" s="413"/>
      <c r="GZ44" s="413"/>
      <c r="HA44" s="751">
        <v>1.5</v>
      </c>
      <c r="HB44" s="413" t="s">
        <v>550</v>
      </c>
      <c r="HC44" s="938"/>
      <c r="HD44" s="415"/>
    </row>
    <row r="45" spans="1:219" ht="20.100000000000001" customHeight="1" thickTop="1">
      <c r="A45" s="939" t="s">
        <v>476</v>
      </c>
      <c r="B45" s="940"/>
      <c r="C45" s="940"/>
      <c r="D45" s="940"/>
      <c r="E45" s="940"/>
      <c r="F45" s="941"/>
      <c r="G45" s="942"/>
      <c r="H45" s="943">
        <v>0</v>
      </c>
      <c r="I45" s="944"/>
      <c r="J45" s="943">
        <v>0</v>
      </c>
      <c r="K45" s="944"/>
      <c r="L45" s="943">
        <v>0</v>
      </c>
      <c r="M45" s="944"/>
      <c r="N45" s="943">
        <v>0</v>
      </c>
      <c r="O45" s="944"/>
      <c r="P45" s="943">
        <v>0</v>
      </c>
      <c r="Q45" s="944"/>
      <c r="R45" s="943">
        <v>0</v>
      </c>
      <c r="S45" s="944"/>
      <c r="T45" s="943">
        <v>0</v>
      </c>
      <c r="U45" s="944"/>
      <c r="V45" s="943">
        <v>0</v>
      </c>
      <c r="W45" s="944"/>
      <c r="X45" s="943">
        <v>681</v>
      </c>
      <c r="Y45" s="944"/>
      <c r="Z45" s="943">
        <v>622</v>
      </c>
      <c r="AA45" s="944"/>
      <c r="AB45" s="943">
        <v>635</v>
      </c>
      <c r="AC45" s="944"/>
      <c r="AD45" s="943">
        <v>637</v>
      </c>
      <c r="AE45" s="944"/>
      <c r="AF45" s="943">
        <v>641</v>
      </c>
      <c r="AG45" s="944"/>
      <c r="AH45" s="943">
        <v>641</v>
      </c>
      <c r="AI45" s="944"/>
      <c r="AJ45" s="943">
        <v>632</v>
      </c>
      <c r="AK45" s="944"/>
      <c r="AL45" s="943">
        <v>628</v>
      </c>
      <c r="AM45" s="944"/>
      <c r="AN45" s="943">
        <v>612</v>
      </c>
      <c r="AO45" s="944"/>
      <c r="AP45" s="943">
        <v>604</v>
      </c>
      <c r="AQ45" s="944"/>
      <c r="AR45" s="943">
        <v>0</v>
      </c>
      <c r="AS45" s="944"/>
      <c r="AT45" s="943">
        <v>0</v>
      </c>
      <c r="AU45" s="944"/>
      <c r="AV45" s="943">
        <v>0</v>
      </c>
      <c r="AW45" s="944"/>
      <c r="AX45" s="943">
        <v>0</v>
      </c>
      <c r="AY45" s="944"/>
      <c r="AZ45" s="943">
        <v>0</v>
      </c>
      <c r="BA45" s="944"/>
      <c r="BB45" s="945">
        <v>0</v>
      </c>
      <c r="BC45" s="648"/>
      <c r="BD45" s="939" t="s">
        <v>476</v>
      </c>
      <c r="BE45" s="940"/>
      <c r="BF45" s="940"/>
      <c r="BG45" s="940"/>
      <c r="BH45" s="940"/>
      <c r="BI45" s="941"/>
      <c r="BJ45" s="942"/>
      <c r="BK45" s="943">
        <v>0</v>
      </c>
      <c r="BL45" s="944"/>
      <c r="BM45" s="943">
        <v>0</v>
      </c>
      <c r="BN45" s="944"/>
      <c r="BO45" s="943">
        <v>0</v>
      </c>
      <c r="BP45" s="944"/>
      <c r="BQ45" s="943">
        <v>0</v>
      </c>
      <c r="BR45" s="944"/>
      <c r="BS45" s="943">
        <v>0</v>
      </c>
      <c r="BT45" s="944"/>
      <c r="BU45" s="943">
        <v>0</v>
      </c>
      <c r="BV45" s="944"/>
      <c r="BW45" s="943">
        <v>0</v>
      </c>
      <c r="BX45" s="944"/>
      <c r="BY45" s="943">
        <v>0</v>
      </c>
      <c r="BZ45" s="944"/>
      <c r="CA45" s="943">
        <v>676</v>
      </c>
      <c r="CB45" s="944"/>
      <c r="CC45" s="943">
        <v>615</v>
      </c>
      <c r="CD45" s="944"/>
      <c r="CE45" s="943">
        <v>628</v>
      </c>
      <c r="CF45" s="944"/>
      <c r="CG45" s="943">
        <v>630</v>
      </c>
      <c r="CH45" s="944"/>
      <c r="CI45" s="943">
        <v>634</v>
      </c>
      <c r="CJ45" s="944"/>
      <c r="CK45" s="943">
        <v>628</v>
      </c>
      <c r="CL45" s="944"/>
      <c r="CM45" s="943">
        <v>625</v>
      </c>
      <c r="CN45" s="944"/>
      <c r="CO45" s="943">
        <v>617</v>
      </c>
      <c r="CP45" s="944"/>
      <c r="CQ45" s="943">
        <v>613</v>
      </c>
      <c r="CR45" s="944"/>
      <c r="CS45" s="943">
        <v>600</v>
      </c>
      <c r="CT45" s="944"/>
      <c r="CU45" s="943">
        <v>0</v>
      </c>
      <c r="CV45" s="944"/>
      <c r="CW45" s="943">
        <v>0</v>
      </c>
      <c r="CX45" s="944"/>
      <c r="CY45" s="943">
        <v>0</v>
      </c>
      <c r="CZ45" s="944"/>
      <c r="DA45" s="943">
        <v>0</v>
      </c>
      <c r="DB45" s="944"/>
      <c r="DC45" s="943">
        <v>0</v>
      </c>
      <c r="DD45" s="944"/>
      <c r="DE45" s="945">
        <v>0</v>
      </c>
      <c r="DF45" s="648"/>
      <c r="DG45" s="939" t="s">
        <v>476</v>
      </c>
      <c r="DH45" s="940"/>
      <c r="DI45" s="940"/>
      <c r="DJ45" s="940"/>
      <c r="DK45" s="940"/>
      <c r="DL45" s="941"/>
      <c r="DM45" s="942"/>
      <c r="DN45" s="943">
        <v>0</v>
      </c>
      <c r="DO45" s="944"/>
      <c r="DP45" s="943">
        <v>0</v>
      </c>
      <c r="DQ45" s="944"/>
      <c r="DR45" s="943">
        <v>0</v>
      </c>
      <c r="DS45" s="944"/>
      <c r="DT45" s="943">
        <v>0</v>
      </c>
      <c r="DU45" s="944"/>
      <c r="DV45" s="943">
        <v>0</v>
      </c>
      <c r="DW45" s="944"/>
      <c r="DX45" s="943">
        <v>0</v>
      </c>
      <c r="DY45" s="944"/>
      <c r="DZ45" s="943">
        <v>0</v>
      </c>
      <c r="EA45" s="944"/>
      <c r="EB45" s="943">
        <v>0</v>
      </c>
      <c r="EC45" s="944"/>
      <c r="ED45" s="943">
        <v>625</v>
      </c>
      <c r="EE45" s="944"/>
      <c r="EF45" s="943">
        <v>569</v>
      </c>
      <c r="EG45" s="944"/>
      <c r="EH45" s="943">
        <v>584</v>
      </c>
      <c r="EI45" s="944"/>
      <c r="EJ45" s="943">
        <v>592</v>
      </c>
      <c r="EK45" s="944"/>
      <c r="EL45" s="943">
        <v>591</v>
      </c>
      <c r="EM45" s="944"/>
      <c r="EN45" s="943">
        <v>586</v>
      </c>
      <c r="EO45" s="944"/>
      <c r="EP45" s="943">
        <v>586</v>
      </c>
      <c r="EQ45" s="944"/>
      <c r="ER45" s="943">
        <v>585</v>
      </c>
      <c r="ES45" s="944"/>
      <c r="ET45" s="943">
        <v>570</v>
      </c>
      <c r="EU45" s="944"/>
      <c r="EV45" s="943">
        <v>558</v>
      </c>
      <c r="EW45" s="944"/>
      <c r="EX45" s="943">
        <v>0</v>
      </c>
      <c r="EY45" s="944"/>
      <c r="EZ45" s="943">
        <v>0</v>
      </c>
      <c r="FA45" s="944"/>
      <c r="FB45" s="943">
        <v>0</v>
      </c>
      <c r="FC45" s="944"/>
      <c r="FD45" s="943">
        <v>0</v>
      </c>
      <c r="FE45" s="944"/>
      <c r="FF45" s="943">
        <v>0</v>
      </c>
      <c r="FG45" s="944"/>
      <c r="FH45" s="945">
        <v>0</v>
      </c>
      <c r="FI45" s="648"/>
      <c r="FJ45" s="939" t="s">
        <v>476</v>
      </c>
      <c r="FK45" s="940"/>
      <c r="FL45" s="940"/>
      <c r="FM45" s="940"/>
      <c r="FN45" s="940"/>
      <c r="FO45" s="941"/>
      <c r="FP45" s="946"/>
      <c r="FQ45" s="947"/>
      <c r="FR45" s="943">
        <v>865</v>
      </c>
      <c r="FS45" s="948"/>
      <c r="FT45" s="947"/>
      <c r="FU45" s="949">
        <v>875</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580</v>
      </c>
      <c r="GV45" s="413"/>
      <c r="GW45" s="413"/>
      <c r="GX45" s="413"/>
      <c r="GY45" s="530"/>
      <c r="GZ45" s="733"/>
      <c r="HA45" s="751">
        <v>19</v>
      </c>
      <c r="HB45" s="413" t="s">
        <v>550</v>
      </c>
      <c r="HC45" s="938"/>
      <c r="HD45" s="415"/>
    </row>
    <row r="46" spans="1:219" ht="20.100000000000001" customHeight="1">
      <c r="A46" s="954" t="s">
        <v>336</v>
      </c>
      <c r="B46" s="955"/>
      <c r="C46" s="955"/>
      <c r="D46" s="955"/>
      <c r="E46" s="955"/>
      <c r="F46" s="956"/>
      <c r="G46" s="957" t="s">
        <v>477</v>
      </c>
      <c r="H46" s="958"/>
      <c r="I46" s="1287" t="s">
        <v>477</v>
      </c>
      <c r="J46" s="958"/>
      <c r="K46" s="1287" t="s">
        <v>477</v>
      </c>
      <c r="L46" s="958"/>
      <c r="M46" s="1287" t="s">
        <v>477</v>
      </c>
      <c r="N46" s="958"/>
      <c r="O46" s="1287" t="s">
        <v>477</v>
      </c>
      <c r="P46" s="958"/>
      <c r="Q46" s="1287" t="s">
        <v>477</v>
      </c>
      <c r="R46" s="958"/>
      <c r="S46" s="1287" t="s">
        <v>477</v>
      </c>
      <c r="T46" s="958"/>
      <c r="U46" s="1287" t="s">
        <v>477</v>
      </c>
      <c r="V46" s="958"/>
      <c r="W46" s="1287" t="s">
        <v>477</v>
      </c>
      <c r="X46" s="958"/>
      <c r="Y46" s="1287" t="s">
        <v>477</v>
      </c>
      <c r="Z46" s="958"/>
      <c r="AA46" s="1287" t="s">
        <v>477</v>
      </c>
      <c r="AB46" s="958"/>
      <c r="AC46" s="1287" t="s">
        <v>477</v>
      </c>
      <c r="AD46" s="958"/>
      <c r="AE46" s="1287" t="s">
        <v>477</v>
      </c>
      <c r="AF46" s="958"/>
      <c r="AG46" s="1287" t="s">
        <v>477</v>
      </c>
      <c r="AH46" s="958"/>
      <c r="AI46" s="1287" t="s">
        <v>477</v>
      </c>
      <c r="AJ46" s="958"/>
      <c r="AK46" s="1287" t="s">
        <v>477</v>
      </c>
      <c r="AL46" s="958"/>
      <c r="AM46" s="1287" t="s">
        <v>477</v>
      </c>
      <c r="AN46" s="958"/>
      <c r="AO46" s="1287" t="s">
        <v>477</v>
      </c>
      <c r="AP46" s="958"/>
      <c r="AQ46" s="1287" t="s">
        <v>477</v>
      </c>
      <c r="AR46" s="958"/>
      <c r="AS46" s="1287" t="s">
        <v>477</v>
      </c>
      <c r="AT46" s="958"/>
      <c r="AU46" s="1287" t="s">
        <v>477</v>
      </c>
      <c r="AV46" s="958"/>
      <c r="AW46" s="1287" t="s">
        <v>477</v>
      </c>
      <c r="AX46" s="958"/>
      <c r="AY46" s="1287" t="s">
        <v>477</v>
      </c>
      <c r="AZ46" s="960"/>
      <c r="BA46" s="961" t="s">
        <v>477</v>
      </c>
      <c r="BB46" s="962"/>
      <c r="BC46" s="963"/>
      <c r="BD46" s="954" t="s">
        <v>336</v>
      </c>
      <c r="BE46" s="955"/>
      <c r="BF46" s="955"/>
      <c r="BG46" s="955"/>
      <c r="BH46" s="955"/>
      <c r="BI46" s="956"/>
      <c r="BJ46" s="957" t="s">
        <v>477</v>
      </c>
      <c r="BK46" s="958"/>
      <c r="BL46" s="1287" t="s">
        <v>477</v>
      </c>
      <c r="BM46" s="958"/>
      <c r="BN46" s="1287" t="s">
        <v>477</v>
      </c>
      <c r="BO46" s="958"/>
      <c r="BP46" s="1287" t="s">
        <v>477</v>
      </c>
      <c r="BQ46" s="958"/>
      <c r="BR46" s="1287" t="s">
        <v>477</v>
      </c>
      <c r="BS46" s="958"/>
      <c r="BT46" s="1287" t="s">
        <v>477</v>
      </c>
      <c r="BU46" s="958"/>
      <c r="BV46" s="1287" t="s">
        <v>477</v>
      </c>
      <c r="BW46" s="958"/>
      <c r="BX46" s="1287" t="s">
        <v>477</v>
      </c>
      <c r="BY46" s="958"/>
      <c r="BZ46" s="1287" t="s">
        <v>477</v>
      </c>
      <c r="CA46" s="958"/>
      <c r="CB46" s="1287" t="s">
        <v>477</v>
      </c>
      <c r="CC46" s="958"/>
      <c r="CD46" s="1287" t="s">
        <v>477</v>
      </c>
      <c r="CE46" s="958"/>
      <c r="CF46" s="1287" t="s">
        <v>477</v>
      </c>
      <c r="CG46" s="958"/>
      <c r="CH46" s="1287" t="s">
        <v>477</v>
      </c>
      <c r="CI46" s="958"/>
      <c r="CJ46" s="1287" t="s">
        <v>477</v>
      </c>
      <c r="CK46" s="958"/>
      <c r="CL46" s="1287" t="s">
        <v>477</v>
      </c>
      <c r="CM46" s="958"/>
      <c r="CN46" s="1287" t="s">
        <v>477</v>
      </c>
      <c r="CO46" s="958"/>
      <c r="CP46" s="1287" t="s">
        <v>477</v>
      </c>
      <c r="CQ46" s="958"/>
      <c r="CR46" s="1287" t="s">
        <v>477</v>
      </c>
      <c r="CS46" s="958"/>
      <c r="CT46" s="1287" t="s">
        <v>477</v>
      </c>
      <c r="CU46" s="958"/>
      <c r="CV46" s="1287" t="s">
        <v>477</v>
      </c>
      <c r="CW46" s="958"/>
      <c r="CX46" s="1287" t="s">
        <v>477</v>
      </c>
      <c r="CY46" s="958"/>
      <c r="CZ46" s="1287" t="s">
        <v>477</v>
      </c>
      <c r="DA46" s="958"/>
      <c r="DB46" s="1287" t="s">
        <v>477</v>
      </c>
      <c r="DC46" s="960"/>
      <c r="DD46" s="961" t="s">
        <v>477</v>
      </c>
      <c r="DE46" s="962"/>
      <c r="DF46" s="963"/>
      <c r="DG46" s="954" t="s">
        <v>336</v>
      </c>
      <c r="DH46" s="955"/>
      <c r="DI46" s="955"/>
      <c r="DJ46" s="955"/>
      <c r="DK46" s="955"/>
      <c r="DL46" s="956"/>
      <c r="DM46" s="957" t="s">
        <v>477</v>
      </c>
      <c r="DN46" s="958"/>
      <c r="DO46" s="1287" t="s">
        <v>477</v>
      </c>
      <c r="DP46" s="958"/>
      <c r="DQ46" s="1287" t="s">
        <v>477</v>
      </c>
      <c r="DR46" s="958"/>
      <c r="DS46" s="1287" t="s">
        <v>477</v>
      </c>
      <c r="DT46" s="958"/>
      <c r="DU46" s="1287" t="s">
        <v>477</v>
      </c>
      <c r="DV46" s="958"/>
      <c r="DW46" s="1287" t="s">
        <v>477</v>
      </c>
      <c r="DX46" s="958"/>
      <c r="DY46" s="1287" t="s">
        <v>477</v>
      </c>
      <c r="DZ46" s="958"/>
      <c r="EA46" s="1287" t="s">
        <v>477</v>
      </c>
      <c r="EB46" s="958"/>
      <c r="EC46" s="1287" t="s">
        <v>477</v>
      </c>
      <c r="ED46" s="958"/>
      <c r="EE46" s="1287" t="s">
        <v>477</v>
      </c>
      <c r="EF46" s="958"/>
      <c r="EG46" s="1287" t="s">
        <v>477</v>
      </c>
      <c r="EH46" s="958"/>
      <c r="EI46" s="1287" t="s">
        <v>477</v>
      </c>
      <c r="EJ46" s="958"/>
      <c r="EK46" s="1287" t="s">
        <v>477</v>
      </c>
      <c r="EL46" s="958"/>
      <c r="EM46" s="1287" t="s">
        <v>477</v>
      </c>
      <c r="EN46" s="958"/>
      <c r="EO46" s="1287" t="s">
        <v>477</v>
      </c>
      <c r="EP46" s="958"/>
      <c r="EQ46" s="1287" t="s">
        <v>477</v>
      </c>
      <c r="ER46" s="958"/>
      <c r="ES46" s="1287" t="s">
        <v>477</v>
      </c>
      <c r="ET46" s="958"/>
      <c r="EU46" s="1287" t="s">
        <v>477</v>
      </c>
      <c r="EV46" s="958"/>
      <c r="EW46" s="1287" t="s">
        <v>477</v>
      </c>
      <c r="EX46" s="958"/>
      <c r="EY46" s="1287" t="s">
        <v>477</v>
      </c>
      <c r="EZ46" s="958"/>
      <c r="FA46" s="1287" t="s">
        <v>477</v>
      </c>
      <c r="FB46" s="958"/>
      <c r="FC46" s="1287" t="s">
        <v>477</v>
      </c>
      <c r="FD46" s="958"/>
      <c r="FE46" s="1287" t="s">
        <v>477</v>
      </c>
      <c r="FF46" s="960"/>
      <c r="FG46" s="961" t="s">
        <v>477</v>
      </c>
      <c r="FH46" s="962"/>
      <c r="FI46" s="963"/>
      <c r="FJ46" s="954" t="s">
        <v>480</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t="s">
        <v>584</v>
      </c>
      <c r="GL46" s="413"/>
      <c r="GM46" s="750"/>
      <c r="GN46" s="750"/>
      <c r="GO46" s="750"/>
      <c r="GP46" s="750"/>
      <c r="GQ46" s="750"/>
      <c r="GR46" s="861"/>
      <c r="GS46" s="580"/>
      <c r="GT46" s="763"/>
      <c r="GU46" s="774" t="s">
        <v>582</v>
      </c>
      <c r="GV46" s="774"/>
      <c r="GW46" s="774"/>
      <c r="GX46" s="774"/>
      <c r="GY46" s="615"/>
      <c r="GZ46" s="775"/>
      <c r="HA46" s="751">
        <v>17.5</v>
      </c>
      <c r="HB46" s="413" t="s">
        <v>550</v>
      </c>
      <c r="HC46" s="938"/>
      <c r="HD46" s="415"/>
    </row>
    <row r="47" spans="1:219" ht="20.100000000000001" customHeight="1" thickBot="1">
      <c r="A47" s="970" t="s">
        <v>337</v>
      </c>
      <c r="B47" s="971"/>
      <c r="C47" s="971"/>
      <c r="D47" s="972"/>
      <c r="E47" s="973"/>
      <c r="F47" s="973"/>
      <c r="G47" s="974"/>
      <c r="H47" s="975">
        <v>0</v>
      </c>
      <c r="I47" s="976"/>
      <c r="J47" s="975">
        <v>0</v>
      </c>
      <c r="K47" s="976"/>
      <c r="L47" s="975">
        <v>0</v>
      </c>
      <c r="M47" s="976"/>
      <c r="N47" s="975">
        <v>0</v>
      </c>
      <c r="O47" s="976"/>
      <c r="P47" s="975">
        <v>0</v>
      </c>
      <c r="Q47" s="976"/>
      <c r="R47" s="975">
        <v>0</v>
      </c>
      <c r="S47" s="976"/>
      <c r="T47" s="975">
        <v>0</v>
      </c>
      <c r="U47" s="976"/>
      <c r="V47" s="975">
        <v>0</v>
      </c>
      <c r="W47" s="976"/>
      <c r="X47" s="975">
        <v>715</v>
      </c>
      <c r="Y47" s="976"/>
      <c r="Z47" s="975">
        <v>653</v>
      </c>
      <c r="AA47" s="976"/>
      <c r="AB47" s="975">
        <v>667</v>
      </c>
      <c r="AC47" s="976"/>
      <c r="AD47" s="975">
        <v>669</v>
      </c>
      <c r="AE47" s="976"/>
      <c r="AF47" s="975">
        <v>673</v>
      </c>
      <c r="AG47" s="976"/>
      <c r="AH47" s="975">
        <v>673</v>
      </c>
      <c r="AI47" s="976"/>
      <c r="AJ47" s="975">
        <v>664</v>
      </c>
      <c r="AK47" s="976"/>
      <c r="AL47" s="975">
        <v>659</v>
      </c>
      <c r="AM47" s="976"/>
      <c r="AN47" s="975">
        <v>643</v>
      </c>
      <c r="AO47" s="976"/>
      <c r="AP47" s="975">
        <v>634</v>
      </c>
      <c r="AQ47" s="976"/>
      <c r="AR47" s="975">
        <v>0</v>
      </c>
      <c r="AS47" s="976"/>
      <c r="AT47" s="975">
        <v>0</v>
      </c>
      <c r="AU47" s="976"/>
      <c r="AV47" s="975">
        <v>0</v>
      </c>
      <c r="AW47" s="976"/>
      <c r="AX47" s="975">
        <v>0</v>
      </c>
      <c r="AY47" s="977"/>
      <c r="AZ47" s="978">
        <v>0</v>
      </c>
      <c r="BA47" s="979"/>
      <c r="BB47" s="980">
        <v>0</v>
      </c>
      <c r="BC47" s="981"/>
      <c r="BD47" s="970" t="s">
        <v>337</v>
      </c>
      <c r="BE47" s="971"/>
      <c r="BF47" s="971"/>
      <c r="BG47" s="972"/>
      <c r="BH47" s="973"/>
      <c r="BI47" s="973"/>
      <c r="BJ47" s="974"/>
      <c r="BK47" s="975">
        <v>0</v>
      </c>
      <c r="BL47" s="976"/>
      <c r="BM47" s="975">
        <v>0</v>
      </c>
      <c r="BN47" s="976"/>
      <c r="BO47" s="975">
        <v>0</v>
      </c>
      <c r="BP47" s="976"/>
      <c r="BQ47" s="975">
        <v>0</v>
      </c>
      <c r="BR47" s="976"/>
      <c r="BS47" s="975">
        <v>0</v>
      </c>
      <c r="BT47" s="976"/>
      <c r="BU47" s="975">
        <v>0</v>
      </c>
      <c r="BV47" s="976"/>
      <c r="BW47" s="975">
        <v>0</v>
      </c>
      <c r="BX47" s="976"/>
      <c r="BY47" s="975">
        <v>0</v>
      </c>
      <c r="BZ47" s="976"/>
      <c r="CA47" s="975">
        <v>710</v>
      </c>
      <c r="CB47" s="976"/>
      <c r="CC47" s="975">
        <v>646</v>
      </c>
      <c r="CD47" s="976"/>
      <c r="CE47" s="975">
        <v>659</v>
      </c>
      <c r="CF47" s="976"/>
      <c r="CG47" s="975">
        <v>662</v>
      </c>
      <c r="CH47" s="976"/>
      <c r="CI47" s="975">
        <v>666</v>
      </c>
      <c r="CJ47" s="976"/>
      <c r="CK47" s="975">
        <v>659</v>
      </c>
      <c r="CL47" s="976"/>
      <c r="CM47" s="975">
        <v>656</v>
      </c>
      <c r="CN47" s="976"/>
      <c r="CO47" s="975">
        <v>648</v>
      </c>
      <c r="CP47" s="976"/>
      <c r="CQ47" s="975">
        <v>644</v>
      </c>
      <c r="CR47" s="976"/>
      <c r="CS47" s="975">
        <v>630</v>
      </c>
      <c r="CT47" s="976"/>
      <c r="CU47" s="975">
        <v>0</v>
      </c>
      <c r="CV47" s="976"/>
      <c r="CW47" s="975">
        <v>0</v>
      </c>
      <c r="CX47" s="976"/>
      <c r="CY47" s="975">
        <v>0</v>
      </c>
      <c r="CZ47" s="976"/>
      <c r="DA47" s="975">
        <v>0</v>
      </c>
      <c r="DB47" s="977"/>
      <c r="DC47" s="978">
        <v>0</v>
      </c>
      <c r="DD47" s="979"/>
      <c r="DE47" s="980">
        <v>0</v>
      </c>
      <c r="DF47" s="981"/>
      <c r="DG47" s="970" t="s">
        <v>337</v>
      </c>
      <c r="DH47" s="971"/>
      <c r="DI47" s="971"/>
      <c r="DJ47" s="972"/>
      <c r="DK47" s="973"/>
      <c r="DL47" s="973"/>
      <c r="DM47" s="974"/>
      <c r="DN47" s="975">
        <v>0</v>
      </c>
      <c r="DO47" s="976"/>
      <c r="DP47" s="975">
        <v>0</v>
      </c>
      <c r="DQ47" s="976"/>
      <c r="DR47" s="975">
        <v>0</v>
      </c>
      <c r="DS47" s="976"/>
      <c r="DT47" s="975">
        <v>0</v>
      </c>
      <c r="DU47" s="976"/>
      <c r="DV47" s="975">
        <v>0</v>
      </c>
      <c r="DW47" s="976"/>
      <c r="DX47" s="975">
        <v>0</v>
      </c>
      <c r="DY47" s="976"/>
      <c r="DZ47" s="975">
        <v>0</v>
      </c>
      <c r="EA47" s="976"/>
      <c r="EB47" s="975">
        <v>0</v>
      </c>
      <c r="EC47" s="976"/>
      <c r="ED47" s="975">
        <v>656</v>
      </c>
      <c r="EE47" s="976"/>
      <c r="EF47" s="975">
        <v>597</v>
      </c>
      <c r="EG47" s="976"/>
      <c r="EH47" s="975">
        <v>613</v>
      </c>
      <c r="EI47" s="976"/>
      <c r="EJ47" s="975">
        <v>622</v>
      </c>
      <c r="EK47" s="976"/>
      <c r="EL47" s="975">
        <v>621</v>
      </c>
      <c r="EM47" s="976"/>
      <c r="EN47" s="975">
        <v>615</v>
      </c>
      <c r="EO47" s="976"/>
      <c r="EP47" s="975">
        <v>615</v>
      </c>
      <c r="EQ47" s="976"/>
      <c r="ER47" s="975">
        <v>614</v>
      </c>
      <c r="ES47" s="976"/>
      <c r="ET47" s="975">
        <v>599</v>
      </c>
      <c r="EU47" s="976"/>
      <c r="EV47" s="975">
        <v>586</v>
      </c>
      <c r="EW47" s="976"/>
      <c r="EX47" s="975">
        <v>0</v>
      </c>
      <c r="EY47" s="976"/>
      <c r="EZ47" s="975">
        <v>0</v>
      </c>
      <c r="FA47" s="976"/>
      <c r="FB47" s="975">
        <v>0</v>
      </c>
      <c r="FC47" s="976"/>
      <c r="FD47" s="975">
        <v>0</v>
      </c>
      <c r="FE47" s="977"/>
      <c r="FF47" s="978">
        <v>0</v>
      </c>
      <c r="FG47" s="979"/>
      <c r="FH47" s="980">
        <v>0</v>
      </c>
      <c r="FI47" s="981"/>
      <c r="FJ47" s="970" t="s">
        <v>337</v>
      </c>
      <c r="FK47" s="971"/>
      <c r="FL47" s="971"/>
      <c r="FM47" s="972"/>
      <c r="FN47" s="973"/>
      <c r="FO47" s="973"/>
      <c r="FP47" s="982"/>
      <c r="FQ47" s="983"/>
      <c r="FR47" s="975">
        <v>865</v>
      </c>
      <c r="FS47" s="984"/>
      <c r="FT47" s="983"/>
      <c r="FU47" s="985">
        <v>875</v>
      </c>
      <c r="FV47" s="986">
        <v>12</v>
      </c>
      <c r="FW47" s="975">
        <v>669</v>
      </c>
      <c r="FX47" s="987">
        <v>13</v>
      </c>
      <c r="FY47" s="975">
        <v>666</v>
      </c>
      <c r="FZ47" s="987">
        <v>12</v>
      </c>
      <c r="GA47" s="975">
        <v>622</v>
      </c>
      <c r="GB47" s="988" t="s">
        <v>366</v>
      </c>
      <c r="GC47" s="975">
        <v>669</v>
      </c>
      <c r="GD47" s="988" t="s">
        <v>815</v>
      </c>
      <c r="GE47" s="989">
        <v>875</v>
      </c>
      <c r="GF47" s="688"/>
      <c r="GG47" s="990"/>
      <c r="GH47" s="990"/>
      <c r="GI47" s="990"/>
      <c r="GJ47" s="893"/>
      <c r="GK47" s="413" t="s">
        <v>840</v>
      </c>
      <c r="GL47" s="893"/>
      <c r="GM47" s="530"/>
      <c r="GN47" s="893"/>
      <c r="GO47" s="530"/>
      <c r="GP47" s="530"/>
      <c r="GQ47" s="530"/>
      <c r="GR47" s="893"/>
      <c r="GS47" s="530"/>
      <c r="GT47" s="763"/>
      <c r="GU47" s="774" t="s">
        <v>585</v>
      </c>
      <c r="GV47" s="774"/>
      <c r="GW47" s="774"/>
      <c r="GX47" s="774"/>
      <c r="GY47" s="530"/>
      <c r="GZ47" s="413"/>
      <c r="HA47" s="778">
        <v>-0.15</v>
      </c>
      <c r="HB47" s="413"/>
      <c r="HC47" s="981"/>
      <c r="HD47" s="415"/>
    </row>
    <row r="48" spans="1:219" ht="20.100000000000001" customHeight="1">
      <c r="A48" s="991" t="s">
        <v>482</v>
      </c>
      <c r="B48" s="992" t="s">
        <v>483</v>
      </c>
      <c r="C48" s="895"/>
      <c r="D48" s="825"/>
      <c r="E48" s="825"/>
      <c r="F48" s="826"/>
      <c r="G48" s="740" t="s">
        <v>484</v>
      </c>
      <c r="H48" s="663" t="s">
        <v>430</v>
      </c>
      <c r="I48" s="742" t="s">
        <v>484</v>
      </c>
      <c r="J48" s="993" t="s">
        <v>430</v>
      </c>
      <c r="K48" s="742" t="s">
        <v>484</v>
      </c>
      <c r="L48" s="993" t="s">
        <v>430</v>
      </c>
      <c r="M48" s="742" t="s">
        <v>484</v>
      </c>
      <c r="N48" s="993" t="s">
        <v>430</v>
      </c>
      <c r="O48" s="742" t="s">
        <v>484</v>
      </c>
      <c r="P48" s="993" t="s">
        <v>430</v>
      </c>
      <c r="Q48" s="742" t="s">
        <v>484</v>
      </c>
      <c r="R48" s="993" t="s">
        <v>430</v>
      </c>
      <c r="S48" s="742" t="s">
        <v>484</v>
      </c>
      <c r="T48" s="993" t="s">
        <v>430</v>
      </c>
      <c r="U48" s="742" t="s">
        <v>484</v>
      </c>
      <c r="V48" s="993" t="s">
        <v>430</v>
      </c>
      <c r="W48" s="742" t="s">
        <v>484</v>
      </c>
      <c r="X48" s="993" t="s">
        <v>430</v>
      </c>
      <c r="Y48" s="742" t="s">
        <v>484</v>
      </c>
      <c r="Z48" s="993" t="s">
        <v>430</v>
      </c>
      <c r="AA48" s="742" t="s">
        <v>484</v>
      </c>
      <c r="AB48" s="993" t="s">
        <v>430</v>
      </c>
      <c r="AC48" s="742" t="s">
        <v>484</v>
      </c>
      <c r="AD48" s="993" t="s">
        <v>430</v>
      </c>
      <c r="AE48" s="742" t="s">
        <v>484</v>
      </c>
      <c r="AF48" s="993" t="s">
        <v>430</v>
      </c>
      <c r="AG48" s="742" t="s">
        <v>484</v>
      </c>
      <c r="AH48" s="993" t="s">
        <v>430</v>
      </c>
      <c r="AI48" s="742" t="s">
        <v>484</v>
      </c>
      <c r="AJ48" s="993" t="s">
        <v>430</v>
      </c>
      <c r="AK48" s="742" t="s">
        <v>484</v>
      </c>
      <c r="AL48" s="993" t="s">
        <v>430</v>
      </c>
      <c r="AM48" s="742" t="s">
        <v>484</v>
      </c>
      <c r="AN48" s="993" t="s">
        <v>430</v>
      </c>
      <c r="AO48" s="742" t="s">
        <v>484</v>
      </c>
      <c r="AP48" s="993" t="s">
        <v>430</v>
      </c>
      <c r="AQ48" s="742" t="s">
        <v>484</v>
      </c>
      <c r="AR48" s="993" t="s">
        <v>430</v>
      </c>
      <c r="AS48" s="742" t="s">
        <v>484</v>
      </c>
      <c r="AT48" s="993" t="s">
        <v>430</v>
      </c>
      <c r="AU48" s="742" t="s">
        <v>484</v>
      </c>
      <c r="AV48" s="993" t="s">
        <v>430</v>
      </c>
      <c r="AW48" s="742" t="s">
        <v>484</v>
      </c>
      <c r="AX48" s="993" t="s">
        <v>430</v>
      </c>
      <c r="AY48" s="742" t="s">
        <v>484</v>
      </c>
      <c r="AZ48" s="994" t="s">
        <v>430</v>
      </c>
      <c r="BA48" s="995" t="s">
        <v>484</v>
      </c>
      <c r="BB48" s="996" t="s">
        <v>430</v>
      </c>
      <c r="BC48" s="932"/>
      <c r="BD48" s="991" t="s">
        <v>482</v>
      </c>
      <c r="BE48" s="992" t="s">
        <v>483</v>
      </c>
      <c r="BF48" s="895"/>
      <c r="BG48" s="825"/>
      <c r="BH48" s="825"/>
      <c r="BI48" s="826"/>
      <c r="BJ48" s="740" t="s">
        <v>484</v>
      </c>
      <c r="BK48" s="663" t="s">
        <v>430</v>
      </c>
      <c r="BL48" s="742" t="s">
        <v>484</v>
      </c>
      <c r="BM48" s="993" t="s">
        <v>430</v>
      </c>
      <c r="BN48" s="742" t="s">
        <v>484</v>
      </c>
      <c r="BO48" s="993" t="s">
        <v>430</v>
      </c>
      <c r="BP48" s="742" t="s">
        <v>484</v>
      </c>
      <c r="BQ48" s="993" t="s">
        <v>430</v>
      </c>
      <c r="BR48" s="742" t="s">
        <v>484</v>
      </c>
      <c r="BS48" s="993" t="s">
        <v>430</v>
      </c>
      <c r="BT48" s="742" t="s">
        <v>484</v>
      </c>
      <c r="BU48" s="993" t="s">
        <v>430</v>
      </c>
      <c r="BV48" s="742" t="s">
        <v>484</v>
      </c>
      <c r="BW48" s="993" t="s">
        <v>430</v>
      </c>
      <c r="BX48" s="742" t="s">
        <v>484</v>
      </c>
      <c r="BY48" s="993" t="s">
        <v>430</v>
      </c>
      <c r="BZ48" s="742" t="s">
        <v>484</v>
      </c>
      <c r="CA48" s="993" t="s">
        <v>430</v>
      </c>
      <c r="CB48" s="742" t="s">
        <v>484</v>
      </c>
      <c r="CC48" s="993" t="s">
        <v>430</v>
      </c>
      <c r="CD48" s="742" t="s">
        <v>484</v>
      </c>
      <c r="CE48" s="993" t="s">
        <v>430</v>
      </c>
      <c r="CF48" s="742" t="s">
        <v>484</v>
      </c>
      <c r="CG48" s="993" t="s">
        <v>430</v>
      </c>
      <c r="CH48" s="742" t="s">
        <v>484</v>
      </c>
      <c r="CI48" s="993" t="s">
        <v>430</v>
      </c>
      <c r="CJ48" s="742" t="s">
        <v>484</v>
      </c>
      <c r="CK48" s="993" t="s">
        <v>430</v>
      </c>
      <c r="CL48" s="742" t="s">
        <v>484</v>
      </c>
      <c r="CM48" s="993" t="s">
        <v>430</v>
      </c>
      <c r="CN48" s="742" t="s">
        <v>484</v>
      </c>
      <c r="CO48" s="993" t="s">
        <v>430</v>
      </c>
      <c r="CP48" s="742" t="s">
        <v>484</v>
      </c>
      <c r="CQ48" s="993" t="s">
        <v>430</v>
      </c>
      <c r="CR48" s="742" t="s">
        <v>484</v>
      </c>
      <c r="CS48" s="993" t="s">
        <v>430</v>
      </c>
      <c r="CT48" s="742" t="s">
        <v>484</v>
      </c>
      <c r="CU48" s="993" t="s">
        <v>430</v>
      </c>
      <c r="CV48" s="742" t="s">
        <v>484</v>
      </c>
      <c r="CW48" s="993" t="s">
        <v>430</v>
      </c>
      <c r="CX48" s="742" t="s">
        <v>484</v>
      </c>
      <c r="CY48" s="993" t="s">
        <v>430</v>
      </c>
      <c r="CZ48" s="742" t="s">
        <v>484</v>
      </c>
      <c r="DA48" s="993" t="s">
        <v>430</v>
      </c>
      <c r="DB48" s="742" t="s">
        <v>484</v>
      </c>
      <c r="DC48" s="994" t="s">
        <v>430</v>
      </c>
      <c r="DD48" s="995" t="s">
        <v>484</v>
      </c>
      <c r="DE48" s="996" t="s">
        <v>430</v>
      </c>
      <c r="DF48" s="932"/>
      <c r="DG48" s="991" t="s">
        <v>482</v>
      </c>
      <c r="DH48" s="992" t="s">
        <v>483</v>
      </c>
      <c r="DI48" s="895"/>
      <c r="DJ48" s="825"/>
      <c r="DK48" s="825"/>
      <c r="DL48" s="826"/>
      <c r="DM48" s="740" t="s">
        <v>484</v>
      </c>
      <c r="DN48" s="663" t="s">
        <v>430</v>
      </c>
      <c r="DO48" s="742" t="s">
        <v>484</v>
      </c>
      <c r="DP48" s="993" t="s">
        <v>430</v>
      </c>
      <c r="DQ48" s="742" t="s">
        <v>484</v>
      </c>
      <c r="DR48" s="993" t="s">
        <v>430</v>
      </c>
      <c r="DS48" s="742" t="s">
        <v>484</v>
      </c>
      <c r="DT48" s="993" t="s">
        <v>430</v>
      </c>
      <c r="DU48" s="742" t="s">
        <v>484</v>
      </c>
      <c r="DV48" s="993" t="s">
        <v>430</v>
      </c>
      <c r="DW48" s="742" t="s">
        <v>484</v>
      </c>
      <c r="DX48" s="993" t="s">
        <v>430</v>
      </c>
      <c r="DY48" s="742" t="s">
        <v>484</v>
      </c>
      <c r="DZ48" s="993" t="s">
        <v>430</v>
      </c>
      <c r="EA48" s="742" t="s">
        <v>484</v>
      </c>
      <c r="EB48" s="993" t="s">
        <v>430</v>
      </c>
      <c r="EC48" s="742" t="s">
        <v>484</v>
      </c>
      <c r="ED48" s="993" t="s">
        <v>430</v>
      </c>
      <c r="EE48" s="742" t="s">
        <v>484</v>
      </c>
      <c r="EF48" s="993" t="s">
        <v>430</v>
      </c>
      <c r="EG48" s="742" t="s">
        <v>484</v>
      </c>
      <c r="EH48" s="993" t="s">
        <v>430</v>
      </c>
      <c r="EI48" s="742" t="s">
        <v>484</v>
      </c>
      <c r="EJ48" s="993" t="s">
        <v>430</v>
      </c>
      <c r="EK48" s="742" t="s">
        <v>484</v>
      </c>
      <c r="EL48" s="993" t="s">
        <v>430</v>
      </c>
      <c r="EM48" s="742" t="s">
        <v>484</v>
      </c>
      <c r="EN48" s="993" t="s">
        <v>430</v>
      </c>
      <c r="EO48" s="742" t="s">
        <v>484</v>
      </c>
      <c r="EP48" s="993" t="s">
        <v>430</v>
      </c>
      <c r="EQ48" s="742" t="s">
        <v>484</v>
      </c>
      <c r="ER48" s="993" t="s">
        <v>430</v>
      </c>
      <c r="ES48" s="742" t="s">
        <v>484</v>
      </c>
      <c r="ET48" s="993" t="s">
        <v>430</v>
      </c>
      <c r="EU48" s="742" t="s">
        <v>484</v>
      </c>
      <c r="EV48" s="993" t="s">
        <v>430</v>
      </c>
      <c r="EW48" s="742" t="s">
        <v>484</v>
      </c>
      <c r="EX48" s="993" t="s">
        <v>430</v>
      </c>
      <c r="EY48" s="742" t="s">
        <v>484</v>
      </c>
      <c r="EZ48" s="993" t="s">
        <v>430</v>
      </c>
      <c r="FA48" s="742" t="s">
        <v>484</v>
      </c>
      <c r="FB48" s="993" t="s">
        <v>430</v>
      </c>
      <c r="FC48" s="742" t="s">
        <v>484</v>
      </c>
      <c r="FD48" s="993" t="s">
        <v>430</v>
      </c>
      <c r="FE48" s="742" t="s">
        <v>484</v>
      </c>
      <c r="FF48" s="994" t="s">
        <v>430</v>
      </c>
      <c r="FG48" s="995" t="s">
        <v>484</v>
      </c>
      <c r="FH48" s="996" t="s">
        <v>430</v>
      </c>
      <c r="FI48" s="932"/>
      <c r="FJ48" s="991" t="s">
        <v>482</v>
      </c>
      <c r="FK48" s="738" t="s">
        <v>483</v>
      </c>
      <c r="FL48" s="895"/>
      <c r="FM48" s="825"/>
      <c r="FN48" s="825"/>
      <c r="FO48" s="826"/>
      <c r="FP48" s="747" t="s">
        <v>450</v>
      </c>
      <c r="FQ48" s="673" t="s">
        <v>484</v>
      </c>
      <c r="FR48" s="663" t="s">
        <v>451</v>
      </c>
      <c r="FS48" s="997" t="s">
        <v>450</v>
      </c>
      <c r="FT48" s="673" t="s">
        <v>484</v>
      </c>
      <c r="FU48" s="998" t="s">
        <v>451</v>
      </c>
      <c r="FV48" s="999"/>
      <c r="FW48" s="993" t="s">
        <v>323</v>
      </c>
      <c r="FX48" s="997"/>
      <c r="FY48" s="993" t="s">
        <v>323</v>
      </c>
      <c r="FZ48" s="997"/>
      <c r="GA48" s="993" t="s">
        <v>323</v>
      </c>
      <c r="GB48" s="997"/>
      <c r="GC48" s="993" t="s">
        <v>323</v>
      </c>
      <c r="GD48" s="997"/>
      <c r="GE48" s="1000" t="s">
        <v>324</v>
      </c>
      <c r="GF48" s="688"/>
      <c r="GG48" s="655"/>
      <c r="GH48" s="655"/>
      <c r="GI48" s="655"/>
      <c r="GJ48" s="530"/>
      <c r="GK48" s="615" t="s">
        <v>841</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435</v>
      </c>
      <c r="C49" s="1002"/>
      <c r="D49" s="754">
        <v>66</v>
      </c>
      <c r="E49" s="755">
        <v>4</v>
      </c>
      <c r="F49" s="1003" t="s">
        <v>436</v>
      </c>
      <c r="G49" s="757"/>
      <c r="H49" s="559"/>
      <c r="I49" s="758"/>
      <c r="J49" s="559"/>
      <c r="K49" s="758"/>
      <c r="L49" s="559"/>
      <c r="M49" s="758"/>
      <c r="N49" s="559"/>
      <c r="O49" s="758"/>
      <c r="P49" s="559"/>
      <c r="Q49" s="758"/>
      <c r="R49" s="559"/>
      <c r="S49" s="758"/>
      <c r="T49" s="559"/>
      <c r="U49" s="758"/>
      <c r="V49" s="559"/>
      <c r="W49" s="758">
        <v>1</v>
      </c>
      <c r="X49" s="559">
        <v>264</v>
      </c>
      <c r="Y49" s="758">
        <v>1</v>
      </c>
      <c r="Z49" s="559">
        <v>264</v>
      </c>
      <c r="AA49" s="758">
        <v>1</v>
      </c>
      <c r="AB49" s="559">
        <v>264</v>
      </c>
      <c r="AC49" s="758">
        <v>1</v>
      </c>
      <c r="AD49" s="559">
        <v>264</v>
      </c>
      <c r="AE49" s="758">
        <v>1</v>
      </c>
      <c r="AF49" s="559">
        <v>264</v>
      </c>
      <c r="AG49" s="758">
        <v>1</v>
      </c>
      <c r="AH49" s="559">
        <v>264</v>
      </c>
      <c r="AI49" s="758">
        <v>1</v>
      </c>
      <c r="AJ49" s="559">
        <v>264</v>
      </c>
      <c r="AK49" s="758">
        <v>1</v>
      </c>
      <c r="AL49" s="559">
        <v>264</v>
      </c>
      <c r="AM49" s="758">
        <v>1</v>
      </c>
      <c r="AN49" s="559">
        <v>264</v>
      </c>
      <c r="AO49" s="758">
        <v>1</v>
      </c>
      <c r="AP49" s="559">
        <v>264</v>
      </c>
      <c r="AQ49" s="758"/>
      <c r="AR49" s="559"/>
      <c r="AS49" s="758"/>
      <c r="AT49" s="559"/>
      <c r="AU49" s="758"/>
      <c r="AV49" s="559"/>
      <c r="AW49" s="758"/>
      <c r="AX49" s="559"/>
      <c r="AY49" s="1004"/>
      <c r="AZ49" s="1005"/>
      <c r="BA49" s="1006"/>
      <c r="BB49" s="1007"/>
      <c r="BC49" s="938"/>
      <c r="BD49" s="1001"/>
      <c r="BE49" s="752" t="s">
        <v>435</v>
      </c>
      <c r="BF49" s="1002"/>
      <c r="BG49" s="754"/>
      <c r="BH49" s="755">
        <v>4</v>
      </c>
      <c r="BI49" s="1003" t="s">
        <v>436</v>
      </c>
      <c r="BJ49" s="757"/>
      <c r="BK49" s="559"/>
      <c r="BL49" s="758"/>
      <c r="BM49" s="559"/>
      <c r="BN49" s="758"/>
      <c r="BO49" s="559"/>
      <c r="BP49" s="758"/>
      <c r="BQ49" s="559"/>
      <c r="BR49" s="758"/>
      <c r="BS49" s="559"/>
      <c r="BT49" s="758"/>
      <c r="BU49" s="559"/>
      <c r="BV49" s="758"/>
      <c r="BW49" s="559"/>
      <c r="BX49" s="758"/>
      <c r="BY49" s="559"/>
      <c r="BZ49" s="758">
        <v>1</v>
      </c>
      <c r="CA49" s="559">
        <v>264</v>
      </c>
      <c r="CB49" s="758">
        <v>1</v>
      </c>
      <c r="CC49" s="559">
        <v>264</v>
      </c>
      <c r="CD49" s="758">
        <v>1</v>
      </c>
      <c r="CE49" s="559">
        <v>264</v>
      </c>
      <c r="CF49" s="758">
        <v>1</v>
      </c>
      <c r="CG49" s="559">
        <v>264</v>
      </c>
      <c r="CH49" s="758">
        <v>1</v>
      </c>
      <c r="CI49" s="559">
        <v>264</v>
      </c>
      <c r="CJ49" s="758">
        <v>1</v>
      </c>
      <c r="CK49" s="559">
        <v>264</v>
      </c>
      <c r="CL49" s="758">
        <v>1</v>
      </c>
      <c r="CM49" s="559">
        <v>264</v>
      </c>
      <c r="CN49" s="758">
        <v>1</v>
      </c>
      <c r="CO49" s="559">
        <v>264</v>
      </c>
      <c r="CP49" s="758">
        <v>1</v>
      </c>
      <c r="CQ49" s="559">
        <v>264</v>
      </c>
      <c r="CR49" s="758">
        <v>1</v>
      </c>
      <c r="CS49" s="559">
        <v>264</v>
      </c>
      <c r="CT49" s="758"/>
      <c r="CU49" s="559"/>
      <c r="CV49" s="758"/>
      <c r="CW49" s="559"/>
      <c r="CX49" s="758"/>
      <c r="CY49" s="559"/>
      <c r="CZ49" s="758"/>
      <c r="DA49" s="559"/>
      <c r="DB49" s="1004"/>
      <c r="DC49" s="1005"/>
      <c r="DD49" s="1006"/>
      <c r="DE49" s="1007"/>
      <c r="DF49" s="938"/>
      <c r="DG49" s="1001"/>
      <c r="DH49" s="752" t="s">
        <v>435</v>
      </c>
      <c r="DI49" s="1002"/>
      <c r="DJ49" s="754"/>
      <c r="DK49" s="755">
        <v>4</v>
      </c>
      <c r="DL49" s="1003" t="s">
        <v>436</v>
      </c>
      <c r="DM49" s="757"/>
      <c r="DN49" s="559"/>
      <c r="DO49" s="758"/>
      <c r="DP49" s="559"/>
      <c r="DQ49" s="758"/>
      <c r="DR49" s="559"/>
      <c r="DS49" s="758"/>
      <c r="DT49" s="559"/>
      <c r="DU49" s="758"/>
      <c r="DV49" s="559"/>
      <c r="DW49" s="758"/>
      <c r="DX49" s="559"/>
      <c r="DY49" s="758"/>
      <c r="DZ49" s="559"/>
      <c r="EA49" s="758"/>
      <c r="EB49" s="559"/>
      <c r="EC49" s="758">
        <v>1</v>
      </c>
      <c r="ED49" s="559">
        <v>264</v>
      </c>
      <c r="EE49" s="758">
        <v>1</v>
      </c>
      <c r="EF49" s="559">
        <v>264</v>
      </c>
      <c r="EG49" s="758">
        <v>1</v>
      </c>
      <c r="EH49" s="559">
        <v>264</v>
      </c>
      <c r="EI49" s="758">
        <v>1</v>
      </c>
      <c r="EJ49" s="559">
        <v>264</v>
      </c>
      <c r="EK49" s="758">
        <v>1</v>
      </c>
      <c r="EL49" s="559">
        <v>264</v>
      </c>
      <c r="EM49" s="758">
        <v>1</v>
      </c>
      <c r="EN49" s="559">
        <v>264</v>
      </c>
      <c r="EO49" s="758">
        <v>1</v>
      </c>
      <c r="EP49" s="559">
        <v>264</v>
      </c>
      <c r="EQ49" s="758">
        <v>1</v>
      </c>
      <c r="ER49" s="559">
        <v>264</v>
      </c>
      <c r="ES49" s="758">
        <v>1</v>
      </c>
      <c r="ET49" s="559">
        <v>264</v>
      </c>
      <c r="EU49" s="758">
        <v>1</v>
      </c>
      <c r="EV49" s="559">
        <v>264</v>
      </c>
      <c r="EW49" s="758"/>
      <c r="EX49" s="559"/>
      <c r="EY49" s="758"/>
      <c r="EZ49" s="559"/>
      <c r="FA49" s="758"/>
      <c r="FB49" s="559"/>
      <c r="FC49" s="758"/>
      <c r="FD49" s="559"/>
      <c r="FE49" s="1004"/>
      <c r="FF49" s="1005"/>
      <c r="FG49" s="1006"/>
      <c r="FH49" s="1007"/>
      <c r="FI49" s="938"/>
      <c r="FJ49" s="1001"/>
      <c r="FK49" s="752" t="s">
        <v>435</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842</v>
      </c>
      <c r="GL49" s="580"/>
      <c r="GM49" s="413"/>
      <c r="GN49" s="580"/>
      <c r="GO49" s="413"/>
      <c r="GP49" s="413"/>
      <c r="GQ49" s="413"/>
      <c r="GR49" s="580"/>
      <c r="GS49" s="530"/>
      <c r="GT49" s="861"/>
      <c r="GU49" s="530" t="s">
        <v>562</v>
      </c>
      <c r="GV49" s="615"/>
      <c r="GW49" s="530"/>
      <c r="GX49" s="615"/>
      <c r="GY49" s="530"/>
      <c r="GZ49" s="391"/>
      <c r="HA49" s="580"/>
      <c r="HB49" s="391"/>
      <c r="HC49" s="1017"/>
      <c r="HD49" s="415"/>
    </row>
    <row r="50" spans="1:212" ht="20.100000000000001" customHeight="1">
      <c r="A50" s="1001"/>
      <c r="B50" s="764" t="s">
        <v>449</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449</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449</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449</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843</v>
      </c>
      <c r="GL50" s="580"/>
      <c r="GM50" s="413"/>
      <c r="GN50" s="580"/>
      <c r="GO50" s="413"/>
      <c r="GP50" s="413"/>
      <c r="GQ50" s="413"/>
      <c r="GR50" s="580"/>
      <c r="GS50" s="953"/>
      <c r="GT50" s="937"/>
      <c r="GU50" s="580" t="s">
        <v>1001</v>
      </c>
      <c r="GV50" s="580"/>
      <c r="GW50" s="580"/>
      <c r="GX50" s="580"/>
      <c r="GY50" s="615"/>
      <c r="GZ50" s="579"/>
      <c r="HA50" s="615">
        <v>12.6</v>
      </c>
      <c r="HB50" s="579" t="s">
        <v>319</v>
      </c>
      <c r="HC50" s="1038"/>
      <c r="HD50" s="415"/>
    </row>
    <row r="51" spans="1:212" ht="20.100000000000001" customHeight="1" thickBot="1">
      <c r="A51" s="1039"/>
      <c r="B51" s="466" t="s">
        <v>506</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506</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506</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506</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450</v>
      </c>
      <c r="GM51" s="1047" t="s">
        <v>590</v>
      </c>
      <c r="GN51" s="1048" t="s">
        <v>343</v>
      </c>
      <c r="GO51" s="1049" t="s">
        <v>788</v>
      </c>
      <c r="GP51" s="1049" t="s">
        <v>592</v>
      </c>
      <c r="GQ51" s="1050" t="s">
        <v>572</v>
      </c>
      <c r="GR51" s="733"/>
      <c r="GS51" s="953"/>
      <c r="GT51" s="763"/>
      <c r="GU51" s="580" t="s">
        <v>845</v>
      </c>
      <c r="GV51" s="580"/>
      <c r="GW51" s="580"/>
      <c r="GX51" s="580"/>
      <c r="GY51" s="413"/>
      <c r="GZ51" s="1051"/>
      <c r="HA51" s="615">
        <v>12.6</v>
      </c>
      <c r="HB51" s="579" t="s">
        <v>319</v>
      </c>
      <c r="HC51" s="1052"/>
      <c r="HD51" s="415"/>
    </row>
    <row r="52" spans="1:212" ht="20.100000000000001" customHeight="1" thickBot="1">
      <c r="A52" s="1053" t="s">
        <v>508</v>
      </c>
      <c r="B52" s="1054"/>
      <c r="C52" s="1055"/>
      <c r="D52" s="1055"/>
      <c r="E52" s="1056"/>
      <c r="F52" s="1055"/>
      <c r="G52" s="1057"/>
      <c r="H52" s="1058">
        <v>0</v>
      </c>
      <c r="I52" s="1059"/>
      <c r="J52" s="1058">
        <v>0</v>
      </c>
      <c r="K52" s="1059"/>
      <c r="L52" s="1058">
        <v>0</v>
      </c>
      <c r="M52" s="1059"/>
      <c r="N52" s="1058">
        <v>0</v>
      </c>
      <c r="O52" s="1059"/>
      <c r="P52" s="1058">
        <v>0</v>
      </c>
      <c r="Q52" s="1059"/>
      <c r="R52" s="1058">
        <v>0</v>
      </c>
      <c r="S52" s="1059"/>
      <c r="T52" s="1058">
        <v>0</v>
      </c>
      <c r="U52" s="1059"/>
      <c r="V52" s="1058">
        <v>0</v>
      </c>
      <c r="W52" s="1059"/>
      <c r="X52" s="1058">
        <v>264</v>
      </c>
      <c r="Y52" s="1059"/>
      <c r="Z52" s="1058">
        <v>264</v>
      </c>
      <c r="AA52" s="1059"/>
      <c r="AB52" s="1058">
        <v>264</v>
      </c>
      <c r="AC52" s="1059"/>
      <c r="AD52" s="1058">
        <v>264</v>
      </c>
      <c r="AE52" s="1059"/>
      <c r="AF52" s="1058">
        <v>264</v>
      </c>
      <c r="AG52" s="1059"/>
      <c r="AH52" s="1058">
        <v>264</v>
      </c>
      <c r="AI52" s="1059"/>
      <c r="AJ52" s="1058">
        <v>264</v>
      </c>
      <c r="AK52" s="1059"/>
      <c r="AL52" s="1058">
        <v>264</v>
      </c>
      <c r="AM52" s="1059"/>
      <c r="AN52" s="1058">
        <v>264</v>
      </c>
      <c r="AO52" s="1059"/>
      <c r="AP52" s="1058">
        <v>264</v>
      </c>
      <c r="AQ52" s="1059"/>
      <c r="AR52" s="1058">
        <v>0</v>
      </c>
      <c r="AS52" s="1059"/>
      <c r="AT52" s="1058">
        <v>0</v>
      </c>
      <c r="AU52" s="1059"/>
      <c r="AV52" s="1058">
        <v>0</v>
      </c>
      <c r="AW52" s="1059"/>
      <c r="AX52" s="1058">
        <v>0</v>
      </c>
      <c r="AY52" s="1060"/>
      <c r="AZ52" s="1061">
        <v>0</v>
      </c>
      <c r="BA52" s="1062"/>
      <c r="BB52" s="1063">
        <v>0</v>
      </c>
      <c r="BC52" s="981"/>
      <c r="BD52" s="1053" t="s">
        <v>508</v>
      </c>
      <c r="BE52" s="1054"/>
      <c r="BF52" s="1055"/>
      <c r="BG52" s="1055"/>
      <c r="BH52" s="1056"/>
      <c r="BI52" s="1055"/>
      <c r="BJ52" s="1057"/>
      <c r="BK52" s="1058">
        <v>0</v>
      </c>
      <c r="BL52" s="1059"/>
      <c r="BM52" s="1058">
        <v>0</v>
      </c>
      <c r="BN52" s="1059"/>
      <c r="BO52" s="1058">
        <v>0</v>
      </c>
      <c r="BP52" s="1059"/>
      <c r="BQ52" s="1058">
        <v>0</v>
      </c>
      <c r="BR52" s="1059"/>
      <c r="BS52" s="1058">
        <v>0</v>
      </c>
      <c r="BT52" s="1059"/>
      <c r="BU52" s="1058">
        <v>0</v>
      </c>
      <c r="BV52" s="1059"/>
      <c r="BW52" s="1058">
        <v>0</v>
      </c>
      <c r="BX52" s="1059"/>
      <c r="BY52" s="1058">
        <v>0</v>
      </c>
      <c r="BZ52" s="1059"/>
      <c r="CA52" s="1058">
        <v>264</v>
      </c>
      <c r="CB52" s="1059"/>
      <c r="CC52" s="1058">
        <v>264</v>
      </c>
      <c r="CD52" s="1059"/>
      <c r="CE52" s="1058">
        <v>264</v>
      </c>
      <c r="CF52" s="1059"/>
      <c r="CG52" s="1058">
        <v>264</v>
      </c>
      <c r="CH52" s="1059"/>
      <c r="CI52" s="1058">
        <v>264</v>
      </c>
      <c r="CJ52" s="1059"/>
      <c r="CK52" s="1058">
        <v>264</v>
      </c>
      <c r="CL52" s="1059"/>
      <c r="CM52" s="1058">
        <v>264</v>
      </c>
      <c r="CN52" s="1059"/>
      <c r="CO52" s="1058">
        <v>264</v>
      </c>
      <c r="CP52" s="1059"/>
      <c r="CQ52" s="1058">
        <v>264</v>
      </c>
      <c r="CR52" s="1059"/>
      <c r="CS52" s="1058">
        <v>264</v>
      </c>
      <c r="CT52" s="1059"/>
      <c r="CU52" s="1058">
        <v>0</v>
      </c>
      <c r="CV52" s="1059"/>
      <c r="CW52" s="1058">
        <v>0</v>
      </c>
      <c r="CX52" s="1059"/>
      <c r="CY52" s="1058">
        <v>0</v>
      </c>
      <c r="CZ52" s="1059"/>
      <c r="DA52" s="1058">
        <v>0</v>
      </c>
      <c r="DB52" s="1060"/>
      <c r="DC52" s="1061">
        <v>0</v>
      </c>
      <c r="DD52" s="1062"/>
      <c r="DE52" s="1063">
        <v>0</v>
      </c>
      <c r="DF52" s="981"/>
      <c r="DG52" s="1053" t="s">
        <v>508</v>
      </c>
      <c r="DH52" s="1054"/>
      <c r="DI52" s="1055"/>
      <c r="DJ52" s="1055"/>
      <c r="DK52" s="1056"/>
      <c r="DL52" s="1055"/>
      <c r="DM52" s="1057"/>
      <c r="DN52" s="1058">
        <v>0</v>
      </c>
      <c r="DO52" s="1059"/>
      <c r="DP52" s="1058">
        <v>0</v>
      </c>
      <c r="DQ52" s="1059"/>
      <c r="DR52" s="1058">
        <v>0</v>
      </c>
      <c r="DS52" s="1059"/>
      <c r="DT52" s="1058">
        <v>0</v>
      </c>
      <c r="DU52" s="1059"/>
      <c r="DV52" s="1058">
        <v>0</v>
      </c>
      <c r="DW52" s="1059"/>
      <c r="DX52" s="1058">
        <v>0</v>
      </c>
      <c r="DY52" s="1059"/>
      <c r="DZ52" s="1058">
        <v>0</v>
      </c>
      <c r="EA52" s="1059"/>
      <c r="EB52" s="1058">
        <v>0</v>
      </c>
      <c r="EC52" s="1059"/>
      <c r="ED52" s="1058">
        <v>264</v>
      </c>
      <c r="EE52" s="1059"/>
      <c r="EF52" s="1058">
        <v>264</v>
      </c>
      <c r="EG52" s="1059"/>
      <c r="EH52" s="1058">
        <v>264</v>
      </c>
      <c r="EI52" s="1059"/>
      <c r="EJ52" s="1058">
        <v>264</v>
      </c>
      <c r="EK52" s="1059"/>
      <c r="EL52" s="1058">
        <v>264</v>
      </c>
      <c r="EM52" s="1059"/>
      <c r="EN52" s="1058">
        <v>264</v>
      </c>
      <c r="EO52" s="1059"/>
      <c r="EP52" s="1058">
        <v>264</v>
      </c>
      <c r="EQ52" s="1059"/>
      <c r="ER52" s="1058">
        <v>264</v>
      </c>
      <c r="ES52" s="1059"/>
      <c r="ET52" s="1058">
        <v>264</v>
      </c>
      <c r="EU52" s="1059"/>
      <c r="EV52" s="1058">
        <v>264</v>
      </c>
      <c r="EW52" s="1059"/>
      <c r="EX52" s="1058">
        <v>0</v>
      </c>
      <c r="EY52" s="1059"/>
      <c r="EZ52" s="1058">
        <v>0</v>
      </c>
      <c r="FA52" s="1059"/>
      <c r="FB52" s="1058">
        <v>0</v>
      </c>
      <c r="FC52" s="1059"/>
      <c r="FD52" s="1058">
        <v>0</v>
      </c>
      <c r="FE52" s="1060"/>
      <c r="FF52" s="1061">
        <v>0</v>
      </c>
      <c r="FG52" s="1062"/>
      <c r="FH52" s="1063">
        <v>0</v>
      </c>
      <c r="FI52" s="981"/>
      <c r="FJ52" s="1053" t="s">
        <v>508</v>
      </c>
      <c r="FK52" s="1054"/>
      <c r="FL52" s="1055"/>
      <c r="FM52" s="1055"/>
      <c r="FN52" s="1056"/>
      <c r="FO52" s="1055"/>
      <c r="FP52" s="1064"/>
      <c r="FQ52" s="1065"/>
      <c r="FR52" s="1058">
        <v>0</v>
      </c>
      <c r="FS52" s="1066"/>
      <c r="FT52" s="1065"/>
      <c r="FU52" s="1067">
        <v>0</v>
      </c>
      <c r="FV52" s="1068">
        <v>12</v>
      </c>
      <c r="FW52" s="1069">
        <v>264</v>
      </c>
      <c r="FX52" s="1070">
        <v>13</v>
      </c>
      <c r="FY52" s="1069">
        <v>264</v>
      </c>
      <c r="FZ52" s="1070">
        <v>12</v>
      </c>
      <c r="GA52" s="1069">
        <v>264</v>
      </c>
      <c r="GB52" s="1071" t="s">
        <v>366</v>
      </c>
      <c r="GC52" s="1072">
        <v>264</v>
      </c>
      <c r="GD52" s="1071" t="s">
        <v>815</v>
      </c>
      <c r="GE52" s="1073">
        <v>0</v>
      </c>
      <c r="GF52" s="688"/>
      <c r="GG52" s="990"/>
      <c r="GH52" s="990"/>
      <c r="GI52" s="990"/>
      <c r="GJ52" s="936"/>
      <c r="GK52" s="733"/>
      <c r="GL52" s="1074"/>
      <c r="GM52" s="1075"/>
      <c r="GN52" s="1075"/>
      <c r="GO52" s="1076"/>
      <c r="GP52" s="1076"/>
      <c r="GQ52" s="1077"/>
      <c r="GR52" s="953"/>
      <c r="GS52" s="893"/>
      <c r="GT52" s="861"/>
      <c r="GU52" s="530" t="s">
        <v>566</v>
      </c>
      <c r="GV52" s="733"/>
      <c r="GW52" s="936"/>
      <c r="GX52" s="733"/>
      <c r="GY52" s="413"/>
      <c r="GZ52" s="1078"/>
      <c r="HA52" s="953"/>
      <c r="HB52" s="1078"/>
      <c r="HC52" s="562"/>
      <c r="HD52" s="415"/>
    </row>
    <row r="53" spans="1:212" ht="20.100000000000001" customHeight="1" thickTop="1">
      <c r="A53" s="1079" t="s">
        <v>344</v>
      </c>
      <c r="B53" s="1080"/>
      <c r="C53" s="1081"/>
      <c r="D53" s="1081"/>
      <c r="E53" s="1082"/>
      <c r="F53" s="1083"/>
      <c r="G53" s="1084"/>
      <c r="H53" s="1085">
        <v>0</v>
      </c>
      <c r="I53" s="1086"/>
      <c r="J53" s="1085">
        <v>0</v>
      </c>
      <c r="K53" s="1086"/>
      <c r="L53" s="1085">
        <v>0</v>
      </c>
      <c r="M53" s="1086"/>
      <c r="N53" s="1085">
        <v>0</v>
      </c>
      <c r="O53" s="1086"/>
      <c r="P53" s="1085">
        <v>0</v>
      </c>
      <c r="Q53" s="1086"/>
      <c r="R53" s="1085">
        <v>0</v>
      </c>
      <c r="S53" s="1086"/>
      <c r="T53" s="1085">
        <v>0</v>
      </c>
      <c r="U53" s="1086"/>
      <c r="V53" s="1085">
        <v>0</v>
      </c>
      <c r="W53" s="1086"/>
      <c r="X53" s="1085">
        <v>979</v>
      </c>
      <c r="Y53" s="1086"/>
      <c r="Z53" s="1085">
        <v>917</v>
      </c>
      <c r="AA53" s="1086"/>
      <c r="AB53" s="1085">
        <v>931</v>
      </c>
      <c r="AC53" s="1086"/>
      <c r="AD53" s="1085">
        <v>933</v>
      </c>
      <c r="AE53" s="1086"/>
      <c r="AF53" s="1085">
        <v>937</v>
      </c>
      <c r="AG53" s="1086"/>
      <c r="AH53" s="1085">
        <v>937</v>
      </c>
      <c r="AI53" s="1086"/>
      <c r="AJ53" s="1085">
        <v>928</v>
      </c>
      <c r="AK53" s="1086"/>
      <c r="AL53" s="1085">
        <v>923</v>
      </c>
      <c r="AM53" s="1086"/>
      <c r="AN53" s="1085">
        <v>907</v>
      </c>
      <c r="AO53" s="1086"/>
      <c r="AP53" s="1085">
        <v>898</v>
      </c>
      <c r="AQ53" s="1086"/>
      <c r="AR53" s="1085">
        <v>0</v>
      </c>
      <c r="AS53" s="1086"/>
      <c r="AT53" s="1085">
        <v>0</v>
      </c>
      <c r="AU53" s="1086"/>
      <c r="AV53" s="1085">
        <v>0</v>
      </c>
      <c r="AW53" s="1086"/>
      <c r="AX53" s="1085">
        <v>0</v>
      </c>
      <c r="AY53" s="1087"/>
      <c r="AZ53" s="1088">
        <v>0</v>
      </c>
      <c r="BA53" s="1089"/>
      <c r="BB53" s="1090">
        <v>0</v>
      </c>
      <c r="BC53" s="981"/>
      <c r="BD53" s="1079" t="s">
        <v>344</v>
      </c>
      <c r="BE53" s="1080"/>
      <c r="BF53" s="1081"/>
      <c r="BG53" s="1081"/>
      <c r="BH53" s="1082"/>
      <c r="BI53" s="1083"/>
      <c r="BJ53" s="1084"/>
      <c r="BK53" s="1085">
        <v>0</v>
      </c>
      <c r="BL53" s="1086"/>
      <c r="BM53" s="1085">
        <v>0</v>
      </c>
      <c r="BN53" s="1086"/>
      <c r="BO53" s="1085">
        <v>0</v>
      </c>
      <c r="BP53" s="1086"/>
      <c r="BQ53" s="1085">
        <v>0</v>
      </c>
      <c r="BR53" s="1086"/>
      <c r="BS53" s="1085">
        <v>0</v>
      </c>
      <c r="BT53" s="1086"/>
      <c r="BU53" s="1085">
        <v>0</v>
      </c>
      <c r="BV53" s="1086"/>
      <c r="BW53" s="1085">
        <v>0</v>
      </c>
      <c r="BX53" s="1086"/>
      <c r="BY53" s="1085">
        <v>0</v>
      </c>
      <c r="BZ53" s="1086"/>
      <c r="CA53" s="1085">
        <v>974</v>
      </c>
      <c r="CB53" s="1086"/>
      <c r="CC53" s="1085">
        <v>910</v>
      </c>
      <c r="CD53" s="1086"/>
      <c r="CE53" s="1085">
        <v>923</v>
      </c>
      <c r="CF53" s="1086"/>
      <c r="CG53" s="1085">
        <v>926</v>
      </c>
      <c r="CH53" s="1086"/>
      <c r="CI53" s="1085">
        <v>930</v>
      </c>
      <c r="CJ53" s="1086"/>
      <c r="CK53" s="1085">
        <v>923</v>
      </c>
      <c r="CL53" s="1086"/>
      <c r="CM53" s="1085">
        <v>920</v>
      </c>
      <c r="CN53" s="1086"/>
      <c r="CO53" s="1085">
        <v>912</v>
      </c>
      <c r="CP53" s="1086"/>
      <c r="CQ53" s="1085">
        <v>908</v>
      </c>
      <c r="CR53" s="1086"/>
      <c r="CS53" s="1085">
        <v>894</v>
      </c>
      <c r="CT53" s="1086"/>
      <c r="CU53" s="1085">
        <v>0</v>
      </c>
      <c r="CV53" s="1086"/>
      <c r="CW53" s="1085">
        <v>0</v>
      </c>
      <c r="CX53" s="1086"/>
      <c r="CY53" s="1085">
        <v>0</v>
      </c>
      <c r="CZ53" s="1086"/>
      <c r="DA53" s="1085">
        <v>0</v>
      </c>
      <c r="DB53" s="1087"/>
      <c r="DC53" s="1088">
        <v>0</v>
      </c>
      <c r="DD53" s="1089"/>
      <c r="DE53" s="1090">
        <v>0</v>
      </c>
      <c r="DF53" s="981"/>
      <c r="DG53" s="1079" t="s">
        <v>344</v>
      </c>
      <c r="DH53" s="1080"/>
      <c r="DI53" s="1081"/>
      <c r="DJ53" s="1081"/>
      <c r="DK53" s="1082"/>
      <c r="DL53" s="1083"/>
      <c r="DM53" s="1084"/>
      <c r="DN53" s="1085">
        <v>0</v>
      </c>
      <c r="DO53" s="1086"/>
      <c r="DP53" s="1085">
        <v>0</v>
      </c>
      <c r="DQ53" s="1086"/>
      <c r="DR53" s="1085">
        <v>0</v>
      </c>
      <c r="DS53" s="1086"/>
      <c r="DT53" s="1085">
        <v>0</v>
      </c>
      <c r="DU53" s="1086"/>
      <c r="DV53" s="1085">
        <v>0</v>
      </c>
      <c r="DW53" s="1086"/>
      <c r="DX53" s="1085">
        <v>0</v>
      </c>
      <c r="DY53" s="1086"/>
      <c r="DZ53" s="1085">
        <v>0</v>
      </c>
      <c r="EA53" s="1086"/>
      <c r="EB53" s="1085">
        <v>0</v>
      </c>
      <c r="EC53" s="1086"/>
      <c r="ED53" s="1085">
        <v>920</v>
      </c>
      <c r="EE53" s="1086"/>
      <c r="EF53" s="1085">
        <v>861</v>
      </c>
      <c r="EG53" s="1086"/>
      <c r="EH53" s="1085">
        <v>877</v>
      </c>
      <c r="EI53" s="1086"/>
      <c r="EJ53" s="1085">
        <v>886</v>
      </c>
      <c r="EK53" s="1086"/>
      <c r="EL53" s="1085">
        <v>885</v>
      </c>
      <c r="EM53" s="1086"/>
      <c r="EN53" s="1085">
        <v>879</v>
      </c>
      <c r="EO53" s="1086"/>
      <c r="EP53" s="1085">
        <v>879</v>
      </c>
      <c r="EQ53" s="1086"/>
      <c r="ER53" s="1085">
        <v>878</v>
      </c>
      <c r="ES53" s="1086"/>
      <c r="ET53" s="1085">
        <v>863</v>
      </c>
      <c r="EU53" s="1086"/>
      <c r="EV53" s="1085">
        <v>850</v>
      </c>
      <c r="EW53" s="1086"/>
      <c r="EX53" s="1085">
        <v>0</v>
      </c>
      <c r="EY53" s="1086"/>
      <c r="EZ53" s="1085">
        <v>0</v>
      </c>
      <c r="FA53" s="1086"/>
      <c r="FB53" s="1085">
        <v>0</v>
      </c>
      <c r="FC53" s="1086"/>
      <c r="FD53" s="1085">
        <v>0</v>
      </c>
      <c r="FE53" s="1087"/>
      <c r="FF53" s="1088">
        <v>0</v>
      </c>
      <c r="FG53" s="1089"/>
      <c r="FH53" s="1090">
        <v>0</v>
      </c>
      <c r="FI53" s="981"/>
      <c r="FJ53" s="1079" t="s">
        <v>344</v>
      </c>
      <c r="FK53" s="1080"/>
      <c r="FL53" s="1081"/>
      <c r="FM53" s="1081"/>
      <c r="FN53" s="1082"/>
      <c r="FO53" s="1083"/>
      <c r="FP53" s="1091"/>
      <c r="FQ53" s="1092"/>
      <c r="FR53" s="1085">
        <v>865</v>
      </c>
      <c r="FS53" s="1093"/>
      <c r="FT53" s="1092"/>
      <c r="FU53" s="1094">
        <v>875</v>
      </c>
      <c r="FV53" s="1095">
        <v>12</v>
      </c>
      <c r="FW53" s="1096">
        <v>933</v>
      </c>
      <c r="FX53" s="1097">
        <v>13</v>
      </c>
      <c r="FY53" s="1096">
        <v>930</v>
      </c>
      <c r="FZ53" s="1097">
        <v>12</v>
      </c>
      <c r="GA53" s="1096">
        <v>886</v>
      </c>
      <c r="GB53" s="1098" t="s">
        <v>366</v>
      </c>
      <c r="GC53" s="1096">
        <v>933</v>
      </c>
      <c r="GD53" s="1098" t="s">
        <v>815</v>
      </c>
      <c r="GE53" s="1099">
        <v>875</v>
      </c>
      <c r="GF53" s="688"/>
      <c r="GG53" s="990"/>
      <c r="GH53" s="990"/>
      <c r="GI53" s="990"/>
      <c r="GJ53" s="953"/>
      <c r="GK53" s="413"/>
      <c r="GL53" s="1100">
        <v>10</v>
      </c>
      <c r="GM53" s="1101">
        <v>1</v>
      </c>
      <c r="GN53" s="1102">
        <v>0.92</v>
      </c>
      <c r="GO53" s="1103">
        <v>4.2</v>
      </c>
      <c r="GP53" s="1103">
        <v>7</v>
      </c>
      <c r="GQ53" s="1104">
        <v>11.2</v>
      </c>
      <c r="GR53" s="580"/>
      <c r="GS53" s="483"/>
      <c r="GT53" s="861"/>
      <c r="GU53" s="580" t="s">
        <v>1002</v>
      </c>
      <c r="GV53" s="580"/>
      <c r="GW53" s="580"/>
      <c r="GX53" s="580"/>
      <c r="GY53" s="413"/>
      <c r="GZ53" s="409"/>
      <c r="HA53" s="615">
        <v>22.4</v>
      </c>
      <c r="HB53" s="579" t="s">
        <v>319</v>
      </c>
      <c r="HC53" s="799"/>
      <c r="HD53" s="415"/>
    </row>
    <row r="54" spans="1:212" ht="20.100000000000001" customHeight="1">
      <c r="A54" s="1105" t="s">
        <v>345</v>
      </c>
      <c r="B54" s="1106"/>
      <c r="C54" s="1107"/>
      <c r="D54" s="1108"/>
      <c r="E54" s="1109"/>
      <c r="F54" s="1110"/>
      <c r="G54" s="1111"/>
      <c r="H54" s="1112">
        <v>0</v>
      </c>
      <c r="I54" s="1113"/>
      <c r="J54" s="1112">
        <v>0</v>
      </c>
      <c r="K54" s="1113"/>
      <c r="L54" s="1112">
        <v>0</v>
      </c>
      <c r="M54" s="1113"/>
      <c r="N54" s="1112">
        <v>0</v>
      </c>
      <c r="O54" s="1113"/>
      <c r="P54" s="1112">
        <v>0</v>
      </c>
      <c r="Q54" s="1113"/>
      <c r="R54" s="1112">
        <v>0</v>
      </c>
      <c r="S54" s="1113"/>
      <c r="T54" s="1112">
        <v>0</v>
      </c>
      <c r="U54" s="1113"/>
      <c r="V54" s="1112">
        <v>0</v>
      </c>
      <c r="W54" s="1113"/>
      <c r="X54" s="1112">
        <v>74</v>
      </c>
      <c r="Y54" s="1113"/>
      <c r="Z54" s="1112">
        <v>69.3</v>
      </c>
      <c r="AA54" s="1113"/>
      <c r="AB54" s="1112">
        <v>70.400000000000006</v>
      </c>
      <c r="AC54" s="1113"/>
      <c r="AD54" s="1112">
        <v>70.5</v>
      </c>
      <c r="AE54" s="1113"/>
      <c r="AF54" s="1112">
        <v>70.8</v>
      </c>
      <c r="AG54" s="1113"/>
      <c r="AH54" s="1112">
        <v>70.8</v>
      </c>
      <c r="AI54" s="1113"/>
      <c r="AJ54" s="1112">
        <v>70.099999999999994</v>
      </c>
      <c r="AK54" s="1113"/>
      <c r="AL54" s="1112">
        <v>69.8</v>
      </c>
      <c r="AM54" s="1113"/>
      <c r="AN54" s="1112">
        <v>68.599999999999994</v>
      </c>
      <c r="AO54" s="1113"/>
      <c r="AP54" s="1112">
        <v>67.900000000000006</v>
      </c>
      <c r="AQ54" s="1113"/>
      <c r="AR54" s="1112">
        <v>0</v>
      </c>
      <c r="AS54" s="1113"/>
      <c r="AT54" s="1112">
        <v>0</v>
      </c>
      <c r="AU54" s="1113"/>
      <c r="AV54" s="1112">
        <v>0</v>
      </c>
      <c r="AW54" s="1113"/>
      <c r="AX54" s="1112">
        <v>0</v>
      </c>
      <c r="AY54" s="1113"/>
      <c r="AZ54" s="1112">
        <v>0</v>
      </c>
      <c r="BA54" s="1113"/>
      <c r="BB54" s="1114">
        <v>0</v>
      </c>
      <c r="BC54" s="1017"/>
      <c r="BD54" s="1105" t="s">
        <v>345</v>
      </c>
      <c r="BE54" s="1106"/>
      <c r="BF54" s="1107"/>
      <c r="BG54" s="1108"/>
      <c r="BH54" s="1109"/>
      <c r="BI54" s="1110"/>
      <c r="BJ54" s="1111"/>
      <c r="BK54" s="1112">
        <v>0</v>
      </c>
      <c r="BL54" s="1113"/>
      <c r="BM54" s="1112">
        <v>0</v>
      </c>
      <c r="BN54" s="1113"/>
      <c r="BO54" s="1112">
        <v>0</v>
      </c>
      <c r="BP54" s="1113"/>
      <c r="BQ54" s="1112">
        <v>0</v>
      </c>
      <c r="BR54" s="1113"/>
      <c r="BS54" s="1112">
        <v>0</v>
      </c>
      <c r="BT54" s="1113"/>
      <c r="BU54" s="1112">
        <v>0</v>
      </c>
      <c r="BV54" s="1113"/>
      <c r="BW54" s="1112">
        <v>0</v>
      </c>
      <c r="BX54" s="1113"/>
      <c r="BY54" s="1112">
        <v>0</v>
      </c>
      <c r="BZ54" s="1113"/>
      <c r="CA54" s="1112">
        <v>73.599999999999994</v>
      </c>
      <c r="CB54" s="1113"/>
      <c r="CC54" s="1112">
        <v>68.8</v>
      </c>
      <c r="CD54" s="1113"/>
      <c r="CE54" s="1112">
        <v>69.8</v>
      </c>
      <c r="CF54" s="1113"/>
      <c r="CG54" s="1112">
        <v>70</v>
      </c>
      <c r="CH54" s="1113"/>
      <c r="CI54" s="1112">
        <v>70.3</v>
      </c>
      <c r="CJ54" s="1113"/>
      <c r="CK54" s="1112">
        <v>69.8</v>
      </c>
      <c r="CL54" s="1113"/>
      <c r="CM54" s="1112">
        <v>69.5</v>
      </c>
      <c r="CN54" s="1113"/>
      <c r="CO54" s="1112">
        <v>68.900000000000006</v>
      </c>
      <c r="CP54" s="1113"/>
      <c r="CQ54" s="1112">
        <v>68.599999999999994</v>
      </c>
      <c r="CR54" s="1113"/>
      <c r="CS54" s="1112">
        <v>67.599999999999994</v>
      </c>
      <c r="CT54" s="1113"/>
      <c r="CU54" s="1112">
        <v>0</v>
      </c>
      <c r="CV54" s="1113"/>
      <c r="CW54" s="1112">
        <v>0</v>
      </c>
      <c r="CX54" s="1113"/>
      <c r="CY54" s="1112">
        <v>0</v>
      </c>
      <c r="CZ54" s="1113"/>
      <c r="DA54" s="1112">
        <v>0</v>
      </c>
      <c r="DB54" s="1113"/>
      <c r="DC54" s="1112">
        <v>0</v>
      </c>
      <c r="DD54" s="1113"/>
      <c r="DE54" s="1114">
        <v>0</v>
      </c>
      <c r="DF54" s="1017"/>
      <c r="DG54" s="1105" t="s">
        <v>345</v>
      </c>
      <c r="DH54" s="1106"/>
      <c r="DI54" s="1107"/>
      <c r="DJ54" s="1108"/>
      <c r="DK54" s="1109"/>
      <c r="DL54" s="1110"/>
      <c r="DM54" s="1111"/>
      <c r="DN54" s="1112">
        <v>0</v>
      </c>
      <c r="DO54" s="1113"/>
      <c r="DP54" s="1112">
        <v>0</v>
      </c>
      <c r="DQ54" s="1113"/>
      <c r="DR54" s="1112">
        <v>0</v>
      </c>
      <c r="DS54" s="1113"/>
      <c r="DT54" s="1112">
        <v>0</v>
      </c>
      <c r="DU54" s="1113"/>
      <c r="DV54" s="1112">
        <v>0</v>
      </c>
      <c r="DW54" s="1113"/>
      <c r="DX54" s="1112">
        <v>0</v>
      </c>
      <c r="DY54" s="1113"/>
      <c r="DZ54" s="1112">
        <v>0</v>
      </c>
      <c r="EA54" s="1113"/>
      <c r="EB54" s="1112">
        <v>0</v>
      </c>
      <c r="EC54" s="1113"/>
      <c r="ED54" s="1112">
        <v>69.5</v>
      </c>
      <c r="EE54" s="1113"/>
      <c r="EF54" s="1112">
        <v>65.099999999999994</v>
      </c>
      <c r="EG54" s="1113"/>
      <c r="EH54" s="1112">
        <v>66.3</v>
      </c>
      <c r="EI54" s="1113"/>
      <c r="EJ54" s="1112">
        <v>67</v>
      </c>
      <c r="EK54" s="1113"/>
      <c r="EL54" s="1112">
        <v>66.900000000000006</v>
      </c>
      <c r="EM54" s="1113"/>
      <c r="EN54" s="1112">
        <v>66.400000000000006</v>
      </c>
      <c r="EO54" s="1113"/>
      <c r="EP54" s="1112">
        <v>66.400000000000006</v>
      </c>
      <c r="EQ54" s="1113"/>
      <c r="ER54" s="1112">
        <v>66.400000000000006</v>
      </c>
      <c r="ES54" s="1113"/>
      <c r="ET54" s="1112">
        <v>65.2</v>
      </c>
      <c r="EU54" s="1113"/>
      <c r="EV54" s="1112">
        <v>64.2</v>
      </c>
      <c r="EW54" s="1113"/>
      <c r="EX54" s="1112">
        <v>0</v>
      </c>
      <c r="EY54" s="1113"/>
      <c r="EZ54" s="1112">
        <v>0</v>
      </c>
      <c r="FA54" s="1113"/>
      <c r="FB54" s="1112">
        <v>0</v>
      </c>
      <c r="FC54" s="1113"/>
      <c r="FD54" s="1112">
        <v>0</v>
      </c>
      <c r="FE54" s="1113"/>
      <c r="FF54" s="1112">
        <v>0</v>
      </c>
      <c r="FG54" s="1113"/>
      <c r="FH54" s="1114">
        <v>0</v>
      </c>
      <c r="FI54" s="1017"/>
      <c r="FJ54" s="1105" t="s">
        <v>345</v>
      </c>
      <c r="FK54" s="1106"/>
      <c r="FL54" s="1107"/>
      <c r="FM54" s="1108"/>
      <c r="FN54" s="1109"/>
      <c r="FO54" s="1110"/>
      <c r="FP54" s="1115"/>
      <c r="FQ54" s="1113"/>
      <c r="FR54" s="1112">
        <v>65.400000000000006</v>
      </c>
      <c r="FS54" s="1116"/>
      <c r="FT54" s="1113"/>
      <c r="FU54" s="1117">
        <v>66.099999999999994</v>
      </c>
      <c r="FV54" s="1116"/>
      <c r="FW54" s="1112">
        <f>IF(面積=0,0,ROUND(FW53/面積,1))</f>
        <v>70.5</v>
      </c>
      <c r="FX54" s="1116"/>
      <c r="FY54" s="1112">
        <f>IF(面積=0,0,ROUND(FY53/面積,1))</f>
        <v>70.3</v>
      </c>
      <c r="FZ54" s="1116"/>
      <c r="GA54" s="1112">
        <f>IF(面積=0,0,ROUND(GA53/面積,1))</f>
        <v>67</v>
      </c>
      <c r="GB54" s="1116"/>
      <c r="GC54" s="1112">
        <f>IF(面積=0,0,ROUND(GC53/面積,1))</f>
        <v>70.5</v>
      </c>
      <c r="GD54" s="1116"/>
      <c r="GE54" s="1114">
        <f>IF(面積=0,0,ROUND(GE53/面積,1))</f>
        <v>66.099999999999994</v>
      </c>
      <c r="GF54" s="688"/>
      <c r="GG54" s="937"/>
      <c r="GH54" s="937"/>
      <c r="GI54" s="937"/>
      <c r="GJ54" s="580"/>
      <c r="GK54" s="579"/>
      <c r="GL54" s="1100">
        <v>11</v>
      </c>
      <c r="GM54" s="1101">
        <v>2</v>
      </c>
      <c r="GN54" s="1102">
        <v>0.85</v>
      </c>
      <c r="GO54" s="1103">
        <v>3.9</v>
      </c>
      <c r="GP54" s="1103">
        <v>7</v>
      </c>
      <c r="GQ54" s="1104">
        <v>10.9</v>
      </c>
      <c r="GR54" s="530"/>
      <c r="GS54" s="580"/>
      <c r="GT54" s="861"/>
      <c r="GU54" s="1118" t="s">
        <v>847</v>
      </c>
      <c r="GV54" s="1118"/>
      <c r="GW54" s="1118"/>
      <c r="GX54" s="1118"/>
      <c r="GY54" s="775"/>
      <c r="GZ54" s="1119"/>
      <c r="HA54" s="1120">
        <v>35</v>
      </c>
      <c r="HB54" s="1121" t="s">
        <v>319</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3.6</v>
      </c>
      <c r="GP55" s="1103">
        <v>7</v>
      </c>
      <c r="GQ55" s="1104">
        <v>10.6</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759</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3.3</v>
      </c>
      <c r="GP56" s="1103">
        <v>7</v>
      </c>
      <c r="GQ56" s="1104">
        <v>10.3</v>
      </c>
      <c r="GR56" s="530"/>
      <c r="GS56" s="529"/>
      <c r="GT56" s="1303"/>
      <c r="GU56" s="578"/>
      <c r="GV56" s="579"/>
      <c r="GW56" s="578"/>
      <c r="GX56" s="579"/>
      <c r="GY56" s="579"/>
      <c r="GZ56" s="500"/>
      <c r="HA56" s="578"/>
      <c r="HB56" s="500"/>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3</v>
      </c>
      <c r="GP57" s="1103">
        <v>7</v>
      </c>
      <c r="GQ57" s="1104">
        <v>10</v>
      </c>
      <c r="GR57" s="953"/>
      <c r="GS57" s="529"/>
      <c r="GT57" s="1303"/>
      <c r="GU57" s="578"/>
      <c r="GV57" s="578"/>
      <c r="GW57" s="500"/>
      <c r="GX57" s="1306"/>
      <c r="GY57" s="579"/>
      <c r="GZ57" s="500"/>
      <c r="HA57" s="578"/>
      <c r="HB57" s="500"/>
      <c r="HC57" s="1052"/>
    </row>
    <row r="58" spans="1:212" ht="20.100000000000001" customHeight="1">
      <c r="A58" s="1163" t="s">
        <v>1003</v>
      </c>
      <c r="B58" s="1164"/>
      <c r="C58" s="1164"/>
      <c r="D58" s="1164"/>
      <c r="E58" s="1165"/>
      <c r="F58" s="1166"/>
      <c r="G58" s="1167"/>
      <c r="H58" s="1168"/>
      <c r="I58" s="1169"/>
      <c r="J58" s="1168"/>
      <c r="K58" s="1169"/>
      <c r="L58" s="1168"/>
      <c r="M58" s="1169"/>
      <c r="N58" s="1168"/>
      <c r="O58" s="1169"/>
      <c r="P58" s="1168"/>
      <c r="Q58" s="1169"/>
      <c r="R58" s="1168"/>
      <c r="S58" s="1169"/>
      <c r="T58" s="1168"/>
      <c r="U58" s="1169"/>
      <c r="V58" s="1168"/>
      <c r="W58" s="1169"/>
      <c r="X58" s="1168">
        <v>120</v>
      </c>
      <c r="Y58" s="1169"/>
      <c r="Z58" s="1168">
        <v>120</v>
      </c>
      <c r="AA58" s="1169"/>
      <c r="AB58" s="1168">
        <v>120</v>
      </c>
      <c r="AC58" s="1169"/>
      <c r="AD58" s="1168">
        <v>120</v>
      </c>
      <c r="AE58" s="1169"/>
      <c r="AF58" s="1168">
        <v>120</v>
      </c>
      <c r="AG58" s="1169"/>
      <c r="AH58" s="1168">
        <v>120</v>
      </c>
      <c r="AI58" s="1169"/>
      <c r="AJ58" s="1168">
        <v>120</v>
      </c>
      <c r="AK58" s="1169"/>
      <c r="AL58" s="1168">
        <v>120</v>
      </c>
      <c r="AM58" s="1169"/>
      <c r="AN58" s="1168">
        <v>120</v>
      </c>
      <c r="AO58" s="1169"/>
      <c r="AP58" s="1168">
        <v>120</v>
      </c>
      <c r="AQ58" s="1169"/>
      <c r="AR58" s="1168"/>
      <c r="AS58" s="1169"/>
      <c r="AT58" s="1168"/>
      <c r="AU58" s="1169"/>
      <c r="AV58" s="1168"/>
      <c r="AW58" s="1169"/>
      <c r="AX58" s="1168"/>
      <c r="AY58" s="1169"/>
      <c r="AZ58" s="1168"/>
      <c r="BA58" s="1169"/>
      <c r="BB58" s="561"/>
      <c r="BC58" s="563"/>
      <c r="BD58" s="1163" t="s">
        <v>612</v>
      </c>
      <c r="BE58" s="1164"/>
      <c r="BF58" s="1164"/>
      <c r="BG58" s="1164"/>
      <c r="BH58" s="1165"/>
      <c r="BI58" s="1166"/>
      <c r="BJ58" s="1167"/>
      <c r="BK58" s="1168"/>
      <c r="BL58" s="1169"/>
      <c r="BM58" s="1168"/>
      <c r="BN58" s="1169"/>
      <c r="BO58" s="1168"/>
      <c r="BP58" s="1169"/>
      <c r="BQ58" s="1168"/>
      <c r="BR58" s="1169"/>
      <c r="BS58" s="1168"/>
      <c r="BT58" s="1169"/>
      <c r="BU58" s="1168"/>
      <c r="BV58" s="1169"/>
      <c r="BW58" s="1168"/>
      <c r="BX58" s="1169"/>
      <c r="BY58" s="1168"/>
      <c r="BZ58" s="1169"/>
      <c r="CA58" s="1168">
        <v>120</v>
      </c>
      <c r="CB58" s="1169"/>
      <c r="CC58" s="1168">
        <v>120</v>
      </c>
      <c r="CD58" s="1169"/>
      <c r="CE58" s="1168">
        <v>120</v>
      </c>
      <c r="CF58" s="1169"/>
      <c r="CG58" s="1168">
        <v>120</v>
      </c>
      <c r="CH58" s="1169"/>
      <c r="CI58" s="1168">
        <v>120</v>
      </c>
      <c r="CJ58" s="1169"/>
      <c r="CK58" s="1168">
        <v>120</v>
      </c>
      <c r="CL58" s="1169"/>
      <c r="CM58" s="1168">
        <v>120</v>
      </c>
      <c r="CN58" s="1169"/>
      <c r="CO58" s="1168">
        <v>120</v>
      </c>
      <c r="CP58" s="1169"/>
      <c r="CQ58" s="1168">
        <v>120</v>
      </c>
      <c r="CR58" s="1169"/>
      <c r="CS58" s="1168">
        <v>120</v>
      </c>
      <c r="CT58" s="1169"/>
      <c r="CU58" s="1168"/>
      <c r="CV58" s="1169"/>
      <c r="CW58" s="1168"/>
      <c r="CX58" s="1169"/>
      <c r="CY58" s="1168"/>
      <c r="CZ58" s="1169"/>
      <c r="DA58" s="1168"/>
      <c r="DB58" s="1169"/>
      <c r="DC58" s="1168"/>
      <c r="DD58" s="1169"/>
      <c r="DE58" s="561"/>
      <c r="DF58" s="562"/>
      <c r="DG58" s="1163" t="s">
        <v>612</v>
      </c>
      <c r="DH58" s="1164"/>
      <c r="DI58" s="1164"/>
      <c r="DJ58" s="1164"/>
      <c r="DK58" s="1165"/>
      <c r="DL58" s="1166"/>
      <c r="DM58" s="1167"/>
      <c r="DN58" s="1168"/>
      <c r="DO58" s="1169"/>
      <c r="DP58" s="1168"/>
      <c r="DQ58" s="1169"/>
      <c r="DR58" s="1168"/>
      <c r="DS58" s="1169"/>
      <c r="DT58" s="1168"/>
      <c r="DU58" s="1169"/>
      <c r="DV58" s="1168"/>
      <c r="DW58" s="1169"/>
      <c r="DX58" s="1168"/>
      <c r="DY58" s="1169"/>
      <c r="DZ58" s="1168"/>
      <c r="EA58" s="1169"/>
      <c r="EB58" s="1168"/>
      <c r="EC58" s="1169"/>
      <c r="ED58" s="1168">
        <v>120</v>
      </c>
      <c r="EE58" s="1169"/>
      <c r="EF58" s="1168">
        <v>120</v>
      </c>
      <c r="EG58" s="1169"/>
      <c r="EH58" s="1168">
        <v>120</v>
      </c>
      <c r="EI58" s="1169"/>
      <c r="EJ58" s="1168">
        <v>120</v>
      </c>
      <c r="EK58" s="1169"/>
      <c r="EL58" s="1168">
        <v>120</v>
      </c>
      <c r="EM58" s="1169"/>
      <c r="EN58" s="1168">
        <v>120</v>
      </c>
      <c r="EO58" s="1169"/>
      <c r="EP58" s="1168">
        <v>120</v>
      </c>
      <c r="EQ58" s="1169"/>
      <c r="ER58" s="1168">
        <v>120</v>
      </c>
      <c r="ES58" s="1169"/>
      <c r="ET58" s="1168">
        <v>120</v>
      </c>
      <c r="EU58" s="1169"/>
      <c r="EV58" s="1168">
        <v>120</v>
      </c>
      <c r="EW58" s="1169"/>
      <c r="EX58" s="1168"/>
      <c r="EY58" s="1169"/>
      <c r="EZ58" s="1168"/>
      <c r="FA58" s="1169"/>
      <c r="FB58" s="1168"/>
      <c r="FC58" s="1169"/>
      <c r="FD58" s="1168"/>
      <c r="FE58" s="1169"/>
      <c r="FF58" s="1168"/>
      <c r="FG58" s="1169"/>
      <c r="FH58" s="561"/>
      <c r="FI58" s="563"/>
      <c r="FJ58" s="1163" t="s">
        <v>612</v>
      </c>
      <c r="FK58" s="1164"/>
      <c r="FL58" s="1164"/>
      <c r="FM58" s="1164"/>
      <c r="FN58" s="1165"/>
      <c r="FO58" s="1166"/>
      <c r="FP58" s="1170"/>
      <c r="FQ58" s="1171"/>
      <c r="FR58" s="1168">
        <v>120</v>
      </c>
      <c r="FS58" s="1172"/>
      <c r="FT58" s="1171"/>
      <c r="FU58" s="1173">
        <v>120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2.8</v>
      </c>
      <c r="GP58" s="1103">
        <v>7</v>
      </c>
      <c r="GQ58" s="1104">
        <v>9.8000000000000007</v>
      </c>
      <c r="GR58" s="953"/>
      <c r="GS58" s="530"/>
      <c r="GT58" s="689"/>
      <c r="GU58" s="500"/>
      <c r="GV58" s="578"/>
      <c r="GW58" s="500"/>
      <c r="GX58" s="1306"/>
      <c r="GY58" s="1304"/>
      <c r="GZ58" s="579"/>
      <c r="HA58" s="578"/>
      <c r="HB58" s="500"/>
      <c r="HC58" s="562"/>
      <c r="HD58" s="1179"/>
    </row>
    <row r="59" spans="1:212" ht="20.100000000000001" customHeight="1">
      <c r="A59" s="1180" t="s">
        <v>616</v>
      </c>
      <c r="B59" s="1181"/>
      <c r="C59" s="1181"/>
      <c r="D59" s="1182" t="s">
        <v>615</v>
      </c>
      <c r="E59" s="1183"/>
      <c r="F59" s="1021"/>
      <c r="G59" s="1184">
        <v>0</v>
      </c>
      <c r="H59" s="585">
        <v>0</v>
      </c>
      <c r="I59" s="1185">
        <v>0</v>
      </c>
      <c r="J59" s="587">
        <v>0</v>
      </c>
      <c r="K59" s="1185">
        <v>0</v>
      </c>
      <c r="L59" s="587">
        <v>0</v>
      </c>
      <c r="M59" s="1185">
        <v>0</v>
      </c>
      <c r="N59" s="587">
        <v>0</v>
      </c>
      <c r="O59" s="1185">
        <v>0</v>
      </c>
      <c r="P59" s="587">
        <v>0</v>
      </c>
      <c r="Q59" s="1185">
        <v>0</v>
      </c>
      <c r="R59" s="587">
        <v>0</v>
      </c>
      <c r="S59" s="1185">
        <v>0</v>
      </c>
      <c r="T59" s="587">
        <v>0</v>
      </c>
      <c r="U59" s="1185">
        <v>0</v>
      </c>
      <c r="V59" s="587">
        <v>0</v>
      </c>
      <c r="W59" s="1185">
        <v>23.7</v>
      </c>
      <c r="X59" s="587">
        <v>948</v>
      </c>
      <c r="Y59" s="1185">
        <v>24.6</v>
      </c>
      <c r="Z59" s="587">
        <v>984</v>
      </c>
      <c r="AA59" s="1185">
        <v>24.9</v>
      </c>
      <c r="AB59" s="587">
        <v>996</v>
      </c>
      <c r="AC59" s="1185">
        <v>26.2</v>
      </c>
      <c r="AD59" s="587">
        <v>1048</v>
      </c>
      <c r="AE59" s="1185">
        <v>25.8</v>
      </c>
      <c r="AF59" s="587">
        <v>1032</v>
      </c>
      <c r="AG59" s="1185">
        <v>25.1</v>
      </c>
      <c r="AH59" s="587">
        <v>1004</v>
      </c>
      <c r="AI59" s="1185">
        <v>25.1</v>
      </c>
      <c r="AJ59" s="587">
        <v>1004</v>
      </c>
      <c r="AK59" s="1185">
        <v>24.8</v>
      </c>
      <c r="AL59" s="587">
        <v>992</v>
      </c>
      <c r="AM59" s="1185">
        <v>24.1</v>
      </c>
      <c r="AN59" s="587">
        <v>964</v>
      </c>
      <c r="AO59" s="1185">
        <v>23.4</v>
      </c>
      <c r="AP59" s="587">
        <v>936</v>
      </c>
      <c r="AQ59" s="1185">
        <v>0</v>
      </c>
      <c r="AR59" s="587">
        <v>0</v>
      </c>
      <c r="AS59" s="1185">
        <v>0</v>
      </c>
      <c r="AT59" s="587">
        <v>0</v>
      </c>
      <c r="AU59" s="1185">
        <v>0</v>
      </c>
      <c r="AV59" s="587">
        <v>0</v>
      </c>
      <c r="AW59" s="1185">
        <v>0</v>
      </c>
      <c r="AX59" s="587">
        <v>0</v>
      </c>
      <c r="AY59" s="1185">
        <v>0</v>
      </c>
      <c r="AZ59" s="587">
        <v>0</v>
      </c>
      <c r="BA59" s="1185">
        <v>0</v>
      </c>
      <c r="BB59" s="589">
        <v>0</v>
      </c>
      <c r="BC59" s="563"/>
      <c r="BD59" s="1180" t="s">
        <v>616</v>
      </c>
      <c r="BE59" s="1181"/>
      <c r="BF59" s="1181"/>
      <c r="BG59" s="1182" t="s">
        <v>615</v>
      </c>
      <c r="BH59" s="1183"/>
      <c r="BI59" s="1021"/>
      <c r="BJ59" s="1184">
        <v>0</v>
      </c>
      <c r="BK59" s="585">
        <v>0</v>
      </c>
      <c r="BL59" s="1185">
        <v>0</v>
      </c>
      <c r="BM59" s="587">
        <v>0</v>
      </c>
      <c r="BN59" s="1185">
        <v>0</v>
      </c>
      <c r="BO59" s="587">
        <v>0</v>
      </c>
      <c r="BP59" s="1185">
        <v>0</v>
      </c>
      <c r="BQ59" s="587">
        <v>0</v>
      </c>
      <c r="BR59" s="1185">
        <v>0</v>
      </c>
      <c r="BS59" s="587">
        <v>0</v>
      </c>
      <c r="BT59" s="1185">
        <v>0</v>
      </c>
      <c r="BU59" s="587">
        <v>0</v>
      </c>
      <c r="BV59" s="1185">
        <v>0</v>
      </c>
      <c r="BW59" s="587">
        <v>0</v>
      </c>
      <c r="BX59" s="1185">
        <v>0</v>
      </c>
      <c r="BY59" s="587">
        <v>0</v>
      </c>
      <c r="BZ59" s="1185">
        <v>18.600000000000001</v>
      </c>
      <c r="CA59" s="587">
        <v>744</v>
      </c>
      <c r="CB59" s="1185">
        <v>19.399999999999999</v>
      </c>
      <c r="CC59" s="587">
        <v>776</v>
      </c>
      <c r="CD59" s="1185">
        <v>20.3</v>
      </c>
      <c r="CE59" s="587">
        <v>812</v>
      </c>
      <c r="CF59" s="1185">
        <v>21</v>
      </c>
      <c r="CG59" s="587">
        <v>840</v>
      </c>
      <c r="CH59" s="1185">
        <v>21.4</v>
      </c>
      <c r="CI59" s="587">
        <v>856</v>
      </c>
      <c r="CJ59" s="1185">
        <v>20.7</v>
      </c>
      <c r="CK59" s="587">
        <v>828</v>
      </c>
      <c r="CL59" s="1185">
        <v>20.5</v>
      </c>
      <c r="CM59" s="587">
        <v>820</v>
      </c>
      <c r="CN59" s="1185">
        <v>20.3</v>
      </c>
      <c r="CO59" s="587">
        <v>812</v>
      </c>
      <c r="CP59" s="1185">
        <v>20.3</v>
      </c>
      <c r="CQ59" s="587">
        <v>812</v>
      </c>
      <c r="CR59" s="1185">
        <v>19.600000000000001</v>
      </c>
      <c r="CS59" s="587">
        <v>784</v>
      </c>
      <c r="CT59" s="1185">
        <v>0</v>
      </c>
      <c r="CU59" s="587">
        <v>0</v>
      </c>
      <c r="CV59" s="1185">
        <v>0</v>
      </c>
      <c r="CW59" s="587">
        <v>0</v>
      </c>
      <c r="CX59" s="1185">
        <v>0</v>
      </c>
      <c r="CY59" s="587">
        <v>0</v>
      </c>
      <c r="CZ59" s="1185">
        <v>0</v>
      </c>
      <c r="DA59" s="587">
        <v>0</v>
      </c>
      <c r="DB59" s="1185">
        <v>0</v>
      </c>
      <c r="DC59" s="587">
        <v>0</v>
      </c>
      <c r="DD59" s="1185">
        <v>0</v>
      </c>
      <c r="DE59" s="589">
        <v>0</v>
      </c>
      <c r="DF59" s="562"/>
      <c r="DG59" s="1180" t="s">
        <v>616</v>
      </c>
      <c r="DH59" s="1181"/>
      <c r="DI59" s="1181"/>
      <c r="DJ59" s="1182" t="s">
        <v>615</v>
      </c>
      <c r="DK59" s="1183"/>
      <c r="DL59" s="1021"/>
      <c r="DM59" s="1184">
        <v>0</v>
      </c>
      <c r="DN59" s="585">
        <v>0</v>
      </c>
      <c r="DO59" s="1185">
        <v>0</v>
      </c>
      <c r="DP59" s="587">
        <v>0</v>
      </c>
      <c r="DQ59" s="1185">
        <v>0</v>
      </c>
      <c r="DR59" s="587">
        <v>0</v>
      </c>
      <c r="DS59" s="1185">
        <v>0</v>
      </c>
      <c r="DT59" s="587">
        <v>0</v>
      </c>
      <c r="DU59" s="1185">
        <v>0</v>
      </c>
      <c r="DV59" s="587">
        <v>0</v>
      </c>
      <c r="DW59" s="1185">
        <v>0</v>
      </c>
      <c r="DX59" s="587">
        <v>0</v>
      </c>
      <c r="DY59" s="1185">
        <v>0</v>
      </c>
      <c r="DZ59" s="587">
        <v>0</v>
      </c>
      <c r="EA59" s="1185">
        <v>0</v>
      </c>
      <c r="EB59" s="587">
        <v>0</v>
      </c>
      <c r="EC59" s="1185">
        <v>9.8000000000000007</v>
      </c>
      <c r="ED59" s="587">
        <v>392</v>
      </c>
      <c r="EE59" s="1185">
        <v>10.9</v>
      </c>
      <c r="EF59" s="587">
        <v>436</v>
      </c>
      <c r="EG59" s="1185">
        <v>11</v>
      </c>
      <c r="EH59" s="587">
        <v>440</v>
      </c>
      <c r="EI59" s="1185">
        <v>11.4</v>
      </c>
      <c r="EJ59" s="587">
        <v>456</v>
      </c>
      <c r="EK59" s="1185">
        <v>11.1</v>
      </c>
      <c r="EL59" s="587">
        <v>444</v>
      </c>
      <c r="EM59" s="1185">
        <v>10.6</v>
      </c>
      <c r="EN59" s="587">
        <v>424</v>
      </c>
      <c r="EO59" s="1185">
        <v>10.4</v>
      </c>
      <c r="EP59" s="587">
        <v>416</v>
      </c>
      <c r="EQ59" s="1185">
        <v>10.5</v>
      </c>
      <c r="ER59" s="587">
        <v>420</v>
      </c>
      <c r="ES59" s="1185">
        <v>10</v>
      </c>
      <c r="ET59" s="587">
        <v>400</v>
      </c>
      <c r="EU59" s="1185">
        <v>10.5</v>
      </c>
      <c r="EV59" s="587">
        <v>420</v>
      </c>
      <c r="EW59" s="1185">
        <v>0</v>
      </c>
      <c r="EX59" s="587">
        <v>0</v>
      </c>
      <c r="EY59" s="1185">
        <v>0</v>
      </c>
      <c r="EZ59" s="587">
        <v>0</v>
      </c>
      <c r="FA59" s="1185">
        <v>0</v>
      </c>
      <c r="FB59" s="587">
        <v>0</v>
      </c>
      <c r="FC59" s="1185">
        <v>0</v>
      </c>
      <c r="FD59" s="587">
        <v>0</v>
      </c>
      <c r="FE59" s="1185">
        <v>0</v>
      </c>
      <c r="FF59" s="587">
        <v>0</v>
      </c>
      <c r="FG59" s="1185">
        <v>0</v>
      </c>
      <c r="FH59" s="589">
        <v>0</v>
      </c>
      <c r="FI59" s="563"/>
      <c r="FJ59" s="1180" t="s">
        <v>616</v>
      </c>
      <c r="FK59" s="1181"/>
      <c r="FL59" s="1181"/>
      <c r="FM59" s="1182" t="s">
        <v>615</v>
      </c>
      <c r="FN59" s="1183"/>
      <c r="FO59" s="1021"/>
      <c r="FP59" s="625">
        <v>9</v>
      </c>
      <c r="FQ59" s="1186">
        <v>5.7</v>
      </c>
      <c r="FR59" s="1187">
        <v>228</v>
      </c>
      <c r="FS59" s="1188">
        <v>9</v>
      </c>
      <c r="FT59" s="1186">
        <v>5.9</v>
      </c>
      <c r="FU59" s="1189">
        <v>236</v>
      </c>
      <c r="FV59" s="1190">
        <v>12</v>
      </c>
      <c r="FW59" s="1191">
        <v>1048</v>
      </c>
      <c r="FX59" s="1192">
        <v>13</v>
      </c>
      <c r="FY59" s="1191">
        <v>856</v>
      </c>
      <c r="FZ59" s="1192">
        <v>12</v>
      </c>
      <c r="GA59" s="1191">
        <v>456</v>
      </c>
      <c r="GB59" s="1192" t="s">
        <v>622</v>
      </c>
      <c r="GC59" s="1191">
        <v>1048</v>
      </c>
      <c r="GD59" s="1192" t="s">
        <v>853</v>
      </c>
      <c r="GE59" s="1193">
        <v>236</v>
      </c>
      <c r="GF59" s="688"/>
      <c r="GG59" s="1194"/>
      <c r="GH59" s="1194"/>
      <c r="GI59" s="1194"/>
      <c r="GJ59" s="893"/>
      <c r="GK59" s="409"/>
      <c r="GL59" s="1124">
        <v>16</v>
      </c>
      <c r="GM59" s="1125">
        <v>7</v>
      </c>
      <c r="GN59" s="1102">
        <v>0.56000000000000005</v>
      </c>
      <c r="GO59" s="1103">
        <v>2.6</v>
      </c>
      <c r="GP59" s="1103">
        <v>7</v>
      </c>
      <c r="GQ59" s="1104">
        <v>9.6</v>
      </c>
      <c r="GR59" s="893"/>
      <c r="GS59" s="391"/>
      <c r="GT59" s="1305"/>
      <c r="GU59" s="579"/>
      <c r="GV59" s="500"/>
      <c r="GW59" s="500"/>
      <c r="GX59" s="1306"/>
      <c r="GY59" s="1304"/>
      <c r="GZ59" s="579"/>
      <c r="HA59" s="578"/>
      <c r="HB59" s="500"/>
      <c r="HC59" s="1179"/>
      <c r="HD59" s="1195"/>
    </row>
    <row r="60" spans="1:212" ht="20.100000000000001" customHeight="1">
      <c r="A60" s="1180"/>
      <c r="B60" s="1181"/>
      <c r="C60" s="1181"/>
      <c r="D60" s="1196"/>
      <c r="E60" s="1196"/>
      <c r="F60" s="1197">
        <v>0</v>
      </c>
      <c r="G60" s="584"/>
      <c r="H60" s="585"/>
      <c r="I60" s="588"/>
      <c r="J60" s="587"/>
      <c r="K60" s="588"/>
      <c r="L60" s="587"/>
      <c r="M60" s="588"/>
      <c r="N60" s="587"/>
      <c r="O60" s="588"/>
      <c r="P60" s="587"/>
      <c r="Q60" s="588"/>
      <c r="R60" s="587"/>
      <c r="S60" s="588"/>
      <c r="T60" s="587"/>
      <c r="U60" s="588"/>
      <c r="V60" s="587"/>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c r="AS60" s="588"/>
      <c r="AT60" s="587"/>
      <c r="AU60" s="588"/>
      <c r="AV60" s="587"/>
      <c r="AW60" s="588"/>
      <c r="AX60" s="587"/>
      <c r="AY60" s="588"/>
      <c r="AZ60" s="587"/>
      <c r="BA60" s="588"/>
      <c r="BB60" s="589"/>
      <c r="BC60" s="563"/>
      <c r="BD60" s="1180"/>
      <c r="BE60" s="1181"/>
      <c r="BF60" s="1181"/>
      <c r="BG60" s="1196"/>
      <c r="BH60" s="1196"/>
      <c r="BI60" s="1197"/>
      <c r="BJ60" s="584"/>
      <c r="BK60" s="585"/>
      <c r="BL60" s="588"/>
      <c r="BM60" s="587"/>
      <c r="BN60" s="588"/>
      <c r="BO60" s="587"/>
      <c r="BP60" s="588"/>
      <c r="BQ60" s="587"/>
      <c r="BR60" s="588"/>
      <c r="BS60" s="587"/>
      <c r="BT60" s="588"/>
      <c r="BU60" s="587"/>
      <c r="BV60" s="588"/>
      <c r="BW60" s="587"/>
      <c r="BX60" s="588"/>
      <c r="BY60" s="587"/>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c r="CV60" s="588"/>
      <c r="CW60" s="587"/>
      <c r="CX60" s="588"/>
      <c r="CY60" s="587"/>
      <c r="CZ60" s="588"/>
      <c r="DA60" s="587"/>
      <c r="DB60" s="588"/>
      <c r="DC60" s="587"/>
      <c r="DD60" s="588"/>
      <c r="DE60" s="589"/>
      <c r="DF60" s="562"/>
      <c r="DG60" s="1180"/>
      <c r="DH60" s="1181"/>
      <c r="DI60" s="1181"/>
      <c r="DJ60" s="1196"/>
      <c r="DK60" s="1196"/>
      <c r="DL60" s="1197"/>
      <c r="DM60" s="584"/>
      <c r="DN60" s="585"/>
      <c r="DO60" s="588"/>
      <c r="DP60" s="587"/>
      <c r="DQ60" s="588"/>
      <c r="DR60" s="587"/>
      <c r="DS60" s="588"/>
      <c r="DT60" s="587"/>
      <c r="DU60" s="588"/>
      <c r="DV60" s="587"/>
      <c r="DW60" s="588"/>
      <c r="DX60" s="587"/>
      <c r="DY60" s="588"/>
      <c r="DZ60" s="587"/>
      <c r="EA60" s="588"/>
      <c r="EB60" s="587"/>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c r="EY60" s="588"/>
      <c r="EZ60" s="587"/>
      <c r="FA60" s="588"/>
      <c r="FB60" s="587"/>
      <c r="FC60" s="588"/>
      <c r="FD60" s="587"/>
      <c r="FE60" s="588"/>
      <c r="FF60" s="587"/>
      <c r="FG60" s="588"/>
      <c r="FH60" s="589"/>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2.2999999999999998</v>
      </c>
      <c r="GP60" s="1103">
        <v>7</v>
      </c>
      <c r="GQ60" s="1104">
        <v>9.3000000000000007</v>
      </c>
      <c r="GR60" s="391"/>
      <c r="GS60" s="483"/>
      <c r="GT60" s="1305"/>
      <c r="GU60" s="500"/>
      <c r="GV60" s="579"/>
      <c r="GW60" s="500"/>
      <c r="GX60" s="579"/>
      <c r="GY60" s="500"/>
      <c r="GZ60" s="500"/>
      <c r="HA60" s="578"/>
      <c r="HB60" s="500"/>
      <c r="HC60" s="1201"/>
      <c r="HD60" s="1038"/>
    </row>
    <row r="61" spans="1:212" ht="20.100000000000001" customHeight="1">
      <c r="A61" s="1202" t="s">
        <v>621</v>
      </c>
      <c r="B61" s="1203"/>
      <c r="C61" s="1203"/>
      <c r="D61" s="1203"/>
      <c r="E61" s="1203"/>
      <c r="F61" s="1204"/>
      <c r="G61" s="1205"/>
      <c r="H61" s="1206">
        <v>0</v>
      </c>
      <c r="I61" s="1207"/>
      <c r="J61" s="1208">
        <v>0</v>
      </c>
      <c r="K61" s="1207"/>
      <c r="L61" s="1208">
        <v>0</v>
      </c>
      <c r="M61" s="1207"/>
      <c r="N61" s="1208">
        <v>0</v>
      </c>
      <c r="O61" s="1207"/>
      <c r="P61" s="1208">
        <v>0</v>
      </c>
      <c r="Q61" s="1207"/>
      <c r="R61" s="1208">
        <v>0</v>
      </c>
      <c r="S61" s="1207"/>
      <c r="T61" s="1208">
        <v>0</v>
      </c>
      <c r="U61" s="1207"/>
      <c r="V61" s="1208">
        <v>0</v>
      </c>
      <c r="W61" s="1207"/>
      <c r="X61" s="1208">
        <v>1927</v>
      </c>
      <c r="Y61" s="1207"/>
      <c r="Z61" s="1208">
        <v>1901</v>
      </c>
      <c r="AA61" s="1207"/>
      <c r="AB61" s="1208">
        <v>1927</v>
      </c>
      <c r="AC61" s="1207"/>
      <c r="AD61" s="1208">
        <v>1981</v>
      </c>
      <c r="AE61" s="1207"/>
      <c r="AF61" s="1208">
        <v>1969</v>
      </c>
      <c r="AG61" s="1207"/>
      <c r="AH61" s="1208">
        <v>1941</v>
      </c>
      <c r="AI61" s="1207"/>
      <c r="AJ61" s="1208">
        <v>1932</v>
      </c>
      <c r="AK61" s="1207"/>
      <c r="AL61" s="1208">
        <v>1915</v>
      </c>
      <c r="AM61" s="1207"/>
      <c r="AN61" s="1208">
        <v>1871</v>
      </c>
      <c r="AO61" s="1207"/>
      <c r="AP61" s="1208">
        <v>1834</v>
      </c>
      <c r="AQ61" s="1207"/>
      <c r="AR61" s="1208">
        <v>0</v>
      </c>
      <c r="AS61" s="1207"/>
      <c r="AT61" s="1208">
        <v>0</v>
      </c>
      <c r="AU61" s="1207"/>
      <c r="AV61" s="1208">
        <v>0</v>
      </c>
      <c r="AW61" s="1207"/>
      <c r="AX61" s="1208">
        <v>0</v>
      </c>
      <c r="AY61" s="1207"/>
      <c r="AZ61" s="1208">
        <v>0</v>
      </c>
      <c r="BA61" s="1207"/>
      <c r="BB61" s="1209">
        <v>0</v>
      </c>
      <c r="BC61" s="563"/>
      <c r="BD61" s="1202" t="s">
        <v>621</v>
      </c>
      <c r="BE61" s="1203"/>
      <c r="BF61" s="1203"/>
      <c r="BG61" s="1203"/>
      <c r="BH61" s="1203"/>
      <c r="BI61" s="1204"/>
      <c r="BJ61" s="1205"/>
      <c r="BK61" s="1206">
        <v>0</v>
      </c>
      <c r="BL61" s="1207"/>
      <c r="BM61" s="1208">
        <v>0</v>
      </c>
      <c r="BN61" s="1207"/>
      <c r="BO61" s="1208">
        <v>0</v>
      </c>
      <c r="BP61" s="1207"/>
      <c r="BQ61" s="1208">
        <v>0</v>
      </c>
      <c r="BR61" s="1207"/>
      <c r="BS61" s="1208">
        <v>0</v>
      </c>
      <c r="BT61" s="1207"/>
      <c r="BU61" s="1208">
        <v>0</v>
      </c>
      <c r="BV61" s="1207"/>
      <c r="BW61" s="1208">
        <v>0</v>
      </c>
      <c r="BX61" s="1207"/>
      <c r="BY61" s="1208">
        <v>0</v>
      </c>
      <c r="BZ61" s="1207"/>
      <c r="CA61" s="1208">
        <v>1718</v>
      </c>
      <c r="CB61" s="1207"/>
      <c r="CC61" s="1208">
        <v>1686</v>
      </c>
      <c r="CD61" s="1207"/>
      <c r="CE61" s="1208">
        <v>1735</v>
      </c>
      <c r="CF61" s="1207"/>
      <c r="CG61" s="1208">
        <v>1766</v>
      </c>
      <c r="CH61" s="1207"/>
      <c r="CI61" s="1208">
        <v>1786</v>
      </c>
      <c r="CJ61" s="1207"/>
      <c r="CK61" s="1208">
        <v>1751</v>
      </c>
      <c r="CL61" s="1207"/>
      <c r="CM61" s="1208">
        <v>1740</v>
      </c>
      <c r="CN61" s="1207"/>
      <c r="CO61" s="1208">
        <v>1724</v>
      </c>
      <c r="CP61" s="1207"/>
      <c r="CQ61" s="1208">
        <v>1720</v>
      </c>
      <c r="CR61" s="1207"/>
      <c r="CS61" s="1208">
        <v>1678</v>
      </c>
      <c r="CT61" s="1207"/>
      <c r="CU61" s="1208">
        <v>0</v>
      </c>
      <c r="CV61" s="1207"/>
      <c r="CW61" s="1208">
        <v>0</v>
      </c>
      <c r="CX61" s="1207"/>
      <c r="CY61" s="1208">
        <v>0</v>
      </c>
      <c r="CZ61" s="1207"/>
      <c r="DA61" s="1208">
        <v>0</v>
      </c>
      <c r="DB61" s="1207"/>
      <c r="DC61" s="1208">
        <v>0</v>
      </c>
      <c r="DD61" s="1207"/>
      <c r="DE61" s="1209">
        <v>0</v>
      </c>
      <c r="DF61" s="562"/>
      <c r="DG61" s="1202" t="s">
        <v>621</v>
      </c>
      <c r="DH61" s="1203"/>
      <c r="DI61" s="1203"/>
      <c r="DJ61" s="1203"/>
      <c r="DK61" s="1203"/>
      <c r="DL61" s="1204"/>
      <c r="DM61" s="1205"/>
      <c r="DN61" s="1206">
        <v>0</v>
      </c>
      <c r="DO61" s="1207"/>
      <c r="DP61" s="1208">
        <v>0</v>
      </c>
      <c r="DQ61" s="1207"/>
      <c r="DR61" s="1208">
        <v>0</v>
      </c>
      <c r="DS61" s="1207"/>
      <c r="DT61" s="1208">
        <v>0</v>
      </c>
      <c r="DU61" s="1207"/>
      <c r="DV61" s="1208">
        <v>0</v>
      </c>
      <c r="DW61" s="1207"/>
      <c r="DX61" s="1208">
        <v>0</v>
      </c>
      <c r="DY61" s="1207"/>
      <c r="DZ61" s="1208">
        <v>0</v>
      </c>
      <c r="EA61" s="1207"/>
      <c r="EB61" s="1208">
        <v>0</v>
      </c>
      <c r="EC61" s="1207"/>
      <c r="ED61" s="1208">
        <v>1312</v>
      </c>
      <c r="EE61" s="1207"/>
      <c r="EF61" s="1208">
        <v>1297</v>
      </c>
      <c r="EG61" s="1207"/>
      <c r="EH61" s="1208">
        <v>1317</v>
      </c>
      <c r="EI61" s="1207"/>
      <c r="EJ61" s="1208">
        <v>1342</v>
      </c>
      <c r="EK61" s="1207"/>
      <c r="EL61" s="1208">
        <v>1329</v>
      </c>
      <c r="EM61" s="1207"/>
      <c r="EN61" s="1208">
        <v>1303</v>
      </c>
      <c r="EO61" s="1207"/>
      <c r="EP61" s="1208">
        <v>1295</v>
      </c>
      <c r="EQ61" s="1207"/>
      <c r="ER61" s="1208">
        <v>1298</v>
      </c>
      <c r="ES61" s="1207"/>
      <c r="ET61" s="1208">
        <v>1263</v>
      </c>
      <c r="EU61" s="1207"/>
      <c r="EV61" s="1208">
        <v>1270</v>
      </c>
      <c r="EW61" s="1207"/>
      <c r="EX61" s="1208">
        <v>0</v>
      </c>
      <c r="EY61" s="1207"/>
      <c r="EZ61" s="1208">
        <v>0</v>
      </c>
      <c r="FA61" s="1207"/>
      <c r="FB61" s="1208">
        <v>0</v>
      </c>
      <c r="FC61" s="1207"/>
      <c r="FD61" s="1208">
        <v>0</v>
      </c>
      <c r="FE61" s="1207"/>
      <c r="FF61" s="1208">
        <v>0</v>
      </c>
      <c r="FG61" s="1207"/>
      <c r="FH61" s="1209">
        <v>0</v>
      </c>
      <c r="FI61" s="563"/>
      <c r="FJ61" s="1202" t="s">
        <v>621</v>
      </c>
      <c r="FK61" s="1203"/>
      <c r="FL61" s="1203"/>
      <c r="FM61" s="1203"/>
      <c r="FN61" s="1203"/>
      <c r="FO61" s="1203"/>
      <c r="FP61" s="1210"/>
      <c r="FQ61" s="1211"/>
      <c r="FR61" s="1212">
        <v>1093</v>
      </c>
      <c r="FS61" s="1213"/>
      <c r="FT61" s="1211"/>
      <c r="FU61" s="1214">
        <v>1111</v>
      </c>
      <c r="FV61" s="1215">
        <v>12</v>
      </c>
      <c r="FW61" s="1216">
        <v>1981</v>
      </c>
      <c r="FX61" s="1217">
        <v>13</v>
      </c>
      <c r="FY61" s="1216">
        <v>1786</v>
      </c>
      <c r="FZ61" s="1217">
        <v>12</v>
      </c>
      <c r="GA61" s="1216">
        <v>1342</v>
      </c>
      <c r="GB61" s="1218" t="s">
        <v>622</v>
      </c>
      <c r="GC61" s="1216">
        <v>1981</v>
      </c>
      <c r="GD61" s="1218" t="s">
        <v>853</v>
      </c>
      <c r="GE61" s="1219">
        <v>1111</v>
      </c>
      <c r="GF61" s="688"/>
      <c r="GG61" s="483"/>
      <c r="GH61" s="483"/>
      <c r="GI61" s="483"/>
      <c r="GJ61" s="483"/>
      <c r="GK61" s="486"/>
      <c r="GL61" s="1124">
        <v>18</v>
      </c>
      <c r="GM61" s="1220">
        <v>9</v>
      </c>
      <c r="GN61" s="1102">
        <v>0.47</v>
      </c>
      <c r="GO61" s="1103">
        <v>2.2000000000000002</v>
      </c>
      <c r="GP61" s="1103">
        <v>7</v>
      </c>
      <c r="GQ61" s="1104">
        <v>9.1999999999999993</v>
      </c>
      <c r="GR61" s="483"/>
      <c r="GS61" s="580"/>
      <c r="GT61" s="1305"/>
      <c r="GU61" s="689"/>
      <c r="GV61" s="689"/>
      <c r="GW61" s="689"/>
      <c r="GX61" s="689"/>
      <c r="GY61" s="579"/>
      <c r="GZ61" s="500"/>
      <c r="HA61" s="579"/>
      <c r="HB61" s="500"/>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579"/>
      <c r="GU62" s="689"/>
      <c r="GV62" s="689"/>
      <c r="GW62" s="689"/>
      <c r="GX62" s="689"/>
      <c r="GY62" s="579"/>
      <c r="GZ62" s="500"/>
      <c r="HA62" s="579"/>
      <c r="HB62" s="500"/>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759</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303"/>
      <c r="GK63" s="1303"/>
      <c r="GL63" s="578"/>
      <c r="GM63" s="500"/>
      <c r="GN63" s="578"/>
      <c r="GO63" s="500"/>
      <c r="GP63" s="500"/>
      <c r="GQ63" s="500"/>
      <c r="GR63" s="578"/>
      <c r="GS63" s="530"/>
      <c r="GT63" s="579"/>
      <c r="GU63" s="578"/>
      <c r="GV63" s="500"/>
      <c r="GW63" s="578"/>
      <c r="GX63" s="500"/>
      <c r="GY63" s="500"/>
      <c r="GZ63" s="500"/>
      <c r="HA63" s="579"/>
      <c r="HB63" s="500"/>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00"/>
      <c r="GK64" s="500"/>
      <c r="GL64" s="578"/>
      <c r="GM64" s="500"/>
      <c r="GN64" s="578"/>
      <c r="GO64" s="500"/>
      <c r="GP64" s="500"/>
      <c r="GQ64" s="500"/>
      <c r="GR64" s="578"/>
      <c r="GS64" s="409"/>
      <c r="GT64" s="1305"/>
      <c r="GU64" s="578"/>
      <c r="GV64" s="500"/>
      <c r="GW64" s="578"/>
      <c r="GX64" s="500"/>
      <c r="GY64" s="500"/>
      <c r="GZ64" s="579"/>
      <c r="HA64" s="579"/>
      <c r="HB64" s="579"/>
      <c r="HC64" s="562"/>
    </row>
    <row r="65" spans="1:211" ht="20.100000000000001" customHeight="1">
      <c r="A65" s="1163"/>
      <c r="B65" s="1164"/>
      <c r="C65" s="1164"/>
      <c r="D65" s="1232"/>
      <c r="E65" s="1233"/>
      <c r="F65" s="1234"/>
      <c r="G65" s="1235"/>
      <c r="H65" s="1168"/>
      <c r="I65" s="1236"/>
      <c r="J65" s="1237"/>
      <c r="K65" s="1238"/>
      <c r="L65" s="1237"/>
      <c r="M65" s="1238"/>
      <c r="N65" s="1237"/>
      <c r="O65" s="1238"/>
      <c r="P65" s="1237"/>
      <c r="Q65" s="1238"/>
      <c r="R65" s="1237"/>
      <c r="S65" s="1238"/>
      <c r="T65" s="1237"/>
      <c r="U65" s="1238"/>
      <c r="V65" s="1237"/>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c r="AS65" s="1238"/>
      <c r="AT65" s="1237"/>
      <c r="AU65" s="1238"/>
      <c r="AV65" s="1237"/>
      <c r="AW65" s="1238"/>
      <c r="AX65" s="1237"/>
      <c r="AY65" s="1238"/>
      <c r="AZ65" s="1237"/>
      <c r="BA65" s="1238"/>
      <c r="BB65" s="561"/>
      <c r="BC65" s="563"/>
      <c r="BD65" s="1163"/>
      <c r="BE65" s="1164"/>
      <c r="BF65" s="1164"/>
      <c r="BG65" s="1232"/>
      <c r="BH65" s="1233"/>
      <c r="BI65" s="1234"/>
      <c r="BJ65" s="1235"/>
      <c r="BK65" s="1168"/>
      <c r="BL65" s="1236"/>
      <c r="BM65" s="1237"/>
      <c r="BN65" s="1238"/>
      <c r="BO65" s="1237"/>
      <c r="BP65" s="1238"/>
      <c r="BQ65" s="1237"/>
      <c r="BR65" s="1238"/>
      <c r="BS65" s="1237"/>
      <c r="BT65" s="1238"/>
      <c r="BU65" s="1237"/>
      <c r="BV65" s="1238"/>
      <c r="BW65" s="1237"/>
      <c r="BX65" s="1238"/>
      <c r="BY65" s="1237"/>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c r="CV65" s="1238"/>
      <c r="CW65" s="1237"/>
      <c r="CX65" s="1238"/>
      <c r="CY65" s="1237"/>
      <c r="CZ65" s="1238"/>
      <c r="DA65" s="1237"/>
      <c r="DB65" s="1238"/>
      <c r="DC65" s="1237"/>
      <c r="DD65" s="1238"/>
      <c r="DE65" s="561"/>
      <c r="DF65" s="562"/>
      <c r="DG65" s="1163"/>
      <c r="DH65" s="1164"/>
      <c r="DI65" s="1164"/>
      <c r="DJ65" s="1232"/>
      <c r="DK65" s="1233"/>
      <c r="DL65" s="1234"/>
      <c r="DM65" s="1235"/>
      <c r="DN65" s="1168"/>
      <c r="DO65" s="1236"/>
      <c r="DP65" s="1237"/>
      <c r="DQ65" s="1238"/>
      <c r="DR65" s="1237"/>
      <c r="DS65" s="1238"/>
      <c r="DT65" s="1237"/>
      <c r="DU65" s="1238"/>
      <c r="DV65" s="1237"/>
      <c r="DW65" s="1238"/>
      <c r="DX65" s="1237"/>
      <c r="DY65" s="1238"/>
      <c r="DZ65" s="1237"/>
      <c r="EA65" s="1238"/>
      <c r="EB65" s="1237"/>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c r="EY65" s="1238"/>
      <c r="EZ65" s="1237"/>
      <c r="FA65" s="1238"/>
      <c r="FB65" s="1237"/>
      <c r="FC65" s="1238"/>
      <c r="FD65" s="1237"/>
      <c r="FE65" s="1238"/>
      <c r="FF65" s="1237"/>
      <c r="FG65" s="1238"/>
      <c r="FH65" s="561"/>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391"/>
      <c r="GK65" s="529"/>
      <c r="GL65" s="529"/>
      <c r="GM65" s="529"/>
      <c r="GN65" s="529"/>
      <c r="GO65" s="529"/>
      <c r="GP65" s="529"/>
      <c r="GQ65" s="529"/>
      <c r="GR65" s="529"/>
      <c r="GS65" s="409"/>
      <c r="GT65" s="1305"/>
      <c r="GU65" s="500"/>
      <c r="GV65" s="500"/>
      <c r="GW65" s="500"/>
      <c r="GX65" s="500"/>
      <c r="GY65" s="500"/>
      <c r="GZ65" s="579"/>
      <c r="HA65" s="579"/>
      <c r="HB65" s="579"/>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741</v>
      </c>
      <c r="FK66" s="1203"/>
      <c r="FL66" s="1249"/>
      <c r="FM66" s="1250" t="s">
        <v>624</v>
      </c>
      <c r="FN66" s="1251"/>
      <c r="FO66" s="1204"/>
      <c r="FP66" s="1210">
        <v>9</v>
      </c>
      <c r="FQ66" s="1252">
        <v>0</v>
      </c>
      <c r="FR66" s="1253">
        <v>0</v>
      </c>
      <c r="FS66" s="1213">
        <v>9</v>
      </c>
      <c r="FT66" s="1252">
        <v>0</v>
      </c>
      <c r="FU66" s="1254">
        <v>0</v>
      </c>
      <c r="FV66" s="1255"/>
      <c r="FW66" s="1256"/>
      <c r="FX66" s="1256"/>
      <c r="FY66" s="1256"/>
      <c r="FZ66" s="1256"/>
      <c r="GA66" s="1256"/>
      <c r="GB66" s="1256"/>
      <c r="GC66" s="1257"/>
      <c r="GD66" s="1213"/>
      <c r="GE66" s="1258">
        <v>0</v>
      </c>
      <c r="GF66" s="688"/>
      <c r="GG66" s="391"/>
      <c r="GH66" s="391"/>
      <c r="GI66" s="391"/>
      <c r="GJ66" s="483"/>
      <c r="GK66" s="529"/>
      <c r="GL66" s="530"/>
      <c r="GM66" s="529"/>
      <c r="GN66" s="530"/>
      <c r="GO66" s="529"/>
      <c r="GP66" s="529"/>
      <c r="GQ66" s="529"/>
      <c r="GR66" s="530"/>
      <c r="GT66" s="1305"/>
      <c r="GU66" s="579"/>
      <c r="GV66" s="579"/>
      <c r="GW66" s="579"/>
      <c r="GX66" s="579"/>
      <c r="GY66" s="579"/>
      <c r="GZ66" s="500"/>
      <c r="HA66" s="500"/>
      <c r="HB66" s="500"/>
      <c r="HC66" s="406"/>
    </row>
    <row r="67" spans="1:211" ht="20.100000000000001" customHeight="1" thickBot="1">
      <c r="BC67" s="389"/>
      <c r="DF67" s="389"/>
      <c r="FI67" s="389"/>
      <c r="GD67" s="688"/>
      <c r="GE67" s="799"/>
      <c r="GF67" s="688"/>
      <c r="GG67" s="483"/>
      <c r="GH67" s="483"/>
      <c r="GI67" s="483"/>
      <c r="GJ67" s="391"/>
      <c r="GT67" s="689"/>
      <c r="GU67" s="500"/>
      <c r="GV67" s="500"/>
      <c r="GW67" s="500"/>
      <c r="GX67" s="500"/>
      <c r="GY67" s="500"/>
      <c r="GZ67" s="579"/>
      <c r="HA67" s="578"/>
      <c r="HB67" s="579"/>
      <c r="HC67" s="406"/>
    </row>
    <row r="68" spans="1:211" ht="20.100000000000001" customHeight="1">
      <c r="A68" s="1260" t="s">
        <v>360</v>
      </c>
      <c r="B68" s="1261"/>
      <c r="C68" s="1261"/>
      <c r="D68" s="1261"/>
      <c r="E68" s="825"/>
      <c r="F68" s="825"/>
      <c r="G68" s="1262"/>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f>$G68</f>
        <v>0</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f>$G68</f>
        <v>0</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579"/>
      <c r="GU68" s="1303"/>
      <c r="GV68" s="1303"/>
      <c r="GW68" s="1303"/>
      <c r="GX68" s="1303"/>
      <c r="GY68" s="1121"/>
      <c r="GZ68" s="1304"/>
      <c r="HA68" s="1304"/>
      <c r="HB68" s="1304"/>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19">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1015</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24時間</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24時間</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825</v>
      </c>
      <c r="GZ1" s="376" t="s">
        <v>364</v>
      </c>
      <c r="HA1" s="376"/>
      <c r="HB1" s="379"/>
      <c r="HC1" s="1276" t="s">
        <v>514</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649</v>
      </c>
      <c r="B3" s="394">
        <v>202</v>
      </c>
      <c r="C3" s="395" t="s">
        <v>374</v>
      </c>
      <c r="D3" s="396" t="s">
        <v>1018</v>
      </c>
      <c r="E3" s="396"/>
      <c r="F3" s="396"/>
      <c r="G3" s="396"/>
      <c r="H3" s="396"/>
      <c r="I3" s="396"/>
      <c r="J3" s="397"/>
      <c r="K3" s="398" t="s">
        <v>376</v>
      </c>
      <c r="L3" s="399"/>
      <c r="M3" s="398" t="s">
        <v>385</v>
      </c>
      <c r="N3" s="399"/>
      <c r="O3" s="400" t="s">
        <v>382</v>
      </c>
      <c r="P3" s="401"/>
      <c r="Q3" s="401"/>
      <c r="R3" s="401"/>
      <c r="S3" s="401"/>
      <c r="T3" s="401"/>
      <c r="U3" s="401"/>
      <c r="V3" s="402"/>
      <c r="W3" s="403" t="s">
        <v>383</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380</v>
      </c>
      <c r="BE3" s="394">
        <v>202</v>
      </c>
      <c r="BF3" s="395" t="s">
        <v>373</v>
      </c>
      <c r="BG3" s="407" t="s">
        <v>1012</v>
      </c>
      <c r="BH3" s="407"/>
      <c r="BI3" s="407"/>
      <c r="BJ3" s="407"/>
      <c r="BK3" s="407"/>
      <c r="BL3" s="407"/>
      <c r="BM3" s="408"/>
      <c r="BN3" s="398" t="s">
        <v>376</v>
      </c>
      <c r="BO3" s="399"/>
      <c r="BP3" s="398" t="s">
        <v>385</v>
      </c>
      <c r="BQ3" s="399"/>
      <c r="BR3" s="400" t="s">
        <v>382</v>
      </c>
      <c r="BS3" s="401"/>
      <c r="BT3" s="401"/>
      <c r="BU3" s="401"/>
      <c r="BV3" s="401"/>
      <c r="BW3" s="401"/>
      <c r="BX3" s="401"/>
      <c r="BY3" s="402"/>
      <c r="BZ3" s="403" t="s">
        <v>383</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384</v>
      </c>
      <c r="DH3" s="394">
        <v>202</v>
      </c>
      <c r="DI3" s="395" t="s">
        <v>373</v>
      </c>
      <c r="DJ3" s="407" t="s">
        <v>1012</v>
      </c>
      <c r="DK3" s="407"/>
      <c r="DL3" s="407"/>
      <c r="DM3" s="407"/>
      <c r="DN3" s="407"/>
      <c r="DO3" s="407"/>
      <c r="DP3" s="408"/>
      <c r="DQ3" s="398" t="s">
        <v>381</v>
      </c>
      <c r="DR3" s="399"/>
      <c r="DS3" s="398" t="s">
        <v>385</v>
      </c>
      <c r="DT3" s="399"/>
      <c r="DU3" s="400" t="s">
        <v>378</v>
      </c>
      <c r="DV3" s="401"/>
      <c r="DW3" s="401"/>
      <c r="DX3" s="401"/>
      <c r="DY3" s="401"/>
      <c r="DZ3" s="401"/>
      <c r="EA3" s="401"/>
      <c r="EB3" s="402"/>
      <c r="EC3" s="403" t="s">
        <v>379</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380</v>
      </c>
      <c r="FK3" s="394">
        <v>202</v>
      </c>
      <c r="FL3" s="395" t="s">
        <v>373</v>
      </c>
      <c r="FM3" s="407" t="s">
        <v>1012</v>
      </c>
      <c r="FN3" s="407"/>
      <c r="FO3" s="407"/>
      <c r="FP3" s="407"/>
      <c r="FQ3" s="407"/>
      <c r="FR3" s="407"/>
      <c r="FS3" s="408"/>
      <c r="FT3" s="398" t="s">
        <v>376</v>
      </c>
      <c r="FU3" s="399"/>
      <c r="FV3" s="398" t="s">
        <v>385</v>
      </c>
      <c r="FW3" s="399"/>
      <c r="FX3" s="400" t="s">
        <v>386</v>
      </c>
      <c r="FY3" s="401"/>
      <c r="FZ3" s="401"/>
      <c r="GA3" s="401"/>
      <c r="GB3" s="401"/>
      <c r="GC3" s="401"/>
      <c r="GD3" s="401"/>
      <c r="GE3" s="402"/>
      <c r="GF3" s="403" t="s">
        <v>383</v>
      </c>
      <c r="GG3" s="404"/>
      <c r="GH3" s="405"/>
      <c r="GI3" s="409"/>
      <c r="GJ3" s="410" t="s">
        <v>770</v>
      </c>
      <c r="GK3" s="411"/>
      <c r="GL3" s="411"/>
      <c r="GM3" s="411"/>
      <c r="GN3" s="411"/>
      <c r="GO3" s="411"/>
      <c r="GP3" s="411"/>
      <c r="GQ3" s="411"/>
      <c r="GR3" s="412"/>
      <c r="GS3" s="413"/>
      <c r="GT3" s="410" t="s">
        <v>771</v>
      </c>
      <c r="GU3" s="411"/>
      <c r="GV3" s="411"/>
      <c r="GW3" s="411"/>
      <c r="GX3" s="411"/>
      <c r="GY3" s="411"/>
      <c r="GZ3" s="411"/>
      <c r="HA3" s="411"/>
      <c r="HB3" s="412"/>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653</v>
      </c>
      <c r="P4" s="425"/>
      <c r="Q4" s="426" t="s">
        <v>388</v>
      </c>
      <c r="R4" s="425"/>
      <c r="S4" s="427" t="s">
        <v>389</v>
      </c>
      <c r="T4" s="428"/>
      <c r="U4" s="429" t="s">
        <v>390</v>
      </c>
      <c r="V4" s="430"/>
      <c r="W4" s="431" t="s">
        <v>1019</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653</v>
      </c>
      <c r="BS4" s="425"/>
      <c r="BT4" s="426" t="s">
        <v>391</v>
      </c>
      <c r="BU4" s="425"/>
      <c r="BV4" s="427" t="s">
        <v>389</v>
      </c>
      <c r="BW4" s="428"/>
      <c r="BX4" s="429" t="s">
        <v>390</v>
      </c>
      <c r="BY4" s="430"/>
      <c r="BZ4" s="431" t="s">
        <v>1020</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387</v>
      </c>
      <c r="DV4" s="425"/>
      <c r="DW4" s="426" t="s">
        <v>391</v>
      </c>
      <c r="DX4" s="425"/>
      <c r="DY4" s="427" t="s">
        <v>389</v>
      </c>
      <c r="DZ4" s="428"/>
      <c r="EA4" s="429" t="s">
        <v>393</v>
      </c>
      <c r="EB4" s="430"/>
      <c r="EC4" s="431" t="s">
        <v>1020</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653</v>
      </c>
      <c r="FY4" s="425"/>
      <c r="FZ4" s="426" t="s">
        <v>388</v>
      </c>
      <c r="GA4" s="425"/>
      <c r="GB4" s="427" t="s">
        <v>392</v>
      </c>
      <c r="GC4" s="428"/>
      <c r="GD4" s="429" t="s">
        <v>390</v>
      </c>
      <c r="GE4" s="430"/>
      <c r="GF4" s="431" t="s">
        <v>1013</v>
      </c>
      <c r="GG4" s="432"/>
      <c r="GH4" s="433"/>
      <c r="GI4" s="409"/>
      <c r="GJ4" s="436"/>
      <c r="GK4" s="436"/>
      <c r="GL4" s="436"/>
      <c r="GM4" s="436"/>
      <c r="GN4" s="436"/>
      <c r="GO4" s="436"/>
      <c r="GP4" s="436"/>
      <c r="GQ4" s="436"/>
      <c r="GR4" s="436"/>
      <c r="GS4" s="413"/>
      <c r="GT4" s="436"/>
      <c r="GU4" s="436"/>
      <c r="GV4" s="436"/>
      <c r="GW4" s="436"/>
      <c r="GX4" s="436"/>
      <c r="GY4" s="436"/>
      <c r="GZ4" s="436"/>
      <c r="HA4" s="436"/>
      <c r="HB4" s="436"/>
      <c r="HC4" s="1277"/>
      <c r="HD4" s="437"/>
      <c r="HE4" s="437"/>
      <c r="HF4" s="504"/>
      <c r="HG4" s="386"/>
      <c r="MO4" s="392" t="s">
        <v>1013</v>
      </c>
    </row>
    <row r="5" spans="1:353" ht="24.95" customHeight="1" thickBot="1">
      <c r="A5" s="438" t="s">
        <v>408</v>
      </c>
      <c r="B5" s="439">
        <v>2</v>
      </c>
      <c r="C5" s="440" t="s">
        <v>656</v>
      </c>
      <c r="D5" s="441">
        <v>68</v>
      </c>
      <c r="E5" s="442" t="s">
        <v>398</v>
      </c>
      <c r="F5" s="443">
        <v>2.8</v>
      </c>
      <c r="G5" s="444" t="s">
        <v>399</v>
      </c>
      <c r="H5" s="445"/>
      <c r="I5" s="446">
        <v>190.4</v>
      </c>
      <c r="J5" s="447"/>
      <c r="K5" s="448">
        <v>140</v>
      </c>
      <c r="L5" s="449"/>
      <c r="M5" s="448">
        <v>60</v>
      </c>
      <c r="N5" s="449"/>
      <c r="O5" s="450" t="s">
        <v>1021</v>
      </c>
      <c r="P5" s="451"/>
      <c r="Q5" s="452" t="s">
        <v>658</v>
      </c>
      <c r="R5" s="453"/>
      <c r="S5" s="454" t="s">
        <v>1022</v>
      </c>
      <c r="T5" s="455"/>
      <c r="U5" s="456" t="s">
        <v>1023</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408</v>
      </c>
      <c r="BE5" s="439">
        <v>2</v>
      </c>
      <c r="BF5" s="440" t="s">
        <v>278</v>
      </c>
      <c r="BG5" s="441">
        <v>68</v>
      </c>
      <c r="BH5" s="442" t="s">
        <v>410</v>
      </c>
      <c r="BI5" s="443">
        <v>2.8</v>
      </c>
      <c r="BJ5" s="444" t="s">
        <v>404</v>
      </c>
      <c r="BK5" s="445"/>
      <c r="BL5" s="446">
        <v>190.4</v>
      </c>
      <c r="BM5" s="447"/>
      <c r="BN5" s="448">
        <v>140</v>
      </c>
      <c r="BO5" s="449"/>
      <c r="BP5" s="448">
        <v>60</v>
      </c>
      <c r="BQ5" s="449"/>
      <c r="BR5" s="450" t="s">
        <v>1021</v>
      </c>
      <c r="BS5" s="451"/>
      <c r="BT5" s="452" t="s">
        <v>658</v>
      </c>
      <c r="BU5" s="453"/>
      <c r="BV5" s="454" t="s">
        <v>1024</v>
      </c>
      <c r="BW5" s="455"/>
      <c r="BX5" s="456" t="s">
        <v>1025</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408</v>
      </c>
      <c r="DH5" s="439">
        <v>2</v>
      </c>
      <c r="DI5" s="440" t="s">
        <v>278</v>
      </c>
      <c r="DJ5" s="441">
        <v>68</v>
      </c>
      <c r="DK5" s="442" t="s">
        <v>410</v>
      </c>
      <c r="DL5" s="443">
        <v>2.8</v>
      </c>
      <c r="DM5" s="444" t="s">
        <v>399</v>
      </c>
      <c r="DN5" s="445"/>
      <c r="DO5" s="446">
        <v>190.4</v>
      </c>
      <c r="DP5" s="447"/>
      <c r="DQ5" s="448">
        <v>140</v>
      </c>
      <c r="DR5" s="449"/>
      <c r="DS5" s="448">
        <v>60</v>
      </c>
      <c r="DT5" s="449"/>
      <c r="DU5" s="450" t="s">
        <v>1026</v>
      </c>
      <c r="DV5" s="451"/>
      <c r="DW5" s="452" t="s">
        <v>764</v>
      </c>
      <c r="DX5" s="453"/>
      <c r="DY5" s="454" t="s">
        <v>1022</v>
      </c>
      <c r="DZ5" s="455"/>
      <c r="EA5" s="456" t="s">
        <v>1027</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408</v>
      </c>
      <c r="FK5" s="439">
        <v>2</v>
      </c>
      <c r="FL5" s="440" t="s">
        <v>278</v>
      </c>
      <c r="FM5" s="441">
        <v>68</v>
      </c>
      <c r="FN5" s="442" t="s">
        <v>398</v>
      </c>
      <c r="FO5" s="443">
        <v>2.8</v>
      </c>
      <c r="FP5" s="444" t="s">
        <v>404</v>
      </c>
      <c r="FQ5" s="445"/>
      <c r="FR5" s="446">
        <v>190.4</v>
      </c>
      <c r="FS5" s="447"/>
      <c r="FT5" s="448">
        <v>140</v>
      </c>
      <c r="FU5" s="449"/>
      <c r="FV5" s="448">
        <v>60</v>
      </c>
      <c r="FW5" s="449"/>
      <c r="FX5" s="450" t="s">
        <v>1021</v>
      </c>
      <c r="FY5" s="451"/>
      <c r="FZ5" s="452" t="s">
        <v>764</v>
      </c>
      <c r="GA5" s="453"/>
      <c r="GB5" s="454" t="s">
        <v>1022</v>
      </c>
      <c r="GC5" s="455"/>
      <c r="GD5" s="456" t="s">
        <v>1027</v>
      </c>
      <c r="GE5" s="457"/>
      <c r="GF5" s="458"/>
      <c r="GG5" s="459"/>
      <c r="GH5" s="460"/>
      <c r="GI5" s="462"/>
      <c r="GJ5" s="409"/>
      <c r="GK5" s="463" t="s">
        <v>772</v>
      </c>
      <c r="GL5" s="463"/>
      <c r="GM5" s="463"/>
      <c r="GN5" s="409" t="s">
        <v>518</v>
      </c>
      <c r="GO5" s="464"/>
      <c r="GP5" s="464"/>
      <c r="GQ5" s="464"/>
      <c r="GR5" s="409"/>
      <c r="GS5" s="409"/>
      <c r="GT5" s="413"/>
      <c r="GU5" s="463" t="s">
        <v>687</v>
      </c>
      <c r="GV5" s="463"/>
      <c r="GW5" s="463"/>
      <c r="GX5" s="409" t="s">
        <v>686</v>
      </c>
      <c r="GY5" s="464"/>
      <c r="GZ5" s="464"/>
      <c r="HA5" s="464"/>
      <c r="HB5" s="409"/>
      <c r="HC5" s="465"/>
      <c r="HD5" s="437"/>
      <c r="HE5" s="437"/>
      <c r="HF5" s="504"/>
      <c r="HG5" s="386"/>
    </row>
    <row r="6" spans="1:353" ht="20.100000000000001" customHeight="1" thickBot="1">
      <c r="A6" s="466" t="s">
        <v>415</v>
      </c>
      <c r="B6" s="467"/>
      <c r="C6" s="468" t="s">
        <v>416</v>
      </c>
      <c r="D6" s="468"/>
      <c r="E6" s="468"/>
      <c r="F6" s="469">
        <v>0</v>
      </c>
      <c r="G6" s="469"/>
      <c r="H6" s="468" t="s">
        <v>417</v>
      </c>
      <c r="I6" s="468"/>
      <c r="J6" s="468"/>
      <c r="K6" s="468"/>
      <c r="L6" s="468"/>
      <c r="M6" s="470">
        <v>0</v>
      </c>
      <c r="N6" s="470"/>
      <c r="O6" s="471"/>
      <c r="P6" s="472"/>
      <c r="Q6" s="472" t="s">
        <v>418</v>
      </c>
      <c r="R6" s="473">
        <v>0</v>
      </c>
      <c r="S6" s="473"/>
      <c r="T6" s="474"/>
      <c r="U6" s="475" t="s">
        <v>419</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29</v>
      </c>
      <c r="BC6" s="479"/>
      <c r="BD6" s="466" t="s">
        <v>415</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875</v>
      </c>
      <c r="DF6" s="481"/>
      <c r="DG6" s="466" t="s">
        <v>415</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19</v>
      </c>
      <c r="FI6" s="481"/>
      <c r="FJ6" s="466" t="s">
        <v>424</v>
      </c>
      <c r="FK6" s="467"/>
      <c r="FL6" s="468" t="s">
        <v>416</v>
      </c>
      <c r="FM6" s="468"/>
      <c r="FN6" s="468"/>
      <c r="FO6" s="469">
        <v>0</v>
      </c>
      <c r="FP6" s="469"/>
      <c r="FQ6" s="468" t="s">
        <v>417</v>
      </c>
      <c r="FR6" s="468"/>
      <c r="FS6" s="468"/>
      <c r="FT6" s="468"/>
      <c r="FU6" s="468"/>
      <c r="FV6" s="470">
        <v>0</v>
      </c>
      <c r="FW6" s="470"/>
      <c r="FX6" s="471"/>
      <c r="FY6" s="472"/>
      <c r="FZ6" s="472" t="s">
        <v>425</v>
      </c>
      <c r="GA6" s="473">
        <v>0</v>
      </c>
      <c r="GB6" s="473"/>
      <c r="GC6" s="474"/>
      <c r="GD6" s="475" t="s">
        <v>668</v>
      </c>
      <c r="GE6" s="476">
        <v>0</v>
      </c>
      <c r="GF6" s="476"/>
      <c r="GG6" s="477"/>
      <c r="GH6" s="472"/>
      <c r="GI6" s="472"/>
      <c r="GJ6" s="483"/>
      <c r="GK6" s="484" t="s">
        <v>688</v>
      </c>
      <c r="GL6" s="484"/>
      <c r="GM6" s="484"/>
      <c r="GN6" s="485">
        <v>2</v>
      </c>
      <c r="GO6" s="486"/>
      <c r="GP6" s="486"/>
      <c r="GQ6" s="486"/>
      <c r="GR6" s="483"/>
      <c r="GS6" s="483"/>
      <c r="GT6" s="413"/>
      <c r="GU6" s="484" t="s">
        <v>522</v>
      </c>
      <c r="GV6" s="484"/>
      <c r="GW6" s="484"/>
      <c r="GX6" s="485">
        <v>2</v>
      </c>
      <c r="GY6" s="413"/>
      <c r="GZ6" s="413"/>
      <c r="HA6" s="486"/>
      <c r="HB6" s="486"/>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501"/>
      <c r="GL7" s="501"/>
      <c r="GM7" s="501"/>
      <c r="GN7" s="502"/>
      <c r="GO7" s="502"/>
      <c r="GP7" s="501"/>
      <c r="GQ7" s="501"/>
      <c r="GR7" s="501"/>
      <c r="GS7" s="501"/>
      <c r="GT7" s="501"/>
      <c r="GU7" s="501"/>
      <c r="GV7" s="501"/>
      <c r="GW7" s="501"/>
      <c r="GX7" s="501"/>
      <c r="GY7" s="501"/>
      <c r="GZ7" s="501"/>
      <c r="HA7" s="501"/>
      <c r="HB7" s="501"/>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528" t="s">
        <v>469</v>
      </c>
      <c r="GK8" s="528"/>
      <c r="GL8" s="529"/>
      <c r="GM8" s="530"/>
      <c r="GN8" s="529"/>
      <c r="GO8" s="530"/>
      <c r="GP8" s="529"/>
      <c r="GQ8" s="529"/>
      <c r="GR8" s="529"/>
      <c r="GS8" s="529"/>
      <c r="GT8" s="528" t="s">
        <v>470</v>
      </c>
      <c r="GU8" s="528"/>
      <c r="GV8" s="413"/>
      <c r="GW8" s="483"/>
      <c r="GX8" s="486"/>
      <c r="GY8" s="483"/>
      <c r="GZ8" s="486"/>
      <c r="HA8" s="530"/>
      <c r="HB8" s="530"/>
      <c r="HC8" s="530"/>
      <c r="HD8" s="437"/>
      <c r="HE8" s="437"/>
      <c r="HF8" s="1275"/>
      <c r="HG8" s="1275"/>
    </row>
    <row r="9" spans="1:353" ht="22.5" customHeight="1">
      <c r="A9" s="532" t="s">
        <v>289</v>
      </c>
      <c r="B9" s="533" t="s">
        <v>290</v>
      </c>
      <c r="C9" s="534" t="s">
        <v>291</v>
      </c>
      <c r="D9" s="534" t="s">
        <v>1004</v>
      </c>
      <c r="E9" s="535" t="s">
        <v>1005</v>
      </c>
      <c r="F9" s="536" t="s">
        <v>294</v>
      </c>
      <c r="G9" s="537" t="s">
        <v>1006</v>
      </c>
      <c r="H9" s="538" t="s">
        <v>1007</v>
      </c>
      <c r="I9" s="539" t="s">
        <v>297</v>
      </c>
      <c r="J9" s="538" t="s">
        <v>1007</v>
      </c>
      <c r="K9" s="539" t="s">
        <v>297</v>
      </c>
      <c r="L9" s="538" t="s">
        <v>1007</v>
      </c>
      <c r="M9" s="539" t="s">
        <v>297</v>
      </c>
      <c r="N9" s="538" t="s">
        <v>1007</v>
      </c>
      <c r="O9" s="539" t="s">
        <v>297</v>
      </c>
      <c r="P9" s="538" t="s">
        <v>1007</v>
      </c>
      <c r="Q9" s="539" t="s">
        <v>297</v>
      </c>
      <c r="R9" s="538" t="s">
        <v>1007</v>
      </c>
      <c r="S9" s="539" t="s">
        <v>297</v>
      </c>
      <c r="T9" s="538" t="s">
        <v>1007</v>
      </c>
      <c r="U9" s="539" t="s">
        <v>297</v>
      </c>
      <c r="V9" s="538" t="s">
        <v>1007</v>
      </c>
      <c r="W9" s="539" t="s">
        <v>297</v>
      </c>
      <c r="X9" s="538" t="s">
        <v>1007</v>
      </c>
      <c r="Y9" s="539" t="s">
        <v>297</v>
      </c>
      <c r="Z9" s="538" t="s">
        <v>1007</v>
      </c>
      <c r="AA9" s="539" t="s">
        <v>297</v>
      </c>
      <c r="AB9" s="538" t="s">
        <v>1007</v>
      </c>
      <c r="AC9" s="539" t="s">
        <v>297</v>
      </c>
      <c r="AD9" s="538" t="s">
        <v>1007</v>
      </c>
      <c r="AE9" s="539" t="s">
        <v>297</v>
      </c>
      <c r="AF9" s="538" t="s">
        <v>1007</v>
      </c>
      <c r="AG9" s="539" t="s">
        <v>297</v>
      </c>
      <c r="AH9" s="538" t="s">
        <v>1007</v>
      </c>
      <c r="AI9" s="539" t="s">
        <v>297</v>
      </c>
      <c r="AJ9" s="538" t="s">
        <v>1007</v>
      </c>
      <c r="AK9" s="539" t="s">
        <v>297</v>
      </c>
      <c r="AL9" s="538" t="s">
        <v>1007</v>
      </c>
      <c r="AM9" s="539" t="s">
        <v>297</v>
      </c>
      <c r="AN9" s="538" t="s">
        <v>1007</v>
      </c>
      <c r="AO9" s="539" t="s">
        <v>297</v>
      </c>
      <c r="AP9" s="538" t="s">
        <v>1007</v>
      </c>
      <c r="AQ9" s="539" t="s">
        <v>297</v>
      </c>
      <c r="AR9" s="538" t="s">
        <v>1007</v>
      </c>
      <c r="AS9" s="539" t="s">
        <v>297</v>
      </c>
      <c r="AT9" s="538" t="s">
        <v>1007</v>
      </c>
      <c r="AU9" s="539" t="s">
        <v>297</v>
      </c>
      <c r="AV9" s="538" t="s">
        <v>1007</v>
      </c>
      <c r="AW9" s="539" t="s">
        <v>297</v>
      </c>
      <c r="AX9" s="538" t="s">
        <v>1007</v>
      </c>
      <c r="AY9" s="539" t="s">
        <v>297</v>
      </c>
      <c r="AZ9" s="538" t="s">
        <v>1007</v>
      </c>
      <c r="BA9" s="539" t="s">
        <v>297</v>
      </c>
      <c r="BB9" s="540" t="s">
        <v>298</v>
      </c>
      <c r="BC9" s="503"/>
      <c r="BD9" s="532" t="s">
        <v>289</v>
      </c>
      <c r="BE9" s="533" t="s">
        <v>290</v>
      </c>
      <c r="BF9" s="534" t="s">
        <v>291</v>
      </c>
      <c r="BG9" s="534" t="s">
        <v>1004</v>
      </c>
      <c r="BH9" s="535" t="s">
        <v>1005</v>
      </c>
      <c r="BI9" s="536" t="s">
        <v>294</v>
      </c>
      <c r="BJ9" s="537" t="s">
        <v>1006</v>
      </c>
      <c r="BK9" s="538" t="s">
        <v>1007</v>
      </c>
      <c r="BL9" s="539" t="s">
        <v>297</v>
      </c>
      <c r="BM9" s="538" t="s">
        <v>1007</v>
      </c>
      <c r="BN9" s="539" t="s">
        <v>297</v>
      </c>
      <c r="BO9" s="538" t="s">
        <v>1007</v>
      </c>
      <c r="BP9" s="539" t="s">
        <v>297</v>
      </c>
      <c r="BQ9" s="538" t="s">
        <v>1007</v>
      </c>
      <c r="BR9" s="539" t="s">
        <v>297</v>
      </c>
      <c r="BS9" s="538" t="s">
        <v>1007</v>
      </c>
      <c r="BT9" s="539" t="s">
        <v>297</v>
      </c>
      <c r="BU9" s="538" t="s">
        <v>1007</v>
      </c>
      <c r="BV9" s="539" t="s">
        <v>297</v>
      </c>
      <c r="BW9" s="538" t="s">
        <v>1007</v>
      </c>
      <c r="BX9" s="539" t="s">
        <v>297</v>
      </c>
      <c r="BY9" s="538" t="s">
        <v>1007</v>
      </c>
      <c r="BZ9" s="539" t="s">
        <v>297</v>
      </c>
      <c r="CA9" s="538" t="s">
        <v>1007</v>
      </c>
      <c r="CB9" s="539" t="s">
        <v>297</v>
      </c>
      <c r="CC9" s="538" t="s">
        <v>1007</v>
      </c>
      <c r="CD9" s="539" t="s">
        <v>297</v>
      </c>
      <c r="CE9" s="538" t="s">
        <v>1007</v>
      </c>
      <c r="CF9" s="539" t="s">
        <v>297</v>
      </c>
      <c r="CG9" s="538" t="s">
        <v>1007</v>
      </c>
      <c r="CH9" s="539" t="s">
        <v>297</v>
      </c>
      <c r="CI9" s="538" t="s">
        <v>1007</v>
      </c>
      <c r="CJ9" s="539" t="s">
        <v>297</v>
      </c>
      <c r="CK9" s="538" t="s">
        <v>1007</v>
      </c>
      <c r="CL9" s="539" t="s">
        <v>297</v>
      </c>
      <c r="CM9" s="538" t="s">
        <v>1007</v>
      </c>
      <c r="CN9" s="539" t="s">
        <v>297</v>
      </c>
      <c r="CO9" s="538" t="s">
        <v>1007</v>
      </c>
      <c r="CP9" s="539" t="s">
        <v>297</v>
      </c>
      <c r="CQ9" s="538" t="s">
        <v>1007</v>
      </c>
      <c r="CR9" s="539" t="s">
        <v>297</v>
      </c>
      <c r="CS9" s="538" t="s">
        <v>1007</v>
      </c>
      <c r="CT9" s="539" t="s">
        <v>297</v>
      </c>
      <c r="CU9" s="538" t="s">
        <v>1007</v>
      </c>
      <c r="CV9" s="539" t="s">
        <v>297</v>
      </c>
      <c r="CW9" s="538" t="s">
        <v>1007</v>
      </c>
      <c r="CX9" s="539" t="s">
        <v>297</v>
      </c>
      <c r="CY9" s="538" t="s">
        <v>1007</v>
      </c>
      <c r="CZ9" s="539" t="s">
        <v>297</v>
      </c>
      <c r="DA9" s="538" t="s">
        <v>1007</v>
      </c>
      <c r="DB9" s="539" t="s">
        <v>297</v>
      </c>
      <c r="DC9" s="538" t="s">
        <v>1007</v>
      </c>
      <c r="DD9" s="539" t="s">
        <v>297</v>
      </c>
      <c r="DE9" s="540" t="s">
        <v>298</v>
      </c>
      <c r="DF9" s="503"/>
      <c r="DG9" s="532" t="s">
        <v>289</v>
      </c>
      <c r="DH9" s="533" t="s">
        <v>290</v>
      </c>
      <c r="DI9" s="534" t="s">
        <v>291</v>
      </c>
      <c r="DJ9" s="534" t="s">
        <v>1004</v>
      </c>
      <c r="DK9" s="535" t="s">
        <v>1005</v>
      </c>
      <c r="DL9" s="536" t="s">
        <v>294</v>
      </c>
      <c r="DM9" s="537" t="s">
        <v>1006</v>
      </c>
      <c r="DN9" s="538" t="s">
        <v>1007</v>
      </c>
      <c r="DO9" s="539" t="s">
        <v>297</v>
      </c>
      <c r="DP9" s="538" t="s">
        <v>1007</v>
      </c>
      <c r="DQ9" s="539" t="s">
        <v>297</v>
      </c>
      <c r="DR9" s="538" t="s">
        <v>1007</v>
      </c>
      <c r="DS9" s="539" t="s">
        <v>297</v>
      </c>
      <c r="DT9" s="538" t="s">
        <v>1007</v>
      </c>
      <c r="DU9" s="539" t="s">
        <v>297</v>
      </c>
      <c r="DV9" s="538" t="s">
        <v>1007</v>
      </c>
      <c r="DW9" s="539" t="s">
        <v>297</v>
      </c>
      <c r="DX9" s="538" t="s">
        <v>1007</v>
      </c>
      <c r="DY9" s="539" t="s">
        <v>297</v>
      </c>
      <c r="DZ9" s="538" t="s">
        <v>1007</v>
      </c>
      <c r="EA9" s="539" t="s">
        <v>297</v>
      </c>
      <c r="EB9" s="538" t="s">
        <v>1007</v>
      </c>
      <c r="EC9" s="539" t="s">
        <v>297</v>
      </c>
      <c r="ED9" s="538" t="s">
        <v>1007</v>
      </c>
      <c r="EE9" s="539" t="s">
        <v>297</v>
      </c>
      <c r="EF9" s="538" t="s">
        <v>1007</v>
      </c>
      <c r="EG9" s="539" t="s">
        <v>297</v>
      </c>
      <c r="EH9" s="538" t="s">
        <v>1007</v>
      </c>
      <c r="EI9" s="539" t="s">
        <v>297</v>
      </c>
      <c r="EJ9" s="538" t="s">
        <v>1007</v>
      </c>
      <c r="EK9" s="539" t="s">
        <v>297</v>
      </c>
      <c r="EL9" s="538" t="s">
        <v>1007</v>
      </c>
      <c r="EM9" s="539" t="s">
        <v>297</v>
      </c>
      <c r="EN9" s="538" t="s">
        <v>1007</v>
      </c>
      <c r="EO9" s="539" t="s">
        <v>297</v>
      </c>
      <c r="EP9" s="538" t="s">
        <v>1007</v>
      </c>
      <c r="EQ9" s="539" t="s">
        <v>297</v>
      </c>
      <c r="ER9" s="538" t="s">
        <v>1007</v>
      </c>
      <c r="ES9" s="539" t="s">
        <v>297</v>
      </c>
      <c r="ET9" s="538" t="s">
        <v>1007</v>
      </c>
      <c r="EU9" s="539" t="s">
        <v>297</v>
      </c>
      <c r="EV9" s="538" t="s">
        <v>1007</v>
      </c>
      <c r="EW9" s="539" t="s">
        <v>297</v>
      </c>
      <c r="EX9" s="538" t="s">
        <v>1007</v>
      </c>
      <c r="EY9" s="539" t="s">
        <v>297</v>
      </c>
      <c r="EZ9" s="538" t="s">
        <v>1007</v>
      </c>
      <c r="FA9" s="539" t="s">
        <v>297</v>
      </c>
      <c r="FB9" s="538" t="s">
        <v>1007</v>
      </c>
      <c r="FC9" s="539" t="s">
        <v>297</v>
      </c>
      <c r="FD9" s="538" t="s">
        <v>1007</v>
      </c>
      <c r="FE9" s="539" t="s">
        <v>297</v>
      </c>
      <c r="FF9" s="538" t="s">
        <v>1007</v>
      </c>
      <c r="FG9" s="539" t="s">
        <v>297</v>
      </c>
      <c r="FH9" s="540" t="s">
        <v>298</v>
      </c>
      <c r="FI9" s="541"/>
      <c r="FJ9" s="542" t="s">
        <v>289</v>
      </c>
      <c r="FK9" s="533" t="s">
        <v>290</v>
      </c>
      <c r="FL9" s="534" t="s">
        <v>291</v>
      </c>
      <c r="FM9" s="534" t="s">
        <v>1004</v>
      </c>
      <c r="FN9" s="535" t="s">
        <v>1005</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29"/>
      <c r="GK9" s="530" t="s">
        <v>523</v>
      </c>
      <c r="GL9" s="529"/>
      <c r="GM9" s="530"/>
      <c r="GN9" s="529"/>
      <c r="GO9" s="549">
        <v>0.92</v>
      </c>
      <c r="GP9" s="529"/>
      <c r="GQ9" s="529"/>
      <c r="GR9" s="529"/>
      <c r="GS9" s="529"/>
      <c r="GT9" s="550"/>
      <c r="GU9" s="483" t="s">
        <v>524</v>
      </c>
      <c r="GV9" s="413"/>
      <c r="GW9" s="483"/>
      <c r="GX9" s="551">
        <v>1</v>
      </c>
      <c r="GY9" s="483"/>
      <c r="GZ9" s="486"/>
      <c r="HA9" s="530"/>
      <c r="HB9" s="530"/>
      <c r="HC9" s="530"/>
      <c r="HD9" s="437"/>
      <c r="HE9" s="437"/>
      <c r="HF9" s="1279"/>
      <c r="HG9" s="1279"/>
    </row>
    <row r="10" spans="1:353" ht="20.100000000000001" customHeight="1">
      <c r="A10" s="552"/>
      <c r="B10" s="553" t="s">
        <v>233</v>
      </c>
      <c r="C10" s="554" t="s">
        <v>74</v>
      </c>
      <c r="D10" s="555">
        <f>ROUND(8.1*0.85,2)</f>
        <v>6.89</v>
      </c>
      <c r="E10" s="553">
        <v>0.7</v>
      </c>
      <c r="F10" s="554"/>
      <c r="G10" s="556">
        <v>0</v>
      </c>
      <c r="H10" s="557">
        <f>ROUND(ROUND(8.1*0.85,2)*0.7*0,0)</f>
        <v>0</v>
      </c>
      <c r="I10" s="558">
        <v>0</v>
      </c>
      <c r="J10" s="559">
        <f>ROUND(ROUND(8.1*0.85,2)*0.7*0,0)</f>
        <v>0</v>
      </c>
      <c r="K10" s="560">
        <v>0</v>
      </c>
      <c r="L10" s="559">
        <f>ROUND(ROUND(8.1*0.85,2)*0.7*0,0)</f>
        <v>0</v>
      </c>
      <c r="M10" s="560">
        <v>0</v>
      </c>
      <c r="N10" s="559">
        <f>ROUND(ROUND(8.1*0.85,2)*0.7*0,0)</f>
        <v>0</v>
      </c>
      <c r="O10" s="560">
        <v>4</v>
      </c>
      <c r="P10" s="559">
        <f>ROUND(ROUND(8.1*0.85,2)*0.7*4,0)</f>
        <v>19</v>
      </c>
      <c r="Q10" s="560">
        <v>31</v>
      </c>
      <c r="R10" s="559">
        <f>ROUND(ROUND(8.1*0.85,2)*0.7*31,0)</f>
        <v>150</v>
      </c>
      <c r="S10" s="560">
        <v>63</v>
      </c>
      <c r="T10" s="559">
        <f>ROUND(ROUND(8.1*0.85,2)*0.7*63,0)</f>
        <v>304</v>
      </c>
      <c r="U10" s="560">
        <v>93</v>
      </c>
      <c r="V10" s="559">
        <f>ROUND(ROUND(8.1*0.85,2)*0.7*93,0)</f>
        <v>449</v>
      </c>
      <c r="W10" s="560">
        <v>116</v>
      </c>
      <c r="X10" s="559">
        <f>ROUND(ROUND(8.1*0.85,2)*0.7*116,0)</f>
        <v>559</v>
      </c>
      <c r="Y10" s="560">
        <v>130</v>
      </c>
      <c r="Z10" s="559">
        <f>ROUND(ROUND(8.1*0.85,2)*0.7*130,0)</f>
        <v>627</v>
      </c>
      <c r="AA10" s="560">
        <v>135</v>
      </c>
      <c r="AB10" s="559">
        <f>ROUND(ROUND(8.1*0.85,2)*0.7*135,0)</f>
        <v>651</v>
      </c>
      <c r="AC10" s="560">
        <v>136</v>
      </c>
      <c r="AD10" s="559">
        <f>ROUND(ROUND(8.1*0.85,2)*0.7*136,0)</f>
        <v>656</v>
      </c>
      <c r="AE10" s="560">
        <v>148</v>
      </c>
      <c r="AF10" s="559">
        <f>ROUND(ROUND(8.1*0.85,2)*0.7*148,0)</f>
        <v>714</v>
      </c>
      <c r="AG10" s="560">
        <v>242</v>
      </c>
      <c r="AH10" s="559">
        <f>ROUND(ROUND(8.1*0.85,2)*0.7*242,0)</f>
        <v>1167</v>
      </c>
      <c r="AI10" s="560">
        <v>308</v>
      </c>
      <c r="AJ10" s="559">
        <f>ROUND(ROUND(8.1*0.85,2)*0.7*308,0)</f>
        <v>1485</v>
      </c>
      <c r="AK10" s="560">
        <v>299</v>
      </c>
      <c r="AL10" s="559">
        <f>ROUND(ROUND(8.1*0.85,2)*0.7*299,0)</f>
        <v>1442</v>
      </c>
      <c r="AM10" s="560">
        <v>232</v>
      </c>
      <c r="AN10" s="559">
        <f>ROUND(ROUND(8.1*0.85,2)*0.7*232,0)</f>
        <v>1119</v>
      </c>
      <c r="AO10" s="560">
        <v>66</v>
      </c>
      <c r="AP10" s="559">
        <f>ROUND(ROUND(8.1*0.85,2)*0.7*66,0)</f>
        <v>318</v>
      </c>
      <c r="AQ10" s="560">
        <v>0</v>
      </c>
      <c r="AR10" s="559">
        <f>ROUND(ROUND(8.1*0.85,2)*0.7*0,0)</f>
        <v>0</v>
      </c>
      <c r="AS10" s="560">
        <v>0</v>
      </c>
      <c r="AT10" s="559">
        <f>ROUND(ROUND(8.1*0.85,2)*0.7*0,0)</f>
        <v>0</v>
      </c>
      <c r="AU10" s="560">
        <v>0</v>
      </c>
      <c r="AV10" s="559">
        <f>ROUND(ROUND(8.1*0.85,2)*0.7*0,0)</f>
        <v>0</v>
      </c>
      <c r="AW10" s="560">
        <v>0</v>
      </c>
      <c r="AX10" s="559">
        <f>ROUND(ROUND(8.1*0.85,2)*0.7*0,0)</f>
        <v>0</v>
      </c>
      <c r="AY10" s="560">
        <v>0</v>
      </c>
      <c r="AZ10" s="559">
        <f>ROUND(ROUND(8.1*0.85,2)*0.7*0,0)</f>
        <v>0</v>
      </c>
      <c r="BA10" s="560">
        <v>0</v>
      </c>
      <c r="BB10" s="561">
        <f>ROUND(ROUND(8.1*0.85,2)*0.7*0,0)</f>
        <v>0</v>
      </c>
      <c r="BC10" s="562"/>
      <c r="BD10" s="552"/>
      <c r="BE10" s="553"/>
      <c r="BF10" s="554"/>
      <c r="BG10" s="555"/>
      <c r="BH10" s="553"/>
      <c r="BI10" s="554"/>
      <c r="BJ10" s="556">
        <v>0</v>
      </c>
      <c r="BK10" s="557">
        <f>ROUND(ROUND(8.1*0.85,2)*0.7*0,0)</f>
        <v>0</v>
      </c>
      <c r="BL10" s="558">
        <v>0</v>
      </c>
      <c r="BM10" s="559">
        <f>ROUND(ROUND(8.1*0.85,2)*0.7*0,0)</f>
        <v>0</v>
      </c>
      <c r="BN10" s="560">
        <v>0</v>
      </c>
      <c r="BO10" s="559">
        <f>ROUND(ROUND(8.1*0.85,2)*0.7*0,0)</f>
        <v>0</v>
      </c>
      <c r="BP10" s="560">
        <v>0</v>
      </c>
      <c r="BQ10" s="559">
        <f>ROUND(ROUND(8.1*0.85,2)*0.7*0,0)</f>
        <v>0</v>
      </c>
      <c r="BR10" s="560">
        <v>6</v>
      </c>
      <c r="BS10" s="559">
        <f>ROUND(ROUND(8.1*0.85,2)*0.7*6,0)</f>
        <v>29</v>
      </c>
      <c r="BT10" s="560">
        <v>35</v>
      </c>
      <c r="BU10" s="559">
        <f>ROUND(ROUND(8.1*0.85,2)*0.7*35,0)</f>
        <v>169</v>
      </c>
      <c r="BV10" s="560">
        <v>62</v>
      </c>
      <c r="BW10" s="559">
        <f>ROUND(ROUND(8.1*0.85,2)*0.7*62,0)</f>
        <v>299</v>
      </c>
      <c r="BX10" s="560">
        <v>87</v>
      </c>
      <c r="BY10" s="559">
        <f>ROUND(ROUND(8.1*0.85,2)*0.7*87,0)</f>
        <v>420</v>
      </c>
      <c r="BZ10" s="560">
        <v>103</v>
      </c>
      <c r="CA10" s="559">
        <f>ROUND(ROUND(8.1*0.85,2)*0.7*103,0)</f>
        <v>497</v>
      </c>
      <c r="CB10" s="560">
        <v>110</v>
      </c>
      <c r="CC10" s="559">
        <f>ROUND(ROUND(8.1*0.85,2)*0.7*110,0)</f>
        <v>531</v>
      </c>
      <c r="CD10" s="560">
        <v>111</v>
      </c>
      <c r="CE10" s="559">
        <f>ROUND(ROUND(8.1*0.85,2)*0.7*111,0)</f>
        <v>535</v>
      </c>
      <c r="CF10" s="560">
        <v>110</v>
      </c>
      <c r="CG10" s="559">
        <f>ROUND(ROUND(8.1*0.85,2)*0.7*110,0)</f>
        <v>531</v>
      </c>
      <c r="CH10" s="560">
        <v>134</v>
      </c>
      <c r="CI10" s="559">
        <f>ROUND(ROUND(8.1*0.85,2)*0.7*134,0)</f>
        <v>646</v>
      </c>
      <c r="CJ10" s="560">
        <v>295</v>
      </c>
      <c r="CK10" s="559">
        <f>ROUND(ROUND(8.1*0.85,2)*0.7*295,0)</f>
        <v>1423</v>
      </c>
      <c r="CL10" s="560">
        <v>444</v>
      </c>
      <c r="CM10" s="559">
        <f>ROUND(ROUND(8.1*0.85,2)*0.7*444,0)</f>
        <v>2141</v>
      </c>
      <c r="CN10" s="560">
        <v>495</v>
      </c>
      <c r="CO10" s="559">
        <f>ROUND(ROUND(8.1*0.85,2)*0.7*495,0)</f>
        <v>2387</v>
      </c>
      <c r="CP10" s="560">
        <v>476</v>
      </c>
      <c r="CQ10" s="559">
        <f>ROUND(ROUND(8.1*0.85,2)*0.7*476,0)</f>
        <v>2296</v>
      </c>
      <c r="CR10" s="560">
        <v>256</v>
      </c>
      <c r="CS10" s="559">
        <f>ROUND(ROUND(8.1*0.85,2)*0.7*256,0)</f>
        <v>1235</v>
      </c>
      <c r="CT10" s="560">
        <v>2</v>
      </c>
      <c r="CU10" s="559">
        <f>ROUND(ROUND(8.1*0.85,2)*0.7*2,0)</f>
        <v>10</v>
      </c>
      <c r="CV10" s="560">
        <v>0</v>
      </c>
      <c r="CW10" s="559">
        <f>ROUND(ROUND(8.1*0.85,2)*0.7*0,0)</f>
        <v>0</v>
      </c>
      <c r="CX10" s="560">
        <v>0</v>
      </c>
      <c r="CY10" s="559">
        <f>ROUND(ROUND(8.1*0.85,2)*0.7*0,0)</f>
        <v>0</v>
      </c>
      <c r="CZ10" s="560">
        <v>0</v>
      </c>
      <c r="DA10" s="559">
        <f>ROUND(ROUND(8.1*0.85,2)*0.7*0,0)</f>
        <v>0</v>
      </c>
      <c r="DB10" s="560">
        <v>0</v>
      </c>
      <c r="DC10" s="559">
        <f>ROUND(ROUND(8.1*0.85,2)*0.7*0,0)</f>
        <v>0</v>
      </c>
      <c r="DD10" s="560">
        <v>0</v>
      </c>
      <c r="DE10" s="561">
        <f>ROUND(ROUND(8.1*0.85,2)*0.7*0,0)</f>
        <v>0</v>
      </c>
      <c r="DF10" s="562"/>
      <c r="DG10" s="552"/>
      <c r="DH10" s="553"/>
      <c r="DI10" s="554"/>
      <c r="DJ10" s="555"/>
      <c r="DK10" s="553"/>
      <c r="DL10" s="554"/>
      <c r="DM10" s="556">
        <v>0</v>
      </c>
      <c r="DN10" s="557">
        <f>ROUND(ROUND(8.1*0.85,2)*0.7*0,0)</f>
        <v>0</v>
      </c>
      <c r="DO10" s="558">
        <v>0</v>
      </c>
      <c r="DP10" s="559">
        <f>ROUND(ROUND(8.1*0.85,2)*0.7*0,0)</f>
        <v>0</v>
      </c>
      <c r="DQ10" s="560">
        <v>0</v>
      </c>
      <c r="DR10" s="559">
        <f>ROUND(ROUND(8.1*0.85,2)*0.7*0,0)</f>
        <v>0</v>
      </c>
      <c r="DS10" s="560">
        <v>0</v>
      </c>
      <c r="DT10" s="559">
        <f>ROUND(ROUND(8.1*0.85,2)*0.7*0,0)</f>
        <v>0</v>
      </c>
      <c r="DU10" s="560">
        <v>0</v>
      </c>
      <c r="DV10" s="559">
        <f>ROUND(ROUND(8.1*0.85,2)*0.7*0,0)</f>
        <v>0</v>
      </c>
      <c r="DW10" s="560">
        <v>19</v>
      </c>
      <c r="DX10" s="559">
        <f>ROUND(ROUND(8.1*0.85,2)*0.7*19,0)</f>
        <v>92</v>
      </c>
      <c r="DY10" s="560">
        <v>47</v>
      </c>
      <c r="DZ10" s="559">
        <f>ROUND(ROUND(8.1*0.85,2)*0.7*47,0)</f>
        <v>227</v>
      </c>
      <c r="EA10" s="560">
        <v>72</v>
      </c>
      <c r="EB10" s="559">
        <f>ROUND(ROUND(8.1*0.85,2)*0.7*72,0)</f>
        <v>347</v>
      </c>
      <c r="EC10" s="560">
        <v>88</v>
      </c>
      <c r="ED10" s="559">
        <f>ROUND(ROUND(8.1*0.85,2)*0.7*88,0)</f>
        <v>424</v>
      </c>
      <c r="EE10" s="560">
        <v>97</v>
      </c>
      <c r="EF10" s="559">
        <f>ROUND(ROUND(8.1*0.85,2)*0.7*97,0)</f>
        <v>468</v>
      </c>
      <c r="EG10" s="560">
        <v>101</v>
      </c>
      <c r="EH10" s="559">
        <f>ROUND(ROUND(8.1*0.85,2)*0.7*101,0)</f>
        <v>487</v>
      </c>
      <c r="EI10" s="560">
        <v>101</v>
      </c>
      <c r="EJ10" s="559">
        <f>ROUND(ROUND(8.1*0.85,2)*0.7*101,0)</f>
        <v>487</v>
      </c>
      <c r="EK10" s="560">
        <v>98</v>
      </c>
      <c r="EL10" s="559">
        <f>ROUND(ROUND(8.1*0.85,2)*0.7*98,0)</f>
        <v>473</v>
      </c>
      <c r="EM10" s="560">
        <v>224</v>
      </c>
      <c r="EN10" s="559">
        <f>ROUND(ROUND(8.1*0.85,2)*0.7*224,0)</f>
        <v>1080</v>
      </c>
      <c r="EO10" s="560">
        <v>378</v>
      </c>
      <c r="EP10" s="559">
        <f>ROUND(ROUND(8.1*0.85,2)*0.7*378,0)</f>
        <v>1823</v>
      </c>
      <c r="EQ10" s="560">
        <v>397</v>
      </c>
      <c r="ER10" s="559">
        <f>ROUND(ROUND(8.1*0.85,2)*0.7*397,0)</f>
        <v>1915</v>
      </c>
      <c r="ES10" s="560">
        <v>282</v>
      </c>
      <c r="ET10" s="559">
        <f>ROUND(ROUND(8.1*0.85,2)*0.7*282,0)</f>
        <v>1360</v>
      </c>
      <c r="EU10" s="560">
        <v>3</v>
      </c>
      <c r="EV10" s="559">
        <f>ROUND(ROUND(8.1*0.85,2)*0.7*3,0)</f>
        <v>14</v>
      </c>
      <c r="EW10" s="560">
        <v>0</v>
      </c>
      <c r="EX10" s="559">
        <f>ROUND(ROUND(8.1*0.85,2)*0.7*0,0)</f>
        <v>0</v>
      </c>
      <c r="EY10" s="560">
        <v>0</v>
      </c>
      <c r="EZ10" s="559">
        <f>ROUND(ROUND(8.1*0.85,2)*0.7*0,0)</f>
        <v>0</v>
      </c>
      <c r="FA10" s="560">
        <v>0</v>
      </c>
      <c r="FB10" s="559">
        <f>ROUND(ROUND(8.1*0.85,2)*0.7*0,0)</f>
        <v>0</v>
      </c>
      <c r="FC10" s="560">
        <v>0</v>
      </c>
      <c r="FD10" s="559">
        <f>ROUND(ROUND(8.1*0.85,2)*0.7*0,0)</f>
        <v>0</v>
      </c>
      <c r="FE10" s="560">
        <v>0</v>
      </c>
      <c r="FF10" s="559">
        <f>ROUND(ROUND(8.1*0.85,2)*0.7*0,0)</f>
        <v>0</v>
      </c>
      <c r="FG10" s="560">
        <v>0</v>
      </c>
      <c r="FH10" s="561">
        <f>ROUND(ROUND(8.1*0.85,2)*0.7*0,0)</f>
        <v>0</v>
      </c>
      <c r="FI10" s="563"/>
      <c r="FJ10" s="564"/>
      <c r="FK10" s="553"/>
      <c r="FL10" s="554"/>
      <c r="FM10" s="555"/>
      <c r="FN10" s="553"/>
      <c r="FO10" s="554"/>
      <c r="FP10" s="565"/>
      <c r="FQ10" s="558"/>
      <c r="FR10" s="557" t="s">
        <v>629</v>
      </c>
      <c r="FS10" s="566"/>
      <c r="FT10" s="558"/>
      <c r="FU10" s="567" t="s">
        <v>629</v>
      </c>
      <c r="FV10" s="568" t="s">
        <v>301</v>
      </c>
      <c r="FW10" s="1299"/>
      <c r="FX10" s="1307" t="s">
        <v>302</v>
      </c>
      <c r="FY10" s="1300"/>
      <c r="FZ10" s="1308" t="s">
        <v>303</v>
      </c>
      <c r="GA10" s="1301"/>
      <c r="GB10" s="1309" t="s">
        <v>1016</v>
      </c>
      <c r="GC10" s="1302"/>
      <c r="GD10" s="576" t="s">
        <v>1017</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629</v>
      </c>
      <c r="FS11" s="591"/>
      <c r="FT11" s="586"/>
      <c r="FU11" s="592" t="s">
        <v>1008</v>
      </c>
      <c r="FV11" s="593"/>
      <c r="FW11" s="594"/>
      <c r="FX11" s="595"/>
      <c r="FY11" s="596"/>
      <c r="FZ11" s="597"/>
      <c r="GA11" s="598"/>
      <c r="GB11" s="599"/>
      <c r="GC11" s="600"/>
      <c r="GD11" s="599"/>
      <c r="GE11" s="601"/>
      <c r="GF11" s="499"/>
      <c r="GG11" s="602"/>
      <c r="GH11" s="602"/>
      <c r="GI11" s="602"/>
      <c r="GJ11" s="529"/>
      <c r="GK11" s="580" t="s">
        <v>829</v>
      </c>
      <c r="GL11" s="413"/>
      <c r="GM11" s="483"/>
      <c r="GN11" s="486"/>
      <c r="GO11" s="483"/>
      <c r="GP11" s="413"/>
      <c r="GQ11" s="529"/>
      <c r="GR11" s="529"/>
      <c r="GS11" s="529"/>
      <c r="GT11" s="548"/>
      <c r="GU11" s="580" t="s">
        <v>691</v>
      </c>
      <c r="GV11" s="413"/>
      <c r="GW11" s="483"/>
      <c r="GX11" s="486"/>
      <c r="GY11" s="483"/>
      <c r="GZ11" s="413"/>
      <c r="HA11" s="530"/>
      <c r="HB11" s="530"/>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1008</v>
      </c>
      <c r="FS12" s="591"/>
      <c r="FT12" s="586"/>
      <c r="FU12" s="592" t="s">
        <v>1008</v>
      </c>
      <c r="FV12" s="593"/>
      <c r="FW12" s="594"/>
      <c r="FX12" s="595"/>
      <c r="FY12" s="596"/>
      <c r="FZ12" s="597"/>
      <c r="GA12" s="598"/>
      <c r="GB12" s="599"/>
      <c r="GC12" s="600"/>
      <c r="GD12" s="599"/>
      <c r="GE12" s="601"/>
      <c r="GF12" s="499"/>
      <c r="GG12" s="602"/>
      <c r="GH12" s="602"/>
      <c r="GI12" s="602"/>
      <c r="GJ12" s="413"/>
      <c r="GK12" s="603" t="s">
        <v>380</v>
      </c>
      <c r="GL12" s="604"/>
      <c r="GM12" s="605" t="s">
        <v>527</v>
      </c>
      <c r="GN12" s="606" t="s">
        <v>528</v>
      </c>
      <c r="GO12" s="607" t="s">
        <v>832</v>
      </c>
      <c r="GP12" s="608" t="s">
        <v>530</v>
      </c>
      <c r="GQ12" s="607" t="s">
        <v>693</v>
      </c>
      <c r="GR12" s="607" t="s">
        <v>694</v>
      </c>
      <c r="GS12" s="609"/>
      <c r="GT12" s="548"/>
      <c r="GU12" s="603" t="s">
        <v>384</v>
      </c>
      <c r="GV12" s="604"/>
      <c r="GW12" s="605" t="s">
        <v>527</v>
      </c>
      <c r="GX12" s="610" t="s">
        <v>534</v>
      </c>
      <c r="GY12" s="611"/>
      <c r="GZ12" s="612" t="s">
        <v>832</v>
      </c>
      <c r="HA12" s="613" t="s">
        <v>696</v>
      </c>
      <c r="HB12" s="614"/>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630</v>
      </c>
      <c r="FS13" s="626"/>
      <c r="FT13" s="621"/>
      <c r="FU13" s="627" t="s">
        <v>630</v>
      </c>
      <c r="FV13" s="593"/>
      <c r="FW13" s="594"/>
      <c r="FX13" s="595"/>
      <c r="FY13" s="596"/>
      <c r="FZ13" s="597"/>
      <c r="GA13" s="598"/>
      <c r="GB13" s="599"/>
      <c r="GC13" s="600"/>
      <c r="GD13" s="599"/>
      <c r="GE13" s="601"/>
      <c r="GF13" s="499"/>
      <c r="GG13" s="602"/>
      <c r="GH13" s="602"/>
      <c r="GI13" s="602"/>
      <c r="GJ13" s="413"/>
      <c r="GK13" s="628">
        <v>202</v>
      </c>
      <c r="GL13" s="629"/>
      <c r="GM13" s="630" t="s">
        <v>697</v>
      </c>
      <c r="GN13" s="631">
        <v>8.1</v>
      </c>
      <c r="GO13" s="632">
        <v>0</v>
      </c>
      <c r="GP13" s="632">
        <v>1</v>
      </c>
      <c r="GQ13" s="633">
        <v>0</v>
      </c>
      <c r="GR13" s="634">
        <v>8.1</v>
      </c>
      <c r="GS13" s="578"/>
      <c r="GT13" s="413"/>
      <c r="GU13" s="628">
        <v>202</v>
      </c>
      <c r="GV13" s="629"/>
      <c r="GW13" s="635" t="s">
        <v>942</v>
      </c>
      <c r="GX13" s="636">
        <v>8.1</v>
      </c>
      <c r="GY13" s="637"/>
      <c r="GZ13" s="638">
        <v>0.3</v>
      </c>
      <c r="HA13" s="639">
        <v>2.4300000000000002</v>
      </c>
      <c r="HB13" s="640"/>
      <c r="HC13" s="530"/>
      <c r="HD13" s="799"/>
      <c r="HE13" s="437"/>
      <c r="HF13" s="386"/>
      <c r="HG13" s="386"/>
    </row>
    <row r="14" spans="1:353" ht="20.100000000000001" customHeight="1">
      <c r="A14" s="641"/>
      <c r="B14" s="642"/>
      <c r="C14" s="642"/>
      <c r="D14" s="643" t="s">
        <v>306</v>
      </c>
      <c r="E14" s="642"/>
      <c r="F14" s="642"/>
      <c r="G14" s="644"/>
      <c r="H14" s="645">
        <f>SUM(H10:H13)</f>
        <v>0</v>
      </c>
      <c r="I14" s="1310"/>
      <c r="J14" s="645">
        <f>SUM(J10:J13)</f>
        <v>0</v>
      </c>
      <c r="K14" s="1310"/>
      <c r="L14" s="645">
        <f>SUM(L10:L13)</f>
        <v>0</v>
      </c>
      <c r="M14" s="1310"/>
      <c r="N14" s="645">
        <f>SUM(N10:N13)</f>
        <v>0</v>
      </c>
      <c r="O14" s="1310"/>
      <c r="P14" s="645">
        <f>SUM(P10:P13)</f>
        <v>19</v>
      </c>
      <c r="Q14" s="1310"/>
      <c r="R14" s="645">
        <f>SUM(R10:R13)</f>
        <v>150</v>
      </c>
      <c r="S14" s="1310"/>
      <c r="T14" s="645">
        <f>SUM(T10:T13)</f>
        <v>304</v>
      </c>
      <c r="U14" s="1310"/>
      <c r="V14" s="645">
        <f>SUM(V10:V13)</f>
        <v>449</v>
      </c>
      <c r="W14" s="1310"/>
      <c r="X14" s="645">
        <f>SUM(X10:X13)</f>
        <v>559</v>
      </c>
      <c r="Y14" s="1310"/>
      <c r="Z14" s="645">
        <f>SUM(Z10:Z13)</f>
        <v>627</v>
      </c>
      <c r="AA14" s="1310"/>
      <c r="AB14" s="645">
        <f>SUM(AB10:AB13)</f>
        <v>651</v>
      </c>
      <c r="AC14" s="1310"/>
      <c r="AD14" s="645">
        <f>SUM(AD10:AD13)</f>
        <v>656</v>
      </c>
      <c r="AE14" s="1310"/>
      <c r="AF14" s="645">
        <f>SUM(AF10:AF13)</f>
        <v>714</v>
      </c>
      <c r="AG14" s="1310"/>
      <c r="AH14" s="645">
        <f>SUM(AH10:AH13)</f>
        <v>1167</v>
      </c>
      <c r="AI14" s="1310"/>
      <c r="AJ14" s="645">
        <f>SUM(AJ10:AJ13)</f>
        <v>1485</v>
      </c>
      <c r="AK14" s="1310"/>
      <c r="AL14" s="645">
        <f>SUM(AL10:AL13)</f>
        <v>1442</v>
      </c>
      <c r="AM14" s="1310"/>
      <c r="AN14" s="645">
        <f>SUM(AN10:AN13)</f>
        <v>1119</v>
      </c>
      <c r="AO14" s="1310"/>
      <c r="AP14" s="645">
        <f>SUM(AP10:AP13)</f>
        <v>318</v>
      </c>
      <c r="AQ14" s="1310"/>
      <c r="AR14" s="645">
        <f>SUM(AR10:AR13)</f>
        <v>0</v>
      </c>
      <c r="AS14" s="1310"/>
      <c r="AT14" s="645">
        <f>SUM(AT10:AT13)</f>
        <v>0</v>
      </c>
      <c r="AU14" s="1310"/>
      <c r="AV14" s="645">
        <f>SUM(AV10:AV13)</f>
        <v>0</v>
      </c>
      <c r="AW14" s="1310"/>
      <c r="AX14" s="645">
        <f>SUM(AX10:AX13)</f>
        <v>0</v>
      </c>
      <c r="AY14" s="1310"/>
      <c r="AZ14" s="645">
        <f>SUM(AZ10:AZ13)</f>
        <v>0</v>
      </c>
      <c r="BA14" s="1310"/>
      <c r="BB14" s="647">
        <f>SUM(BB10:BB13)</f>
        <v>0</v>
      </c>
      <c r="BC14" s="648"/>
      <c r="BD14" s="641"/>
      <c r="BE14" s="642"/>
      <c r="BF14" s="642"/>
      <c r="BG14" s="643" t="s">
        <v>306</v>
      </c>
      <c r="BH14" s="642"/>
      <c r="BI14" s="642"/>
      <c r="BJ14" s="644"/>
      <c r="BK14" s="645">
        <f>SUM(BK10:BK13)</f>
        <v>0</v>
      </c>
      <c r="BL14" s="1310"/>
      <c r="BM14" s="645">
        <f>SUM(BM10:BM13)</f>
        <v>0</v>
      </c>
      <c r="BN14" s="1310"/>
      <c r="BO14" s="645">
        <f>SUM(BO10:BO13)</f>
        <v>0</v>
      </c>
      <c r="BP14" s="1310"/>
      <c r="BQ14" s="645">
        <f>SUM(BQ10:BQ13)</f>
        <v>0</v>
      </c>
      <c r="BR14" s="1310"/>
      <c r="BS14" s="645">
        <f>SUM(BS10:BS13)</f>
        <v>29</v>
      </c>
      <c r="BT14" s="1310"/>
      <c r="BU14" s="645">
        <f>SUM(BU10:BU13)</f>
        <v>169</v>
      </c>
      <c r="BV14" s="1310"/>
      <c r="BW14" s="645">
        <f>SUM(BW10:BW13)</f>
        <v>299</v>
      </c>
      <c r="BX14" s="1310"/>
      <c r="BY14" s="645">
        <f>SUM(BY10:BY13)</f>
        <v>420</v>
      </c>
      <c r="BZ14" s="1310"/>
      <c r="CA14" s="645">
        <f>SUM(CA10:CA13)</f>
        <v>497</v>
      </c>
      <c r="CB14" s="1310"/>
      <c r="CC14" s="645">
        <f>SUM(CC10:CC13)</f>
        <v>531</v>
      </c>
      <c r="CD14" s="1310"/>
      <c r="CE14" s="645">
        <f>SUM(CE10:CE13)</f>
        <v>535</v>
      </c>
      <c r="CF14" s="1310"/>
      <c r="CG14" s="645">
        <f>SUM(CG10:CG13)</f>
        <v>531</v>
      </c>
      <c r="CH14" s="1310"/>
      <c r="CI14" s="645">
        <f>SUM(CI10:CI13)</f>
        <v>646</v>
      </c>
      <c r="CJ14" s="1310"/>
      <c r="CK14" s="645">
        <f>SUM(CK10:CK13)</f>
        <v>1423</v>
      </c>
      <c r="CL14" s="1310"/>
      <c r="CM14" s="645">
        <f>SUM(CM10:CM13)</f>
        <v>2141</v>
      </c>
      <c r="CN14" s="1310"/>
      <c r="CO14" s="645">
        <f>SUM(CO10:CO13)</f>
        <v>2387</v>
      </c>
      <c r="CP14" s="1310"/>
      <c r="CQ14" s="645">
        <f>SUM(CQ10:CQ13)</f>
        <v>2296</v>
      </c>
      <c r="CR14" s="1310"/>
      <c r="CS14" s="645">
        <f>SUM(CS10:CS13)</f>
        <v>1235</v>
      </c>
      <c r="CT14" s="1310"/>
      <c r="CU14" s="645">
        <f>SUM(CU10:CU13)</f>
        <v>10</v>
      </c>
      <c r="CV14" s="1310"/>
      <c r="CW14" s="645">
        <f>SUM(CW10:CW13)</f>
        <v>0</v>
      </c>
      <c r="CX14" s="1310"/>
      <c r="CY14" s="645">
        <f>SUM(CY10:CY13)</f>
        <v>0</v>
      </c>
      <c r="CZ14" s="1310"/>
      <c r="DA14" s="645">
        <f>SUM(DA10:DA13)</f>
        <v>0</v>
      </c>
      <c r="DB14" s="1310"/>
      <c r="DC14" s="645">
        <f>SUM(DC10:DC13)</f>
        <v>0</v>
      </c>
      <c r="DD14" s="1310"/>
      <c r="DE14" s="647">
        <f>SUM(DE10:DE13)</f>
        <v>0</v>
      </c>
      <c r="DF14" s="648"/>
      <c r="DG14" s="641"/>
      <c r="DH14" s="642"/>
      <c r="DI14" s="642"/>
      <c r="DJ14" s="643" t="s">
        <v>306</v>
      </c>
      <c r="DK14" s="642"/>
      <c r="DL14" s="642"/>
      <c r="DM14" s="644"/>
      <c r="DN14" s="645">
        <f>SUM(DN10:DN13)</f>
        <v>0</v>
      </c>
      <c r="DO14" s="1310"/>
      <c r="DP14" s="645">
        <f>SUM(DP10:DP13)</f>
        <v>0</v>
      </c>
      <c r="DQ14" s="1310"/>
      <c r="DR14" s="645">
        <f>SUM(DR10:DR13)</f>
        <v>0</v>
      </c>
      <c r="DS14" s="1310"/>
      <c r="DT14" s="645">
        <f>SUM(DT10:DT13)</f>
        <v>0</v>
      </c>
      <c r="DU14" s="1310"/>
      <c r="DV14" s="645">
        <f>SUM(DV10:DV13)</f>
        <v>0</v>
      </c>
      <c r="DW14" s="1310"/>
      <c r="DX14" s="645">
        <f>SUM(DX10:DX13)</f>
        <v>92</v>
      </c>
      <c r="DY14" s="1310"/>
      <c r="DZ14" s="645">
        <f>SUM(DZ10:DZ13)</f>
        <v>227</v>
      </c>
      <c r="EA14" s="1310"/>
      <c r="EB14" s="645">
        <f>SUM(EB10:EB13)</f>
        <v>347</v>
      </c>
      <c r="EC14" s="1310"/>
      <c r="ED14" s="645">
        <f>SUM(ED10:ED13)</f>
        <v>424</v>
      </c>
      <c r="EE14" s="1310"/>
      <c r="EF14" s="645">
        <f>SUM(EF10:EF13)</f>
        <v>468</v>
      </c>
      <c r="EG14" s="1310"/>
      <c r="EH14" s="645">
        <f>SUM(EH10:EH13)</f>
        <v>487</v>
      </c>
      <c r="EI14" s="1310"/>
      <c r="EJ14" s="645">
        <f>SUM(EJ10:EJ13)</f>
        <v>487</v>
      </c>
      <c r="EK14" s="1310"/>
      <c r="EL14" s="645">
        <f>SUM(EL10:EL13)</f>
        <v>473</v>
      </c>
      <c r="EM14" s="1310"/>
      <c r="EN14" s="645">
        <f>SUM(EN10:EN13)</f>
        <v>1080</v>
      </c>
      <c r="EO14" s="1310"/>
      <c r="EP14" s="645">
        <f>SUM(EP10:EP13)</f>
        <v>1823</v>
      </c>
      <c r="EQ14" s="1310"/>
      <c r="ER14" s="645">
        <f>SUM(ER10:ER13)</f>
        <v>1915</v>
      </c>
      <c r="ES14" s="1310"/>
      <c r="ET14" s="645">
        <f>SUM(ET10:ET13)</f>
        <v>1360</v>
      </c>
      <c r="EU14" s="1310"/>
      <c r="EV14" s="645">
        <f>SUM(EV10:EV13)</f>
        <v>14</v>
      </c>
      <c r="EW14" s="1310"/>
      <c r="EX14" s="645">
        <f>SUM(EX10:EX13)</f>
        <v>0</v>
      </c>
      <c r="EY14" s="1310"/>
      <c r="EZ14" s="645">
        <f>SUM(EZ10:EZ13)</f>
        <v>0</v>
      </c>
      <c r="FA14" s="1310"/>
      <c r="FB14" s="645">
        <f>SUM(FB10:FB13)</f>
        <v>0</v>
      </c>
      <c r="FC14" s="1310"/>
      <c r="FD14" s="645">
        <f>SUM(FD10:FD13)</f>
        <v>0</v>
      </c>
      <c r="FE14" s="1310"/>
      <c r="FF14" s="645">
        <f>SUM(FF10:FF13)</f>
        <v>0</v>
      </c>
      <c r="FG14" s="1310"/>
      <c r="FH14" s="647">
        <f>SUM(FH10:FH13)</f>
        <v>0</v>
      </c>
      <c r="FI14" s="649"/>
      <c r="FJ14" s="564"/>
      <c r="FK14" s="642"/>
      <c r="FL14" s="642"/>
      <c r="FM14" s="643" t="s">
        <v>750</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615"/>
      <c r="GK14" s="628"/>
      <c r="GL14" s="629"/>
      <c r="GM14" s="630"/>
      <c r="GN14" s="631"/>
      <c r="GO14" s="632"/>
      <c r="GP14" s="656"/>
      <c r="GQ14" s="633">
        <v>0</v>
      </c>
      <c r="GR14" s="634">
        <v>0</v>
      </c>
      <c r="GS14" s="615"/>
      <c r="GT14" s="657"/>
      <c r="GU14" s="628"/>
      <c r="GV14" s="629"/>
      <c r="GW14" s="635"/>
      <c r="GX14" s="636"/>
      <c r="GY14" s="637"/>
      <c r="GZ14" s="638"/>
      <c r="HA14" s="639">
        <v>0</v>
      </c>
      <c r="HB14" s="640"/>
      <c r="HC14" s="530"/>
      <c r="HD14" s="1278"/>
      <c r="HE14" s="415"/>
      <c r="HF14" s="415"/>
      <c r="HG14" s="415"/>
    </row>
    <row r="15" spans="1:353" ht="24" customHeight="1">
      <c r="A15" s="532" t="s">
        <v>307</v>
      </c>
      <c r="B15" s="658" t="s">
        <v>290</v>
      </c>
      <c r="C15" s="659" t="s">
        <v>291</v>
      </c>
      <c r="D15" s="660" t="s">
        <v>633</v>
      </c>
      <c r="E15" s="660" t="s">
        <v>309</v>
      </c>
      <c r="F15" s="661" t="s">
        <v>310</v>
      </c>
      <c r="G15" s="662" t="s">
        <v>1009</v>
      </c>
      <c r="H15" s="663" t="s">
        <v>635</v>
      </c>
      <c r="I15" s="664" t="s">
        <v>313</v>
      </c>
      <c r="J15" s="663" t="s">
        <v>637</v>
      </c>
      <c r="K15" s="664" t="s">
        <v>313</v>
      </c>
      <c r="L15" s="663" t="s">
        <v>862</v>
      </c>
      <c r="M15" s="664" t="s">
        <v>313</v>
      </c>
      <c r="N15" s="663" t="s">
        <v>862</v>
      </c>
      <c r="O15" s="664" t="s">
        <v>313</v>
      </c>
      <c r="P15" s="663" t="s">
        <v>862</v>
      </c>
      <c r="Q15" s="664" t="s">
        <v>313</v>
      </c>
      <c r="R15" s="663" t="s">
        <v>635</v>
      </c>
      <c r="S15" s="664" t="s">
        <v>313</v>
      </c>
      <c r="T15" s="663" t="s">
        <v>1010</v>
      </c>
      <c r="U15" s="664" t="s">
        <v>313</v>
      </c>
      <c r="V15" s="663" t="s">
        <v>1010</v>
      </c>
      <c r="W15" s="664" t="s">
        <v>313</v>
      </c>
      <c r="X15" s="663" t="s">
        <v>637</v>
      </c>
      <c r="Y15" s="664" t="s">
        <v>313</v>
      </c>
      <c r="Z15" s="663" t="s">
        <v>1010</v>
      </c>
      <c r="AA15" s="664" t="s">
        <v>313</v>
      </c>
      <c r="AB15" s="663" t="s">
        <v>635</v>
      </c>
      <c r="AC15" s="664" t="s">
        <v>313</v>
      </c>
      <c r="AD15" s="663" t="s">
        <v>637</v>
      </c>
      <c r="AE15" s="664" t="s">
        <v>313</v>
      </c>
      <c r="AF15" s="663" t="s">
        <v>635</v>
      </c>
      <c r="AG15" s="664" t="s">
        <v>313</v>
      </c>
      <c r="AH15" s="663" t="s">
        <v>862</v>
      </c>
      <c r="AI15" s="664" t="s">
        <v>313</v>
      </c>
      <c r="AJ15" s="663" t="s">
        <v>1010</v>
      </c>
      <c r="AK15" s="664" t="s">
        <v>313</v>
      </c>
      <c r="AL15" s="663" t="s">
        <v>635</v>
      </c>
      <c r="AM15" s="664" t="s">
        <v>313</v>
      </c>
      <c r="AN15" s="663" t="s">
        <v>862</v>
      </c>
      <c r="AO15" s="664" t="s">
        <v>313</v>
      </c>
      <c r="AP15" s="663" t="s">
        <v>635</v>
      </c>
      <c r="AQ15" s="664" t="s">
        <v>313</v>
      </c>
      <c r="AR15" s="663" t="s">
        <v>635</v>
      </c>
      <c r="AS15" s="664" t="s">
        <v>313</v>
      </c>
      <c r="AT15" s="663" t="s">
        <v>635</v>
      </c>
      <c r="AU15" s="664" t="s">
        <v>313</v>
      </c>
      <c r="AV15" s="663" t="s">
        <v>862</v>
      </c>
      <c r="AW15" s="664" t="s">
        <v>313</v>
      </c>
      <c r="AX15" s="663" t="s">
        <v>637</v>
      </c>
      <c r="AY15" s="664" t="s">
        <v>313</v>
      </c>
      <c r="AZ15" s="663" t="s">
        <v>635</v>
      </c>
      <c r="BA15" s="664" t="s">
        <v>313</v>
      </c>
      <c r="BB15" s="665" t="s">
        <v>316</v>
      </c>
      <c r="BC15" s="666"/>
      <c r="BD15" s="532" t="s">
        <v>307</v>
      </c>
      <c r="BE15" s="658" t="s">
        <v>290</v>
      </c>
      <c r="BF15" s="659" t="s">
        <v>291</v>
      </c>
      <c r="BG15" s="660" t="s">
        <v>633</v>
      </c>
      <c r="BH15" s="660" t="s">
        <v>309</v>
      </c>
      <c r="BI15" s="661" t="s">
        <v>310</v>
      </c>
      <c r="BJ15" s="662" t="s">
        <v>634</v>
      </c>
      <c r="BK15" s="663" t="s">
        <v>637</v>
      </c>
      <c r="BL15" s="664" t="s">
        <v>313</v>
      </c>
      <c r="BM15" s="663" t="s">
        <v>635</v>
      </c>
      <c r="BN15" s="664" t="s">
        <v>313</v>
      </c>
      <c r="BO15" s="663" t="s">
        <v>635</v>
      </c>
      <c r="BP15" s="664" t="s">
        <v>313</v>
      </c>
      <c r="BQ15" s="663" t="s">
        <v>635</v>
      </c>
      <c r="BR15" s="664" t="s">
        <v>313</v>
      </c>
      <c r="BS15" s="663" t="s">
        <v>1010</v>
      </c>
      <c r="BT15" s="664" t="s">
        <v>313</v>
      </c>
      <c r="BU15" s="663" t="s">
        <v>635</v>
      </c>
      <c r="BV15" s="664" t="s">
        <v>313</v>
      </c>
      <c r="BW15" s="663" t="s">
        <v>635</v>
      </c>
      <c r="BX15" s="664" t="s">
        <v>313</v>
      </c>
      <c r="BY15" s="663" t="s">
        <v>637</v>
      </c>
      <c r="BZ15" s="664" t="s">
        <v>313</v>
      </c>
      <c r="CA15" s="663" t="s">
        <v>637</v>
      </c>
      <c r="CB15" s="664" t="s">
        <v>313</v>
      </c>
      <c r="CC15" s="663" t="s">
        <v>637</v>
      </c>
      <c r="CD15" s="664" t="s">
        <v>313</v>
      </c>
      <c r="CE15" s="663" t="s">
        <v>635</v>
      </c>
      <c r="CF15" s="664" t="s">
        <v>313</v>
      </c>
      <c r="CG15" s="663" t="s">
        <v>635</v>
      </c>
      <c r="CH15" s="664" t="s">
        <v>313</v>
      </c>
      <c r="CI15" s="663" t="s">
        <v>635</v>
      </c>
      <c r="CJ15" s="664" t="s">
        <v>313</v>
      </c>
      <c r="CK15" s="663" t="s">
        <v>862</v>
      </c>
      <c r="CL15" s="664" t="s">
        <v>313</v>
      </c>
      <c r="CM15" s="663" t="s">
        <v>635</v>
      </c>
      <c r="CN15" s="664" t="s">
        <v>313</v>
      </c>
      <c r="CO15" s="663" t="s">
        <v>635</v>
      </c>
      <c r="CP15" s="664" t="s">
        <v>313</v>
      </c>
      <c r="CQ15" s="663" t="s">
        <v>635</v>
      </c>
      <c r="CR15" s="664" t="s">
        <v>313</v>
      </c>
      <c r="CS15" s="663" t="s">
        <v>635</v>
      </c>
      <c r="CT15" s="664" t="s">
        <v>313</v>
      </c>
      <c r="CU15" s="663" t="s">
        <v>1010</v>
      </c>
      <c r="CV15" s="664" t="s">
        <v>313</v>
      </c>
      <c r="CW15" s="663" t="s">
        <v>1010</v>
      </c>
      <c r="CX15" s="664" t="s">
        <v>313</v>
      </c>
      <c r="CY15" s="663" t="s">
        <v>635</v>
      </c>
      <c r="CZ15" s="664" t="s">
        <v>313</v>
      </c>
      <c r="DA15" s="663" t="s">
        <v>635</v>
      </c>
      <c r="DB15" s="664" t="s">
        <v>313</v>
      </c>
      <c r="DC15" s="663" t="s">
        <v>637</v>
      </c>
      <c r="DD15" s="664" t="s">
        <v>313</v>
      </c>
      <c r="DE15" s="665" t="s">
        <v>316</v>
      </c>
      <c r="DF15" s="666"/>
      <c r="DG15" s="532" t="s">
        <v>307</v>
      </c>
      <c r="DH15" s="667" t="s">
        <v>290</v>
      </c>
      <c r="DI15" s="668" t="s">
        <v>291</v>
      </c>
      <c r="DJ15" s="669" t="s">
        <v>633</v>
      </c>
      <c r="DK15" s="669" t="s">
        <v>309</v>
      </c>
      <c r="DL15" s="670" t="s">
        <v>310</v>
      </c>
      <c r="DM15" s="662" t="s">
        <v>1009</v>
      </c>
      <c r="DN15" s="663" t="s">
        <v>637</v>
      </c>
      <c r="DO15" s="664" t="s">
        <v>313</v>
      </c>
      <c r="DP15" s="663" t="s">
        <v>637</v>
      </c>
      <c r="DQ15" s="664" t="s">
        <v>313</v>
      </c>
      <c r="DR15" s="663" t="s">
        <v>635</v>
      </c>
      <c r="DS15" s="664" t="s">
        <v>313</v>
      </c>
      <c r="DT15" s="663" t="s">
        <v>635</v>
      </c>
      <c r="DU15" s="664" t="s">
        <v>313</v>
      </c>
      <c r="DV15" s="663" t="s">
        <v>637</v>
      </c>
      <c r="DW15" s="664" t="s">
        <v>313</v>
      </c>
      <c r="DX15" s="663" t="s">
        <v>862</v>
      </c>
      <c r="DY15" s="664" t="s">
        <v>313</v>
      </c>
      <c r="DZ15" s="663" t="s">
        <v>637</v>
      </c>
      <c r="EA15" s="664" t="s">
        <v>313</v>
      </c>
      <c r="EB15" s="663" t="s">
        <v>635</v>
      </c>
      <c r="EC15" s="664" t="s">
        <v>313</v>
      </c>
      <c r="ED15" s="663" t="s">
        <v>635</v>
      </c>
      <c r="EE15" s="664" t="s">
        <v>313</v>
      </c>
      <c r="EF15" s="663" t="s">
        <v>635</v>
      </c>
      <c r="EG15" s="664" t="s">
        <v>313</v>
      </c>
      <c r="EH15" s="663" t="s">
        <v>862</v>
      </c>
      <c r="EI15" s="664" t="s">
        <v>313</v>
      </c>
      <c r="EJ15" s="663" t="s">
        <v>635</v>
      </c>
      <c r="EK15" s="664" t="s">
        <v>313</v>
      </c>
      <c r="EL15" s="663" t="s">
        <v>635</v>
      </c>
      <c r="EM15" s="664" t="s">
        <v>313</v>
      </c>
      <c r="EN15" s="663" t="s">
        <v>862</v>
      </c>
      <c r="EO15" s="664" t="s">
        <v>313</v>
      </c>
      <c r="EP15" s="663" t="s">
        <v>635</v>
      </c>
      <c r="EQ15" s="664" t="s">
        <v>313</v>
      </c>
      <c r="ER15" s="663" t="s">
        <v>635</v>
      </c>
      <c r="ES15" s="664" t="s">
        <v>313</v>
      </c>
      <c r="ET15" s="663" t="s">
        <v>1010</v>
      </c>
      <c r="EU15" s="664" t="s">
        <v>313</v>
      </c>
      <c r="EV15" s="663" t="s">
        <v>1010</v>
      </c>
      <c r="EW15" s="664" t="s">
        <v>313</v>
      </c>
      <c r="EX15" s="663" t="s">
        <v>635</v>
      </c>
      <c r="EY15" s="664" t="s">
        <v>313</v>
      </c>
      <c r="EZ15" s="663" t="s">
        <v>1010</v>
      </c>
      <c r="FA15" s="664" t="s">
        <v>313</v>
      </c>
      <c r="FB15" s="663" t="s">
        <v>635</v>
      </c>
      <c r="FC15" s="664" t="s">
        <v>313</v>
      </c>
      <c r="FD15" s="663" t="s">
        <v>862</v>
      </c>
      <c r="FE15" s="664" t="s">
        <v>313</v>
      </c>
      <c r="FF15" s="663" t="s">
        <v>635</v>
      </c>
      <c r="FG15" s="664" t="s">
        <v>313</v>
      </c>
      <c r="FH15" s="665" t="s">
        <v>316</v>
      </c>
      <c r="FI15" s="671"/>
      <c r="FJ15" s="542" t="s">
        <v>307</v>
      </c>
      <c r="FK15" s="658" t="s">
        <v>290</v>
      </c>
      <c r="FL15" s="659" t="s">
        <v>291</v>
      </c>
      <c r="FM15" s="660" t="s">
        <v>1004</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29"/>
      <c r="GK15" s="628"/>
      <c r="GL15" s="629"/>
      <c r="GM15" s="630"/>
      <c r="GN15" s="631"/>
      <c r="GO15" s="632"/>
      <c r="GP15" s="656"/>
      <c r="GQ15" s="633">
        <v>0</v>
      </c>
      <c r="GR15" s="634">
        <v>0</v>
      </c>
      <c r="GS15" s="529"/>
      <c r="GT15" s="677"/>
      <c r="GU15" s="628"/>
      <c r="GV15" s="629"/>
      <c r="GW15" s="635"/>
      <c r="GX15" s="636"/>
      <c r="GY15" s="637"/>
      <c r="GZ15" s="638"/>
      <c r="HA15" s="639">
        <v>0</v>
      </c>
      <c r="HB15" s="640"/>
      <c r="HC15" s="678"/>
      <c r="HD15" s="666"/>
      <c r="HE15" s="415"/>
      <c r="HF15" s="415"/>
      <c r="HG15" s="415"/>
    </row>
    <row r="16" spans="1:353" ht="20.100000000000001" customHeight="1">
      <c r="A16" s="552"/>
      <c r="B16" s="554" t="s">
        <v>204</v>
      </c>
      <c r="C16" s="679" t="s">
        <v>68</v>
      </c>
      <c r="D16" s="555">
        <v>50.4</v>
      </c>
      <c r="E16" s="680">
        <v>0.67</v>
      </c>
      <c r="F16" s="681"/>
      <c r="G16" s="682">
        <v>5.4</v>
      </c>
      <c r="H16" s="559">
        <f>ROUND(50.4*0.67*5.4,0)</f>
        <v>182</v>
      </c>
      <c r="I16" s="683">
        <v>5</v>
      </c>
      <c r="J16" s="559">
        <f>ROUND(50.4*0.67*5,0)</f>
        <v>169</v>
      </c>
      <c r="K16" s="683">
        <v>4.7</v>
      </c>
      <c r="L16" s="559">
        <f>ROUND(50.4*0.67*4.7,0)</f>
        <v>159</v>
      </c>
      <c r="M16" s="683">
        <v>4.4000000000000004</v>
      </c>
      <c r="N16" s="559">
        <f>ROUND(50.4*0.67*4.4,0)</f>
        <v>149</v>
      </c>
      <c r="O16" s="683">
        <v>4.2</v>
      </c>
      <c r="P16" s="559">
        <f>ROUND(50.4*0.67*4.2,0)</f>
        <v>142</v>
      </c>
      <c r="Q16" s="683">
        <v>4.4000000000000004</v>
      </c>
      <c r="R16" s="559">
        <f>ROUND(50.4*0.67*4.4,0)</f>
        <v>149</v>
      </c>
      <c r="S16" s="683">
        <v>5.8</v>
      </c>
      <c r="T16" s="559">
        <f>ROUND(50.4*0.67*5.8,0)</f>
        <v>196</v>
      </c>
      <c r="U16" s="683">
        <v>7.5</v>
      </c>
      <c r="V16" s="559">
        <f>ROUND(50.4*0.67*7.5,0)</f>
        <v>253</v>
      </c>
      <c r="W16" s="683">
        <v>9.1</v>
      </c>
      <c r="X16" s="559">
        <f>ROUND(50.4*0.67*9.1,0)</f>
        <v>307</v>
      </c>
      <c r="Y16" s="683">
        <v>10.4</v>
      </c>
      <c r="Z16" s="559">
        <f>ROUND(50.4*0.67*10.4,0)</f>
        <v>351</v>
      </c>
      <c r="AA16" s="683">
        <v>11.6</v>
      </c>
      <c r="AB16" s="559">
        <f>ROUND(50.4*0.67*11.6,0)</f>
        <v>392</v>
      </c>
      <c r="AC16" s="683">
        <v>12.6</v>
      </c>
      <c r="AD16" s="559">
        <f>ROUND(50.4*0.67*12.6,0)</f>
        <v>425</v>
      </c>
      <c r="AE16" s="683">
        <v>13.4</v>
      </c>
      <c r="AF16" s="559">
        <f>ROUND(50.4*0.67*13.4,0)</f>
        <v>452</v>
      </c>
      <c r="AG16" s="683">
        <v>14</v>
      </c>
      <c r="AH16" s="559">
        <f>ROUND(50.4*0.67*14,0)</f>
        <v>473</v>
      </c>
      <c r="AI16" s="683">
        <v>14.1</v>
      </c>
      <c r="AJ16" s="559">
        <f>ROUND(50.4*0.67*14.1,0)</f>
        <v>476</v>
      </c>
      <c r="AK16" s="683">
        <v>13.8</v>
      </c>
      <c r="AL16" s="559">
        <f>ROUND(50.4*0.67*13.8,0)</f>
        <v>466</v>
      </c>
      <c r="AM16" s="683">
        <v>13.1</v>
      </c>
      <c r="AN16" s="559">
        <f>ROUND(50.4*0.67*13.1,0)</f>
        <v>442</v>
      </c>
      <c r="AO16" s="683">
        <v>11.8</v>
      </c>
      <c r="AP16" s="559">
        <f>ROUND(50.4*0.67*11.8,0)</f>
        <v>398</v>
      </c>
      <c r="AQ16" s="683">
        <v>10.3</v>
      </c>
      <c r="AR16" s="559">
        <f>ROUND(50.4*0.67*10.3,0)</f>
        <v>348</v>
      </c>
      <c r="AS16" s="683">
        <v>8.9</v>
      </c>
      <c r="AT16" s="559">
        <f>ROUND(50.4*0.67*8.9,0)</f>
        <v>301</v>
      </c>
      <c r="AU16" s="683">
        <v>7.7</v>
      </c>
      <c r="AV16" s="559">
        <f>ROUND(50.4*0.67*7.7,0)</f>
        <v>260</v>
      </c>
      <c r="AW16" s="683">
        <v>6.9</v>
      </c>
      <c r="AX16" s="559">
        <f>ROUND(50.4*0.67*6.9,0)</f>
        <v>233</v>
      </c>
      <c r="AY16" s="683">
        <v>6.2</v>
      </c>
      <c r="AZ16" s="559">
        <f>ROUND(50.4*0.67*6.2,0)</f>
        <v>209</v>
      </c>
      <c r="BA16" s="683">
        <v>5.7</v>
      </c>
      <c r="BB16" s="684">
        <f>ROUND(50.4*0.67*5.7,0)</f>
        <v>192</v>
      </c>
      <c r="BC16" s="562"/>
      <c r="BD16" s="552"/>
      <c r="BE16" s="554" t="s">
        <v>204</v>
      </c>
      <c r="BF16" s="679" t="s">
        <v>68</v>
      </c>
      <c r="BG16" s="555">
        <v>50.4</v>
      </c>
      <c r="BH16" s="680">
        <v>0.67</v>
      </c>
      <c r="BI16" s="681"/>
      <c r="BJ16" s="682">
        <v>4.7</v>
      </c>
      <c r="BK16" s="559">
        <f>ROUND(50.4*0.67*4.7,0)</f>
        <v>159</v>
      </c>
      <c r="BL16" s="683">
        <v>4.3</v>
      </c>
      <c r="BM16" s="559">
        <f>ROUND(50.4*0.67*4.3,0)</f>
        <v>145</v>
      </c>
      <c r="BN16" s="683">
        <v>4</v>
      </c>
      <c r="BO16" s="559">
        <f>ROUND(50.4*0.67*4,0)</f>
        <v>135</v>
      </c>
      <c r="BP16" s="683">
        <v>3.7</v>
      </c>
      <c r="BQ16" s="559">
        <f>ROUND(50.4*0.67*3.7,0)</f>
        <v>125</v>
      </c>
      <c r="BR16" s="683">
        <v>3.6</v>
      </c>
      <c r="BS16" s="559">
        <f>ROUND(50.4*0.67*3.6,0)</f>
        <v>122</v>
      </c>
      <c r="BT16" s="683">
        <v>4.5</v>
      </c>
      <c r="BU16" s="559">
        <f>ROUND(50.4*0.67*4.5,0)</f>
        <v>152</v>
      </c>
      <c r="BV16" s="683">
        <v>6.9</v>
      </c>
      <c r="BW16" s="559">
        <f>ROUND(50.4*0.67*6.9,0)</f>
        <v>233</v>
      </c>
      <c r="BX16" s="683">
        <v>9.4</v>
      </c>
      <c r="BY16" s="559">
        <f>ROUND(50.4*0.67*9.4,0)</f>
        <v>317</v>
      </c>
      <c r="BZ16" s="683">
        <v>10.9</v>
      </c>
      <c r="CA16" s="559">
        <f>ROUND(50.4*0.67*10.9,0)</f>
        <v>368</v>
      </c>
      <c r="CB16" s="683">
        <v>11.6</v>
      </c>
      <c r="CC16" s="559">
        <f>ROUND(50.4*0.67*11.6,0)</f>
        <v>392</v>
      </c>
      <c r="CD16" s="683">
        <v>11.9</v>
      </c>
      <c r="CE16" s="559">
        <f>ROUND(50.4*0.67*11.9,0)</f>
        <v>402</v>
      </c>
      <c r="CF16" s="683">
        <v>12.4</v>
      </c>
      <c r="CG16" s="559">
        <f>ROUND(50.4*0.67*12.4,0)</f>
        <v>419</v>
      </c>
      <c r="CH16" s="683">
        <v>12.8</v>
      </c>
      <c r="CI16" s="559">
        <f>ROUND(50.4*0.67*12.8,0)</f>
        <v>432</v>
      </c>
      <c r="CJ16" s="683">
        <v>13.2</v>
      </c>
      <c r="CK16" s="559">
        <f>ROUND(50.4*0.67*13.2,0)</f>
        <v>446</v>
      </c>
      <c r="CL16" s="683">
        <v>13.2</v>
      </c>
      <c r="CM16" s="559">
        <f>ROUND(50.4*0.67*13.2,0)</f>
        <v>446</v>
      </c>
      <c r="CN16" s="683">
        <v>13</v>
      </c>
      <c r="CO16" s="559">
        <f>ROUND(50.4*0.67*13,0)</f>
        <v>439</v>
      </c>
      <c r="CP16" s="683">
        <v>12.3</v>
      </c>
      <c r="CQ16" s="559">
        <f>ROUND(50.4*0.67*12.3,0)</f>
        <v>415</v>
      </c>
      <c r="CR16" s="683">
        <v>11.4</v>
      </c>
      <c r="CS16" s="559">
        <f>ROUND(50.4*0.67*11.4,0)</f>
        <v>385</v>
      </c>
      <c r="CT16" s="683">
        <v>10</v>
      </c>
      <c r="CU16" s="559">
        <f>ROUND(50.4*0.67*10,0)</f>
        <v>338</v>
      </c>
      <c r="CV16" s="683">
        <v>8.5</v>
      </c>
      <c r="CW16" s="559">
        <f>ROUND(50.4*0.67*8.5,0)</f>
        <v>287</v>
      </c>
      <c r="CX16" s="683">
        <v>7.3</v>
      </c>
      <c r="CY16" s="559">
        <f>ROUND(50.4*0.67*7.3,0)</f>
        <v>247</v>
      </c>
      <c r="CZ16" s="683">
        <v>6.3</v>
      </c>
      <c r="DA16" s="559">
        <f>ROUND(50.4*0.67*6.3,0)</f>
        <v>213</v>
      </c>
      <c r="DB16" s="683">
        <v>5.6</v>
      </c>
      <c r="DC16" s="559">
        <f>ROUND(50.4*0.67*5.6,0)</f>
        <v>189</v>
      </c>
      <c r="DD16" s="683">
        <v>5.0999999999999996</v>
      </c>
      <c r="DE16" s="684">
        <f>ROUND(50.4*0.67*5.1,0)</f>
        <v>172</v>
      </c>
      <c r="DF16" s="562"/>
      <c r="DG16" s="552"/>
      <c r="DH16" s="554" t="s">
        <v>204</v>
      </c>
      <c r="DI16" s="679" t="s">
        <v>68</v>
      </c>
      <c r="DJ16" s="555">
        <v>50.4</v>
      </c>
      <c r="DK16" s="680">
        <v>0.67</v>
      </c>
      <c r="DL16" s="681"/>
      <c r="DM16" s="682">
        <v>2.8</v>
      </c>
      <c r="DN16" s="559">
        <f>ROUND(50.4*0.67*2.8,0)</f>
        <v>95</v>
      </c>
      <c r="DO16" s="683">
        <v>2.4</v>
      </c>
      <c r="DP16" s="559">
        <f>ROUND(50.4*0.67*2.4,0)</f>
        <v>81</v>
      </c>
      <c r="DQ16" s="683">
        <v>2.1</v>
      </c>
      <c r="DR16" s="559">
        <f>ROUND(50.4*0.67*2.1,0)</f>
        <v>71</v>
      </c>
      <c r="DS16" s="683">
        <v>1.8</v>
      </c>
      <c r="DT16" s="559">
        <f>ROUND(50.4*0.67*1.8,0)</f>
        <v>61</v>
      </c>
      <c r="DU16" s="683">
        <v>1.5</v>
      </c>
      <c r="DV16" s="559">
        <f>ROUND(50.4*0.67*1.5,0)</f>
        <v>51</v>
      </c>
      <c r="DW16" s="683">
        <v>1.6</v>
      </c>
      <c r="DX16" s="559">
        <f>ROUND(50.4*0.67*1.6,0)</f>
        <v>54</v>
      </c>
      <c r="DY16" s="683">
        <v>2.8</v>
      </c>
      <c r="DZ16" s="559">
        <f>ROUND(50.4*0.67*2.8,0)</f>
        <v>95</v>
      </c>
      <c r="EA16" s="683">
        <v>4.2</v>
      </c>
      <c r="EB16" s="559">
        <f>ROUND(50.4*0.67*4.2,0)</f>
        <v>142</v>
      </c>
      <c r="EC16" s="683">
        <v>5.0999999999999996</v>
      </c>
      <c r="ED16" s="559">
        <f>ROUND(50.4*0.67*5.1,0)</f>
        <v>172</v>
      </c>
      <c r="EE16" s="683">
        <v>6.2</v>
      </c>
      <c r="EF16" s="559">
        <f>ROUND(50.4*0.67*6.2,0)</f>
        <v>209</v>
      </c>
      <c r="EG16" s="683">
        <v>7.6</v>
      </c>
      <c r="EH16" s="559">
        <f>ROUND(50.4*0.67*7.6,0)</f>
        <v>257</v>
      </c>
      <c r="EI16" s="683">
        <v>8.6999999999999993</v>
      </c>
      <c r="EJ16" s="559">
        <f>ROUND(50.4*0.67*8.7,0)</f>
        <v>294</v>
      </c>
      <c r="EK16" s="683">
        <v>9.6999999999999993</v>
      </c>
      <c r="EL16" s="559">
        <f>ROUND(50.4*0.67*9.7,0)</f>
        <v>328</v>
      </c>
      <c r="EM16" s="683">
        <v>10.4</v>
      </c>
      <c r="EN16" s="559">
        <f>ROUND(50.4*0.67*10.4,0)</f>
        <v>351</v>
      </c>
      <c r="EO16" s="683">
        <v>10.5</v>
      </c>
      <c r="EP16" s="559">
        <f>ROUND(50.4*0.67*10.5,0)</f>
        <v>355</v>
      </c>
      <c r="EQ16" s="683">
        <v>10.3</v>
      </c>
      <c r="ER16" s="559">
        <f>ROUND(50.4*0.67*10.3,0)</f>
        <v>348</v>
      </c>
      <c r="ES16" s="683">
        <v>9.6</v>
      </c>
      <c r="ET16" s="559">
        <f>ROUND(50.4*0.67*9.6,0)</f>
        <v>324</v>
      </c>
      <c r="EU16" s="683">
        <v>8.5</v>
      </c>
      <c r="EV16" s="559">
        <f>ROUND(50.4*0.67*8.5,0)</f>
        <v>287</v>
      </c>
      <c r="EW16" s="683">
        <v>7.1</v>
      </c>
      <c r="EX16" s="559">
        <f>ROUND(50.4*0.67*7.1,0)</f>
        <v>240</v>
      </c>
      <c r="EY16" s="683">
        <v>5.9</v>
      </c>
      <c r="EZ16" s="559">
        <f>ROUND(50.4*0.67*5.9,0)</f>
        <v>199</v>
      </c>
      <c r="FA16" s="683">
        <v>4.9000000000000004</v>
      </c>
      <c r="FB16" s="559">
        <f>ROUND(50.4*0.67*4.9,0)</f>
        <v>165</v>
      </c>
      <c r="FC16" s="683">
        <v>4.2</v>
      </c>
      <c r="FD16" s="559">
        <f>ROUND(50.4*0.67*4.2,0)</f>
        <v>142</v>
      </c>
      <c r="FE16" s="683">
        <v>3.7</v>
      </c>
      <c r="FF16" s="559">
        <f>ROUND(50.4*0.67*3.7,0)</f>
        <v>125</v>
      </c>
      <c r="FG16" s="683">
        <v>3.2</v>
      </c>
      <c r="FH16" s="684">
        <f>ROUND(50.4*0.67*3.2,0)</f>
        <v>108</v>
      </c>
      <c r="FI16" s="563"/>
      <c r="FJ16" s="564"/>
      <c r="FK16" s="554" t="s">
        <v>204</v>
      </c>
      <c r="FL16" s="679" t="s">
        <v>68</v>
      </c>
      <c r="FM16" s="555">
        <v>50.4</v>
      </c>
      <c r="FN16" s="680">
        <v>0.67</v>
      </c>
      <c r="FO16" s="681"/>
      <c r="FP16" s="685">
        <v>5</v>
      </c>
      <c r="FQ16" s="686">
        <v>24.3</v>
      </c>
      <c r="FR16" s="559">
        <f>ROUND(50.4*0.67*24.3,0)</f>
        <v>821</v>
      </c>
      <c r="FS16" s="687">
        <v>8</v>
      </c>
      <c r="FT16" s="686">
        <v>22.6</v>
      </c>
      <c r="FU16" s="567">
        <f>ROUND(50.4*0.67*22.6,0)</f>
        <v>763</v>
      </c>
      <c r="FV16" s="593"/>
      <c r="FW16" s="594"/>
      <c r="FX16" s="595"/>
      <c r="FY16" s="596"/>
      <c r="FZ16" s="597"/>
      <c r="GA16" s="598"/>
      <c r="GB16" s="599"/>
      <c r="GC16" s="600"/>
      <c r="GD16" s="599"/>
      <c r="GE16" s="601"/>
      <c r="GF16" s="688"/>
      <c r="GG16" s="677"/>
      <c r="GH16" s="677"/>
      <c r="GI16" s="677"/>
      <c r="GJ16" s="413"/>
      <c r="GK16" s="628"/>
      <c r="GL16" s="629"/>
      <c r="GM16" s="630"/>
      <c r="GN16" s="631"/>
      <c r="GO16" s="632"/>
      <c r="GP16" s="656"/>
      <c r="GQ16" s="633">
        <v>0</v>
      </c>
      <c r="GR16" s="634">
        <v>0</v>
      </c>
      <c r="GS16" s="409"/>
      <c r="GT16" s="689"/>
      <c r="GU16" s="628"/>
      <c r="GV16" s="629"/>
      <c r="GW16" s="635"/>
      <c r="GX16" s="636"/>
      <c r="GY16" s="637"/>
      <c r="GZ16" s="638"/>
      <c r="HA16" s="639">
        <v>0</v>
      </c>
      <c r="HB16" s="640"/>
      <c r="HC16" s="690"/>
      <c r="HD16" s="415"/>
      <c r="HE16" s="415"/>
      <c r="HF16" s="415"/>
      <c r="HG16" s="415"/>
    </row>
    <row r="17" spans="1:218" ht="20.100000000000001" customHeight="1">
      <c r="A17" s="552"/>
      <c r="B17" s="582" t="s">
        <v>204</v>
      </c>
      <c r="C17" s="691" t="s">
        <v>74</v>
      </c>
      <c r="D17" s="583">
        <v>18.36</v>
      </c>
      <c r="E17" s="692">
        <v>0.67</v>
      </c>
      <c r="F17" s="693"/>
      <c r="G17" s="694">
        <v>5.6</v>
      </c>
      <c r="H17" s="587">
        <f>ROUND(18.36*0.67*5.6,0)</f>
        <v>69</v>
      </c>
      <c r="I17" s="695">
        <v>5.2</v>
      </c>
      <c r="J17" s="587">
        <f>ROUND(18.36*0.67*5.2,0)</f>
        <v>64</v>
      </c>
      <c r="K17" s="695">
        <v>4.8</v>
      </c>
      <c r="L17" s="587">
        <f>ROUND(18.36*0.67*4.8,0)</f>
        <v>59</v>
      </c>
      <c r="M17" s="695">
        <v>4.4000000000000004</v>
      </c>
      <c r="N17" s="587">
        <f>ROUND(18.36*0.67*4.4,0)</f>
        <v>54</v>
      </c>
      <c r="O17" s="695">
        <v>4.2</v>
      </c>
      <c r="P17" s="587">
        <f>ROUND(18.36*0.67*4.2,0)</f>
        <v>52</v>
      </c>
      <c r="Q17" s="695">
        <v>4.0999999999999996</v>
      </c>
      <c r="R17" s="587">
        <f>ROUND(18.36*0.67*4.1,0)</f>
        <v>50</v>
      </c>
      <c r="S17" s="695">
        <v>4.5</v>
      </c>
      <c r="T17" s="587">
        <f>ROUND(18.36*0.67*4.5,0)</f>
        <v>55</v>
      </c>
      <c r="U17" s="695">
        <v>5.6</v>
      </c>
      <c r="V17" s="587">
        <f>ROUND(18.36*0.67*5.6,0)</f>
        <v>69</v>
      </c>
      <c r="W17" s="695">
        <v>7.1</v>
      </c>
      <c r="X17" s="587">
        <f>ROUND(18.36*0.67*7.1,0)</f>
        <v>87</v>
      </c>
      <c r="Y17" s="695">
        <v>8.8000000000000007</v>
      </c>
      <c r="Z17" s="587">
        <f>ROUND(18.36*0.67*8.8,0)</f>
        <v>108</v>
      </c>
      <c r="AA17" s="695">
        <v>10.5</v>
      </c>
      <c r="AB17" s="587">
        <f>ROUND(18.36*0.67*10.5,0)</f>
        <v>129</v>
      </c>
      <c r="AC17" s="695">
        <v>11.9</v>
      </c>
      <c r="AD17" s="587">
        <f>ROUND(18.36*0.67*11.9,0)</f>
        <v>146</v>
      </c>
      <c r="AE17" s="695">
        <v>13.2</v>
      </c>
      <c r="AF17" s="587">
        <f>ROUND(18.36*0.67*13.2,0)</f>
        <v>162</v>
      </c>
      <c r="AG17" s="695">
        <v>15</v>
      </c>
      <c r="AH17" s="587">
        <f>ROUND(18.36*0.67*15,0)</f>
        <v>185</v>
      </c>
      <c r="AI17" s="695">
        <v>17</v>
      </c>
      <c r="AJ17" s="587">
        <f>ROUND(18.36*0.67*17,0)</f>
        <v>209</v>
      </c>
      <c r="AK17" s="695">
        <v>18.5</v>
      </c>
      <c r="AL17" s="587">
        <f>ROUND(18.36*0.67*18.5,0)</f>
        <v>228</v>
      </c>
      <c r="AM17" s="695">
        <v>18.8</v>
      </c>
      <c r="AN17" s="587">
        <f>ROUND(18.36*0.67*18.8,0)</f>
        <v>231</v>
      </c>
      <c r="AO17" s="695">
        <v>17.600000000000001</v>
      </c>
      <c r="AP17" s="587">
        <f>ROUND(18.36*0.67*17.6,0)</f>
        <v>217</v>
      </c>
      <c r="AQ17" s="695">
        <v>14.7</v>
      </c>
      <c r="AR17" s="587">
        <f>ROUND(18.36*0.67*14.7,0)</f>
        <v>181</v>
      </c>
      <c r="AS17" s="695">
        <v>11.7</v>
      </c>
      <c r="AT17" s="587">
        <f>ROUND(18.36*0.67*11.7,0)</f>
        <v>144</v>
      </c>
      <c r="AU17" s="695">
        <v>9.5</v>
      </c>
      <c r="AV17" s="587">
        <f>ROUND(18.36*0.67*9.5,0)</f>
        <v>117</v>
      </c>
      <c r="AW17" s="695">
        <v>8</v>
      </c>
      <c r="AX17" s="587">
        <f>ROUND(18.36*0.67*8,0)</f>
        <v>98</v>
      </c>
      <c r="AY17" s="695">
        <v>6.9</v>
      </c>
      <c r="AZ17" s="587">
        <f>ROUND(18.36*0.67*6.9,0)</f>
        <v>85</v>
      </c>
      <c r="BA17" s="695">
        <v>6.2</v>
      </c>
      <c r="BB17" s="589">
        <f>ROUND(18.36*0.67*6.2,0)</f>
        <v>76</v>
      </c>
      <c r="BC17" s="562"/>
      <c r="BD17" s="552"/>
      <c r="BE17" s="582" t="s">
        <v>204</v>
      </c>
      <c r="BF17" s="691" t="s">
        <v>74</v>
      </c>
      <c r="BG17" s="583">
        <v>18.36</v>
      </c>
      <c r="BH17" s="692">
        <v>0.67</v>
      </c>
      <c r="BI17" s="693"/>
      <c r="BJ17" s="694">
        <v>5.3</v>
      </c>
      <c r="BK17" s="587">
        <f>ROUND(18.36*0.67*5.3,0)</f>
        <v>65</v>
      </c>
      <c r="BL17" s="695">
        <v>4.7</v>
      </c>
      <c r="BM17" s="587">
        <f>ROUND(18.36*0.67*4.7,0)</f>
        <v>58</v>
      </c>
      <c r="BN17" s="695">
        <v>4.2</v>
      </c>
      <c r="BO17" s="587">
        <f>ROUND(18.36*0.67*4.2,0)</f>
        <v>52</v>
      </c>
      <c r="BP17" s="695">
        <v>3.9</v>
      </c>
      <c r="BQ17" s="587">
        <f>ROUND(18.36*0.67*3.9,0)</f>
        <v>48</v>
      </c>
      <c r="BR17" s="695">
        <v>3.6</v>
      </c>
      <c r="BS17" s="587">
        <f>ROUND(18.36*0.67*3.6,0)</f>
        <v>44</v>
      </c>
      <c r="BT17" s="695">
        <v>3.5</v>
      </c>
      <c r="BU17" s="587">
        <f>ROUND(18.36*0.67*3.5,0)</f>
        <v>43</v>
      </c>
      <c r="BV17" s="695">
        <v>4</v>
      </c>
      <c r="BW17" s="587">
        <f>ROUND(18.36*0.67*4,0)</f>
        <v>49</v>
      </c>
      <c r="BX17" s="695">
        <v>5.0999999999999996</v>
      </c>
      <c r="BY17" s="587">
        <f>ROUND(18.36*0.67*5.1,0)</f>
        <v>63</v>
      </c>
      <c r="BZ17" s="695">
        <v>6.6</v>
      </c>
      <c r="CA17" s="587">
        <f>ROUND(18.36*0.67*6.6,0)</f>
        <v>81</v>
      </c>
      <c r="CB17" s="695">
        <v>8.1999999999999993</v>
      </c>
      <c r="CC17" s="587">
        <f>ROUND(18.36*0.67*8.2,0)</f>
        <v>101</v>
      </c>
      <c r="CD17" s="695">
        <v>9.6999999999999993</v>
      </c>
      <c r="CE17" s="587">
        <f>ROUND(18.36*0.67*9.7,0)</f>
        <v>119</v>
      </c>
      <c r="CF17" s="695">
        <v>11</v>
      </c>
      <c r="CG17" s="587">
        <f>ROUND(18.36*0.67*11,0)</f>
        <v>135</v>
      </c>
      <c r="CH17" s="695">
        <v>12.3</v>
      </c>
      <c r="CI17" s="587">
        <f>ROUND(18.36*0.67*12.3,0)</f>
        <v>151</v>
      </c>
      <c r="CJ17" s="695">
        <v>14.6</v>
      </c>
      <c r="CK17" s="587">
        <f>ROUND(18.36*0.67*14.6,0)</f>
        <v>180</v>
      </c>
      <c r="CL17" s="695">
        <v>17.8</v>
      </c>
      <c r="CM17" s="587">
        <f>ROUND(18.36*0.67*17.8,0)</f>
        <v>219</v>
      </c>
      <c r="CN17" s="695">
        <v>20.8</v>
      </c>
      <c r="CO17" s="587">
        <f>ROUND(18.36*0.67*20.8,0)</f>
        <v>256</v>
      </c>
      <c r="CP17" s="695">
        <v>22.8</v>
      </c>
      <c r="CQ17" s="587">
        <f>ROUND(18.36*0.67*22.8,0)</f>
        <v>280</v>
      </c>
      <c r="CR17" s="695">
        <v>23.1</v>
      </c>
      <c r="CS17" s="587">
        <f>ROUND(18.36*0.67*23.1,0)</f>
        <v>284</v>
      </c>
      <c r="CT17" s="695">
        <v>20.2</v>
      </c>
      <c r="CU17" s="587">
        <f>ROUND(18.36*0.67*20.2,0)</f>
        <v>248</v>
      </c>
      <c r="CV17" s="695">
        <v>15.3</v>
      </c>
      <c r="CW17" s="587">
        <f>ROUND(18.36*0.67*15.3,0)</f>
        <v>188</v>
      </c>
      <c r="CX17" s="695">
        <v>11.5</v>
      </c>
      <c r="CY17" s="587">
        <f>ROUND(18.36*0.67*11.5,0)</f>
        <v>141</v>
      </c>
      <c r="CZ17" s="695">
        <v>8.9</v>
      </c>
      <c r="DA17" s="587">
        <f>ROUND(18.36*0.67*8.9,0)</f>
        <v>109</v>
      </c>
      <c r="DB17" s="695">
        <v>7.2</v>
      </c>
      <c r="DC17" s="587">
        <f>ROUND(18.36*0.67*7.2,0)</f>
        <v>89</v>
      </c>
      <c r="DD17" s="695">
        <v>6.1</v>
      </c>
      <c r="DE17" s="589">
        <f>ROUND(18.36*0.67*6.1,0)</f>
        <v>75</v>
      </c>
      <c r="DF17" s="562"/>
      <c r="DG17" s="552"/>
      <c r="DH17" s="582" t="s">
        <v>204</v>
      </c>
      <c r="DI17" s="691" t="s">
        <v>74</v>
      </c>
      <c r="DJ17" s="583">
        <v>18.36</v>
      </c>
      <c r="DK17" s="692">
        <v>0.67</v>
      </c>
      <c r="DL17" s="693"/>
      <c r="DM17" s="694">
        <v>3.2</v>
      </c>
      <c r="DN17" s="587">
        <f>ROUND(18.36*0.67*3.2,0)</f>
        <v>39</v>
      </c>
      <c r="DO17" s="695">
        <v>2.7</v>
      </c>
      <c r="DP17" s="587">
        <f>ROUND(18.36*0.67*2.7,0)</f>
        <v>33</v>
      </c>
      <c r="DQ17" s="695">
        <v>2.2000000000000002</v>
      </c>
      <c r="DR17" s="587">
        <f>ROUND(18.36*0.67*2.2,0)</f>
        <v>27</v>
      </c>
      <c r="DS17" s="695">
        <v>1.9</v>
      </c>
      <c r="DT17" s="587">
        <f>ROUND(18.36*0.67*1.9,0)</f>
        <v>23</v>
      </c>
      <c r="DU17" s="695">
        <v>1.6</v>
      </c>
      <c r="DV17" s="587">
        <f>ROUND(18.36*0.67*1.6,0)</f>
        <v>20</v>
      </c>
      <c r="DW17" s="695">
        <v>1.4</v>
      </c>
      <c r="DX17" s="587">
        <f>ROUND(18.36*0.67*1.4,0)</f>
        <v>17</v>
      </c>
      <c r="DY17" s="695">
        <v>1.6</v>
      </c>
      <c r="DZ17" s="587">
        <f>ROUND(18.36*0.67*1.6,0)</f>
        <v>20</v>
      </c>
      <c r="EA17" s="695">
        <v>2.5</v>
      </c>
      <c r="EB17" s="587">
        <f>ROUND(18.36*0.67*2.5,0)</f>
        <v>31</v>
      </c>
      <c r="EC17" s="695">
        <v>3.9</v>
      </c>
      <c r="ED17" s="587">
        <f>ROUND(18.36*0.67*3.9,0)</f>
        <v>48</v>
      </c>
      <c r="EE17" s="695">
        <v>5.5</v>
      </c>
      <c r="EF17" s="587">
        <f>ROUND(18.36*0.67*5.5,0)</f>
        <v>68</v>
      </c>
      <c r="EG17" s="695">
        <v>7.1</v>
      </c>
      <c r="EH17" s="587">
        <f>ROUND(18.36*0.67*7.1,0)</f>
        <v>87</v>
      </c>
      <c r="EI17" s="695">
        <v>8.5</v>
      </c>
      <c r="EJ17" s="587">
        <f>ROUND(18.36*0.67*8.5,0)</f>
        <v>105</v>
      </c>
      <c r="EK17" s="695">
        <v>9.8000000000000007</v>
      </c>
      <c r="EL17" s="587">
        <f>ROUND(18.36*0.67*9.8,0)</f>
        <v>121</v>
      </c>
      <c r="EM17" s="695">
        <v>12</v>
      </c>
      <c r="EN17" s="587">
        <f>ROUND(18.36*0.67*12,0)</f>
        <v>148</v>
      </c>
      <c r="EO17" s="695">
        <v>15</v>
      </c>
      <c r="EP17" s="587">
        <f>ROUND(18.36*0.67*15,0)</f>
        <v>185</v>
      </c>
      <c r="EQ17" s="695">
        <v>17.7</v>
      </c>
      <c r="ER17" s="587">
        <f>ROUND(18.36*0.67*17.7,0)</f>
        <v>218</v>
      </c>
      <c r="ES17" s="695">
        <v>18.7</v>
      </c>
      <c r="ET17" s="587">
        <f>ROUND(18.36*0.67*18.7,0)</f>
        <v>230</v>
      </c>
      <c r="EU17" s="695">
        <v>17.2</v>
      </c>
      <c r="EV17" s="587">
        <f>ROUND(18.36*0.67*17.2,0)</f>
        <v>212</v>
      </c>
      <c r="EW17" s="695">
        <v>13</v>
      </c>
      <c r="EX17" s="587">
        <f>ROUND(18.36*0.67*13,0)</f>
        <v>160</v>
      </c>
      <c r="EY17" s="695">
        <v>9.6</v>
      </c>
      <c r="EZ17" s="587">
        <f>ROUND(18.36*0.67*9.6,0)</f>
        <v>118</v>
      </c>
      <c r="FA17" s="695">
        <v>7.2</v>
      </c>
      <c r="FB17" s="587">
        <f>ROUND(18.36*0.67*7.2,0)</f>
        <v>89</v>
      </c>
      <c r="FC17" s="695">
        <v>5.6</v>
      </c>
      <c r="FD17" s="587">
        <f>ROUND(18.36*0.67*5.6,0)</f>
        <v>69</v>
      </c>
      <c r="FE17" s="695">
        <v>4.5999999999999996</v>
      </c>
      <c r="FF17" s="587">
        <f>ROUND(18.36*0.67*4.6,0)</f>
        <v>57</v>
      </c>
      <c r="FG17" s="695">
        <v>3.8</v>
      </c>
      <c r="FH17" s="589">
        <f>ROUND(18.36*0.67*3.8,0)</f>
        <v>47</v>
      </c>
      <c r="FI17" s="563"/>
      <c r="FJ17" s="564"/>
      <c r="FK17" s="582" t="s">
        <v>204</v>
      </c>
      <c r="FL17" s="691" t="s">
        <v>74</v>
      </c>
      <c r="FM17" s="583">
        <v>18.36</v>
      </c>
      <c r="FN17" s="692">
        <v>0.67</v>
      </c>
      <c r="FO17" s="693"/>
      <c r="FP17" s="696">
        <v>5</v>
      </c>
      <c r="FQ17" s="697">
        <v>24.3</v>
      </c>
      <c r="FR17" s="587">
        <f>ROUND(18.36*0.67*24.3,0)</f>
        <v>299</v>
      </c>
      <c r="FS17" s="698">
        <v>8</v>
      </c>
      <c r="FT17" s="697">
        <v>22.6</v>
      </c>
      <c r="FU17" s="592">
        <f>ROUND(18.36*0.67*22.6,0)</f>
        <v>278</v>
      </c>
      <c r="FV17" s="593"/>
      <c r="FW17" s="594"/>
      <c r="FX17" s="595"/>
      <c r="FY17" s="596"/>
      <c r="FZ17" s="597"/>
      <c r="GA17" s="598"/>
      <c r="GB17" s="599"/>
      <c r="GC17" s="600"/>
      <c r="GD17" s="599"/>
      <c r="GE17" s="601"/>
      <c r="GF17" s="688"/>
      <c r="GG17" s="602"/>
      <c r="GH17" s="602"/>
      <c r="GI17" s="602"/>
      <c r="GJ17" s="580"/>
      <c r="GK17" s="628"/>
      <c r="GL17" s="629"/>
      <c r="GM17" s="630"/>
      <c r="GN17" s="631"/>
      <c r="GO17" s="632"/>
      <c r="GP17" s="656"/>
      <c r="GQ17" s="633">
        <v>0</v>
      </c>
      <c r="GR17" s="634">
        <v>0</v>
      </c>
      <c r="GS17" s="699"/>
      <c r="GT17" s="689"/>
      <c r="GU17" s="628"/>
      <c r="GV17" s="629"/>
      <c r="GW17" s="635"/>
      <c r="GX17" s="636"/>
      <c r="GY17" s="637"/>
      <c r="GZ17" s="638"/>
      <c r="HA17" s="639">
        <v>0</v>
      </c>
      <c r="HB17" s="640"/>
      <c r="HC17" s="530"/>
      <c r="HD17" s="415"/>
      <c r="HE17" s="415"/>
      <c r="HF17" s="415"/>
      <c r="HG17" s="415"/>
    </row>
    <row r="18" spans="1:218" ht="20.100000000000001" customHeight="1">
      <c r="A18" s="552"/>
      <c r="B18" s="700" t="s">
        <v>233</v>
      </c>
      <c r="C18" s="691" t="s">
        <v>74</v>
      </c>
      <c r="D18" s="583">
        <v>8.1</v>
      </c>
      <c r="E18" s="692">
        <v>2.8</v>
      </c>
      <c r="F18" s="693"/>
      <c r="G18" s="694">
        <v>4.5</v>
      </c>
      <c r="H18" s="587">
        <f>ROUND(8.1*2.8*4.5,0)</f>
        <v>102</v>
      </c>
      <c r="I18" s="695">
        <v>4.0999999999999996</v>
      </c>
      <c r="J18" s="587">
        <f>ROUND(8.1*2.8*4.1,0)</f>
        <v>93</v>
      </c>
      <c r="K18" s="695">
        <v>3.9</v>
      </c>
      <c r="L18" s="587">
        <f>ROUND(8.1*2.8*3.9,0)</f>
        <v>88</v>
      </c>
      <c r="M18" s="695">
        <v>3.7</v>
      </c>
      <c r="N18" s="587">
        <f>ROUND(8.1*2.8*3.7,0)</f>
        <v>84</v>
      </c>
      <c r="O18" s="695">
        <v>3.6</v>
      </c>
      <c r="P18" s="587">
        <f>ROUND(8.1*2.8*3.6,0)</f>
        <v>82</v>
      </c>
      <c r="Q18" s="695">
        <v>3.9</v>
      </c>
      <c r="R18" s="587">
        <f>ROUND(8.1*2.8*3.9,0)</f>
        <v>88</v>
      </c>
      <c r="S18" s="695">
        <v>4.9000000000000004</v>
      </c>
      <c r="T18" s="587">
        <f>ROUND(8.1*2.8*4.9,0)</f>
        <v>111</v>
      </c>
      <c r="U18" s="695">
        <v>6</v>
      </c>
      <c r="V18" s="587">
        <f>ROUND(8.1*2.8*6,0)</f>
        <v>136</v>
      </c>
      <c r="W18" s="695">
        <v>7.3</v>
      </c>
      <c r="X18" s="587">
        <f>ROUND(8.1*2.8*7.3,0)</f>
        <v>166</v>
      </c>
      <c r="Y18" s="695">
        <v>8.5</v>
      </c>
      <c r="Z18" s="587">
        <f>ROUND(8.1*2.8*8.5,0)</f>
        <v>193</v>
      </c>
      <c r="AA18" s="695">
        <v>9.1999999999999993</v>
      </c>
      <c r="AB18" s="587">
        <f>ROUND(8.1*2.8*9.2,0)</f>
        <v>209</v>
      </c>
      <c r="AC18" s="695">
        <v>9.6999999999999993</v>
      </c>
      <c r="AD18" s="587">
        <f>ROUND(8.1*2.8*9.7,0)</f>
        <v>220</v>
      </c>
      <c r="AE18" s="695">
        <v>9.9</v>
      </c>
      <c r="AF18" s="587">
        <f>ROUND(8.1*2.8*9.9,0)</f>
        <v>225</v>
      </c>
      <c r="AG18" s="695">
        <v>9.9</v>
      </c>
      <c r="AH18" s="587">
        <f>ROUND(8.1*2.8*9.9,0)</f>
        <v>225</v>
      </c>
      <c r="AI18" s="695">
        <v>9.4</v>
      </c>
      <c r="AJ18" s="587">
        <f>ROUND(8.1*2.8*9.4,0)</f>
        <v>213</v>
      </c>
      <c r="AK18" s="695">
        <v>8.9</v>
      </c>
      <c r="AL18" s="587">
        <f>ROUND(8.1*2.8*8.9,0)</f>
        <v>202</v>
      </c>
      <c r="AM18" s="695">
        <v>8</v>
      </c>
      <c r="AN18" s="587">
        <f>ROUND(8.1*2.8*8,0)</f>
        <v>181</v>
      </c>
      <c r="AO18" s="695">
        <v>7.3</v>
      </c>
      <c r="AP18" s="587">
        <f>ROUND(8.1*2.8*7.3,0)</f>
        <v>166</v>
      </c>
      <c r="AQ18" s="695">
        <v>6.4</v>
      </c>
      <c r="AR18" s="587">
        <f>ROUND(8.1*2.8*6.4,0)</f>
        <v>145</v>
      </c>
      <c r="AS18" s="695">
        <v>5.8</v>
      </c>
      <c r="AT18" s="587">
        <f>ROUND(8.1*2.8*5.8,0)</f>
        <v>132</v>
      </c>
      <c r="AU18" s="695">
        <v>5.5</v>
      </c>
      <c r="AV18" s="587">
        <f>ROUND(8.1*2.8*5.5,0)</f>
        <v>125</v>
      </c>
      <c r="AW18" s="695">
        <v>5.2</v>
      </c>
      <c r="AX18" s="587">
        <f>ROUND(8.1*2.8*5.2,0)</f>
        <v>118</v>
      </c>
      <c r="AY18" s="695">
        <v>4.9000000000000004</v>
      </c>
      <c r="AZ18" s="587">
        <f>ROUND(8.1*2.8*4.9,0)</f>
        <v>111</v>
      </c>
      <c r="BA18" s="695">
        <v>4.8</v>
      </c>
      <c r="BB18" s="589">
        <f>ROUND(8.1*2.8*4.8,0)</f>
        <v>109</v>
      </c>
      <c r="BC18" s="562"/>
      <c r="BD18" s="552"/>
      <c r="BE18" s="700" t="s">
        <v>233</v>
      </c>
      <c r="BF18" s="691" t="s">
        <v>74</v>
      </c>
      <c r="BG18" s="583">
        <v>8.1</v>
      </c>
      <c r="BH18" s="692">
        <v>2.8</v>
      </c>
      <c r="BI18" s="693"/>
      <c r="BJ18" s="694">
        <v>3.8</v>
      </c>
      <c r="BK18" s="587">
        <f>ROUND(8.1*2.8*3.8,0)</f>
        <v>86</v>
      </c>
      <c r="BL18" s="695">
        <v>3.5</v>
      </c>
      <c r="BM18" s="587">
        <f>ROUND(8.1*2.8*3.5,0)</f>
        <v>79</v>
      </c>
      <c r="BN18" s="695">
        <v>3.3</v>
      </c>
      <c r="BO18" s="587">
        <f>ROUND(8.1*2.8*3.3,0)</f>
        <v>75</v>
      </c>
      <c r="BP18" s="695">
        <v>3.1</v>
      </c>
      <c r="BQ18" s="587">
        <f>ROUND(8.1*2.8*3.1,0)</f>
        <v>70</v>
      </c>
      <c r="BR18" s="695">
        <v>3</v>
      </c>
      <c r="BS18" s="587">
        <f>ROUND(8.1*2.8*3,0)</f>
        <v>68</v>
      </c>
      <c r="BT18" s="695">
        <v>3.3</v>
      </c>
      <c r="BU18" s="587">
        <f>ROUND(8.1*2.8*3.3,0)</f>
        <v>75</v>
      </c>
      <c r="BV18" s="695">
        <v>4.4000000000000004</v>
      </c>
      <c r="BW18" s="587">
        <f>ROUND(8.1*2.8*4.4,0)</f>
        <v>100</v>
      </c>
      <c r="BX18" s="695">
        <v>5.8</v>
      </c>
      <c r="BY18" s="587">
        <f>ROUND(8.1*2.8*5.8,0)</f>
        <v>132</v>
      </c>
      <c r="BZ18" s="695">
        <v>7.1</v>
      </c>
      <c r="CA18" s="587">
        <f>ROUND(8.1*2.8*7.1,0)</f>
        <v>161</v>
      </c>
      <c r="CB18" s="695">
        <v>8.1</v>
      </c>
      <c r="CC18" s="587">
        <f>ROUND(8.1*2.8*8.1,0)</f>
        <v>184</v>
      </c>
      <c r="CD18" s="695">
        <v>9</v>
      </c>
      <c r="CE18" s="587">
        <f>ROUND(8.1*2.8*9,0)</f>
        <v>204</v>
      </c>
      <c r="CF18" s="695">
        <v>9.4</v>
      </c>
      <c r="CG18" s="587">
        <f>ROUND(8.1*2.8*9.4,0)</f>
        <v>213</v>
      </c>
      <c r="CH18" s="695">
        <v>9.6</v>
      </c>
      <c r="CI18" s="587">
        <f>ROUND(8.1*2.8*9.6,0)</f>
        <v>218</v>
      </c>
      <c r="CJ18" s="695">
        <v>9.4</v>
      </c>
      <c r="CK18" s="587">
        <f>ROUND(8.1*2.8*9.4,0)</f>
        <v>213</v>
      </c>
      <c r="CL18" s="695">
        <v>8.9</v>
      </c>
      <c r="CM18" s="587">
        <f>ROUND(8.1*2.8*8.9,0)</f>
        <v>202</v>
      </c>
      <c r="CN18" s="695">
        <v>8.5</v>
      </c>
      <c r="CO18" s="587">
        <f>ROUND(8.1*2.8*8.5,0)</f>
        <v>193</v>
      </c>
      <c r="CP18" s="695">
        <v>8</v>
      </c>
      <c r="CQ18" s="587">
        <f>ROUND(8.1*2.8*8,0)</f>
        <v>181</v>
      </c>
      <c r="CR18" s="695">
        <v>7.1</v>
      </c>
      <c r="CS18" s="587">
        <f>ROUND(8.1*2.8*7.1,0)</f>
        <v>161</v>
      </c>
      <c r="CT18" s="695">
        <v>5.9</v>
      </c>
      <c r="CU18" s="587">
        <f>ROUND(8.1*2.8*5.9,0)</f>
        <v>134</v>
      </c>
      <c r="CV18" s="695">
        <v>5.0999999999999996</v>
      </c>
      <c r="CW18" s="587">
        <f>ROUND(8.1*2.8*5.1,0)</f>
        <v>116</v>
      </c>
      <c r="CX18" s="695">
        <v>4.7</v>
      </c>
      <c r="CY18" s="587">
        <f>ROUND(8.1*2.8*4.7,0)</f>
        <v>107</v>
      </c>
      <c r="CZ18" s="695">
        <v>4.4000000000000004</v>
      </c>
      <c r="DA18" s="587">
        <f>ROUND(8.1*2.8*4.4,0)</f>
        <v>100</v>
      </c>
      <c r="DB18" s="695">
        <v>4.3</v>
      </c>
      <c r="DC18" s="587">
        <f>ROUND(8.1*2.8*4.3,0)</f>
        <v>98</v>
      </c>
      <c r="DD18" s="695">
        <v>4</v>
      </c>
      <c r="DE18" s="589">
        <f>ROUND(8.1*2.8*4,0)</f>
        <v>91</v>
      </c>
      <c r="DF18" s="562"/>
      <c r="DG18" s="552"/>
      <c r="DH18" s="700" t="s">
        <v>233</v>
      </c>
      <c r="DI18" s="691" t="s">
        <v>74</v>
      </c>
      <c r="DJ18" s="583">
        <v>8.1</v>
      </c>
      <c r="DK18" s="692">
        <v>2.8</v>
      </c>
      <c r="DL18" s="693"/>
      <c r="DM18" s="694">
        <v>1.8</v>
      </c>
      <c r="DN18" s="587">
        <f>ROUND(8.1*2.8*1.8,0)</f>
        <v>41</v>
      </c>
      <c r="DO18" s="695">
        <v>1.5</v>
      </c>
      <c r="DP18" s="587">
        <f>ROUND(8.1*2.8*1.5,0)</f>
        <v>34</v>
      </c>
      <c r="DQ18" s="695">
        <v>1.3</v>
      </c>
      <c r="DR18" s="587">
        <f>ROUND(8.1*2.8*1.3,0)</f>
        <v>29</v>
      </c>
      <c r="DS18" s="695">
        <v>1.1000000000000001</v>
      </c>
      <c r="DT18" s="587">
        <f>ROUND(8.1*2.8*1.1,0)</f>
        <v>25</v>
      </c>
      <c r="DU18" s="695">
        <v>0.89999999999999902</v>
      </c>
      <c r="DV18" s="587">
        <f>ROUND(8.1*2.8*0.899999999999999,0)</f>
        <v>20</v>
      </c>
      <c r="DW18" s="695">
        <v>1.1000000000000001</v>
      </c>
      <c r="DX18" s="587">
        <f>ROUND(8.1*2.8*1.1,0)</f>
        <v>25</v>
      </c>
      <c r="DY18" s="695">
        <v>2</v>
      </c>
      <c r="DZ18" s="587">
        <f>ROUND(8.1*2.8*2,0)</f>
        <v>45</v>
      </c>
      <c r="EA18" s="695">
        <v>3.5</v>
      </c>
      <c r="EB18" s="587">
        <f>ROUND(8.1*2.8*3.5,0)</f>
        <v>79</v>
      </c>
      <c r="EC18" s="695">
        <v>4.8</v>
      </c>
      <c r="ED18" s="587">
        <f>ROUND(8.1*2.8*4.8,0)</f>
        <v>109</v>
      </c>
      <c r="EE18" s="695">
        <v>6.1</v>
      </c>
      <c r="EF18" s="587">
        <f>ROUND(8.1*2.8*6.1,0)</f>
        <v>138</v>
      </c>
      <c r="EG18" s="695">
        <v>6.9</v>
      </c>
      <c r="EH18" s="587">
        <f>ROUND(8.1*2.8*6.9,0)</f>
        <v>156</v>
      </c>
      <c r="EI18" s="695">
        <v>7.6</v>
      </c>
      <c r="EJ18" s="587">
        <f>ROUND(8.1*2.8*7.6,0)</f>
        <v>172</v>
      </c>
      <c r="EK18" s="695">
        <v>7.8</v>
      </c>
      <c r="EL18" s="587">
        <f>ROUND(8.1*2.8*7.8,0)</f>
        <v>177</v>
      </c>
      <c r="EM18" s="695">
        <v>7.5</v>
      </c>
      <c r="EN18" s="587">
        <f>ROUND(8.1*2.8*7.5,0)</f>
        <v>170</v>
      </c>
      <c r="EO18" s="695">
        <v>7.1</v>
      </c>
      <c r="EP18" s="587">
        <f>ROUND(8.1*2.8*7.1,0)</f>
        <v>161</v>
      </c>
      <c r="EQ18" s="695">
        <v>6.7</v>
      </c>
      <c r="ER18" s="587">
        <f>ROUND(8.1*2.8*6.7,0)</f>
        <v>152</v>
      </c>
      <c r="ES18" s="695">
        <v>5.7</v>
      </c>
      <c r="ET18" s="587">
        <f>ROUND(8.1*2.8*5.7,0)</f>
        <v>129</v>
      </c>
      <c r="EU18" s="695">
        <v>4.7</v>
      </c>
      <c r="EV18" s="587">
        <f>ROUND(8.1*2.8*4.7,0)</f>
        <v>107</v>
      </c>
      <c r="EW18" s="695">
        <v>3.9</v>
      </c>
      <c r="EX18" s="587">
        <f>ROUND(8.1*2.8*3.9,0)</f>
        <v>88</v>
      </c>
      <c r="EY18" s="695">
        <v>3.3</v>
      </c>
      <c r="EZ18" s="587">
        <f>ROUND(8.1*2.8*3.3,0)</f>
        <v>75</v>
      </c>
      <c r="FA18" s="695">
        <v>3</v>
      </c>
      <c r="FB18" s="587">
        <f>ROUND(8.1*2.8*3,0)</f>
        <v>68</v>
      </c>
      <c r="FC18" s="695">
        <v>2.8</v>
      </c>
      <c r="FD18" s="587">
        <f>ROUND(8.1*2.8*2.8,0)</f>
        <v>64</v>
      </c>
      <c r="FE18" s="695">
        <v>2.6</v>
      </c>
      <c r="FF18" s="587">
        <f>ROUND(8.1*2.8*2.6,0)</f>
        <v>59</v>
      </c>
      <c r="FG18" s="695">
        <v>2.2000000000000002</v>
      </c>
      <c r="FH18" s="589">
        <f>ROUND(8.1*2.8*2.2,0)</f>
        <v>50</v>
      </c>
      <c r="FI18" s="563"/>
      <c r="FJ18" s="564"/>
      <c r="FK18" s="700" t="s">
        <v>233</v>
      </c>
      <c r="FL18" s="691" t="s">
        <v>74</v>
      </c>
      <c r="FM18" s="583">
        <v>8.1</v>
      </c>
      <c r="FN18" s="692">
        <v>2.8</v>
      </c>
      <c r="FO18" s="693"/>
      <c r="FP18" s="696">
        <v>5</v>
      </c>
      <c r="FQ18" s="697">
        <v>24.3</v>
      </c>
      <c r="FR18" s="587">
        <f>ROUND(8.1*2.8*24.3,0)</f>
        <v>551</v>
      </c>
      <c r="FS18" s="698">
        <v>8</v>
      </c>
      <c r="FT18" s="697">
        <v>22.6</v>
      </c>
      <c r="FU18" s="592">
        <f>ROUND(8.1*2.8*22.6,0)</f>
        <v>513</v>
      </c>
      <c r="FV18" s="593"/>
      <c r="FW18" s="594"/>
      <c r="FX18" s="595"/>
      <c r="FY18" s="596"/>
      <c r="FZ18" s="597"/>
      <c r="GA18" s="598"/>
      <c r="GB18" s="599"/>
      <c r="GC18" s="600"/>
      <c r="GD18" s="599"/>
      <c r="GE18" s="601"/>
      <c r="GF18" s="688"/>
      <c r="GG18" s="602"/>
      <c r="GH18" s="602"/>
      <c r="GI18" s="602"/>
      <c r="GJ18" s="409"/>
      <c r="GK18" s="628"/>
      <c r="GL18" s="629"/>
      <c r="GM18" s="630"/>
      <c r="GN18" s="631"/>
      <c r="GO18" s="632"/>
      <c r="GP18" s="656"/>
      <c r="GQ18" s="633">
        <v>0</v>
      </c>
      <c r="GR18" s="634">
        <v>0</v>
      </c>
      <c r="GS18" s="409"/>
      <c r="GT18" s="413"/>
      <c r="GU18" s="628"/>
      <c r="GV18" s="629"/>
      <c r="GW18" s="635"/>
      <c r="GX18" s="636"/>
      <c r="GY18" s="637"/>
      <c r="GZ18" s="638"/>
      <c r="HA18" s="639">
        <v>0</v>
      </c>
      <c r="HB18" s="640"/>
      <c r="HC18" s="579"/>
      <c r="HD18" s="562"/>
      <c r="HE18" s="415"/>
      <c r="HF18" s="415"/>
      <c r="HG18" s="415"/>
    </row>
    <row r="19" spans="1:218" ht="20.100000000000001" customHeight="1">
      <c r="A19" s="552"/>
      <c r="B19" s="700" t="s">
        <v>252</v>
      </c>
      <c r="C19" s="691"/>
      <c r="D19" s="583">
        <v>7</v>
      </c>
      <c r="E19" s="692">
        <v>2.1800000000000002</v>
      </c>
      <c r="F19" s="693"/>
      <c r="G19" s="694">
        <v>2.2000000000000002</v>
      </c>
      <c r="H19" s="587">
        <f>ROUND(7*2.18*2.2,0)</f>
        <v>34</v>
      </c>
      <c r="I19" s="695">
        <v>2.1</v>
      </c>
      <c r="J19" s="587">
        <f>ROUND(7*2.18*2.1,0)</f>
        <v>32</v>
      </c>
      <c r="K19" s="695">
        <v>1.9</v>
      </c>
      <c r="L19" s="587">
        <f>ROUND(7*2.18*1.9,0)</f>
        <v>29</v>
      </c>
      <c r="M19" s="695">
        <v>1.8</v>
      </c>
      <c r="N19" s="587">
        <f>ROUND(7*2.18*1.8,0)</f>
        <v>27</v>
      </c>
      <c r="O19" s="695">
        <v>1.8</v>
      </c>
      <c r="P19" s="587">
        <f>ROUND(7*2.18*1.8,0)</f>
        <v>27</v>
      </c>
      <c r="Q19" s="695">
        <v>1.9</v>
      </c>
      <c r="R19" s="587">
        <f>ROUND(7*2.18*1.9,0)</f>
        <v>29</v>
      </c>
      <c r="S19" s="695">
        <v>2.4</v>
      </c>
      <c r="T19" s="587">
        <f>ROUND(7*2.18*2.4,0)</f>
        <v>37</v>
      </c>
      <c r="U19" s="695">
        <v>3</v>
      </c>
      <c r="V19" s="587">
        <f>ROUND(7*2.18*3,0)</f>
        <v>46</v>
      </c>
      <c r="W19" s="695">
        <v>3.6</v>
      </c>
      <c r="X19" s="587">
        <f>ROUND(7*2.18*3.6,0)</f>
        <v>55</v>
      </c>
      <c r="Y19" s="695">
        <v>4.2</v>
      </c>
      <c r="Z19" s="587">
        <f>ROUND(7*2.18*4.2,0)</f>
        <v>64</v>
      </c>
      <c r="AA19" s="695">
        <v>4.5999999999999996</v>
      </c>
      <c r="AB19" s="587">
        <f>ROUND(7*2.18*4.6,0)</f>
        <v>70</v>
      </c>
      <c r="AC19" s="695">
        <v>4.9000000000000004</v>
      </c>
      <c r="AD19" s="587">
        <f>ROUND(7*2.18*4.9,0)</f>
        <v>75</v>
      </c>
      <c r="AE19" s="695">
        <v>4.9000000000000004</v>
      </c>
      <c r="AF19" s="587">
        <f>ROUND(7*2.18*4.9,0)</f>
        <v>75</v>
      </c>
      <c r="AG19" s="695">
        <v>4.9000000000000004</v>
      </c>
      <c r="AH19" s="587">
        <f>ROUND(7*2.18*4.9,0)</f>
        <v>75</v>
      </c>
      <c r="AI19" s="695">
        <v>4.7</v>
      </c>
      <c r="AJ19" s="587">
        <f>ROUND(7*2.18*4.7,0)</f>
        <v>72</v>
      </c>
      <c r="AK19" s="695">
        <v>4.4000000000000004</v>
      </c>
      <c r="AL19" s="587">
        <f>ROUND(7*2.18*4.4,0)</f>
        <v>67</v>
      </c>
      <c r="AM19" s="695">
        <v>4</v>
      </c>
      <c r="AN19" s="587">
        <f>ROUND(7*2.18*4,0)</f>
        <v>61</v>
      </c>
      <c r="AO19" s="695">
        <v>3.6</v>
      </c>
      <c r="AP19" s="587">
        <f>ROUND(7*2.18*3.6,0)</f>
        <v>55</v>
      </c>
      <c r="AQ19" s="695">
        <v>3.2</v>
      </c>
      <c r="AR19" s="587">
        <f>ROUND(7*2.18*3.2,0)</f>
        <v>49</v>
      </c>
      <c r="AS19" s="695">
        <v>2.9</v>
      </c>
      <c r="AT19" s="587">
        <f>ROUND(7*2.18*2.9,0)</f>
        <v>44</v>
      </c>
      <c r="AU19" s="695">
        <v>2.8</v>
      </c>
      <c r="AV19" s="587">
        <f>ROUND(7*2.18*2.8,0)</f>
        <v>43</v>
      </c>
      <c r="AW19" s="695">
        <v>2.6</v>
      </c>
      <c r="AX19" s="587">
        <f>ROUND(7*2.18*2.6,0)</f>
        <v>40</v>
      </c>
      <c r="AY19" s="695">
        <v>2.4</v>
      </c>
      <c r="AZ19" s="587">
        <f>ROUND(7*2.18*2.4,0)</f>
        <v>37</v>
      </c>
      <c r="BA19" s="695">
        <v>2.4</v>
      </c>
      <c r="BB19" s="589">
        <f>ROUND(7*2.18*2.4,0)</f>
        <v>37</v>
      </c>
      <c r="BC19" s="562"/>
      <c r="BD19" s="552"/>
      <c r="BE19" s="700" t="s">
        <v>252</v>
      </c>
      <c r="BF19" s="691"/>
      <c r="BG19" s="583">
        <v>7</v>
      </c>
      <c r="BH19" s="692">
        <v>2.1800000000000002</v>
      </c>
      <c r="BI19" s="693"/>
      <c r="BJ19" s="694">
        <v>1.9</v>
      </c>
      <c r="BK19" s="587">
        <f>ROUND(7*2.18*1.9,0)</f>
        <v>29</v>
      </c>
      <c r="BL19" s="695">
        <v>1.8</v>
      </c>
      <c r="BM19" s="587">
        <f>ROUND(7*2.18*1.8,0)</f>
        <v>27</v>
      </c>
      <c r="BN19" s="695">
        <v>1.7</v>
      </c>
      <c r="BO19" s="587">
        <f>ROUND(7*2.18*1.7,0)</f>
        <v>26</v>
      </c>
      <c r="BP19" s="695">
        <v>1.6</v>
      </c>
      <c r="BQ19" s="587">
        <f>ROUND(7*2.18*1.6,0)</f>
        <v>24</v>
      </c>
      <c r="BR19" s="695">
        <v>1.5</v>
      </c>
      <c r="BS19" s="587">
        <f>ROUND(7*2.18*1.5,0)</f>
        <v>23</v>
      </c>
      <c r="BT19" s="695">
        <v>1.7</v>
      </c>
      <c r="BU19" s="587">
        <f>ROUND(7*2.18*1.7,0)</f>
        <v>26</v>
      </c>
      <c r="BV19" s="695">
        <v>2.2000000000000002</v>
      </c>
      <c r="BW19" s="587">
        <f>ROUND(7*2.18*2.2,0)</f>
        <v>34</v>
      </c>
      <c r="BX19" s="695">
        <v>2.9</v>
      </c>
      <c r="BY19" s="587">
        <f>ROUND(7*2.18*2.9,0)</f>
        <v>44</v>
      </c>
      <c r="BZ19" s="695">
        <v>3.6</v>
      </c>
      <c r="CA19" s="587">
        <f>ROUND(7*2.18*3.6,0)</f>
        <v>55</v>
      </c>
      <c r="CB19" s="695">
        <v>4.0999999999999996</v>
      </c>
      <c r="CC19" s="587">
        <f>ROUND(7*2.18*4.1,0)</f>
        <v>63</v>
      </c>
      <c r="CD19" s="695">
        <v>4.5</v>
      </c>
      <c r="CE19" s="587">
        <f>ROUND(7*2.18*4.5,0)</f>
        <v>69</v>
      </c>
      <c r="CF19" s="695">
        <v>4.7</v>
      </c>
      <c r="CG19" s="587">
        <f>ROUND(7*2.18*4.7,0)</f>
        <v>72</v>
      </c>
      <c r="CH19" s="695">
        <v>4.8</v>
      </c>
      <c r="CI19" s="587">
        <f>ROUND(7*2.18*4.8,0)</f>
        <v>73</v>
      </c>
      <c r="CJ19" s="695">
        <v>4.7</v>
      </c>
      <c r="CK19" s="587">
        <f>ROUND(7*2.18*4.7,0)</f>
        <v>72</v>
      </c>
      <c r="CL19" s="695">
        <v>4.4000000000000004</v>
      </c>
      <c r="CM19" s="587">
        <f>ROUND(7*2.18*4.4,0)</f>
        <v>67</v>
      </c>
      <c r="CN19" s="695">
        <v>4.2</v>
      </c>
      <c r="CO19" s="587">
        <f>ROUND(7*2.18*4.2,0)</f>
        <v>64</v>
      </c>
      <c r="CP19" s="695">
        <v>4</v>
      </c>
      <c r="CQ19" s="587">
        <f>ROUND(7*2.18*4,0)</f>
        <v>61</v>
      </c>
      <c r="CR19" s="695">
        <v>3.6</v>
      </c>
      <c r="CS19" s="587">
        <f>ROUND(7*2.18*3.6,0)</f>
        <v>55</v>
      </c>
      <c r="CT19" s="695">
        <v>2.9</v>
      </c>
      <c r="CU19" s="587">
        <f>ROUND(7*2.18*2.9,0)</f>
        <v>44</v>
      </c>
      <c r="CV19" s="695">
        <v>2.6</v>
      </c>
      <c r="CW19" s="587">
        <f>ROUND(7*2.18*2.6,0)</f>
        <v>40</v>
      </c>
      <c r="CX19" s="695">
        <v>2.2999999999999998</v>
      </c>
      <c r="CY19" s="587">
        <f>ROUND(7*2.18*2.3,0)</f>
        <v>35</v>
      </c>
      <c r="CZ19" s="695">
        <v>2.2000000000000002</v>
      </c>
      <c r="DA19" s="587">
        <f>ROUND(7*2.18*2.2,0)</f>
        <v>34</v>
      </c>
      <c r="DB19" s="695">
        <v>2.2000000000000002</v>
      </c>
      <c r="DC19" s="587">
        <f>ROUND(7*2.18*2.2,0)</f>
        <v>34</v>
      </c>
      <c r="DD19" s="695">
        <v>2</v>
      </c>
      <c r="DE19" s="589">
        <f>ROUND(7*2.18*2,0)</f>
        <v>31</v>
      </c>
      <c r="DF19" s="562"/>
      <c r="DG19" s="552"/>
      <c r="DH19" s="700" t="s">
        <v>252</v>
      </c>
      <c r="DI19" s="691"/>
      <c r="DJ19" s="583">
        <v>7</v>
      </c>
      <c r="DK19" s="692">
        <v>2.1800000000000002</v>
      </c>
      <c r="DL19" s="693"/>
      <c r="DM19" s="694">
        <v>0.9</v>
      </c>
      <c r="DN19" s="587">
        <f>ROUND(7*2.18*0.9,0)</f>
        <v>14</v>
      </c>
      <c r="DO19" s="695">
        <v>0.8</v>
      </c>
      <c r="DP19" s="587">
        <f>ROUND(7*2.18*0.8,0)</f>
        <v>12</v>
      </c>
      <c r="DQ19" s="695">
        <v>0.7</v>
      </c>
      <c r="DR19" s="587">
        <f>ROUND(7*2.18*0.7,0)</f>
        <v>11</v>
      </c>
      <c r="DS19" s="695">
        <v>0.6</v>
      </c>
      <c r="DT19" s="587">
        <f>ROUND(7*2.18*0.6,0)</f>
        <v>9</v>
      </c>
      <c r="DU19" s="695">
        <v>0.4</v>
      </c>
      <c r="DV19" s="587">
        <f>ROUND(7*2.18*0.4,0)</f>
        <v>6</v>
      </c>
      <c r="DW19" s="695">
        <v>0.6</v>
      </c>
      <c r="DX19" s="587">
        <f>ROUND(7*2.18*0.6,0)</f>
        <v>9</v>
      </c>
      <c r="DY19" s="695">
        <v>1</v>
      </c>
      <c r="DZ19" s="587">
        <f>ROUND(7*2.18*1,0)</f>
        <v>15</v>
      </c>
      <c r="EA19" s="695">
        <v>1.8</v>
      </c>
      <c r="EB19" s="587">
        <f>ROUND(7*2.18*1.8,0)</f>
        <v>27</v>
      </c>
      <c r="EC19" s="695">
        <v>2.4</v>
      </c>
      <c r="ED19" s="587">
        <f>ROUND(7*2.18*2.4,0)</f>
        <v>37</v>
      </c>
      <c r="EE19" s="695">
        <v>3.1</v>
      </c>
      <c r="EF19" s="587">
        <f>ROUND(7*2.18*3.1,0)</f>
        <v>47</v>
      </c>
      <c r="EG19" s="695">
        <v>3.4</v>
      </c>
      <c r="EH19" s="587">
        <f>ROUND(7*2.18*3.4,0)</f>
        <v>52</v>
      </c>
      <c r="EI19" s="695">
        <v>3.8</v>
      </c>
      <c r="EJ19" s="587">
        <f>ROUND(7*2.18*3.8,0)</f>
        <v>58</v>
      </c>
      <c r="EK19" s="695">
        <v>3.9</v>
      </c>
      <c r="EL19" s="587">
        <f>ROUND(7*2.18*3.9,0)</f>
        <v>60</v>
      </c>
      <c r="EM19" s="695">
        <v>3.8</v>
      </c>
      <c r="EN19" s="587">
        <f>ROUND(7*2.18*3.8,0)</f>
        <v>58</v>
      </c>
      <c r="EO19" s="695">
        <v>3.6</v>
      </c>
      <c r="EP19" s="587">
        <f>ROUND(7*2.18*3.6,0)</f>
        <v>55</v>
      </c>
      <c r="EQ19" s="695">
        <v>3.4</v>
      </c>
      <c r="ER19" s="587">
        <f>ROUND(7*2.18*3.4,0)</f>
        <v>52</v>
      </c>
      <c r="ES19" s="695">
        <v>2.8</v>
      </c>
      <c r="ET19" s="587">
        <f>ROUND(7*2.18*2.8,0)</f>
        <v>43</v>
      </c>
      <c r="EU19" s="695">
        <v>2.2999999999999998</v>
      </c>
      <c r="EV19" s="587">
        <f>ROUND(7*2.18*2.3,0)</f>
        <v>35</v>
      </c>
      <c r="EW19" s="695">
        <v>1.9</v>
      </c>
      <c r="EX19" s="587">
        <f>ROUND(7*2.18*1.9,0)</f>
        <v>29</v>
      </c>
      <c r="EY19" s="695">
        <v>1.7</v>
      </c>
      <c r="EZ19" s="587">
        <f>ROUND(7*2.18*1.7,0)</f>
        <v>26</v>
      </c>
      <c r="FA19" s="695">
        <v>1.5</v>
      </c>
      <c r="FB19" s="587">
        <f>ROUND(7*2.18*1.5,0)</f>
        <v>23</v>
      </c>
      <c r="FC19" s="695">
        <v>1.4</v>
      </c>
      <c r="FD19" s="587">
        <f>ROUND(7*2.18*1.4,0)</f>
        <v>21</v>
      </c>
      <c r="FE19" s="695">
        <v>1.3</v>
      </c>
      <c r="FF19" s="587">
        <f>ROUND(7*2.18*1.3,0)</f>
        <v>20</v>
      </c>
      <c r="FG19" s="695">
        <v>1.1000000000000001</v>
      </c>
      <c r="FH19" s="589">
        <f>ROUND(7*2.18*1.1,0)</f>
        <v>17</v>
      </c>
      <c r="FI19" s="563"/>
      <c r="FJ19" s="564"/>
      <c r="FK19" s="700" t="s">
        <v>252</v>
      </c>
      <c r="FL19" s="691"/>
      <c r="FM19" s="583">
        <v>7</v>
      </c>
      <c r="FN19" s="692">
        <v>2.1800000000000002</v>
      </c>
      <c r="FO19" s="693"/>
      <c r="FP19" s="696">
        <v>5</v>
      </c>
      <c r="FQ19" s="697">
        <v>12.2</v>
      </c>
      <c r="FR19" s="587">
        <f>ROUND(7*2.18*12.2,0)</f>
        <v>186</v>
      </c>
      <c r="FS19" s="698">
        <v>8</v>
      </c>
      <c r="FT19" s="697">
        <v>11.3</v>
      </c>
      <c r="FU19" s="592">
        <f>ROUND(7*2.18*11.3,0)</f>
        <v>172</v>
      </c>
      <c r="FV19" s="593"/>
      <c r="FW19" s="594"/>
      <c r="FX19" s="595"/>
      <c r="FY19" s="596"/>
      <c r="FZ19" s="597"/>
      <c r="GA19" s="598"/>
      <c r="GB19" s="599"/>
      <c r="GC19" s="600"/>
      <c r="GD19" s="599"/>
      <c r="GE19" s="601"/>
      <c r="GF19" s="688"/>
      <c r="GG19" s="602"/>
      <c r="GH19" s="602"/>
      <c r="GI19" s="602"/>
      <c r="GJ19" s="409"/>
      <c r="GK19" s="628"/>
      <c r="GL19" s="629"/>
      <c r="GM19" s="630"/>
      <c r="GN19" s="631"/>
      <c r="GO19" s="632"/>
      <c r="GP19" s="656"/>
      <c r="GQ19" s="633">
        <v>0</v>
      </c>
      <c r="GR19" s="634">
        <v>0</v>
      </c>
      <c r="GS19" s="409"/>
      <c r="GT19" s="657"/>
      <c r="GU19" s="628"/>
      <c r="GV19" s="629"/>
      <c r="GW19" s="635"/>
      <c r="GX19" s="636"/>
      <c r="GY19" s="637"/>
      <c r="GZ19" s="638"/>
      <c r="HA19" s="639">
        <v>0</v>
      </c>
      <c r="HB19" s="640"/>
      <c r="HC19" s="529"/>
      <c r="HD19" s="562"/>
      <c r="HE19" s="415"/>
      <c r="HF19" s="415"/>
      <c r="HG19" s="415"/>
    </row>
    <row r="20" spans="1:218" ht="20.100000000000001" customHeight="1">
      <c r="A20" s="552"/>
      <c r="B20" s="700" t="s">
        <v>252</v>
      </c>
      <c r="C20" s="691"/>
      <c r="D20" s="583">
        <v>28</v>
      </c>
      <c r="E20" s="692">
        <v>2.1800000000000002</v>
      </c>
      <c r="F20" s="693"/>
      <c r="G20" s="694">
        <v>1.3</v>
      </c>
      <c r="H20" s="587">
        <f>ROUND(28*2.18*1.3,0)</f>
        <v>79</v>
      </c>
      <c r="I20" s="695">
        <v>1.2</v>
      </c>
      <c r="J20" s="587">
        <f>ROUND(28*2.18*1.2,0)</f>
        <v>73</v>
      </c>
      <c r="K20" s="695">
        <v>1.2</v>
      </c>
      <c r="L20" s="587">
        <f>ROUND(28*2.18*1.2,0)</f>
        <v>73</v>
      </c>
      <c r="M20" s="695">
        <v>1.1000000000000001</v>
      </c>
      <c r="N20" s="587">
        <f>ROUND(28*2.18*1.1,0)</f>
        <v>67</v>
      </c>
      <c r="O20" s="695">
        <v>1.1000000000000001</v>
      </c>
      <c r="P20" s="587">
        <f>ROUND(28*2.18*1.1,0)</f>
        <v>67</v>
      </c>
      <c r="Q20" s="695">
        <v>1.2</v>
      </c>
      <c r="R20" s="587">
        <f>ROUND(28*2.18*1.2,0)</f>
        <v>73</v>
      </c>
      <c r="S20" s="695">
        <v>1.5</v>
      </c>
      <c r="T20" s="587">
        <f>ROUND(28*2.18*1.5,0)</f>
        <v>92</v>
      </c>
      <c r="U20" s="695">
        <v>1.8</v>
      </c>
      <c r="V20" s="587">
        <f>ROUND(28*2.18*1.8,0)</f>
        <v>110</v>
      </c>
      <c r="W20" s="695">
        <v>2.2000000000000002</v>
      </c>
      <c r="X20" s="587">
        <f>ROUND(28*2.18*2.2,0)</f>
        <v>134</v>
      </c>
      <c r="Y20" s="695">
        <v>2.6</v>
      </c>
      <c r="Z20" s="587">
        <f>ROUND(28*2.18*2.6,0)</f>
        <v>159</v>
      </c>
      <c r="AA20" s="695">
        <v>2.8</v>
      </c>
      <c r="AB20" s="587">
        <f>ROUND(28*2.18*2.8,0)</f>
        <v>171</v>
      </c>
      <c r="AC20" s="695">
        <v>2.9</v>
      </c>
      <c r="AD20" s="587">
        <f>ROUND(28*2.18*2.9,0)</f>
        <v>177</v>
      </c>
      <c r="AE20" s="695">
        <v>3</v>
      </c>
      <c r="AF20" s="587">
        <f>ROUND(28*2.18*3,0)</f>
        <v>183</v>
      </c>
      <c r="AG20" s="695">
        <v>3</v>
      </c>
      <c r="AH20" s="587">
        <f>ROUND(28*2.18*3,0)</f>
        <v>183</v>
      </c>
      <c r="AI20" s="695">
        <v>2.8</v>
      </c>
      <c r="AJ20" s="587">
        <f>ROUND(28*2.18*2.8,0)</f>
        <v>171</v>
      </c>
      <c r="AK20" s="695">
        <v>2.7</v>
      </c>
      <c r="AL20" s="587">
        <f>ROUND(28*2.18*2.7,0)</f>
        <v>165</v>
      </c>
      <c r="AM20" s="695">
        <v>2.4</v>
      </c>
      <c r="AN20" s="587">
        <f>ROUND(28*2.18*2.4,0)</f>
        <v>146</v>
      </c>
      <c r="AO20" s="695">
        <v>2.2000000000000002</v>
      </c>
      <c r="AP20" s="587">
        <f>ROUND(28*2.18*2.2,0)</f>
        <v>134</v>
      </c>
      <c r="AQ20" s="695">
        <v>1.9</v>
      </c>
      <c r="AR20" s="587">
        <f>ROUND(28*2.18*1.9,0)</f>
        <v>116</v>
      </c>
      <c r="AS20" s="695">
        <v>1.7</v>
      </c>
      <c r="AT20" s="587">
        <f>ROUND(28*2.18*1.7,0)</f>
        <v>104</v>
      </c>
      <c r="AU20" s="695">
        <v>1.6</v>
      </c>
      <c r="AV20" s="587">
        <f>ROUND(28*2.18*1.6,0)</f>
        <v>98</v>
      </c>
      <c r="AW20" s="695">
        <v>1.6</v>
      </c>
      <c r="AX20" s="587">
        <f>ROUND(28*2.18*1.6,0)</f>
        <v>98</v>
      </c>
      <c r="AY20" s="695">
        <v>1.5</v>
      </c>
      <c r="AZ20" s="587">
        <f>ROUND(28*2.18*1.5,0)</f>
        <v>92</v>
      </c>
      <c r="BA20" s="695">
        <v>1.4</v>
      </c>
      <c r="BB20" s="589">
        <f>ROUND(28*2.18*1.4,0)</f>
        <v>85</v>
      </c>
      <c r="BC20" s="562"/>
      <c r="BD20" s="552"/>
      <c r="BE20" s="700" t="s">
        <v>252</v>
      </c>
      <c r="BF20" s="691"/>
      <c r="BG20" s="583">
        <v>28</v>
      </c>
      <c r="BH20" s="692">
        <v>2.1800000000000002</v>
      </c>
      <c r="BI20" s="693"/>
      <c r="BJ20" s="694">
        <v>1.1000000000000001</v>
      </c>
      <c r="BK20" s="587">
        <f>ROUND(28*2.18*1.1,0)</f>
        <v>67</v>
      </c>
      <c r="BL20" s="695">
        <v>1</v>
      </c>
      <c r="BM20" s="587">
        <f>ROUND(28*2.18*1,0)</f>
        <v>61</v>
      </c>
      <c r="BN20" s="695">
        <v>1</v>
      </c>
      <c r="BO20" s="587">
        <f>ROUND(28*2.18*1,0)</f>
        <v>61</v>
      </c>
      <c r="BP20" s="695">
        <v>0.9</v>
      </c>
      <c r="BQ20" s="587">
        <f>ROUND(28*2.18*0.9,0)</f>
        <v>55</v>
      </c>
      <c r="BR20" s="695">
        <v>0.9</v>
      </c>
      <c r="BS20" s="587">
        <f>ROUND(28*2.18*0.9,0)</f>
        <v>55</v>
      </c>
      <c r="BT20" s="695">
        <v>1</v>
      </c>
      <c r="BU20" s="587">
        <f>ROUND(28*2.18*1,0)</f>
        <v>61</v>
      </c>
      <c r="BV20" s="695">
        <v>1.3</v>
      </c>
      <c r="BW20" s="587">
        <f>ROUND(28*2.18*1.3,0)</f>
        <v>79</v>
      </c>
      <c r="BX20" s="695">
        <v>1.7</v>
      </c>
      <c r="BY20" s="587">
        <f>ROUND(28*2.18*1.7,0)</f>
        <v>104</v>
      </c>
      <c r="BZ20" s="695">
        <v>2.1</v>
      </c>
      <c r="CA20" s="587">
        <f>ROUND(28*2.18*2.1,0)</f>
        <v>128</v>
      </c>
      <c r="CB20" s="695">
        <v>2.4</v>
      </c>
      <c r="CC20" s="587">
        <f>ROUND(28*2.18*2.4,0)</f>
        <v>146</v>
      </c>
      <c r="CD20" s="695">
        <v>2.7</v>
      </c>
      <c r="CE20" s="587">
        <f>ROUND(28*2.18*2.7,0)</f>
        <v>165</v>
      </c>
      <c r="CF20" s="695">
        <v>2.8</v>
      </c>
      <c r="CG20" s="587">
        <f>ROUND(28*2.18*2.8,0)</f>
        <v>171</v>
      </c>
      <c r="CH20" s="695">
        <v>2.9</v>
      </c>
      <c r="CI20" s="587">
        <f>ROUND(28*2.18*2.9,0)</f>
        <v>177</v>
      </c>
      <c r="CJ20" s="695">
        <v>2.8</v>
      </c>
      <c r="CK20" s="587">
        <f>ROUND(28*2.18*2.8,0)</f>
        <v>171</v>
      </c>
      <c r="CL20" s="695">
        <v>2.7</v>
      </c>
      <c r="CM20" s="587">
        <f>ROUND(28*2.18*2.7,0)</f>
        <v>165</v>
      </c>
      <c r="CN20" s="695">
        <v>2.6</v>
      </c>
      <c r="CO20" s="587">
        <f>ROUND(28*2.18*2.6,0)</f>
        <v>159</v>
      </c>
      <c r="CP20" s="695">
        <v>2.4</v>
      </c>
      <c r="CQ20" s="587">
        <f>ROUND(28*2.18*2.4,0)</f>
        <v>146</v>
      </c>
      <c r="CR20" s="695">
        <v>2.1</v>
      </c>
      <c r="CS20" s="587">
        <f>ROUND(28*2.18*2.1,0)</f>
        <v>128</v>
      </c>
      <c r="CT20" s="695">
        <v>1.8</v>
      </c>
      <c r="CU20" s="587">
        <f>ROUND(28*2.18*1.8,0)</f>
        <v>110</v>
      </c>
      <c r="CV20" s="695">
        <v>1.5</v>
      </c>
      <c r="CW20" s="587">
        <f>ROUND(28*2.18*1.5,0)</f>
        <v>92</v>
      </c>
      <c r="CX20" s="695">
        <v>1.4</v>
      </c>
      <c r="CY20" s="587">
        <f>ROUND(28*2.18*1.4,0)</f>
        <v>85</v>
      </c>
      <c r="CZ20" s="695">
        <v>1.3</v>
      </c>
      <c r="DA20" s="587">
        <f>ROUND(28*2.18*1.3,0)</f>
        <v>79</v>
      </c>
      <c r="DB20" s="695">
        <v>1.3</v>
      </c>
      <c r="DC20" s="587">
        <f>ROUND(28*2.18*1.3,0)</f>
        <v>79</v>
      </c>
      <c r="DD20" s="695">
        <v>1.2</v>
      </c>
      <c r="DE20" s="589">
        <f>ROUND(28*2.18*1.2,0)</f>
        <v>73</v>
      </c>
      <c r="DF20" s="562"/>
      <c r="DG20" s="552"/>
      <c r="DH20" s="700" t="s">
        <v>252</v>
      </c>
      <c r="DI20" s="691"/>
      <c r="DJ20" s="583">
        <v>28</v>
      </c>
      <c r="DK20" s="692">
        <v>2.1800000000000002</v>
      </c>
      <c r="DL20" s="693"/>
      <c r="DM20" s="694">
        <v>0.5</v>
      </c>
      <c r="DN20" s="587">
        <f>ROUND(28*2.18*0.5,0)</f>
        <v>31</v>
      </c>
      <c r="DO20" s="695">
        <v>0.4</v>
      </c>
      <c r="DP20" s="587">
        <f>ROUND(28*2.18*0.4,0)</f>
        <v>24</v>
      </c>
      <c r="DQ20" s="695">
        <v>0.4</v>
      </c>
      <c r="DR20" s="587">
        <f>ROUND(28*2.18*0.4,0)</f>
        <v>24</v>
      </c>
      <c r="DS20" s="695">
        <v>0.3</v>
      </c>
      <c r="DT20" s="587">
        <f>ROUND(28*2.18*0.3,0)</f>
        <v>18</v>
      </c>
      <c r="DU20" s="695">
        <v>0.3</v>
      </c>
      <c r="DV20" s="587">
        <f>ROUND(28*2.18*0.3,0)</f>
        <v>18</v>
      </c>
      <c r="DW20" s="695">
        <v>0.3</v>
      </c>
      <c r="DX20" s="587">
        <f>ROUND(28*2.18*0.3,0)</f>
        <v>18</v>
      </c>
      <c r="DY20" s="695">
        <v>0.6</v>
      </c>
      <c r="DZ20" s="587">
        <f>ROUND(28*2.18*0.6,0)</f>
        <v>37</v>
      </c>
      <c r="EA20" s="695">
        <v>1</v>
      </c>
      <c r="EB20" s="587">
        <f>ROUND(28*2.18*1,0)</f>
        <v>61</v>
      </c>
      <c r="EC20" s="695">
        <v>1.4</v>
      </c>
      <c r="ED20" s="587">
        <f>ROUND(28*2.18*1.4,0)</f>
        <v>85</v>
      </c>
      <c r="EE20" s="695">
        <v>1.8</v>
      </c>
      <c r="EF20" s="587">
        <f>ROUND(28*2.18*1.8,0)</f>
        <v>110</v>
      </c>
      <c r="EG20" s="695">
        <v>2.1</v>
      </c>
      <c r="EH20" s="587">
        <f>ROUND(28*2.18*2.1,0)</f>
        <v>128</v>
      </c>
      <c r="EI20" s="695">
        <v>2.2999999999999998</v>
      </c>
      <c r="EJ20" s="587">
        <f>ROUND(28*2.18*2.3,0)</f>
        <v>140</v>
      </c>
      <c r="EK20" s="695">
        <v>2.2999999999999998</v>
      </c>
      <c r="EL20" s="587">
        <f>ROUND(28*2.18*2.3,0)</f>
        <v>140</v>
      </c>
      <c r="EM20" s="695">
        <v>2.2000000000000002</v>
      </c>
      <c r="EN20" s="587">
        <f>ROUND(28*2.18*2.2,0)</f>
        <v>134</v>
      </c>
      <c r="EO20" s="695">
        <v>2.1</v>
      </c>
      <c r="EP20" s="587">
        <f>ROUND(28*2.18*2.1,0)</f>
        <v>128</v>
      </c>
      <c r="EQ20" s="695">
        <v>2</v>
      </c>
      <c r="ER20" s="587">
        <f>ROUND(28*2.18*2,0)</f>
        <v>122</v>
      </c>
      <c r="ES20" s="695">
        <v>1.7</v>
      </c>
      <c r="ET20" s="587">
        <f>ROUND(28*2.18*1.7,0)</f>
        <v>104</v>
      </c>
      <c r="EU20" s="695">
        <v>1.4</v>
      </c>
      <c r="EV20" s="587">
        <f>ROUND(28*2.18*1.4,0)</f>
        <v>85</v>
      </c>
      <c r="EW20" s="695">
        <v>1.2</v>
      </c>
      <c r="EX20" s="587">
        <f>ROUND(28*2.18*1.2,0)</f>
        <v>73</v>
      </c>
      <c r="EY20" s="695">
        <v>1</v>
      </c>
      <c r="EZ20" s="587">
        <f>ROUND(28*2.18*1,0)</f>
        <v>61</v>
      </c>
      <c r="FA20" s="695">
        <v>0.9</v>
      </c>
      <c r="FB20" s="587">
        <f>ROUND(28*2.18*0.9,0)</f>
        <v>55</v>
      </c>
      <c r="FC20" s="695">
        <v>0.8</v>
      </c>
      <c r="FD20" s="587">
        <f>ROUND(28*2.18*0.8,0)</f>
        <v>49</v>
      </c>
      <c r="FE20" s="695">
        <v>0.8</v>
      </c>
      <c r="FF20" s="587">
        <f>ROUND(28*2.18*0.8,0)</f>
        <v>49</v>
      </c>
      <c r="FG20" s="695">
        <v>0.7</v>
      </c>
      <c r="FH20" s="589">
        <f>ROUND(28*2.18*0.7,0)</f>
        <v>43</v>
      </c>
      <c r="FI20" s="563"/>
      <c r="FJ20" s="564"/>
      <c r="FK20" s="700" t="s">
        <v>252</v>
      </c>
      <c r="FL20" s="691"/>
      <c r="FM20" s="583">
        <v>28</v>
      </c>
      <c r="FN20" s="692">
        <v>2.1800000000000002</v>
      </c>
      <c r="FO20" s="693"/>
      <c r="FP20" s="696">
        <v>5</v>
      </c>
      <c r="FQ20" s="697">
        <v>7.3</v>
      </c>
      <c r="FR20" s="587">
        <f>ROUND(28*2.18*7.3,0)</f>
        <v>446</v>
      </c>
      <c r="FS20" s="698">
        <v>8</v>
      </c>
      <c r="FT20" s="697">
        <v>6.8</v>
      </c>
      <c r="FU20" s="592">
        <f>ROUND(28*2.18*6.8,0)</f>
        <v>415</v>
      </c>
      <c r="FV20" s="593"/>
      <c r="FW20" s="594"/>
      <c r="FX20" s="595"/>
      <c r="FY20" s="596"/>
      <c r="FZ20" s="597"/>
      <c r="GA20" s="598"/>
      <c r="GB20" s="599"/>
      <c r="GC20" s="600"/>
      <c r="GD20" s="599"/>
      <c r="GE20" s="601"/>
      <c r="GF20" s="688"/>
      <c r="GG20" s="602"/>
      <c r="GH20" s="602"/>
      <c r="GI20" s="602"/>
      <c r="GJ20" s="409"/>
      <c r="GK20" s="628"/>
      <c r="GL20" s="629"/>
      <c r="GM20" s="630"/>
      <c r="GN20" s="631"/>
      <c r="GO20" s="632"/>
      <c r="GP20" s="656"/>
      <c r="GQ20" s="633">
        <v>0</v>
      </c>
      <c r="GR20" s="634">
        <v>0</v>
      </c>
      <c r="GS20" s="413"/>
      <c r="GT20" s="657"/>
      <c r="GU20" s="628"/>
      <c r="GV20" s="629"/>
      <c r="GW20" s="635"/>
      <c r="GX20" s="636"/>
      <c r="GY20" s="637"/>
      <c r="GZ20" s="638"/>
      <c r="HA20" s="639">
        <v>0</v>
      </c>
      <c r="HB20" s="640"/>
      <c r="HC20" s="409"/>
      <c r="HD20" s="562"/>
      <c r="HE20" s="415"/>
      <c r="HF20" s="415"/>
      <c r="HG20" s="415"/>
    </row>
    <row r="21" spans="1:218" ht="20.100000000000001" customHeight="1">
      <c r="A21" s="552"/>
      <c r="B21" s="700" t="s">
        <v>250</v>
      </c>
      <c r="C21" s="691"/>
      <c r="D21" s="583">
        <v>16.239999999999998</v>
      </c>
      <c r="E21" s="692">
        <v>2.35</v>
      </c>
      <c r="F21" s="693"/>
      <c r="G21" s="694">
        <v>1.3</v>
      </c>
      <c r="H21" s="587">
        <f>ROUND(16.24*2.35*1.3,0)</f>
        <v>50</v>
      </c>
      <c r="I21" s="695">
        <v>1.2</v>
      </c>
      <c r="J21" s="587">
        <f>ROUND(16.24*2.35*1.2,0)</f>
        <v>46</v>
      </c>
      <c r="K21" s="695">
        <v>1.2</v>
      </c>
      <c r="L21" s="587">
        <f>ROUND(16.24*2.35*1.2,0)</f>
        <v>46</v>
      </c>
      <c r="M21" s="695">
        <v>1.1000000000000001</v>
      </c>
      <c r="N21" s="587">
        <f>ROUND(16.24*2.35*1.1,0)</f>
        <v>42</v>
      </c>
      <c r="O21" s="695">
        <v>1.1000000000000001</v>
      </c>
      <c r="P21" s="587">
        <f>ROUND(16.24*2.35*1.1,0)</f>
        <v>42</v>
      </c>
      <c r="Q21" s="695">
        <v>1.2</v>
      </c>
      <c r="R21" s="587">
        <f>ROUND(16.24*2.35*1.2,0)</f>
        <v>46</v>
      </c>
      <c r="S21" s="695">
        <v>1.5</v>
      </c>
      <c r="T21" s="587">
        <f>ROUND(16.24*2.35*1.5,0)</f>
        <v>57</v>
      </c>
      <c r="U21" s="695">
        <v>1.8</v>
      </c>
      <c r="V21" s="587">
        <f>ROUND(16.24*2.35*1.8,0)</f>
        <v>69</v>
      </c>
      <c r="W21" s="695">
        <v>2.2000000000000002</v>
      </c>
      <c r="X21" s="587">
        <f>ROUND(16.24*2.35*2.2,0)</f>
        <v>84</v>
      </c>
      <c r="Y21" s="695">
        <v>2.6</v>
      </c>
      <c r="Z21" s="587">
        <f>ROUND(16.24*2.35*2.6,0)</f>
        <v>99</v>
      </c>
      <c r="AA21" s="695">
        <v>2.8</v>
      </c>
      <c r="AB21" s="587">
        <f>ROUND(16.24*2.35*2.8,0)</f>
        <v>107</v>
      </c>
      <c r="AC21" s="695">
        <v>2.9</v>
      </c>
      <c r="AD21" s="587">
        <f>ROUND(16.24*2.35*2.9,0)</f>
        <v>111</v>
      </c>
      <c r="AE21" s="695">
        <v>3</v>
      </c>
      <c r="AF21" s="587">
        <f>ROUND(16.24*2.35*3,0)</f>
        <v>114</v>
      </c>
      <c r="AG21" s="695">
        <v>3</v>
      </c>
      <c r="AH21" s="587">
        <f>ROUND(16.24*2.35*3,0)</f>
        <v>114</v>
      </c>
      <c r="AI21" s="695">
        <v>2.8</v>
      </c>
      <c r="AJ21" s="587">
        <f>ROUND(16.24*2.35*2.8,0)</f>
        <v>107</v>
      </c>
      <c r="AK21" s="695">
        <v>2.7</v>
      </c>
      <c r="AL21" s="587">
        <f>ROUND(16.24*2.35*2.7,0)</f>
        <v>103</v>
      </c>
      <c r="AM21" s="695">
        <v>2.4</v>
      </c>
      <c r="AN21" s="587">
        <f>ROUND(16.24*2.35*2.4,0)</f>
        <v>92</v>
      </c>
      <c r="AO21" s="695">
        <v>2.2000000000000002</v>
      </c>
      <c r="AP21" s="587">
        <f>ROUND(16.24*2.35*2.2,0)</f>
        <v>84</v>
      </c>
      <c r="AQ21" s="695">
        <v>1.9</v>
      </c>
      <c r="AR21" s="587">
        <f>ROUND(16.24*2.35*1.9,0)</f>
        <v>73</v>
      </c>
      <c r="AS21" s="695">
        <v>1.7</v>
      </c>
      <c r="AT21" s="587">
        <f>ROUND(16.24*2.35*1.7,0)</f>
        <v>65</v>
      </c>
      <c r="AU21" s="695">
        <v>1.6</v>
      </c>
      <c r="AV21" s="587">
        <f>ROUND(16.24*2.35*1.6,0)</f>
        <v>61</v>
      </c>
      <c r="AW21" s="695">
        <v>1.6</v>
      </c>
      <c r="AX21" s="587">
        <f>ROUND(16.24*2.35*1.6,0)</f>
        <v>61</v>
      </c>
      <c r="AY21" s="695">
        <v>1.5</v>
      </c>
      <c r="AZ21" s="587">
        <f>ROUND(16.24*2.35*1.5,0)</f>
        <v>57</v>
      </c>
      <c r="BA21" s="695">
        <v>1.4</v>
      </c>
      <c r="BB21" s="589">
        <f>ROUND(16.24*2.35*1.4,0)</f>
        <v>53</v>
      </c>
      <c r="BC21" s="562"/>
      <c r="BD21" s="552"/>
      <c r="BE21" s="700" t="s">
        <v>250</v>
      </c>
      <c r="BF21" s="691"/>
      <c r="BG21" s="583">
        <v>16.239999999999998</v>
      </c>
      <c r="BH21" s="692">
        <v>2.35</v>
      </c>
      <c r="BI21" s="693"/>
      <c r="BJ21" s="694">
        <v>1.1000000000000001</v>
      </c>
      <c r="BK21" s="587">
        <f>ROUND(16.24*2.35*1.1,0)</f>
        <v>42</v>
      </c>
      <c r="BL21" s="695">
        <v>1</v>
      </c>
      <c r="BM21" s="587">
        <f>ROUND(16.24*2.35*1,0)</f>
        <v>38</v>
      </c>
      <c r="BN21" s="695">
        <v>1</v>
      </c>
      <c r="BO21" s="587">
        <f>ROUND(16.24*2.35*1,0)</f>
        <v>38</v>
      </c>
      <c r="BP21" s="695">
        <v>0.9</v>
      </c>
      <c r="BQ21" s="587">
        <f>ROUND(16.24*2.35*0.9,0)</f>
        <v>34</v>
      </c>
      <c r="BR21" s="695">
        <v>0.9</v>
      </c>
      <c r="BS21" s="587">
        <f>ROUND(16.24*2.35*0.9,0)</f>
        <v>34</v>
      </c>
      <c r="BT21" s="695">
        <v>1</v>
      </c>
      <c r="BU21" s="587">
        <f>ROUND(16.24*2.35*1,0)</f>
        <v>38</v>
      </c>
      <c r="BV21" s="695">
        <v>1.3</v>
      </c>
      <c r="BW21" s="587">
        <f>ROUND(16.24*2.35*1.3,0)</f>
        <v>50</v>
      </c>
      <c r="BX21" s="695">
        <v>1.7</v>
      </c>
      <c r="BY21" s="587">
        <f>ROUND(16.24*2.35*1.7,0)</f>
        <v>65</v>
      </c>
      <c r="BZ21" s="695">
        <v>2.1</v>
      </c>
      <c r="CA21" s="587">
        <f>ROUND(16.24*2.35*2.1,0)</f>
        <v>80</v>
      </c>
      <c r="CB21" s="695">
        <v>2.4</v>
      </c>
      <c r="CC21" s="587">
        <f>ROUND(16.24*2.35*2.4,0)</f>
        <v>92</v>
      </c>
      <c r="CD21" s="695">
        <v>2.7</v>
      </c>
      <c r="CE21" s="587">
        <f>ROUND(16.24*2.35*2.7,0)</f>
        <v>103</v>
      </c>
      <c r="CF21" s="695">
        <v>2.8</v>
      </c>
      <c r="CG21" s="587">
        <f>ROUND(16.24*2.35*2.8,0)</f>
        <v>107</v>
      </c>
      <c r="CH21" s="695">
        <v>2.9</v>
      </c>
      <c r="CI21" s="587">
        <f>ROUND(16.24*2.35*2.9,0)</f>
        <v>111</v>
      </c>
      <c r="CJ21" s="695">
        <v>2.8</v>
      </c>
      <c r="CK21" s="587">
        <f>ROUND(16.24*2.35*2.8,0)</f>
        <v>107</v>
      </c>
      <c r="CL21" s="695">
        <v>2.7</v>
      </c>
      <c r="CM21" s="587">
        <f>ROUND(16.24*2.35*2.7,0)</f>
        <v>103</v>
      </c>
      <c r="CN21" s="695">
        <v>2.6</v>
      </c>
      <c r="CO21" s="587">
        <f>ROUND(16.24*2.35*2.6,0)</f>
        <v>99</v>
      </c>
      <c r="CP21" s="695">
        <v>2.4</v>
      </c>
      <c r="CQ21" s="587">
        <f>ROUND(16.24*2.35*2.4,0)</f>
        <v>92</v>
      </c>
      <c r="CR21" s="695">
        <v>2.1</v>
      </c>
      <c r="CS21" s="587">
        <f>ROUND(16.24*2.35*2.1,0)</f>
        <v>80</v>
      </c>
      <c r="CT21" s="695">
        <v>1.8</v>
      </c>
      <c r="CU21" s="587">
        <f>ROUND(16.24*2.35*1.8,0)</f>
        <v>69</v>
      </c>
      <c r="CV21" s="695">
        <v>1.5</v>
      </c>
      <c r="CW21" s="587">
        <f>ROUND(16.24*2.35*1.5,0)</f>
        <v>57</v>
      </c>
      <c r="CX21" s="695">
        <v>1.4</v>
      </c>
      <c r="CY21" s="587">
        <f>ROUND(16.24*2.35*1.4,0)</f>
        <v>53</v>
      </c>
      <c r="CZ21" s="695">
        <v>1.3</v>
      </c>
      <c r="DA21" s="587">
        <f>ROUND(16.24*2.35*1.3,0)</f>
        <v>50</v>
      </c>
      <c r="DB21" s="695">
        <v>1.3</v>
      </c>
      <c r="DC21" s="587">
        <f>ROUND(16.24*2.35*1.3,0)</f>
        <v>50</v>
      </c>
      <c r="DD21" s="695">
        <v>1.2</v>
      </c>
      <c r="DE21" s="589">
        <f>ROUND(16.24*2.35*1.2,0)</f>
        <v>46</v>
      </c>
      <c r="DF21" s="562"/>
      <c r="DG21" s="552"/>
      <c r="DH21" s="700" t="s">
        <v>250</v>
      </c>
      <c r="DI21" s="691"/>
      <c r="DJ21" s="583">
        <v>16.239999999999998</v>
      </c>
      <c r="DK21" s="692">
        <v>2.35</v>
      </c>
      <c r="DL21" s="693"/>
      <c r="DM21" s="694">
        <v>0.5</v>
      </c>
      <c r="DN21" s="587">
        <f>ROUND(16.24*2.35*0.5,0)</f>
        <v>19</v>
      </c>
      <c r="DO21" s="695">
        <v>0.4</v>
      </c>
      <c r="DP21" s="587">
        <f>ROUND(16.24*2.35*0.4,0)</f>
        <v>15</v>
      </c>
      <c r="DQ21" s="695">
        <v>0.4</v>
      </c>
      <c r="DR21" s="587">
        <f>ROUND(16.24*2.35*0.4,0)</f>
        <v>15</v>
      </c>
      <c r="DS21" s="695">
        <v>0.3</v>
      </c>
      <c r="DT21" s="587">
        <f>ROUND(16.24*2.35*0.3,0)</f>
        <v>11</v>
      </c>
      <c r="DU21" s="695">
        <v>0.3</v>
      </c>
      <c r="DV21" s="587">
        <f>ROUND(16.24*2.35*0.3,0)</f>
        <v>11</v>
      </c>
      <c r="DW21" s="695">
        <v>0.3</v>
      </c>
      <c r="DX21" s="587">
        <f>ROUND(16.24*2.35*0.3,0)</f>
        <v>11</v>
      </c>
      <c r="DY21" s="695">
        <v>0.6</v>
      </c>
      <c r="DZ21" s="587">
        <f>ROUND(16.24*2.35*0.6,0)</f>
        <v>23</v>
      </c>
      <c r="EA21" s="695">
        <v>1</v>
      </c>
      <c r="EB21" s="587">
        <f>ROUND(16.24*2.35*1,0)</f>
        <v>38</v>
      </c>
      <c r="EC21" s="695">
        <v>1.4</v>
      </c>
      <c r="ED21" s="587">
        <f>ROUND(16.24*2.35*1.4,0)</f>
        <v>53</v>
      </c>
      <c r="EE21" s="695">
        <v>1.8</v>
      </c>
      <c r="EF21" s="587">
        <f>ROUND(16.24*2.35*1.8,0)</f>
        <v>69</v>
      </c>
      <c r="EG21" s="695">
        <v>2.1</v>
      </c>
      <c r="EH21" s="587">
        <f>ROUND(16.24*2.35*2.1,0)</f>
        <v>80</v>
      </c>
      <c r="EI21" s="695">
        <v>2.2999999999999998</v>
      </c>
      <c r="EJ21" s="587">
        <f>ROUND(16.24*2.35*2.3,0)</f>
        <v>88</v>
      </c>
      <c r="EK21" s="695">
        <v>2.2999999999999998</v>
      </c>
      <c r="EL21" s="587">
        <f>ROUND(16.24*2.35*2.3,0)</f>
        <v>88</v>
      </c>
      <c r="EM21" s="695">
        <v>2.2000000000000002</v>
      </c>
      <c r="EN21" s="587">
        <f>ROUND(16.24*2.35*2.2,0)</f>
        <v>84</v>
      </c>
      <c r="EO21" s="695">
        <v>2.1</v>
      </c>
      <c r="EP21" s="587">
        <f>ROUND(16.24*2.35*2.1,0)</f>
        <v>80</v>
      </c>
      <c r="EQ21" s="695">
        <v>2</v>
      </c>
      <c r="ER21" s="587">
        <f>ROUND(16.24*2.35*2,0)</f>
        <v>76</v>
      </c>
      <c r="ES21" s="695">
        <v>1.7</v>
      </c>
      <c r="ET21" s="587">
        <f>ROUND(16.24*2.35*1.7,0)</f>
        <v>65</v>
      </c>
      <c r="EU21" s="695">
        <v>1.4</v>
      </c>
      <c r="EV21" s="587">
        <f>ROUND(16.24*2.35*1.4,0)</f>
        <v>53</v>
      </c>
      <c r="EW21" s="695">
        <v>1.2</v>
      </c>
      <c r="EX21" s="587">
        <f>ROUND(16.24*2.35*1.2,0)</f>
        <v>46</v>
      </c>
      <c r="EY21" s="695">
        <v>1</v>
      </c>
      <c r="EZ21" s="587">
        <f>ROUND(16.24*2.35*1,0)</f>
        <v>38</v>
      </c>
      <c r="FA21" s="695">
        <v>0.9</v>
      </c>
      <c r="FB21" s="587">
        <f>ROUND(16.24*2.35*0.9,0)</f>
        <v>34</v>
      </c>
      <c r="FC21" s="695">
        <v>0.8</v>
      </c>
      <c r="FD21" s="587">
        <f>ROUND(16.24*2.35*0.8,0)</f>
        <v>31</v>
      </c>
      <c r="FE21" s="695">
        <v>0.8</v>
      </c>
      <c r="FF21" s="587">
        <f>ROUND(16.24*2.35*0.8,0)</f>
        <v>31</v>
      </c>
      <c r="FG21" s="695">
        <v>0.7</v>
      </c>
      <c r="FH21" s="589">
        <f>ROUND(16.24*2.35*0.7,0)</f>
        <v>27</v>
      </c>
      <c r="FI21" s="563"/>
      <c r="FJ21" s="564"/>
      <c r="FK21" s="700" t="s">
        <v>250</v>
      </c>
      <c r="FL21" s="691"/>
      <c r="FM21" s="583">
        <v>16.239999999999998</v>
      </c>
      <c r="FN21" s="692">
        <v>2.35</v>
      </c>
      <c r="FO21" s="693"/>
      <c r="FP21" s="696">
        <v>5</v>
      </c>
      <c r="FQ21" s="697">
        <v>7.3</v>
      </c>
      <c r="FR21" s="587">
        <f>ROUND(16.24*2.35*7.3,0)</f>
        <v>279</v>
      </c>
      <c r="FS21" s="698">
        <v>8</v>
      </c>
      <c r="FT21" s="697">
        <v>6.8</v>
      </c>
      <c r="FU21" s="592">
        <f>ROUND(16.24*2.35*6.8,0)</f>
        <v>260</v>
      </c>
      <c r="FV21" s="593"/>
      <c r="FW21" s="594"/>
      <c r="FX21" s="595"/>
      <c r="FY21" s="596"/>
      <c r="FZ21" s="597"/>
      <c r="GA21" s="598"/>
      <c r="GB21" s="599"/>
      <c r="GC21" s="600"/>
      <c r="GD21" s="599"/>
      <c r="GE21" s="601"/>
      <c r="GF21" s="688"/>
      <c r="GG21" s="602"/>
      <c r="GH21" s="602"/>
      <c r="GI21" s="602"/>
      <c r="GJ21" s="409"/>
      <c r="GK21" s="701" t="s">
        <v>536</v>
      </c>
      <c r="GL21" s="702"/>
      <c r="GM21" s="703"/>
      <c r="GN21" s="638">
        <v>8.1</v>
      </c>
      <c r="GO21" s="704"/>
      <c r="GP21" s="705"/>
      <c r="GQ21" s="633">
        <v>0</v>
      </c>
      <c r="GR21" s="634">
        <v>8.1</v>
      </c>
      <c r="GS21" s="578"/>
      <c r="GT21" s="677"/>
      <c r="GU21" s="701" t="s">
        <v>699</v>
      </c>
      <c r="GV21" s="702"/>
      <c r="GW21" s="703"/>
      <c r="GX21" s="706">
        <v>8.1</v>
      </c>
      <c r="GY21" s="707"/>
      <c r="GZ21" s="704"/>
      <c r="HA21" s="708">
        <v>2.4300000000000002</v>
      </c>
      <c r="HB21" s="709"/>
      <c r="HC21" s="710"/>
      <c r="HD21" s="562"/>
      <c r="HE21" s="615"/>
      <c r="HF21" s="615"/>
      <c r="HG21" s="415"/>
    </row>
    <row r="22" spans="1:218" ht="20.100000000000001" customHeight="1">
      <c r="A22" s="552"/>
      <c r="B22" s="700" t="s">
        <v>245</v>
      </c>
      <c r="C22" s="691"/>
      <c r="D22" s="583">
        <v>68</v>
      </c>
      <c r="E22" s="692">
        <v>0.46</v>
      </c>
      <c r="F22" s="693"/>
      <c r="G22" s="694">
        <v>10.7</v>
      </c>
      <c r="H22" s="587">
        <f>ROUND(68*0.46*10.7,0)</f>
        <v>335</v>
      </c>
      <c r="I22" s="695">
        <v>10.199999999999999</v>
      </c>
      <c r="J22" s="587">
        <f>ROUND(68*0.46*10.2,0)</f>
        <v>319</v>
      </c>
      <c r="K22" s="695">
        <v>9.8000000000000007</v>
      </c>
      <c r="L22" s="587">
        <f>ROUND(68*0.46*9.8,0)</f>
        <v>307</v>
      </c>
      <c r="M22" s="695">
        <v>9.3000000000000007</v>
      </c>
      <c r="N22" s="587">
        <f>ROUND(68*0.46*9.3,0)</f>
        <v>291</v>
      </c>
      <c r="O22" s="695">
        <v>8.9</v>
      </c>
      <c r="P22" s="587">
        <f>ROUND(68*0.46*8.9,0)</f>
        <v>278</v>
      </c>
      <c r="Q22" s="695">
        <v>8.4</v>
      </c>
      <c r="R22" s="587">
        <f>ROUND(68*0.46*8.4,0)</f>
        <v>263</v>
      </c>
      <c r="S22" s="695">
        <v>8</v>
      </c>
      <c r="T22" s="587">
        <f>ROUND(68*0.46*8,0)</f>
        <v>250</v>
      </c>
      <c r="U22" s="695">
        <v>7.6</v>
      </c>
      <c r="V22" s="587">
        <f>ROUND(68*0.46*7.6,0)</f>
        <v>238</v>
      </c>
      <c r="W22" s="695">
        <v>7.3</v>
      </c>
      <c r="X22" s="587">
        <f>ROUND(68*0.46*7.3,0)</f>
        <v>228</v>
      </c>
      <c r="Y22" s="695">
        <v>7.2</v>
      </c>
      <c r="Z22" s="587">
        <f>ROUND(68*0.46*7.2,0)</f>
        <v>225</v>
      </c>
      <c r="AA22" s="695">
        <v>7.2</v>
      </c>
      <c r="AB22" s="587">
        <f>ROUND(68*0.46*7.2,0)</f>
        <v>225</v>
      </c>
      <c r="AC22" s="695">
        <v>7.3</v>
      </c>
      <c r="AD22" s="587">
        <f>ROUND(68*0.46*7.3,0)</f>
        <v>228</v>
      </c>
      <c r="AE22" s="695">
        <v>7.7</v>
      </c>
      <c r="AF22" s="587">
        <f>ROUND(68*0.46*7.7,0)</f>
        <v>241</v>
      </c>
      <c r="AG22" s="695">
        <v>8.3000000000000007</v>
      </c>
      <c r="AH22" s="587">
        <f>ROUND(68*0.46*8.3,0)</f>
        <v>260</v>
      </c>
      <c r="AI22" s="695">
        <v>9</v>
      </c>
      <c r="AJ22" s="587">
        <f>ROUND(68*0.46*9,0)</f>
        <v>282</v>
      </c>
      <c r="AK22" s="695">
        <v>9.8000000000000007</v>
      </c>
      <c r="AL22" s="587">
        <f>ROUND(68*0.46*9.8,0)</f>
        <v>307</v>
      </c>
      <c r="AM22" s="695">
        <v>10.6</v>
      </c>
      <c r="AN22" s="587">
        <f>ROUND(68*0.46*10.6,0)</f>
        <v>332</v>
      </c>
      <c r="AO22" s="695">
        <v>11.4</v>
      </c>
      <c r="AP22" s="587">
        <f>ROUND(68*0.46*11.4,0)</f>
        <v>357</v>
      </c>
      <c r="AQ22" s="695">
        <v>11.9</v>
      </c>
      <c r="AR22" s="587">
        <f>ROUND(68*0.46*11.9,0)</f>
        <v>372</v>
      </c>
      <c r="AS22" s="695">
        <v>12.2</v>
      </c>
      <c r="AT22" s="587">
        <f>ROUND(68*0.46*12.2,0)</f>
        <v>382</v>
      </c>
      <c r="AU22" s="695">
        <v>12.2</v>
      </c>
      <c r="AV22" s="587">
        <f>ROUND(68*0.46*12.2,0)</f>
        <v>382</v>
      </c>
      <c r="AW22" s="695">
        <v>12</v>
      </c>
      <c r="AX22" s="587">
        <f>ROUND(68*0.46*12,0)</f>
        <v>375</v>
      </c>
      <c r="AY22" s="695">
        <v>11.6</v>
      </c>
      <c r="AZ22" s="587">
        <f>ROUND(68*0.46*11.6,0)</f>
        <v>363</v>
      </c>
      <c r="BA22" s="695">
        <v>11.2</v>
      </c>
      <c r="BB22" s="589">
        <f>ROUND(68*0.46*11.2,0)</f>
        <v>350</v>
      </c>
      <c r="BC22" s="562"/>
      <c r="BD22" s="552"/>
      <c r="BE22" s="700" t="s">
        <v>245</v>
      </c>
      <c r="BF22" s="691"/>
      <c r="BG22" s="583">
        <v>68</v>
      </c>
      <c r="BH22" s="692">
        <v>0.46</v>
      </c>
      <c r="BI22" s="693"/>
      <c r="BJ22" s="694">
        <v>11.1</v>
      </c>
      <c r="BK22" s="587">
        <f>ROUND(68*0.46*11.1,0)</f>
        <v>347</v>
      </c>
      <c r="BL22" s="695">
        <v>10.6</v>
      </c>
      <c r="BM22" s="587">
        <f>ROUND(68*0.46*10.6,0)</f>
        <v>332</v>
      </c>
      <c r="BN22" s="695">
        <v>10</v>
      </c>
      <c r="BO22" s="587">
        <f>ROUND(68*0.46*10,0)</f>
        <v>313</v>
      </c>
      <c r="BP22" s="695">
        <v>9.5</v>
      </c>
      <c r="BQ22" s="587">
        <f>ROUND(68*0.46*9.5,0)</f>
        <v>297</v>
      </c>
      <c r="BR22" s="695">
        <v>8.9</v>
      </c>
      <c r="BS22" s="587">
        <f>ROUND(68*0.46*8.9,0)</f>
        <v>278</v>
      </c>
      <c r="BT22" s="695">
        <v>8.4</v>
      </c>
      <c r="BU22" s="587">
        <f>ROUND(68*0.46*8.4,0)</f>
        <v>263</v>
      </c>
      <c r="BV22" s="695">
        <v>7.9</v>
      </c>
      <c r="BW22" s="587">
        <f>ROUND(68*0.46*7.9,0)</f>
        <v>247</v>
      </c>
      <c r="BX22" s="695">
        <v>7.5</v>
      </c>
      <c r="BY22" s="587">
        <f>ROUND(68*0.46*7.5,0)</f>
        <v>235</v>
      </c>
      <c r="BZ22" s="695">
        <v>7.2</v>
      </c>
      <c r="CA22" s="587">
        <f>ROUND(68*0.46*7.2,0)</f>
        <v>225</v>
      </c>
      <c r="CB22" s="695">
        <v>7</v>
      </c>
      <c r="CC22" s="587">
        <f>ROUND(68*0.46*7,0)</f>
        <v>219</v>
      </c>
      <c r="CD22" s="695">
        <v>7</v>
      </c>
      <c r="CE22" s="587">
        <f>ROUND(68*0.46*7,0)</f>
        <v>219</v>
      </c>
      <c r="CF22" s="695">
        <v>7.1</v>
      </c>
      <c r="CG22" s="587">
        <f>ROUND(68*0.46*7.1,0)</f>
        <v>222</v>
      </c>
      <c r="CH22" s="695">
        <v>7.4</v>
      </c>
      <c r="CI22" s="587">
        <f>ROUND(68*0.46*7.4,0)</f>
        <v>231</v>
      </c>
      <c r="CJ22" s="695">
        <v>8</v>
      </c>
      <c r="CK22" s="587">
        <f>ROUND(68*0.46*8,0)</f>
        <v>250</v>
      </c>
      <c r="CL22" s="695">
        <v>8.8000000000000007</v>
      </c>
      <c r="CM22" s="587">
        <f>ROUND(68*0.46*8.8,0)</f>
        <v>275</v>
      </c>
      <c r="CN22" s="695">
        <v>9.8000000000000007</v>
      </c>
      <c r="CO22" s="587">
        <f>ROUND(68*0.46*9.8,0)</f>
        <v>307</v>
      </c>
      <c r="CP22" s="695">
        <v>10.7</v>
      </c>
      <c r="CQ22" s="587">
        <f>ROUND(68*0.46*10.7,0)</f>
        <v>335</v>
      </c>
      <c r="CR22" s="695">
        <v>11.6</v>
      </c>
      <c r="CS22" s="587">
        <f>ROUND(68*0.46*11.6,0)</f>
        <v>363</v>
      </c>
      <c r="CT22" s="695">
        <v>12.3</v>
      </c>
      <c r="CU22" s="587">
        <f>ROUND(68*0.46*12.3,0)</f>
        <v>385</v>
      </c>
      <c r="CV22" s="695">
        <v>12.7</v>
      </c>
      <c r="CW22" s="587">
        <f>ROUND(68*0.46*12.7,0)</f>
        <v>397</v>
      </c>
      <c r="CX22" s="695">
        <v>12.8</v>
      </c>
      <c r="CY22" s="587">
        <f>ROUND(68*0.46*12.8,0)</f>
        <v>400</v>
      </c>
      <c r="CZ22" s="695">
        <v>12.6</v>
      </c>
      <c r="DA22" s="587">
        <f>ROUND(68*0.46*12.6,0)</f>
        <v>394</v>
      </c>
      <c r="DB22" s="695">
        <v>12.2</v>
      </c>
      <c r="DC22" s="587">
        <f>ROUND(68*0.46*12.2,0)</f>
        <v>382</v>
      </c>
      <c r="DD22" s="695">
        <v>11.7</v>
      </c>
      <c r="DE22" s="589">
        <f>ROUND(68*0.46*11.7,0)</f>
        <v>366</v>
      </c>
      <c r="DF22" s="562"/>
      <c r="DG22" s="552"/>
      <c r="DH22" s="700" t="s">
        <v>245</v>
      </c>
      <c r="DI22" s="691"/>
      <c r="DJ22" s="583">
        <v>68</v>
      </c>
      <c r="DK22" s="692">
        <v>0.46</v>
      </c>
      <c r="DL22" s="693"/>
      <c r="DM22" s="694">
        <v>10.5</v>
      </c>
      <c r="DN22" s="587">
        <f>ROUND(68*0.46*10.5,0)</f>
        <v>328</v>
      </c>
      <c r="DO22" s="695">
        <v>9.8000000000000007</v>
      </c>
      <c r="DP22" s="587">
        <f>ROUND(68*0.46*9.8,0)</f>
        <v>307</v>
      </c>
      <c r="DQ22" s="695">
        <v>9.1999999999999993</v>
      </c>
      <c r="DR22" s="587">
        <f>ROUND(68*0.46*9.2,0)</f>
        <v>288</v>
      </c>
      <c r="DS22" s="695">
        <v>8.5</v>
      </c>
      <c r="DT22" s="587">
        <f>ROUND(68*0.46*8.5,0)</f>
        <v>266</v>
      </c>
      <c r="DU22" s="695">
        <v>7.9</v>
      </c>
      <c r="DV22" s="587">
        <f>ROUND(68*0.46*7.9,0)</f>
        <v>247</v>
      </c>
      <c r="DW22" s="695">
        <v>7.3</v>
      </c>
      <c r="DX22" s="587">
        <f>ROUND(68*0.46*7.3,0)</f>
        <v>228</v>
      </c>
      <c r="DY22" s="695">
        <v>6.8</v>
      </c>
      <c r="DZ22" s="587">
        <f>ROUND(68*0.46*6.8,0)</f>
        <v>213</v>
      </c>
      <c r="EA22" s="695">
        <v>6.3</v>
      </c>
      <c r="EB22" s="587">
        <f>ROUND(68*0.46*6.3,0)</f>
        <v>197</v>
      </c>
      <c r="EC22" s="695">
        <v>5.8</v>
      </c>
      <c r="ED22" s="587">
        <f>ROUND(68*0.46*5.8,0)</f>
        <v>181</v>
      </c>
      <c r="EE22" s="695">
        <v>5.5</v>
      </c>
      <c r="EF22" s="587">
        <f>ROUND(68*0.46*5.5,0)</f>
        <v>172</v>
      </c>
      <c r="EG22" s="695">
        <v>5.4</v>
      </c>
      <c r="EH22" s="587">
        <f>ROUND(68*0.46*5.4,0)</f>
        <v>169</v>
      </c>
      <c r="EI22" s="695">
        <v>5.6</v>
      </c>
      <c r="EJ22" s="587">
        <f>ROUND(68*0.46*5.6,0)</f>
        <v>175</v>
      </c>
      <c r="EK22" s="695">
        <v>6.1</v>
      </c>
      <c r="EL22" s="587">
        <f>ROUND(68*0.46*6.1,0)</f>
        <v>191</v>
      </c>
      <c r="EM22" s="695">
        <v>6.9</v>
      </c>
      <c r="EN22" s="587">
        <f>ROUND(68*0.46*6.9,0)</f>
        <v>216</v>
      </c>
      <c r="EO22" s="695">
        <v>8</v>
      </c>
      <c r="EP22" s="587">
        <f>ROUND(68*0.46*8,0)</f>
        <v>250</v>
      </c>
      <c r="EQ22" s="695">
        <v>9.3000000000000007</v>
      </c>
      <c r="ER22" s="587">
        <f>ROUND(68*0.46*9.3,0)</f>
        <v>291</v>
      </c>
      <c r="ES22" s="695">
        <v>10.5</v>
      </c>
      <c r="ET22" s="587">
        <f>ROUND(68*0.46*10.5,0)</f>
        <v>328</v>
      </c>
      <c r="EU22" s="695">
        <v>11.6</v>
      </c>
      <c r="EV22" s="587">
        <f>ROUND(68*0.46*11.6,0)</f>
        <v>363</v>
      </c>
      <c r="EW22" s="695">
        <v>12.4</v>
      </c>
      <c r="EX22" s="587">
        <f>ROUND(68*0.46*12.4,0)</f>
        <v>388</v>
      </c>
      <c r="EY22" s="695">
        <v>12.8</v>
      </c>
      <c r="EZ22" s="587">
        <f>ROUND(68*0.46*12.8,0)</f>
        <v>400</v>
      </c>
      <c r="FA22" s="695">
        <v>12.7</v>
      </c>
      <c r="FB22" s="587">
        <f>ROUND(68*0.46*12.7,0)</f>
        <v>397</v>
      </c>
      <c r="FC22" s="695">
        <v>12.4</v>
      </c>
      <c r="FD22" s="587">
        <f>ROUND(68*0.46*12.4,0)</f>
        <v>388</v>
      </c>
      <c r="FE22" s="695">
        <v>11.8</v>
      </c>
      <c r="FF22" s="587">
        <f>ROUND(68*0.46*11.8,0)</f>
        <v>369</v>
      </c>
      <c r="FG22" s="695">
        <v>11.2</v>
      </c>
      <c r="FH22" s="589">
        <f>ROUND(68*0.46*11.2,0)</f>
        <v>350</v>
      </c>
      <c r="FI22" s="563"/>
      <c r="FJ22" s="564"/>
      <c r="FK22" s="700" t="s">
        <v>245</v>
      </c>
      <c r="FL22" s="691"/>
      <c r="FM22" s="583">
        <v>68</v>
      </c>
      <c r="FN22" s="692">
        <v>0.46</v>
      </c>
      <c r="FO22" s="693"/>
      <c r="FP22" s="696">
        <v>5</v>
      </c>
      <c r="FQ22" s="697">
        <v>24.3</v>
      </c>
      <c r="FR22" s="587">
        <f>ROUND(68*0.46*24.3,0)</f>
        <v>760</v>
      </c>
      <c r="FS22" s="698">
        <v>8</v>
      </c>
      <c r="FT22" s="697">
        <v>22.6</v>
      </c>
      <c r="FU22" s="592">
        <f>ROUND(68*0.46*22.6,0)</f>
        <v>707</v>
      </c>
      <c r="FV22" s="593"/>
      <c r="FW22" s="594"/>
      <c r="FX22" s="595"/>
      <c r="FY22" s="596"/>
      <c r="FZ22" s="597"/>
      <c r="GA22" s="598"/>
      <c r="GB22" s="599"/>
      <c r="GC22" s="600"/>
      <c r="GD22" s="599"/>
      <c r="GE22" s="601"/>
      <c r="GF22" s="688"/>
      <c r="GG22" s="602"/>
      <c r="GH22" s="602"/>
      <c r="GI22" s="602"/>
      <c r="GJ22" s="530"/>
      <c r="GK22" s="711" t="s">
        <v>700</v>
      </c>
      <c r="GL22" s="712"/>
      <c r="GM22" s="712"/>
      <c r="GN22" s="713"/>
      <c r="GO22" s="633">
        <v>0</v>
      </c>
      <c r="GP22" s="633">
        <v>1</v>
      </c>
      <c r="GQ22" s="714"/>
      <c r="GR22" s="715"/>
      <c r="GS22" s="578"/>
      <c r="GT22" s="677"/>
      <c r="GU22" s="711" t="s">
        <v>700</v>
      </c>
      <c r="GV22" s="712"/>
      <c r="GW22" s="712"/>
      <c r="GX22" s="712"/>
      <c r="GY22" s="713"/>
      <c r="GZ22" s="633">
        <v>0.3</v>
      </c>
      <c r="HA22" s="716"/>
      <c r="HB22" s="717"/>
      <c r="HC22" s="413"/>
      <c r="HD22" s="562"/>
      <c r="HE22" s="415"/>
      <c r="HF22" s="415"/>
      <c r="HG22" s="415"/>
    </row>
    <row r="23" spans="1:218" ht="20.100000000000001" customHeight="1">
      <c r="A23" s="552"/>
      <c r="B23" s="700" t="s">
        <v>261</v>
      </c>
      <c r="C23" s="691"/>
      <c r="D23" s="583">
        <v>68</v>
      </c>
      <c r="E23" s="692">
        <v>2.84</v>
      </c>
      <c r="F23" s="693"/>
      <c r="G23" s="694">
        <v>16</v>
      </c>
      <c r="H23" s="587">
        <f>ROUND(68*2.84*16,0)</f>
        <v>3090</v>
      </c>
      <c r="I23" s="695">
        <v>16</v>
      </c>
      <c r="J23" s="587">
        <f>ROUND(68*2.84*16,0)</f>
        <v>3090</v>
      </c>
      <c r="K23" s="695">
        <v>16</v>
      </c>
      <c r="L23" s="587">
        <f>ROUND(68*2.84*16,0)</f>
        <v>3090</v>
      </c>
      <c r="M23" s="695">
        <v>16</v>
      </c>
      <c r="N23" s="587">
        <f>ROUND(68*2.84*16,0)</f>
        <v>3090</v>
      </c>
      <c r="O23" s="695">
        <v>16</v>
      </c>
      <c r="P23" s="587">
        <f>ROUND(68*2.84*16,0)</f>
        <v>3090</v>
      </c>
      <c r="Q23" s="695">
        <v>16</v>
      </c>
      <c r="R23" s="587">
        <f>ROUND(68*2.84*16,0)</f>
        <v>3090</v>
      </c>
      <c r="S23" s="695">
        <v>16</v>
      </c>
      <c r="T23" s="587">
        <f>ROUND(68*2.84*16,0)</f>
        <v>3090</v>
      </c>
      <c r="U23" s="695">
        <v>16</v>
      </c>
      <c r="V23" s="587">
        <f>ROUND(68*2.84*16,0)</f>
        <v>3090</v>
      </c>
      <c r="W23" s="695">
        <v>16</v>
      </c>
      <c r="X23" s="587">
        <f>ROUND(68*2.84*16,0)</f>
        <v>3090</v>
      </c>
      <c r="Y23" s="695">
        <v>16</v>
      </c>
      <c r="Z23" s="587">
        <f>ROUND(68*2.84*16,0)</f>
        <v>3090</v>
      </c>
      <c r="AA23" s="695">
        <v>16</v>
      </c>
      <c r="AB23" s="587">
        <f>ROUND(68*2.84*16,0)</f>
        <v>3090</v>
      </c>
      <c r="AC23" s="695">
        <v>16</v>
      </c>
      <c r="AD23" s="587">
        <f>ROUND(68*2.84*16,0)</f>
        <v>3090</v>
      </c>
      <c r="AE23" s="695">
        <v>16</v>
      </c>
      <c r="AF23" s="587">
        <f>ROUND(68*2.84*16,0)</f>
        <v>3090</v>
      </c>
      <c r="AG23" s="695">
        <v>16</v>
      </c>
      <c r="AH23" s="587">
        <f>ROUND(68*2.84*16,0)</f>
        <v>3090</v>
      </c>
      <c r="AI23" s="695">
        <v>16</v>
      </c>
      <c r="AJ23" s="587">
        <f>ROUND(68*2.84*16,0)</f>
        <v>3090</v>
      </c>
      <c r="AK23" s="695">
        <v>16</v>
      </c>
      <c r="AL23" s="587">
        <f>ROUND(68*2.84*16,0)</f>
        <v>3090</v>
      </c>
      <c r="AM23" s="695">
        <v>16</v>
      </c>
      <c r="AN23" s="587">
        <f>ROUND(68*2.84*16,0)</f>
        <v>3090</v>
      </c>
      <c r="AO23" s="695">
        <v>16</v>
      </c>
      <c r="AP23" s="587">
        <f>ROUND(68*2.84*16,0)</f>
        <v>3090</v>
      </c>
      <c r="AQ23" s="695">
        <v>16</v>
      </c>
      <c r="AR23" s="587">
        <f>ROUND(68*2.84*16,0)</f>
        <v>3090</v>
      </c>
      <c r="AS23" s="695">
        <v>16</v>
      </c>
      <c r="AT23" s="587">
        <f>ROUND(68*2.84*16,0)</f>
        <v>3090</v>
      </c>
      <c r="AU23" s="695">
        <v>16</v>
      </c>
      <c r="AV23" s="587">
        <f>ROUND(68*2.84*16,0)</f>
        <v>3090</v>
      </c>
      <c r="AW23" s="695">
        <v>16</v>
      </c>
      <c r="AX23" s="587">
        <f>ROUND(68*2.84*16,0)</f>
        <v>3090</v>
      </c>
      <c r="AY23" s="695">
        <v>16</v>
      </c>
      <c r="AZ23" s="587">
        <f>ROUND(68*2.84*16,0)</f>
        <v>3090</v>
      </c>
      <c r="BA23" s="695">
        <v>16</v>
      </c>
      <c r="BB23" s="589">
        <f>ROUND(68*2.84*16,0)</f>
        <v>3090</v>
      </c>
      <c r="BC23" s="562"/>
      <c r="BD23" s="552"/>
      <c r="BE23" s="700" t="s">
        <v>261</v>
      </c>
      <c r="BF23" s="691"/>
      <c r="BG23" s="583">
        <v>68</v>
      </c>
      <c r="BH23" s="692">
        <v>2.84</v>
      </c>
      <c r="BI23" s="693"/>
      <c r="BJ23" s="694">
        <v>16</v>
      </c>
      <c r="BK23" s="587">
        <f>ROUND(68*2.84*16,0)</f>
        <v>3090</v>
      </c>
      <c r="BL23" s="695">
        <v>16</v>
      </c>
      <c r="BM23" s="587">
        <f>ROUND(68*2.84*16,0)</f>
        <v>3090</v>
      </c>
      <c r="BN23" s="695">
        <v>16</v>
      </c>
      <c r="BO23" s="587">
        <f>ROUND(68*2.84*16,0)</f>
        <v>3090</v>
      </c>
      <c r="BP23" s="695">
        <v>16</v>
      </c>
      <c r="BQ23" s="587">
        <f>ROUND(68*2.84*16,0)</f>
        <v>3090</v>
      </c>
      <c r="BR23" s="695">
        <v>16</v>
      </c>
      <c r="BS23" s="587">
        <f>ROUND(68*2.84*16,0)</f>
        <v>3090</v>
      </c>
      <c r="BT23" s="695">
        <v>16</v>
      </c>
      <c r="BU23" s="587">
        <f>ROUND(68*2.84*16,0)</f>
        <v>3090</v>
      </c>
      <c r="BV23" s="695">
        <v>16</v>
      </c>
      <c r="BW23" s="587">
        <f>ROUND(68*2.84*16,0)</f>
        <v>3090</v>
      </c>
      <c r="BX23" s="695">
        <v>16</v>
      </c>
      <c r="BY23" s="587">
        <f>ROUND(68*2.84*16,0)</f>
        <v>3090</v>
      </c>
      <c r="BZ23" s="695">
        <v>16</v>
      </c>
      <c r="CA23" s="587">
        <f>ROUND(68*2.84*16,0)</f>
        <v>3090</v>
      </c>
      <c r="CB23" s="695">
        <v>16</v>
      </c>
      <c r="CC23" s="587">
        <f>ROUND(68*2.84*16,0)</f>
        <v>3090</v>
      </c>
      <c r="CD23" s="695">
        <v>16</v>
      </c>
      <c r="CE23" s="587">
        <f>ROUND(68*2.84*16,0)</f>
        <v>3090</v>
      </c>
      <c r="CF23" s="695">
        <v>16</v>
      </c>
      <c r="CG23" s="587">
        <f>ROUND(68*2.84*16,0)</f>
        <v>3090</v>
      </c>
      <c r="CH23" s="695">
        <v>16</v>
      </c>
      <c r="CI23" s="587">
        <f>ROUND(68*2.84*16,0)</f>
        <v>3090</v>
      </c>
      <c r="CJ23" s="695">
        <v>16</v>
      </c>
      <c r="CK23" s="587">
        <f>ROUND(68*2.84*16,0)</f>
        <v>3090</v>
      </c>
      <c r="CL23" s="695">
        <v>16</v>
      </c>
      <c r="CM23" s="587">
        <f>ROUND(68*2.84*16,0)</f>
        <v>3090</v>
      </c>
      <c r="CN23" s="695">
        <v>16</v>
      </c>
      <c r="CO23" s="587">
        <f>ROUND(68*2.84*16,0)</f>
        <v>3090</v>
      </c>
      <c r="CP23" s="695">
        <v>16</v>
      </c>
      <c r="CQ23" s="587">
        <f>ROUND(68*2.84*16,0)</f>
        <v>3090</v>
      </c>
      <c r="CR23" s="695">
        <v>16</v>
      </c>
      <c r="CS23" s="587">
        <f>ROUND(68*2.84*16,0)</f>
        <v>3090</v>
      </c>
      <c r="CT23" s="695">
        <v>16</v>
      </c>
      <c r="CU23" s="587">
        <f>ROUND(68*2.84*16,0)</f>
        <v>3090</v>
      </c>
      <c r="CV23" s="695">
        <v>16</v>
      </c>
      <c r="CW23" s="587">
        <f>ROUND(68*2.84*16,0)</f>
        <v>3090</v>
      </c>
      <c r="CX23" s="695">
        <v>16</v>
      </c>
      <c r="CY23" s="587">
        <f>ROUND(68*2.84*16,0)</f>
        <v>3090</v>
      </c>
      <c r="CZ23" s="695">
        <v>16</v>
      </c>
      <c r="DA23" s="587">
        <f>ROUND(68*2.84*16,0)</f>
        <v>3090</v>
      </c>
      <c r="DB23" s="695">
        <v>16</v>
      </c>
      <c r="DC23" s="587">
        <f>ROUND(68*2.84*16,0)</f>
        <v>3090</v>
      </c>
      <c r="DD23" s="695">
        <v>16</v>
      </c>
      <c r="DE23" s="589">
        <f>ROUND(68*2.84*16,0)</f>
        <v>3090</v>
      </c>
      <c r="DF23" s="562"/>
      <c r="DG23" s="552"/>
      <c r="DH23" s="700" t="s">
        <v>261</v>
      </c>
      <c r="DI23" s="691"/>
      <c r="DJ23" s="583">
        <v>68</v>
      </c>
      <c r="DK23" s="692">
        <v>2.84</v>
      </c>
      <c r="DL23" s="693"/>
      <c r="DM23" s="694">
        <v>16</v>
      </c>
      <c r="DN23" s="587">
        <f>ROUND(68*2.84*16,0)</f>
        <v>3090</v>
      </c>
      <c r="DO23" s="695">
        <v>16</v>
      </c>
      <c r="DP23" s="587">
        <f>ROUND(68*2.84*16,0)</f>
        <v>3090</v>
      </c>
      <c r="DQ23" s="695">
        <v>16</v>
      </c>
      <c r="DR23" s="587">
        <f>ROUND(68*2.84*16,0)</f>
        <v>3090</v>
      </c>
      <c r="DS23" s="695">
        <v>16</v>
      </c>
      <c r="DT23" s="587">
        <f>ROUND(68*2.84*16,0)</f>
        <v>3090</v>
      </c>
      <c r="DU23" s="695">
        <v>16</v>
      </c>
      <c r="DV23" s="587">
        <f>ROUND(68*2.84*16,0)</f>
        <v>3090</v>
      </c>
      <c r="DW23" s="695">
        <v>16</v>
      </c>
      <c r="DX23" s="587">
        <f>ROUND(68*2.84*16,0)</f>
        <v>3090</v>
      </c>
      <c r="DY23" s="695">
        <v>16</v>
      </c>
      <c r="DZ23" s="587">
        <f>ROUND(68*2.84*16,0)</f>
        <v>3090</v>
      </c>
      <c r="EA23" s="695">
        <v>16</v>
      </c>
      <c r="EB23" s="587">
        <f>ROUND(68*2.84*16,0)</f>
        <v>3090</v>
      </c>
      <c r="EC23" s="695">
        <v>16</v>
      </c>
      <c r="ED23" s="587">
        <f>ROUND(68*2.84*16,0)</f>
        <v>3090</v>
      </c>
      <c r="EE23" s="695">
        <v>16</v>
      </c>
      <c r="EF23" s="587">
        <f>ROUND(68*2.84*16,0)</f>
        <v>3090</v>
      </c>
      <c r="EG23" s="695">
        <v>16</v>
      </c>
      <c r="EH23" s="587">
        <f>ROUND(68*2.84*16,0)</f>
        <v>3090</v>
      </c>
      <c r="EI23" s="695">
        <v>16</v>
      </c>
      <c r="EJ23" s="587">
        <f>ROUND(68*2.84*16,0)</f>
        <v>3090</v>
      </c>
      <c r="EK23" s="695">
        <v>16</v>
      </c>
      <c r="EL23" s="587">
        <f>ROUND(68*2.84*16,0)</f>
        <v>3090</v>
      </c>
      <c r="EM23" s="695">
        <v>16</v>
      </c>
      <c r="EN23" s="587">
        <f>ROUND(68*2.84*16,0)</f>
        <v>3090</v>
      </c>
      <c r="EO23" s="695">
        <v>16</v>
      </c>
      <c r="EP23" s="587">
        <f>ROUND(68*2.84*16,0)</f>
        <v>3090</v>
      </c>
      <c r="EQ23" s="695">
        <v>16</v>
      </c>
      <c r="ER23" s="587">
        <f>ROUND(68*2.84*16,0)</f>
        <v>3090</v>
      </c>
      <c r="ES23" s="695">
        <v>16</v>
      </c>
      <c r="ET23" s="587">
        <f>ROUND(68*2.84*16,0)</f>
        <v>3090</v>
      </c>
      <c r="EU23" s="695">
        <v>16</v>
      </c>
      <c r="EV23" s="587">
        <f>ROUND(68*2.84*16,0)</f>
        <v>3090</v>
      </c>
      <c r="EW23" s="695">
        <v>16</v>
      </c>
      <c r="EX23" s="587">
        <f>ROUND(68*2.84*16,0)</f>
        <v>3090</v>
      </c>
      <c r="EY23" s="695">
        <v>16</v>
      </c>
      <c r="EZ23" s="587">
        <f>ROUND(68*2.84*16,0)</f>
        <v>3090</v>
      </c>
      <c r="FA23" s="695">
        <v>16</v>
      </c>
      <c r="FB23" s="587">
        <f>ROUND(68*2.84*16,0)</f>
        <v>3090</v>
      </c>
      <c r="FC23" s="695">
        <v>16</v>
      </c>
      <c r="FD23" s="587">
        <f>ROUND(68*2.84*16,0)</f>
        <v>3090</v>
      </c>
      <c r="FE23" s="695">
        <v>16</v>
      </c>
      <c r="FF23" s="587">
        <f>ROUND(68*2.84*16,0)</f>
        <v>3090</v>
      </c>
      <c r="FG23" s="695">
        <v>16</v>
      </c>
      <c r="FH23" s="589">
        <f>ROUND(68*2.84*16,0)</f>
        <v>3090</v>
      </c>
      <c r="FI23" s="563"/>
      <c r="FJ23" s="564"/>
      <c r="FK23" s="700" t="s">
        <v>261</v>
      </c>
      <c r="FL23" s="691"/>
      <c r="FM23" s="583">
        <v>68</v>
      </c>
      <c r="FN23" s="692">
        <v>2.84</v>
      </c>
      <c r="FO23" s="693"/>
      <c r="FP23" s="696">
        <v>5</v>
      </c>
      <c r="FQ23" s="697">
        <v>19.3</v>
      </c>
      <c r="FR23" s="587">
        <f>ROUND(68*2.84*19.3,0)</f>
        <v>3727</v>
      </c>
      <c r="FS23" s="698">
        <v>8</v>
      </c>
      <c r="FT23" s="697">
        <v>17.600000000000001</v>
      </c>
      <c r="FU23" s="592">
        <f>ROUND(68*2.84*17.6,0)</f>
        <v>3399</v>
      </c>
      <c r="FV23" s="593"/>
      <c r="FW23" s="594"/>
      <c r="FX23" s="595"/>
      <c r="FY23" s="596"/>
      <c r="FZ23" s="597"/>
      <c r="GA23" s="598"/>
      <c r="GB23" s="599"/>
      <c r="GC23" s="600"/>
      <c r="GD23" s="599"/>
      <c r="GE23" s="601"/>
      <c r="GF23" s="688"/>
      <c r="GG23" s="602"/>
      <c r="GH23" s="602"/>
      <c r="GI23" s="602"/>
      <c r="GJ23" s="615"/>
      <c r="GK23" s="580" t="s">
        <v>777</v>
      </c>
      <c r="GL23" s="609"/>
      <c r="GM23" s="718"/>
      <c r="GN23" s="719">
        <v>68</v>
      </c>
      <c r="GO23" s="500" t="s">
        <v>318</v>
      </c>
      <c r="GP23" s="719"/>
      <c r="GQ23" s="609"/>
      <c r="GR23" s="615"/>
      <c r="GS23" s="578"/>
      <c r="GT23" s="677"/>
      <c r="GU23" s="609"/>
      <c r="GV23" s="530"/>
      <c r="GW23" s="609"/>
      <c r="GX23" s="609"/>
      <c r="GY23" s="720"/>
      <c r="GZ23" s="721"/>
      <c r="HA23" s="413"/>
      <c r="HB23" s="721" t="s">
        <v>778</v>
      </c>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615"/>
      <c r="GK24" s="580" t="s">
        <v>703</v>
      </c>
      <c r="GL24" s="609"/>
      <c r="GM24" s="718"/>
      <c r="GN24" s="719">
        <v>0.12</v>
      </c>
      <c r="GO24" s="719"/>
      <c r="GP24" s="719"/>
      <c r="GQ24" s="609"/>
      <c r="GR24" s="615"/>
      <c r="GS24" s="609"/>
      <c r="GT24" s="677"/>
      <c r="GU24" s="580" t="s">
        <v>704</v>
      </c>
      <c r="GV24" s="609"/>
      <c r="GW24" s="609"/>
      <c r="GX24" s="413"/>
      <c r="GY24" s="722">
        <v>614</v>
      </c>
      <c r="GZ24" s="580" t="s">
        <v>705</v>
      </c>
      <c r="HA24" s="530"/>
      <c r="HB24" s="530"/>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501"/>
      <c r="GL25" s="501"/>
      <c r="GM25" s="501"/>
      <c r="GN25" s="501"/>
      <c r="GO25" s="501"/>
      <c r="GP25" s="501"/>
      <c r="GQ25" s="501"/>
      <c r="GR25" s="501"/>
      <c r="GS25" s="413"/>
      <c r="GT25" s="677"/>
      <c r="GU25" s="580" t="s">
        <v>544</v>
      </c>
      <c r="GV25" s="609"/>
      <c r="GW25" s="609"/>
      <c r="GX25" s="413"/>
      <c r="GY25" s="733">
        <v>1</v>
      </c>
      <c r="GZ25" s="580"/>
      <c r="HA25" s="530"/>
      <c r="HB25" s="530"/>
      <c r="HC25" s="530"/>
      <c r="HD25" s="562"/>
      <c r="HE25" s="562"/>
      <c r="HF25" s="415"/>
      <c r="HG25" s="415"/>
    </row>
    <row r="26" spans="1:218" ht="20.100000000000001" customHeight="1">
      <c r="A26" s="641"/>
      <c r="B26" s="642"/>
      <c r="C26" s="642"/>
      <c r="D26" s="642" t="s">
        <v>641</v>
      </c>
      <c r="E26" s="642"/>
      <c r="F26" s="642"/>
      <c r="G26" s="644"/>
      <c r="H26" s="645">
        <f>SUM(H16:H25)</f>
        <v>3941</v>
      </c>
      <c r="I26" s="734"/>
      <c r="J26" s="645">
        <f>SUM(J16:J25)</f>
        <v>3886</v>
      </c>
      <c r="K26" s="735"/>
      <c r="L26" s="645">
        <f>SUM(L16:L25)</f>
        <v>3851</v>
      </c>
      <c r="M26" s="735"/>
      <c r="N26" s="645">
        <f>SUM(N16:N25)</f>
        <v>3804</v>
      </c>
      <c r="O26" s="735"/>
      <c r="P26" s="645">
        <f>SUM(P16:P25)</f>
        <v>3780</v>
      </c>
      <c r="Q26" s="735"/>
      <c r="R26" s="645">
        <f>SUM(R16:R25)</f>
        <v>3788</v>
      </c>
      <c r="S26" s="735"/>
      <c r="T26" s="645">
        <f>SUM(T16:T25)</f>
        <v>3888</v>
      </c>
      <c r="U26" s="735"/>
      <c r="V26" s="645">
        <f>SUM(V16:V25)</f>
        <v>4011</v>
      </c>
      <c r="W26" s="735"/>
      <c r="X26" s="645">
        <f>SUM(X16:X25)</f>
        <v>4151</v>
      </c>
      <c r="Y26" s="735"/>
      <c r="Z26" s="645">
        <f>SUM(Z16:Z25)</f>
        <v>4289</v>
      </c>
      <c r="AA26" s="735"/>
      <c r="AB26" s="645">
        <f>SUM(AB16:AB25)</f>
        <v>4393</v>
      </c>
      <c r="AC26" s="735"/>
      <c r="AD26" s="645">
        <f>SUM(AD16:AD25)</f>
        <v>4472</v>
      </c>
      <c r="AE26" s="735"/>
      <c r="AF26" s="645">
        <f>SUM(AF16:AF25)</f>
        <v>4542</v>
      </c>
      <c r="AG26" s="735"/>
      <c r="AH26" s="645">
        <f>SUM(AH16:AH25)</f>
        <v>4605</v>
      </c>
      <c r="AI26" s="735"/>
      <c r="AJ26" s="645">
        <f>SUM(AJ16:AJ25)</f>
        <v>4620</v>
      </c>
      <c r="AK26" s="735"/>
      <c r="AL26" s="645">
        <f>SUM(AL16:AL25)</f>
        <v>4628</v>
      </c>
      <c r="AM26" s="735"/>
      <c r="AN26" s="645">
        <f>SUM(AN16:AN25)</f>
        <v>4575</v>
      </c>
      <c r="AO26" s="735"/>
      <c r="AP26" s="645">
        <f>SUM(AP16:AP25)</f>
        <v>4501</v>
      </c>
      <c r="AQ26" s="735"/>
      <c r="AR26" s="645">
        <f>SUM(AR16:AR25)</f>
        <v>4374</v>
      </c>
      <c r="AS26" s="735"/>
      <c r="AT26" s="645">
        <f>SUM(AT16:AT25)</f>
        <v>4262</v>
      </c>
      <c r="AU26" s="735"/>
      <c r="AV26" s="645">
        <f>SUM(AV16:AV25)</f>
        <v>4176</v>
      </c>
      <c r="AW26" s="735"/>
      <c r="AX26" s="645">
        <f>SUM(AX16:AX25)</f>
        <v>4113</v>
      </c>
      <c r="AY26" s="735"/>
      <c r="AZ26" s="645">
        <f>SUM(AZ16:AZ25)</f>
        <v>4044</v>
      </c>
      <c r="BA26" s="735"/>
      <c r="BB26" s="647">
        <f>SUM(BB16:BB25)</f>
        <v>3992</v>
      </c>
      <c r="BC26" s="648"/>
      <c r="BD26" s="641"/>
      <c r="BE26" s="642"/>
      <c r="BF26" s="642"/>
      <c r="BG26" s="642" t="s">
        <v>641</v>
      </c>
      <c r="BH26" s="642"/>
      <c r="BI26" s="642"/>
      <c r="BJ26" s="644"/>
      <c r="BK26" s="645">
        <f>SUM(BK16:BK25)</f>
        <v>3885</v>
      </c>
      <c r="BL26" s="734"/>
      <c r="BM26" s="645">
        <f>SUM(BM16:BM25)</f>
        <v>3830</v>
      </c>
      <c r="BN26" s="735"/>
      <c r="BO26" s="645">
        <f>SUM(BO16:BO25)</f>
        <v>3790</v>
      </c>
      <c r="BP26" s="735"/>
      <c r="BQ26" s="645">
        <f>SUM(BQ16:BQ25)</f>
        <v>3743</v>
      </c>
      <c r="BR26" s="735"/>
      <c r="BS26" s="645">
        <f>SUM(BS16:BS25)</f>
        <v>3714</v>
      </c>
      <c r="BT26" s="735"/>
      <c r="BU26" s="645">
        <f>SUM(BU16:BU25)</f>
        <v>3748</v>
      </c>
      <c r="BV26" s="735"/>
      <c r="BW26" s="645">
        <f>SUM(BW16:BW25)</f>
        <v>3882</v>
      </c>
      <c r="BX26" s="735"/>
      <c r="BY26" s="645">
        <f>SUM(BY16:BY25)</f>
        <v>4050</v>
      </c>
      <c r="BZ26" s="735"/>
      <c r="CA26" s="645">
        <f>SUM(CA16:CA25)</f>
        <v>4188</v>
      </c>
      <c r="CB26" s="735"/>
      <c r="CC26" s="645">
        <f>SUM(CC16:CC25)</f>
        <v>4287</v>
      </c>
      <c r="CD26" s="735"/>
      <c r="CE26" s="645">
        <f>SUM(CE16:CE25)</f>
        <v>4371</v>
      </c>
      <c r="CF26" s="735"/>
      <c r="CG26" s="645">
        <f>SUM(CG16:CG25)</f>
        <v>4429</v>
      </c>
      <c r="CH26" s="735"/>
      <c r="CI26" s="645">
        <f>SUM(CI16:CI25)</f>
        <v>4483</v>
      </c>
      <c r="CJ26" s="735"/>
      <c r="CK26" s="645">
        <f>SUM(CK16:CK25)</f>
        <v>4529</v>
      </c>
      <c r="CL26" s="735"/>
      <c r="CM26" s="645">
        <f>SUM(CM16:CM25)</f>
        <v>4567</v>
      </c>
      <c r="CN26" s="735"/>
      <c r="CO26" s="645">
        <f>SUM(CO16:CO25)</f>
        <v>4607</v>
      </c>
      <c r="CP26" s="735"/>
      <c r="CQ26" s="645">
        <f>SUM(CQ16:CQ25)</f>
        <v>4600</v>
      </c>
      <c r="CR26" s="735"/>
      <c r="CS26" s="645">
        <f>SUM(CS16:CS25)</f>
        <v>4546</v>
      </c>
      <c r="CT26" s="735"/>
      <c r="CU26" s="645">
        <f>SUM(CU16:CU25)</f>
        <v>4418</v>
      </c>
      <c r="CV26" s="735"/>
      <c r="CW26" s="645">
        <f>SUM(CW16:CW25)</f>
        <v>4267</v>
      </c>
      <c r="CX26" s="735"/>
      <c r="CY26" s="645">
        <f>SUM(CY16:CY25)</f>
        <v>4158</v>
      </c>
      <c r="CZ26" s="735"/>
      <c r="DA26" s="645">
        <f>SUM(DA16:DA25)</f>
        <v>4069</v>
      </c>
      <c r="DB26" s="735"/>
      <c r="DC26" s="645">
        <f>SUM(DC16:DC25)</f>
        <v>4011</v>
      </c>
      <c r="DD26" s="735"/>
      <c r="DE26" s="647">
        <f>SUM(DE16:DE25)</f>
        <v>3944</v>
      </c>
      <c r="DF26" s="648"/>
      <c r="DG26" s="641"/>
      <c r="DH26" s="642"/>
      <c r="DI26" s="642"/>
      <c r="DJ26" s="642" t="s">
        <v>865</v>
      </c>
      <c r="DK26" s="642"/>
      <c r="DL26" s="642"/>
      <c r="DM26" s="644"/>
      <c r="DN26" s="645">
        <f>SUM(DN16:DN25)</f>
        <v>3657</v>
      </c>
      <c r="DO26" s="734"/>
      <c r="DP26" s="645">
        <f>SUM(DP16:DP25)</f>
        <v>3596</v>
      </c>
      <c r="DQ26" s="735"/>
      <c r="DR26" s="645">
        <f>SUM(DR16:DR25)</f>
        <v>3555</v>
      </c>
      <c r="DS26" s="735"/>
      <c r="DT26" s="645">
        <f>SUM(DT16:DT25)</f>
        <v>3503</v>
      </c>
      <c r="DU26" s="735"/>
      <c r="DV26" s="645">
        <f>SUM(DV16:DV25)</f>
        <v>3463</v>
      </c>
      <c r="DW26" s="735"/>
      <c r="DX26" s="645">
        <f>SUM(DX16:DX25)</f>
        <v>3452</v>
      </c>
      <c r="DY26" s="735"/>
      <c r="DZ26" s="645">
        <f>SUM(DZ16:DZ25)</f>
        <v>3538</v>
      </c>
      <c r="EA26" s="735"/>
      <c r="EB26" s="645">
        <f>SUM(EB16:EB25)</f>
        <v>3665</v>
      </c>
      <c r="EC26" s="735"/>
      <c r="ED26" s="645">
        <f>SUM(ED16:ED25)</f>
        <v>3775</v>
      </c>
      <c r="EE26" s="735"/>
      <c r="EF26" s="645">
        <f>SUM(EF16:EF25)</f>
        <v>3903</v>
      </c>
      <c r="EG26" s="735"/>
      <c r="EH26" s="645">
        <f>SUM(EH16:EH25)</f>
        <v>4019</v>
      </c>
      <c r="EI26" s="735"/>
      <c r="EJ26" s="645">
        <f>SUM(EJ16:EJ25)</f>
        <v>4122</v>
      </c>
      <c r="EK26" s="735"/>
      <c r="EL26" s="645">
        <f>SUM(EL16:EL25)</f>
        <v>4195</v>
      </c>
      <c r="EM26" s="735"/>
      <c r="EN26" s="645">
        <f>SUM(EN16:EN25)</f>
        <v>4251</v>
      </c>
      <c r="EO26" s="735"/>
      <c r="EP26" s="645">
        <f>SUM(EP16:EP25)</f>
        <v>4304</v>
      </c>
      <c r="EQ26" s="735"/>
      <c r="ER26" s="645">
        <f>SUM(ER16:ER25)</f>
        <v>4349</v>
      </c>
      <c r="ES26" s="735"/>
      <c r="ET26" s="645">
        <f>SUM(ET16:ET25)</f>
        <v>4313</v>
      </c>
      <c r="EU26" s="735"/>
      <c r="EV26" s="645">
        <f>SUM(EV16:EV25)</f>
        <v>4232</v>
      </c>
      <c r="EW26" s="735"/>
      <c r="EX26" s="645">
        <f>SUM(EX16:EX25)</f>
        <v>4114</v>
      </c>
      <c r="EY26" s="735"/>
      <c r="EZ26" s="645">
        <f>SUM(EZ16:EZ25)</f>
        <v>4007</v>
      </c>
      <c r="FA26" s="735"/>
      <c r="FB26" s="645">
        <f>SUM(FB16:FB25)</f>
        <v>3921</v>
      </c>
      <c r="FC26" s="735"/>
      <c r="FD26" s="645">
        <f>SUM(FD16:FD25)</f>
        <v>3854</v>
      </c>
      <c r="FE26" s="735"/>
      <c r="FF26" s="645">
        <f>SUM(FF16:FF25)</f>
        <v>3800</v>
      </c>
      <c r="FG26" s="735"/>
      <c r="FH26" s="647">
        <f>SUM(FH16:FH25)</f>
        <v>3732</v>
      </c>
      <c r="FI26" s="649"/>
      <c r="FJ26" s="564"/>
      <c r="FK26" s="642"/>
      <c r="FL26" s="642"/>
      <c r="FM26" s="642" t="s">
        <v>641</v>
      </c>
      <c r="FN26" s="642"/>
      <c r="FO26" s="642"/>
      <c r="FP26" s="650"/>
      <c r="FQ26" s="651"/>
      <c r="FR26" s="645">
        <f>SUM(FR16:FR25)</f>
        <v>7069</v>
      </c>
      <c r="FS26" s="736"/>
      <c r="FT26" s="651"/>
      <c r="FU26" s="653">
        <f>SUM(FU16:FU25)</f>
        <v>6507</v>
      </c>
      <c r="FV26" s="593"/>
      <c r="FW26" s="594"/>
      <c r="FX26" s="595"/>
      <c r="FY26" s="596"/>
      <c r="FZ26" s="597"/>
      <c r="GA26" s="598"/>
      <c r="GB26" s="599"/>
      <c r="GC26" s="600"/>
      <c r="GD26" s="599"/>
      <c r="GE26" s="601"/>
      <c r="GF26" s="654"/>
      <c r="GG26" s="655"/>
      <c r="GH26" s="655"/>
      <c r="GI26" s="655"/>
      <c r="GJ26" s="615"/>
      <c r="GK26" s="530" t="s">
        <v>722</v>
      </c>
      <c r="GL26" s="615"/>
      <c r="GM26" s="530"/>
      <c r="GN26" s="615"/>
      <c r="GO26" s="530"/>
      <c r="GP26" s="615"/>
      <c r="GQ26" s="615"/>
      <c r="GR26" s="615"/>
      <c r="GS26" s="579"/>
      <c r="GT26" s="677"/>
      <c r="GU26" s="580" t="s">
        <v>706</v>
      </c>
      <c r="GV26" s="609"/>
      <c r="GW26" s="609"/>
      <c r="GX26" s="413"/>
      <c r="GY26" s="733">
        <v>0.3</v>
      </c>
      <c r="GZ26" s="580"/>
      <c r="HA26" s="530"/>
      <c r="HB26" s="530"/>
      <c r="HC26" s="530"/>
      <c r="HD26" s="648"/>
      <c r="HE26" s="415"/>
      <c r="HF26" s="415"/>
      <c r="HG26" s="580"/>
      <c r="HH26" s="648"/>
      <c r="HI26" s="415"/>
      <c r="HJ26" s="415"/>
    </row>
    <row r="27" spans="1:218" ht="20.100000000000001" customHeight="1">
      <c r="A27" s="1311" t="s">
        <v>432</v>
      </c>
      <c r="B27" s="738"/>
      <c r="C27" s="739"/>
      <c r="D27" s="663"/>
      <c r="E27" s="739"/>
      <c r="F27" s="739"/>
      <c r="G27" s="740" t="s">
        <v>429</v>
      </c>
      <c r="H27" s="663" t="s">
        <v>430</v>
      </c>
      <c r="I27" s="741" t="s">
        <v>322</v>
      </c>
      <c r="J27" s="663" t="s">
        <v>430</v>
      </c>
      <c r="K27" s="742" t="s">
        <v>429</v>
      </c>
      <c r="L27" s="663" t="s">
        <v>430</v>
      </c>
      <c r="M27" s="742" t="s">
        <v>322</v>
      </c>
      <c r="N27" s="663" t="s">
        <v>430</v>
      </c>
      <c r="O27" s="742" t="s">
        <v>322</v>
      </c>
      <c r="P27" s="663" t="s">
        <v>430</v>
      </c>
      <c r="Q27" s="742" t="s">
        <v>429</v>
      </c>
      <c r="R27" s="663" t="s">
        <v>430</v>
      </c>
      <c r="S27" s="742" t="s">
        <v>322</v>
      </c>
      <c r="T27" s="663" t="s">
        <v>430</v>
      </c>
      <c r="U27" s="742" t="s">
        <v>429</v>
      </c>
      <c r="V27" s="663" t="s">
        <v>430</v>
      </c>
      <c r="W27" s="742" t="s">
        <v>322</v>
      </c>
      <c r="X27" s="663" t="s">
        <v>428</v>
      </c>
      <c r="Y27" s="742" t="s">
        <v>429</v>
      </c>
      <c r="Z27" s="663" t="s">
        <v>430</v>
      </c>
      <c r="AA27" s="742" t="s">
        <v>322</v>
      </c>
      <c r="AB27" s="663" t="s">
        <v>428</v>
      </c>
      <c r="AC27" s="742" t="s">
        <v>322</v>
      </c>
      <c r="AD27" s="663" t="s">
        <v>430</v>
      </c>
      <c r="AE27" s="742" t="s">
        <v>429</v>
      </c>
      <c r="AF27" s="663" t="s">
        <v>428</v>
      </c>
      <c r="AG27" s="742" t="s">
        <v>322</v>
      </c>
      <c r="AH27" s="663" t="s">
        <v>430</v>
      </c>
      <c r="AI27" s="742" t="s">
        <v>429</v>
      </c>
      <c r="AJ27" s="663" t="s">
        <v>430</v>
      </c>
      <c r="AK27" s="742" t="s">
        <v>429</v>
      </c>
      <c r="AL27" s="663" t="s">
        <v>428</v>
      </c>
      <c r="AM27" s="742" t="s">
        <v>429</v>
      </c>
      <c r="AN27" s="663" t="s">
        <v>428</v>
      </c>
      <c r="AO27" s="742" t="s">
        <v>322</v>
      </c>
      <c r="AP27" s="663" t="s">
        <v>428</v>
      </c>
      <c r="AQ27" s="742" t="s">
        <v>429</v>
      </c>
      <c r="AR27" s="663" t="s">
        <v>430</v>
      </c>
      <c r="AS27" s="742" t="s">
        <v>429</v>
      </c>
      <c r="AT27" s="663" t="s">
        <v>428</v>
      </c>
      <c r="AU27" s="742" t="s">
        <v>322</v>
      </c>
      <c r="AV27" s="663" t="s">
        <v>428</v>
      </c>
      <c r="AW27" s="742" t="s">
        <v>429</v>
      </c>
      <c r="AX27" s="663" t="s">
        <v>430</v>
      </c>
      <c r="AY27" s="742" t="s">
        <v>322</v>
      </c>
      <c r="AZ27" s="663" t="s">
        <v>430</v>
      </c>
      <c r="BA27" s="742" t="s">
        <v>429</v>
      </c>
      <c r="BB27" s="665" t="s">
        <v>428</v>
      </c>
      <c r="BC27" s="723"/>
      <c r="BD27" s="1311" t="s">
        <v>431</v>
      </c>
      <c r="BE27" s="738"/>
      <c r="BF27" s="739"/>
      <c r="BG27" s="663"/>
      <c r="BH27" s="739"/>
      <c r="BI27" s="739"/>
      <c r="BJ27" s="740" t="s">
        <v>322</v>
      </c>
      <c r="BK27" s="663" t="s">
        <v>428</v>
      </c>
      <c r="BL27" s="741" t="s">
        <v>322</v>
      </c>
      <c r="BM27" s="663" t="s">
        <v>430</v>
      </c>
      <c r="BN27" s="742" t="s">
        <v>322</v>
      </c>
      <c r="BO27" s="663" t="s">
        <v>428</v>
      </c>
      <c r="BP27" s="742" t="s">
        <v>429</v>
      </c>
      <c r="BQ27" s="663" t="s">
        <v>428</v>
      </c>
      <c r="BR27" s="742" t="s">
        <v>429</v>
      </c>
      <c r="BS27" s="663" t="s">
        <v>428</v>
      </c>
      <c r="BT27" s="742" t="s">
        <v>429</v>
      </c>
      <c r="BU27" s="663" t="s">
        <v>430</v>
      </c>
      <c r="BV27" s="742" t="s">
        <v>429</v>
      </c>
      <c r="BW27" s="663" t="s">
        <v>430</v>
      </c>
      <c r="BX27" s="742" t="s">
        <v>429</v>
      </c>
      <c r="BY27" s="663" t="s">
        <v>428</v>
      </c>
      <c r="BZ27" s="742" t="s">
        <v>429</v>
      </c>
      <c r="CA27" s="663" t="s">
        <v>430</v>
      </c>
      <c r="CB27" s="742" t="s">
        <v>429</v>
      </c>
      <c r="CC27" s="663" t="s">
        <v>428</v>
      </c>
      <c r="CD27" s="742" t="s">
        <v>322</v>
      </c>
      <c r="CE27" s="663" t="s">
        <v>430</v>
      </c>
      <c r="CF27" s="742" t="s">
        <v>322</v>
      </c>
      <c r="CG27" s="663" t="s">
        <v>428</v>
      </c>
      <c r="CH27" s="742" t="s">
        <v>322</v>
      </c>
      <c r="CI27" s="663" t="s">
        <v>430</v>
      </c>
      <c r="CJ27" s="742" t="s">
        <v>322</v>
      </c>
      <c r="CK27" s="663" t="s">
        <v>428</v>
      </c>
      <c r="CL27" s="742" t="s">
        <v>322</v>
      </c>
      <c r="CM27" s="663" t="s">
        <v>430</v>
      </c>
      <c r="CN27" s="742" t="s">
        <v>322</v>
      </c>
      <c r="CO27" s="663" t="s">
        <v>430</v>
      </c>
      <c r="CP27" s="742" t="s">
        <v>322</v>
      </c>
      <c r="CQ27" s="663" t="s">
        <v>428</v>
      </c>
      <c r="CR27" s="742" t="s">
        <v>322</v>
      </c>
      <c r="CS27" s="663" t="s">
        <v>430</v>
      </c>
      <c r="CT27" s="742" t="s">
        <v>322</v>
      </c>
      <c r="CU27" s="663" t="s">
        <v>428</v>
      </c>
      <c r="CV27" s="742" t="s">
        <v>322</v>
      </c>
      <c r="CW27" s="663" t="s">
        <v>430</v>
      </c>
      <c r="CX27" s="742" t="s">
        <v>429</v>
      </c>
      <c r="CY27" s="663" t="s">
        <v>428</v>
      </c>
      <c r="CZ27" s="742" t="s">
        <v>322</v>
      </c>
      <c r="DA27" s="663" t="s">
        <v>430</v>
      </c>
      <c r="DB27" s="742" t="s">
        <v>429</v>
      </c>
      <c r="DC27" s="663" t="s">
        <v>430</v>
      </c>
      <c r="DD27" s="742" t="s">
        <v>322</v>
      </c>
      <c r="DE27" s="665" t="s">
        <v>428</v>
      </c>
      <c r="DF27" s="723"/>
      <c r="DG27" s="1311" t="s">
        <v>432</v>
      </c>
      <c r="DH27" s="743"/>
      <c r="DI27" s="744"/>
      <c r="DJ27" s="745"/>
      <c r="DK27" s="744"/>
      <c r="DL27" s="744"/>
      <c r="DM27" s="740" t="s">
        <v>429</v>
      </c>
      <c r="DN27" s="663" t="s">
        <v>430</v>
      </c>
      <c r="DO27" s="741" t="s">
        <v>322</v>
      </c>
      <c r="DP27" s="663" t="s">
        <v>428</v>
      </c>
      <c r="DQ27" s="742" t="s">
        <v>322</v>
      </c>
      <c r="DR27" s="663" t="s">
        <v>430</v>
      </c>
      <c r="DS27" s="742" t="s">
        <v>429</v>
      </c>
      <c r="DT27" s="663" t="s">
        <v>428</v>
      </c>
      <c r="DU27" s="742" t="s">
        <v>322</v>
      </c>
      <c r="DV27" s="663" t="s">
        <v>430</v>
      </c>
      <c r="DW27" s="742" t="s">
        <v>429</v>
      </c>
      <c r="DX27" s="663" t="s">
        <v>430</v>
      </c>
      <c r="DY27" s="742" t="s">
        <v>429</v>
      </c>
      <c r="DZ27" s="663" t="s">
        <v>428</v>
      </c>
      <c r="EA27" s="742" t="s">
        <v>429</v>
      </c>
      <c r="EB27" s="663" t="s">
        <v>428</v>
      </c>
      <c r="EC27" s="742" t="s">
        <v>322</v>
      </c>
      <c r="ED27" s="663" t="s">
        <v>428</v>
      </c>
      <c r="EE27" s="742" t="s">
        <v>429</v>
      </c>
      <c r="EF27" s="663" t="s">
        <v>430</v>
      </c>
      <c r="EG27" s="742" t="s">
        <v>429</v>
      </c>
      <c r="EH27" s="663" t="s">
        <v>428</v>
      </c>
      <c r="EI27" s="742" t="s">
        <v>322</v>
      </c>
      <c r="EJ27" s="663" t="s">
        <v>428</v>
      </c>
      <c r="EK27" s="742" t="s">
        <v>429</v>
      </c>
      <c r="EL27" s="663" t="s">
        <v>430</v>
      </c>
      <c r="EM27" s="742" t="s">
        <v>322</v>
      </c>
      <c r="EN27" s="663" t="s">
        <v>430</v>
      </c>
      <c r="EO27" s="742" t="s">
        <v>429</v>
      </c>
      <c r="EP27" s="663" t="s">
        <v>428</v>
      </c>
      <c r="EQ27" s="742" t="s">
        <v>429</v>
      </c>
      <c r="ER27" s="663" t="s">
        <v>430</v>
      </c>
      <c r="ES27" s="742" t="s">
        <v>429</v>
      </c>
      <c r="ET27" s="663" t="s">
        <v>428</v>
      </c>
      <c r="EU27" s="742" t="s">
        <v>322</v>
      </c>
      <c r="EV27" s="663" t="s">
        <v>428</v>
      </c>
      <c r="EW27" s="742" t="s">
        <v>322</v>
      </c>
      <c r="EX27" s="663" t="s">
        <v>428</v>
      </c>
      <c r="EY27" s="742" t="s">
        <v>429</v>
      </c>
      <c r="EZ27" s="663" t="s">
        <v>428</v>
      </c>
      <c r="FA27" s="742" t="s">
        <v>322</v>
      </c>
      <c r="FB27" s="663" t="s">
        <v>428</v>
      </c>
      <c r="FC27" s="742" t="s">
        <v>429</v>
      </c>
      <c r="FD27" s="663" t="s">
        <v>430</v>
      </c>
      <c r="FE27" s="742" t="s">
        <v>322</v>
      </c>
      <c r="FF27" s="663" t="s">
        <v>430</v>
      </c>
      <c r="FG27" s="742" t="s">
        <v>429</v>
      </c>
      <c r="FH27" s="665" t="s">
        <v>430</v>
      </c>
      <c r="FI27" s="746"/>
      <c r="FJ27" s="542" t="s">
        <v>431</v>
      </c>
      <c r="FK27" s="743"/>
      <c r="FL27" s="744"/>
      <c r="FM27" s="745"/>
      <c r="FN27" s="744"/>
      <c r="FO27" s="744"/>
      <c r="FP27" s="747" t="s">
        <v>433</v>
      </c>
      <c r="FQ27" s="673" t="s">
        <v>429</v>
      </c>
      <c r="FR27" s="663" t="s">
        <v>451</v>
      </c>
      <c r="FS27" s="748" t="s">
        <v>450</v>
      </c>
      <c r="FT27" s="673" t="s">
        <v>322</v>
      </c>
      <c r="FU27" s="675" t="s">
        <v>434</v>
      </c>
      <c r="FV27" s="593"/>
      <c r="FW27" s="594"/>
      <c r="FX27" s="595"/>
      <c r="FY27" s="596"/>
      <c r="FZ27" s="597"/>
      <c r="GA27" s="598"/>
      <c r="GB27" s="599"/>
      <c r="GC27" s="600"/>
      <c r="GD27" s="599"/>
      <c r="GE27" s="601"/>
      <c r="GF27" s="749"/>
      <c r="GG27" s="750"/>
      <c r="GH27" s="750"/>
      <c r="GI27" s="750"/>
      <c r="GJ27" s="615"/>
      <c r="GK27" s="530" t="s">
        <v>779</v>
      </c>
      <c r="GL27" s="615"/>
      <c r="GM27" s="615"/>
      <c r="GN27" s="615"/>
      <c r="GO27" s="413"/>
      <c r="GP27" s="751">
        <v>27.3</v>
      </c>
      <c r="GQ27" s="413" t="s">
        <v>707</v>
      </c>
      <c r="GR27" s="413"/>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437</v>
      </c>
      <c r="C28" s="753"/>
      <c r="D28" s="754">
        <v>81</v>
      </c>
      <c r="E28" s="755">
        <v>4</v>
      </c>
      <c r="F28" s="756" t="s">
        <v>436</v>
      </c>
      <c r="G28" s="757">
        <v>1</v>
      </c>
      <c r="H28" s="559">
        <v>324</v>
      </c>
      <c r="I28" s="758">
        <v>1</v>
      </c>
      <c r="J28" s="559">
        <v>324</v>
      </c>
      <c r="K28" s="758">
        <v>1</v>
      </c>
      <c r="L28" s="559">
        <v>324</v>
      </c>
      <c r="M28" s="758">
        <v>1</v>
      </c>
      <c r="N28" s="559">
        <v>324</v>
      </c>
      <c r="O28" s="758">
        <v>1</v>
      </c>
      <c r="P28" s="559">
        <v>324</v>
      </c>
      <c r="Q28" s="758">
        <v>1</v>
      </c>
      <c r="R28" s="559">
        <v>324</v>
      </c>
      <c r="S28" s="758">
        <v>1</v>
      </c>
      <c r="T28" s="559">
        <v>324</v>
      </c>
      <c r="U28" s="758">
        <v>1</v>
      </c>
      <c r="V28" s="559">
        <v>324</v>
      </c>
      <c r="W28" s="758">
        <v>1</v>
      </c>
      <c r="X28" s="559">
        <v>324</v>
      </c>
      <c r="Y28" s="758">
        <v>1</v>
      </c>
      <c r="Z28" s="559">
        <v>324</v>
      </c>
      <c r="AA28" s="758">
        <v>1</v>
      </c>
      <c r="AB28" s="559">
        <v>324</v>
      </c>
      <c r="AC28" s="758">
        <v>1</v>
      </c>
      <c r="AD28" s="559">
        <v>324</v>
      </c>
      <c r="AE28" s="758">
        <v>1</v>
      </c>
      <c r="AF28" s="559">
        <v>324</v>
      </c>
      <c r="AG28" s="758">
        <v>1</v>
      </c>
      <c r="AH28" s="559">
        <v>324</v>
      </c>
      <c r="AI28" s="758">
        <v>1</v>
      </c>
      <c r="AJ28" s="559">
        <v>324</v>
      </c>
      <c r="AK28" s="758">
        <v>1</v>
      </c>
      <c r="AL28" s="559">
        <v>324</v>
      </c>
      <c r="AM28" s="758">
        <v>1</v>
      </c>
      <c r="AN28" s="559">
        <v>324</v>
      </c>
      <c r="AO28" s="758">
        <v>1</v>
      </c>
      <c r="AP28" s="559">
        <v>324</v>
      </c>
      <c r="AQ28" s="758">
        <v>1</v>
      </c>
      <c r="AR28" s="559">
        <v>324</v>
      </c>
      <c r="AS28" s="758">
        <v>1</v>
      </c>
      <c r="AT28" s="559">
        <v>324</v>
      </c>
      <c r="AU28" s="758">
        <v>1</v>
      </c>
      <c r="AV28" s="559">
        <v>324</v>
      </c>
      <c r="AW28" s="758">
        <v>1</v>
      </c>
      <c r="AX28" s="559">
        <v>324</v>
      </c>
      <c r="AY28" s="758">
        <v>1</v>
      </c>
      <c r="AZ28" s="559">
        <v>324</v>
      </c>
      <c r="BA28" s="758">
        <v>1</v>
      </c>
      <c r="BB28" s="684">
        <v>324</v>
      </c>
      <c r="BC28" s="562"/>
      <c r="BD28" s="552"/>
      <c r="BE28" s="752" t="s">
        <v>437</v>
      </c>
      <c r="BF28" s="753"/>
      <c r="BG28" s="754">
        <v>81</v>
      </c>
      <c r="BH28" s="755">
        <v>4</v>
      </c>
      <c r="BI28" s="756" t="s">
        <v>436</v>
      </c>
      <c r="BJ28" s="757">
        <v>1</v>
      </c>
      <c r="BK28" s="559">
        <v>324</v>
      </c>
      <c r="BL28" s="758">
        <v>1</v>
      </c>
      <c r="BM28" s="559">
        <v>324</v>
      </c>
      <c r="BN28" s="758">
        <v>1</v>
      </c>
      <c r="BO28" s="559">
        <v>324</v>
      </c>
      <c r="BP28" s="758">
        <v>1</v>
      </c>
      <c r="BQ28" s="559">
        <v>324</v>
      </c>
      <c r="BR28" s="758">
        <v>1</v>
      </c>
      <c r="BS28" s="559">
        <v>324</v>
      </c>
      <c r="BT28" s="758">
        <v>1</v>
      </c>
      <c r="BU28" s="559">
        <v>324</v>
      </c>
      <c r="BV28" s="758">
        <v>1</v>
      </c>
      <c r="BW28" s="559">
        <v>324</v>
      </c>
      <c r="BX28" s="758">
        <v>1</v>
      </c>
      <c r="BY28" s="559">
        <v>324</v>
      </c>
      <c r="BZ28" s="758">
        <v>1</v>
      </c>
      <c r="CA28" s="559">
        <v>324</v>
      </c>
      <c r="CB28" s="758">
        <v>1</v>
      </c>
      <c r="CC28" s="559">
        <v>324</v>
      </c>
      <c r="CD28" s="758">
        <v>1</v>
      </c>
      <c r="CE28" s="559">
        <v>324</v>
      </c>
      <c r="CF28" s="758">
        <v>1</v>
      </c>
      <c r="CG28" s="559">
        <v>324</v>
      </c>
      <c r="CH28" s="758">
        <v>1</v>
      </c>
      <c r="CI28" s="559">
        <v>324</v>
      </c>
      <c r="CJ28" s="758">
        <v>1</v>
      </c>
      <c r="CK28" s="559">
        <v>324</v>
      </c>
      <c r="CL28" s="758">
        <v>1</v>
      </c>
      <c r="CM28" s="559">
        <v>324</v>
      </c>
      <c r="CN28" s="758">
        <v>1</v>
      </c>
      <c r="CO28" s="559">
        <v>324</v>
      </c>
      <c r="CP28" s="758">
        <v>1</v>
      </c>
      <c r="CQ28" s="559">
        <v>324</v>
      </c>
      <c r="CR28" s="758">
        <v>1</v>
      </c>
      <c r="CS28" s="559">
        <v>324</v>
      </c>
      <c r="CT28" s="758">
        <v>1</v>
      </c>
      <c r="CU28" s="559">
        <v>324</v>
      </c>
      <c r="CV28" s="758">
        <v>1</v>
      </c>
      <c r="CW28" s="559">
        <v>324</v>
      </c>
      <c r="CX28" s="758">
        <v>1</v>
      </c>
      <c r="CY28" s="559">
        <v>324</v>
      </c>
      <c r="CZ28" s="758">
        <v>1</v>
      </c>
      <c r="DA28" s="559">
        <v>324</v>
      </c>
      <c r="DB28" s="758">
        <v>1</v>
      </c>
      <c r="DC28" s="559">
        <v>324</v>
      </c>
      <c r="DD28" s="758">
        <v>1</v>
      </c>
      <c r="DE28" s="684">
        <v>324</v>
      </c>
      <c r="DF28" s="562"/>
      <c r="DG28" s="552"/>
      <c r="DH28" s="752" t="s">
        <v>435</v>
      </c>
      <c r="DI28" s="753"/>
      <c r="DJ28" s="754">
        <v>81</v>
      </c>
      <c r="DK28" s="755">
        <v>4</v>
      </c>
      <c r="DL28" s="756" t="s">
        <v>436</v>
      </c>
      <c r="DM28" s="757">
        <v>1</v>
      </c>
      <c r="DN28" s="559">
        <v>324</v>
      </c>
      <c r="DO28" s="758">
        <v>1</v>
      </c>
      <c r="DP28" s="559">
        <v>324</v>
      </c>
      <c r="DQ28" s="758">
        <v>1</v>
      </c>
      <c r="DR28" s="559">
        <v>324</v>
      </c>
      <c r="DS28" s="758">
        <v>1</v>
      </c>
      <c r="DT28" s="559">
        <v>324</v>
      </c>
      <c r="DU28" s="758">
        <v>1</v>
      </c>
      <c r="DV28" s="559">
        <v>324</v>
      </c>
      <c r="DW28" s="758">
        <v>1</v>
      </c>
      <c r="DX28" s="559">
        <v>324</v>
      </c>
      <c r="DY28" s="758">
        <v>1</v>
      </c>
      <c r="DZ28" s="559">
        <v>324</v>
      </c>
      <c r="EA28" s="758">
        <v>1</v>
      </c>
      <c r="EB28" s="559">
        <v>324</v>
      </c>
      <c r="EC28" s="758">
        <v>1</v>
      </c>
      <c r="ED28" s="559">
        <v>324</v>
      </c>
      <c r="EE28" s="758">
        <v>1</v>
      </c>
      <c r="EF28" s="559">
        <v>324</v>
      </c>
      <c r="EG28" s="758">
        <v>1</v>
      </c>
      <c r="EH28" s="559">
        <v>324</v>
      </c>
      <c r="EI28" s="758">
        <v>1</v>
      </c>
      <c r="EJ28" s="559">
        <v>324</v>
      </c>
      <c r="EK28" s="758">
        <v>1</v>
      </c>
      <c r="EL28" s="559">
        <v>324</v>
      </c>
      <c r="EM28" s="758">
        <v>1</v>
      </c>
      <c r="EN28" s="559">
        <v>324</v>
      </c>
      <c r="EO28" s="758">
        <v>1</v>
      </c>
      <c r="EP28" s="559">
        <v>324</v>
      </c>
      <c r="EQ28" s="758">
        <v>1</v>
      </c>
      <c r="ER28" s="559">
        <v>324</v>
      </c>
      <c r="ES28" s="758">
        <v>1</v>
      </c>
      <c r="ET28" s="559">
        <v>324</v>
      </c>
      <c r="EU28" s="758">
        <v>1</v>
      </c>
      <c r="EV28" s="559">
        <v>324</v>
      </c>
      <c r="EW28" s="758">
        <v>1</v>
      </c>
      <c r="EX28" s="559">
        <v>324</v>
      </c>
      <c r="EY28" s="758">
        <v>1</v>
      </c>
      <c r="EZ28" s="559">
        <v>324</v>
      </c>
      <c r="FA28" s="758">
        <v>1</v>
      </c>
      <c r="FB28" s="559">
        <v>324</v>
      </c>
      <c r="FC28" s="758">
        <v>1</v>
      </c>
      <c r="FD28" s="559">
        <v>324</v>
      </c>
      <c r="FE28" s="758">
        <v>1</v>
      </c>
      <c r="FF28" s="559">
        <v>324</v>
      </c>
      <c r="FG28" s="758">
        <v>1</v>
      </c>
      <c r="FH28" s="684">
        <v>324</v>
      </c>
      <c r="FI28" s="563"/>
      <c r="FJ28" s="564"/>
      <c r="FK28" s="752" t="s">
        <v>435</v>
      </c>
      <c r="FL28" s="753"/>
      <c r="FM28" s="759"/>
      <c r="FN28" s="755">
        <v>0</v>
      </c>
      <c r="FO28" s="756"/>
      <c r="FP28" s="685"/>
      <c r="FQ28" s="760"/>
      <c r="FR28" s="559">
        <v>0</v>
      </c>
      <c r="FS28" s="761"/>
      <c r="FT28" s="760"/>
      <c r="FU28" s="567">
        <v>0</v>
      </c>
      <c r="FV28" s="593"/>
      <c r="FW28" s="594"/>
      <c r="FX28" s="595"/>
      <c r="FY28" s="596"/>
      <c r="FZ28" s="597"/>
      <c r="GA28" s="598"/>
      <c r="GB28" s="599"/>
      <c r="GC28" s="600"/>
      <c r="GD28" s="599"/>
      <c r="GE28" s="601"/>
      <c r="GF28" s="762"/>
      <c r="GG28" s="602"/>
      <c r="GH28" s="602"/>
      <c r="GI28" s="602"/>
      <c r="GJ28" s="615"/>
      <c r="GK28" s="530" t="s">
        <v>549</v>
      </c>
      <c r="GL28" s="413"/>
      <c r="GM28" s="413"/>
      <c r="GN28" s="413"/>
      <c r="GO28" s="530"/>
      <c r="GP28" s="751">
        <v>24</v>
      </c>
      <c r="GQ28" s="413" t="s">
        <v>550</v>
      </c>
      <c r="GR28" s="733"/>
      <c r="GS28" s="530"/>
      <c r="GT28" s="763"/>
      <c r="GU28" s="580" t="s">
        <v>780</v>
      </c>
      <c r="GV28" s="609"/>
      <c r="GW28" s="530"/>
      <c r="GX28" s="529"/>
      <c r="GY28" s="409"/>
      <c r="GZ28" s="615"/>
      <c r="HA28" s="530"/>
      <c r="HB28" s="530"/>
      <c r="HC28" s="530"/>
      <c r="HD28" s="530"/>
      <c r="HE28" s="415"/>
      <c r="HF28" s="415"/>
      <c r="HG28" s="415"/>
      <c r="HH28" s="415"/>
    </row>
    <row r="29" spans="1:218" ht="20.100000000000001" customHeight="1" thickBot="1">
      <c r="A29" s="552"/>
      <c r="B29" s="764" t="s">
        <v>438</v>
      </c>
      <c r="C29" s="765"/>
      <c r="D29" s="766">
        <v>12</v>
      </c>
      <c r="E29" s="767">
        <v>68</v>
      </c>
      <c r="F29" s="768" t="s">
        <v>436</v>
      </c>
      <c r="G29" s="769">
        <v>1</v>
      </c>
      <c r="H29" s="587">
        <v>816</v>
      </c>
      <c r="I29" s="770">
        <v>1</v>
      </c>
      <c r="J29" s="587">
        <v>816</v>
      </c>
      <c r="K29" s="770">
        <v>1</v>
      </c>
      <c r="L29" s="587">
        <v>816</v>
      </c>
      <c r="M29" s="770">
        <v>1</v>
      </c>
      <c r="N29" s="587">
        <v>816</v>
      </c>
      <c r="O29" s="770">
        <v>1</v>
      </c>
      <c r="P29" s="587">
        <v>816</v>
      </c>
      <c r="Q29" s="770">
        <v>1</v>
      </c>
      <c r="R29" s="587">
        <v>816</v>
      </c>
      <c r="S29" s="770">
        <v>1</v>
      </c>
      <c r="T29" s="587">
        <v>816</v>
      </c>
      <c r="U29" s="770">
        <v>1</v>
      </c>
      <c r="V29" s="587">
        <v>816</v>
      </c>
      <c r="W29" s="770">
        <v>1</v>
      </c>
      <c r="X29" s="587">
        <v>816</v>
      </c>
      <c r="Y29" s="770">
        <v>1</v>
      </c>
      <c r="Z29" s="587">
        <v>816</v>
      </c>
      <c r="AA29" s="770">
        <v>1</v>
      </c>
      <c r="AB29" s="587">
        <v>816</v>
      </c>
      <c r="AC29" s="770">
        <v>1</v>
      </c>
      <c r="AD29" s="587">
        <v>816</v>
      </c>
      <c r="AE29" s="770">
        <v>1</v>
      </c>
      <c r="AF29" s="587">
        <v>816</v>
      </c>
      <c r="AG29" s="770">
        <v>1</v>
      </c>
      <c r="AH29" s="587">
        <v>816</v>
      </c>
      <c r="AI29" s="770">
        <v>1</v>
      </c>
      <c r="AJ29" s="587">
        <v>816</v>
      </c>
      <c r="AK29" s="770">
        <v>1</v>
      </c>
      <c r="AL29" s="587">
        <v>816</v>
      </c>
      <c r="AM29" s="770">
        <v>1</v>
      </c>
      <c r="AN29" s="587">
        <v>816</v>
      </c>
      <c r="AO29" s="770">
        <v>1</v>
      </c>
      <c r="AP29" s="587">
        <v>816</v>
      </c>
      <c r="AQ29" s="770">
        <v>1</v>
      </c>
      <c r="AR29" s="587">
        <v>816</v>
      </c>
      <c r="AS29" s="770">
        <v>1</v>
      </c>
      <c r="AT29" s="587">
        <v>816</v>
      </c>
      <c r="AU29" s="770">
        <v>1</v>
      </c>
      <c r="AV29" s="587">
        <v>816</v>
      </c>
      <c r="AW29" s="770">
        <v>1</v>
      </c>
      <c r="AX29" s="587">
        <v>816</v>
      </c>
      <c r="AY29" s="770">
        <v>1</v>
      </c>
      <c r="AZ29" s="587">
        <v>816</v>
      </c>
      <c r="BA29" s="770">
        <v>1</v>
      </c>
      <c r="BB29" s="589">
        <v>816</v>
      </c>
      <c r="BC29" s="562"/>
      <c r="BD29" s="552"/>
      <c r="BE29" s="764" t="s">
        <v>439</v>
      </c>
      <c r="BF29" s="765"/>
      <c r="BG29" s="766">
        <v>12</v>
      </c>
      <c r="BH29" s="767">
        <v>68</v>
      </c>
      <c r="BI29" s="768" t="s">
        <v>436</v>
      </c>
      <c r="BJ29" s="769">
        <v>1</v>
      </c>
      <c r="BK29" s="587">
        <v>816</v>
      </c>
      <c r="BL29" s="770">
        <v>1</v>
      </c>
      <c r="BM29" s="587">
        <v>816</v>
      </c>
      <c r="BN29" s="770">
        <v>1</v>
      </c>
      <c r="BO29" s="587">
        <v>816</v>
      </c>
      <c r="BP29" s="770">
        <v>1</v>
      </c>
      <c r="BQ29" s="587">
        <v>816</v>
      </c>
      <c r="BR29" s="770">
        <v>1</v>
      </c>
      <c r="BS29" s="587">
        <v>816</v>
      </c>
      <c r="BT29" s="770">
        <v>1</v>
      </c>
      <c r="BU29" s="587">
        <v>816</v>
      </c>
      <c r="BV29" s="770">
        <v>1</v>
      </c>
      <c r="BW29" s="587">
        <v>816</v>
      </c>
      <c r="BX29" s="770">
        <v>1</v>
      </c>
      <c r="BY29" s="587">
        <v>816</v>
      </c>
      <c r="BZ29" s="770">
        <v>1</v>
      </c>
      <c r="CA29" s="587">
        <v>816</v>
      </c>
      <c r="CB29" s="770">
        <v>1</v>
      </c>
      <c r="CC29" s="587">
        <v>816</v>
      </c>
      <c r="CD29" s="770">
        <v>1</v>
      </c>
      <c r="CE29" s="587">
        <v>816</v>
      </c>
      <c r="CF29" s="770">
        <v>1</v>
      </c>
      <c r="CG29" s="587">
        <v>816</v>
      </c>
      <c r="CH29" s="770">
        <v>1</v>
      </c>
      <c r="CI29" s="587">
        <v>816</v>
      </c>
      <c r="CJ29" s="770">
        <v>1</v>
      </c>
      <c r="CK29" s="587">
        <v>816</v>
      </c>
      <c r="CL29" s="770">
        <v>1</v>
      </c>
      <c r="CM29" s="587">
        <v>816</v>
      </c>
      <c r="CN29" s="770">
        <v>1</v>
      </c>
      <c r="CO29" s="587">
        <v>816</v>
      </c>
      <c r="CP29" s="770">
        <v>1</v>
      </c>
      <c r="CQ29" s="587">
        <v>816</v>
      </c>
      <c r="CR29" s="770">
        <v>1</v>
      </c>
      <c r="CS29" s="587">
        <v>816</v>
      </c>
      <c r="CT29" s="770">
        <v>1</v>
      </c>
      <c r="CU29" s="587">
        <v>816</v>
      </c>
      <c r="CV29" s="770">
        <v>1</v>
      </c>
      <c r="CW29" s="587">
        <v>816</v>
      </c>
      <c r="CX29" s="770">
        <v>1</v>
      </c>
      <c r="CY29" s="587">
        <v>816</v>
      </c>
      <c r="CZ29" s="770">
        <v>1</v>
      </c>
      <c r="DA29" s="587">
        <v>816</v>
      </c>
      <c r="DB29" s="770">
        <v>1</v>
      </c>
      <c r="DC29" s="587">
        <v>816</v>
      </c>
      <c r="DD29" s="770">
        <v>1</v>
      </c>
      <c r="DE29" s="589">
        <v>816</v>
      </c>
      <c r="DF29" s="562"/>
      <c r="DG29" s="552"/>
      <c r="DH29" s="764" t="s">
        <v>439</v>
      </c>
      <c r="DI29" s="765"/>
      <c r="DJ29" s="766">
        <v>12</v>
      </c>
      <c r="DK29" s="767">
        <v>68</v>
      </c>
      <c r="DL29" s="768" t="s">
        <v>436</v>
      </c>
      <c r="DM29" s="769">
        <v>1</v>
      </c>
      <c r="DN29" s="587">
        <v>816</v>
      </c>
      <c r="DO29" s="770">
        <v>1</v>
      </c>
      <c r="DP29" s="587">
        <v>816</v>
      </c>
      <c r="DQ29" s="770">
        <v>1</v>
      </c>
      <c r="DR29" s="587">
        <v>816</v>
      </c>
      <c r="DS29" s="770">
        <v>1</v>
      </c>
      <c r="DT29" s="587">
        <v>816</v>
      </c>
      <c r="DU29" s="770">
        <v>1</v>
      </c>
      <c r="DV29" s="587">
        <v>816</v>
      </c>
      <c r="DW29" s="770">
        <v>1</v>
      </c>
      <c r="DX29" s="587">
        <v>816</v>
      </c>
      <c r="DY29" s="770">
        <v>1</v>
      </c>
      <c r="DZ29" s="587">
        <v>816</v>
      </c>
      <c r="EA29" s="770">
        <v>1</v>
      </c>
      <c r="EB29" s="587">
        <v>816</v>
      </c>
      <c r="EC29" s="770">
        <v>1</v>
      </c>
      <c r="ED29" s="587">
        <v>816</v>
      </c>
      <c r="EE29" s="770">
        <v>1</v>
      </c>
      <c r="EF29" s="587">
        <v>816</v>
      </c>
      <c r="EG29" s="770">
        <v>1</v>
      </c>
      <c r="EH29" s="587">
        <v>816</v>
      </c>
      <c r="EI29" s="770">
        <v>1</v>
      </c>
      <c r="EJ29" s="587">
        <v>816</v>
      </c>
      <c r="EK29" s="770">
        <v>1</v>
      </c>
      <c r="EL29" s="587">
        <v>816</v>
      </c>
      <c r="EM29" s="770">
        <v>1</v>
      </c>
      <c r="EN29" s="587">
        <v>816</v>
      </c>
      <c r="EO29" s="770">
        <v>1</v>
      </c>
      <c r="EP29" s="587">
        <v>816</v>
      </c>
      <c r="EQ29" s="770">
        <v>1</v>
      </c>
      <c r="ER29" s="587">
        <v>816</v>
      </c>
      <c r="ES29" s="770">
        <v>1</v>
      </c>
      <c r="ET29" s="587">
        <v>816</v>
      </c>
      <c r="EU29" s="770">
        <v>1</v>
      </c>
      <c r="EV29" s="587">
        <v>816</v>
      </c>
      <c r="EW29" s="770">
        <v>1</v>
      </c>
      <c r="EX29" s="587">
        <v>816</v>
      </c>
      <c r="EY29" s="770">
        <v>1</v>
      </c>
      <c r="EZ29" s="587">
        <v>816</v>
      </c>
      <c r="FA29" s="770">
        <v>1</v>
      </c>
      <c r="FB29" s="587">
        <v>816</v>
      </c>
      <c r="FC29" s="770">
        <v>1</v>
      </c>
      <c r="FD29" s="587">
        <v>816</v>
      </c>
      <c r="FE29" s="770">
        <v>1</v>
      </c>
      <c r="FF29" s="587">
        <v>816</v>
      </c>
      <c r="FG29" s="770">
        <v>1</v>
      </c>
      <c r="FH29" s="589">
        <v>816</v>
      </c>
      <c r="FI29" s="563"/>
      <c r="FJ29" s="564"/>
      <c r="FK29" s="764" t="s">
        <v>439</v>
      </c>
      <c r="FL29" s="765"/>
      <c r="FM29" s="771"/>
      <c r="FN29" s="767">
        <v>0</v>
      </c>
      <c r="FO29" s="768"/>
      <c r="FP29" s="696"/>
      <c r="FQ29" s="772"/>
      <c r="FR29" s="587">
        <v>0</v>
      </c>
      <c r="FS29" s="773"/>
      <c r="FT29" s="772"/>
      <c r="FU29" s="592">
        <v>0</v>
      </c>
      <c r="FV29" s="593"/>
      <c r="FW29" s="594"/>
      <c r="FX29" s="595"/>
      <c r="FY29" s="596"/>
      <c r="FZ29" s="597"/>
      <c r="GA29" s="598"/>
      <c r="GB29" s="599"/>
      <c r="GC29" s="600"/>
      <c r="GD29" s="599"/>
      <c r="GE29" s="601"/>
      <c r="GF29" s="762"/>
      <c r="GG29" s="602"/>
      <c r="GH29" s="602"/>
      <c r="GI29" s="602"/>
      <c r="GJ29" s="615"/>
      <c r="GK29" s="774" t="s">
        <v>1029</v>
      </c>
      <c r="GL29" s="774"/>
      <c r="GM29" s="774"/>
      <c r="GN29" s="774"/>
      <c r="GO29" s="615"/>
      <c r="GP29" s="751">
        <v>3.3000000000000007</v>
      </c>
      <c r="GQ29" s="413" t="s">
        <v>707</v>
      </c>
      <c r="GR29" s="775"/>
      <c r="GS29" s="530"/>
      <c r="GT29" s="763"/>
      <c r="GU29" s="580" t="s">
        <v>781</v>
      </c>
      <c r="GV29" s="609"/>
      <c r="GW29" s="530"/>
      <c r="GX29" s="529"/>
      <c r="GY29" s="409"/>
      <c r="GZ29" s="530"/>
      <c r="HA29" s="580"/>
      <c r="HB29" s="580"/>
      <c r="HC29" s="579"/>
      <c r="HD29" s="530"/>
      <c r="HE29" s="415"/>
      <c r="HF29" s="415"/>
    </row>
    <row r="30" spans="1:218" ht="20.100000000000001" customHeight="1">
      <c r="A30" s="552"/>
      <c r="B30" s="764" t="s">
        <v>441</v>
      </c>
      <c r="C30" s="766">
        <v>12</v>
      </c>
      <c r="D30" s="767">
        <v>68</v>
      </c>
      <c r="E30" s="776">
        <v>1</v>
      </c>
      <c r="F30" s="777" t="s">
        <v>436</v>
      </c>
      <c r="G30" s="769">
        <v>1</v>
      </c>
      <c r="H30" s="587">
        <v>816</v>
      </c>
      <c r="I30" s="770">
        <v>1</v>
      </c>
      <c r="J30" s="587">
        <v>816</v>
      </c>
      <c r="K30" s="770">
        <v>1</v>
      </c>
      <c r="L30" s="587">
        <v>816</v>
      </c>
      <c r="M30" s="770">
        <v>1</v>
      </c>
      <c r="N30" s="587">
        <v>816</v>
      </c>
      <c r="O30" s="770">
        <v>1</v>
      </c>
      <c r="P30" s="587">
        <v>816</v>
      </c>
      <c r="Q30" s="770">
        <v>1</v>
      </c>
      <c r="R30" s="587">
        <v>816</v>
      </c>
      <c r="S30" s="770">
        <v>1</v>
      </c>
      <c r="T30" s="587">
        <v>816</v>
      </c>
      <c r="U30" s="770">
        <v>1</v>
      </c>
      <c r="V30" s="587">
        <v>816</v>
      </c>
      <c r="W30" s="770">
        <v>1</v>
      </c>
      <c r="X30" s="587">
        <v>816</v>
      </c>
      <c r="Y30" s="770">
        <v>1</v>
      </c>
      <c r="Z30" s="587">
        <v>816</v>
      </c>
      <c r="AA30" s="770">
        <v>1</v>
      </c>
      <c r="AB30" s="587">
        <v>816</v>
      </c>
      <c r="AC30" s="770">
        <v>1</v>
      </c>
      <c r="AD30" s="587">
        <v>816</v>
      </c>
      <c r="AE30" s="770">
        <v>1</v>
      </c>
      <c r="AF30" s="587">
        <v>816</v>
      </c>
      <c r="AG30" s="770">
        <v>1</v>
      </c>
      <c r="AH30" s="587">
        <v>816</v>
      </c>
      <c r="AI30" s="770">
        <v>1</v>
      </c>
      <c r="AJ30" s="587">
        <v>816</v>
      </c>
      <c r="AK30" s="770">
        <v>1</v>
      </c>
      <c r="AL30" s="587">
        <v>816</v>
      </c>
      <c r="AM30" s="770">
        <v>1</v>
      </c>
      <c r="AN30" s="587">
        <v>816</v>
      </c>
      <c r="AO30" s="770">
        <v>1</v>
      </c>
      <c r="AP30" s="587">
        <v>816</v>
      </c>
      <c r="AQ30" s="770">
        <v>1</v>
      </c>
      <c r="AR30" s="587">
        <v>816</v>
      </c>
      <c r="AS30" s="770">
        <v>1</v>
      </c>
      <c r="AT30" s="587">
        <v>816</v>
      </c>
      <c r="AU30" s="770">
        <v>1</v>
      </c>
      <c r="AV30" s="587">
        <v>816</v>
      </c>
      <c r="AW30" s="770">
        <v>1</v>
      </c>
      <c r="AX30" s="587">
        <v>816</v>
      </c>
      <c r="AY30" s="770">
        <v>1</v>
      </c>
      <c r="AZ30" s="587">
        <v>816</v>
      </c>
      <c r="BA30" s="770">
        <v>1</v>
      </c>
      <c r="BB30" s="589">
        <v>816</v>
      </c>
      <c r="BC30" s="562"/>
      <c r="BD30" s="552"/>
      <c r="BE30" s="764" t="s">
        <v>441</v>
      </c>
      <c r="BF30" s="766">
        <v>12</v>
      </c>
      <c r="BG30" s="767">
        <v>68</v>
      </c>
      <c r="BH30" s="776">
        <v>1</v>
      </c>
      <c r="BI30" s="777" t="s">
        <v>436</v>
      </c>
      <c r="BJ30" s="769">
        <v>1</v>
      </c>
      <c r="BK30" s="587">
        <v>816</v>
      </c>
      <c r="BL30" s="770">
        <v>1</v>
      </c>
      <c r="BM30" s="587">
        <v>816</v>
      </c>
      <c r="BN30" s="770">
        <v>1</v>
      </c>
      <c r="BO30" s="587">
        <v>816</v>
      </c>
      <c r="BP30" s="770">
        <v>1</v>
      </c>
      <c r="BQ30" s="587">
        <v>816</v>
      </c>
      <c r="BR30" s="770">
        <v>1</v>
      </c>
      <c r="BS30" s="587">
        <v>816</v>
      </c>
      <c r="BT30" s="770">
        <v>1</v>
      </c>
      <c r="BU30" s="587">
        <v>816</v>
      </c>
      <c r="BV30" s="770">
        <v>1</v>
      </c>
      <c r="BW30" s="587">
        <v>816</v>
      </c>
      <c r="BX30" s="770">
        <v>1</v>
      </c>
      <c r="BY30" s="587">
        <v>816</v>
      </c>
      <c r="BZ30" s="770">
        <v>1</v>
      </c>
      <c r="CA30" s="587">
        <v>816</v>
      </c>
      <c r="CB30" s="770">
        <v>1</v>
      </c>
      <c r="CC30" s="587">
        <v>816</v>
      </c>
      <c r="CD30" s="770">
        <v>1</v>
      </c>
      <c r="CE30" s="587">
        <v>816</v>
      </c>
      <c r="CF30" s="770">
        <v>1</v>
      </c>
      <c r="CG30" s="587">
        <v>816</v>
      </c>
      <c r="CH30" s="770">
        <v>1</v>
      </c>
      <c r="CI30" s="587">
        <v>816</v>
      </c>
      <c r="CJ30" s="770">
        <v>1</v>
      </c>
      <c r="CK30" s="587">
        <v>816</v>
      </c>
      <c r="CL30" s="770">
        <v>1</v>
      </c>
      <c r="CM30" s="587">
        <v>816</v>
      </c>
      <c r="CN30" s="770">
        <v>1</v>
      </c>
      <c r="CO30" s="587">
        <v>816</v>
      </c>
      <c r="CP30" s="770">
        <v>1</v>
      </c>
      <c r="CQ30" s="587">
        <v>816</v>
      </c>
      <c r="CR30" s="770">
        <v>1</v>
      </c>
      <c r="CS30" s="587">
        <v>816</v>
      </c>
      <c r="CT30" s="770">
        <v>1</v>
      </c>
      <c r="CU30" s="587">
        <v>816</v>
      </c>
      <c r="CV30" s="770">
        <v>1</v>
      </c>
      <c r="CW30" s="587">
        <v>816</v>
      </c>
      <c r="CX30" s="770">
        <v>1</v>
      </c>
      <c r="CY30" s="587">
        <v>816</v>
      </c>
      <c r="CZ30" s="770">
        <v>1</v>
      </c>
      <c r="DA30" s="587">
        <v>816</v>
      </c>
      <c r="DB30" s="770">
        <v>1</v>
      </c>
      <c r="DC30" s="587">
        <v>816</v>
      </c>
      <c r="DD30" s="770">
        <v>1</v>
      </c>
      <c r="DE30" s="589">
        <v>816</v>
      </c>
      <c r="DF30" s="562"/>
      <c r="DG30" s="552"/>
      <c r="DH30" s="764" t="s">
        <v>440</v>
      </c>
      <c r="DI30" s="766">
        <v>12</v>
      </c>
      <c r="DJ30" s="767">
        <v>68</v>
      </c>
      <c r="DK30" s="776">
        <v>1</v>
      </c>
      <c r="DL30" s="777" t="s">
        <v>436</v>
      </c>
      <c r="DM30" s="769">
        <v>1</v>
      </c>
      <c r="DN30" s="587">
        <v>816</v>
      </c>
      <c r="DO30" s="770">
        <v>1</v>
      </c>
      <c r="DP30" s="587">
        <v>816</v>
      </c>
      <c r="DQ30" s="770">
        <v>1</v>
      </c>
      <c r="DR30" s="587">
        <v>816</v>
      </c>
      <c r="DS30" s="770">
        <v>1</v>
      </c>
      <c r="DT30" s="587">
        <v>816</v>
      </c>
      <c r="DU30" s="770">
        <v>1</v>
      </c>
      <c r="DV30" s="587">
        <v>816</v>
      </c>
      <c r="DW30" s="770">
        <v>1</v>
      </c>
      <c r="DX30" s="587">
        <v>816</v>
      </c>
      <c r="DY30" s="770">
        <v>1</v>
      </c>
      <c r="DZ30" s="587">
        <v>816</v>
      </c>
      <c r="EA30" s="770">
        <v>1</v>
      </c>
      <c r="EB30" s="587">
        <v>816</v>
      </c>
      <c r="EC30" s="770">
        <v>1</v>
      </c>
      <c r="ED30" s="587">
        <v>816</v>
      </c>
      <c r="EE30" s="770">
        <v>1</v>
      </c>
      <c r="EF30" s="587">
        <v>816</v>
      </c>
      <c r="EG30" s="770">
        <v>1</v>
      </c>
      <c r="EH30" s="587">
        <v>816</v>
      </c>
      <c r="EI30" s="770">
        <v>1</v>
      </c>
      <c r="EJ30" s="587">
        <v>816</v>
      </c>
      <c r="EK30" s="770">
        <v>1</v>
      </c>
      <c r="EL30" s="587">
        <v>816</v>
      </c>
      <c r="EM30" s="770">
        <v>1</v>
      </c>
      <c r="EN30" s="587">
        <v>816</v>
      </c>
      <c r="EO30" s="770">
        <v>1</v>
      </c>
      <c r="EP30" s="587">
        <v>816</v>
      </c>
      <c r="EQ30" s="770">
        <v>1</v>
      </c>
      <c r="ER30" s="587">
        <v>816</v>
      </c>
      <c r="ES30" s="770">
        <v>1</v>
      </c>
      <c r="ET30" s="587">
        <v>816</v>
      </c>
      <c r="EU30" s="770">
        <v>1</v>
      </c>
      <c r="EV30" s="587">
        <v>816</v>
      </c>
      <c r="EW30" s="770">
        <v>1</v>
      </c>
      <c r="EX30" s="587">
        <v>816</v>
      </c>
      <c r="EY30" s="770">
        <v>1</v>
      </c>
      <c r="EZ30" s="587">
        <v>816</v>
      </c>
      <c r="FA30" s="770">
        <v>1</v>
      </c>
      <c r="FB30" s="587">
        <v>816</v>
      </c>
      <c r="FC30" s="770">
        <v>1</v>
      </c>
      <c r="FD30" s="587">
        <v>816</v>
      </c>
      <c r="FE30" s="770">
        <v>1</v>
      </c>
      <c r="FF30" s="587">
        <v>816</v>
      </c>
      <c r="FG30" s="770">
        <v>1</v>
      </c>
      <c r="FH30" s="589">
        <v>816</v>
      </c>
      <c r="FI30" s="563"/>
      <c r="FJ30" s="564"/>
      <c r="FK30" s="764" t="s">
        <v>441</v>
      </c>
      <c r="FL30" s="771"/>
      <c r="FM30" s="767">
        <v>0</v>
      </c>
      <c r="FN30" s="776">
        <v>0</v>
      </c>
      <c r="FO30" s="777"/>
      <c r="FP30" s="696"/>
      <c r="FQ30" s="772"/>
      <c r="FR30" s="587">
        <v>0</v>
      </c>
      <c r="FS30" s="773"/>
      <c r="FT30" s="772"/>
      <c r="FU30" s="592">
        <v>0</v>
      </c>
      <c r="FV30" s="593"/>
      <c r="FW30" s="594"/>
      <c r="FX30" s="595"/>
      <c r="FY30" s="596"/>
      <c r="FZ30" s="597"/>
      <c r="GA30" s="598"/>
      <c r="GB30" s="599"/>
      <c r="GC30" s="600"/>
      <c r="GD30" s="599"/>
      <c r="GE30" s="601"/>
      <c r="GF30" s="762"/>
      <c r="GG30" s="602"/>
      <c r="GH30" s="602"/>
      <c r="GI30" s="602"/>
      <c r="GJ30" s="615"/>
      <c r="GK30" s="774" t="s">
        <v>1030</v>
      </c>
      <c r="GL30" s="774"/>
      <c r="GM30" s="774"/>
      <c r="GN30" s="774"/>
      <c r="GO30" s="530"/>
      <c r="GP30" s="778">
        <v>0.44</v>
      </c>
      <c r="GQ30" s="413"/>
      <c r="GR30" s="413"/>
      <c r="GS30" s="530"/>
      <c r="GT30" s="763"/>
      <c r="GU30" s="779" t="s">
        <v>384</v>
      </c>
      <c r="GV30" s="780"/>
      <c r="GW30" s="781" t="s">
        <v>712</v>
      </c>
      <c r="GX30" s="781"/>
      <c r="GY30" s="781"/>
      <c r="GZ30" s="781"/>
      <c r="HA30" s="782"/>
      <c r="HB30" s="783" t="s">
        <v>713</v>
      </c>
      <c r="HC30" s="579"/>
      <c r="HD30" s="562"/>
      <c r="HE30" s="415"/>
      <c r="HF30" s="415"/>
    </row>
    <row r="31" spans="1:218" ht="20.100000000000001" customHeight="1">
      <c r="A31" s="552"/>
      <c r="B31" s="784" t="s">
        <v>442</v>
      </c>
      <c r="C31" s="784"/>
      <c r="D31" s="785">
        <v>5000</v>
      </c>
      <c r="E31" s="786">
        <v>0.7</v>
      </c>
      <c r="F31" s="787" t="s">
        <v>436</v>
      </c>
      <c r="G31" s="769">
        <v>0.4</v>
      </c>
      <c r="H31" s="587">
        <v>1400</v>
      </c>
      <c r="I31" s="770">
        <v>0.4</v>
      </c>
      <c r="J31" s="587">
        <v>1400</v>
      </c>
      <c r="K31" s="770">
        <v>0.4</v>
      </c>
      <c r="L31" s="587">
        <v>1400</v>
      </c>
      <c r="M31" s="770">
        <v>0.4</v>
      </c>
      <c r="N31" s="587">
        <v>1400</v>
      </c>
      <c r="O31" s="770">
        <v>1</v>
      </c>
      <c r="P31" s="587">
        <v>3500</v>
      </c>
      <c r="Q31" s="770">
        <v>1</v>
      </c>
      <c r="R31" s="587">
        <v>3500</v>
      </c>
      <c r="S31" s="770">
        <v>1</v>
      </c>
      <c r="T31" s="587">
        <v>3500</v>
      </c>
      <c r="U31" s="770">
        <v>1</v>
      </c>
      <c r="V31" s="587">
        <v>3500</v>
      </c>
      <c r="W31" s="770">
        <v>0</v>
      </c>
      <c r="X31" s="587">
        <v>0</v>
      </c>
      <c r="Y31" s="770">
        <v>0</v>
      </c>
      <c r="Z31" s="587">
        <v>0</v>
      </c>
      <c r="AA31" s="770">
        <v>0</v>
      </c>
      <c r="AB31" s="587">
        <v>0</v>
      </c>
      <c r="AC31" s="770">
        <v>0</v>
      </c>
      <c r="AD31" s="587">
        <v>0</v>
      </c>
      <c r="AE31" s="770">
        <v>0</v>
      </c>
      <c r="AF31" s="587">
        <v>0</v>
      </c>
      <c r="AG31" s="770">
        <v>0</v>
      </c>
      <c r="AH31" s="587">
        <v>0</v>
      </c>
      <c r="AI31" s="770">
        <v>0</v>
      </c>
      <c r="AJ31" s="587">
        <v>0</v>
      </c>
      <c r="AK31" s="770">
        <v>0</v>
      </c>
      <c r="AL31" s="587">
        <v>0</v>
      </c>
      <c r="AM31" s="770">
        <v>0</v>
      </c>
      <c r="AN31" s="587">
        <v>0</v>
      </c>
      <c r="AO31" s="770">
        <v>0.4</v>
      </c>
      <c r="AP31" s="587">
        <v>1400</v>
      </c>
      <c r="AQ31" s="770">
        <v>0.4</v>
      </c>
      <c r="AR31" s="587">
        <v>1400</v>
      </c>
      <c r="AS31" s="770">
        <v>0.4</v>
      </c>
      <c r="AT31" s="587">
        <v>1400</v>
      </c>
      <c r="AU31" s="770">
        <v>0.4</v>
      </c>
      <c r="AV31" s="587">
        <v>1400</v>
      </c>
      <c r="AW31" s="770">
        <v>0.4</v>
      </c>
      <c r="AX31" s="587">
        <v>1400</v>
      </c>
      <c r="AY31" s="770">
        <v>0.4</v>
      </c>
      <c r="AZ31" s="587">
        <v>1400</v>
      </c>
      <c r="BA31" s="770">
        <v>0.4</v>
      </c>
      <c r="BB31" s="589">
        <v>1400</v>
      </c>
      <c r="BC31" s="562"/>
      <c r="BD31" s="552"/>
      <c r="BE31" s="784" t="s">
        <v>442</v>
      </c>
      <c r="BF31" s="784"/>
      <c r="BG31" s="785">
        <v>5000</v>
      </c>
      <c r="BH31" s="786">
        <v>0.7</v>
      </c>
      <c r="BI31" s="787" t="s">
        <v>436</v>
      </c>
      <c r="BJ31" s="769">
        <v>0.4</v>
      </c>
      <c r="BK31" s="587">
        <v>1400</v>
      </c>
      <c r="BL31" s="770">
        <v>0.4</v>
      </c>
      <c r="BM31" s="587">
        <v>1400</v>
      </c>
      <c r="BN31" s="770">
        <v>0.4</v>
      </c>
      <c r="BO31" s="587">
        <v>1400</v>
      </c>
      <c r="BP31" s="770">
        <v>0.4</v>
      </c>
      <c r="BQ31" s="587">
        <v>1400</v>
      </c>
      <c r="BR31" s="770">
        <v>1</v>
      </c>
      <c r="BS31" s="587">
        <v>3500</v>
      </c>
      <c r="BT31" s="770">
        <v>1</v>
      </c>
      <c r="BU31" s="587">
        <v>3500</v>
      </c>
      <c r="BV31" s="770">
        <v>1</v>
      </c>
      <c r="BW31" s="587">
        <v>3500</v>
      </c>
      <c r="BX31" s="770">
        <v>1</v>
      </c>
      <c r="BY31" s="587">
        <v>3500</v>
      </c>
      <c r="BZ31" s="770">
        <v>0</v>
      </c>
      <c r="CA31" s="587">
        <v>0</v>
      </c>
      <c r="CB31" s="770">
        <v>0</v>
      </c>
      <c r="CC31" s="587">
        <v>0</v>
      </c>
      <c r="CD31" s="770">
        <v>0</v>
      </c>
      <c r="CE31" s="587">
        <v>0</v>
      </c>
      <c r="CF31" s="770">
        <v>0</v>
      </c>
      <c r="CG31" s="587">
        <v>0</v>
      </c>
      <c r="CH31" s="770">
        <v>0</v>
      </c>
      <c r="CI31" s="587">
        <v>0</v>
      </c>
      <c r="CJ31" s="770">
        <v>0</v>
      </c>
      <c r="CK31" s="587">
        <v>0</v>
      </c>
      <c r="CL31" s="770">
        <v>0</v>
      </c>
      <c r="CM31" s="587">
        <v>0</v>
      </c>
      <c r="CN31" s="770">
        <v>0</v>
      </c>
      <c r="CO31" s="587">
        <v>0</v>
      </c>
      <c r="CP31" s="770">
        <v>0</v>
      </c>
      <c r="CQ31" s="587">
        <v>0</v>
      </c>
      <c r="CR31" s="770">
        <v>0.4</v>
      </c>
      <c r="CS31" s="587">
        <v>1400</v>
      </c>
      <c r="CT31" s="770">
        <v>0.4</v>
      </c>
      <c r="CU31" s="587">
        <v>1400</v>
      </c>
      <c r="CV31" s="770">
        <v>0.4</v>
      </c>
      <c r="CW31" s="587">
        <v>1400</v>
      </c>
      <c r="CX31" s="770">
        <v>0.4</v>
      </c>
      <c r="CY31" s="587">
        <v>1400</v>
      </c>
      <c r="CZ31" s="770">
        <v>0.4</v>
      </c>
      <c r="DA31" s="587">
        <v>1400</v>
      </c>
      <c r="DB31" s="770">
        <v>0.4</v>
      </c>
      <c r="DC31" s="587">
        <v>1400</v>
      </c>
      <c r="DD31" s="770">
        <v>0.4</v>
      </c>
      <c r="DE31" s="589">
        <v>1400</v>
      </c>
      <c r="DF31" s="562"/>
      <c r="DG31" s="552"/>
      <c r="DH31" s="784" t="s">
        <v>443</v>
      </c>
      <c r="DI31" s="784"/>
      <c r="DJ31" s="785">
        <v>5000</v>
      </c>
      <c r="DK31" s="786">
        <v>0.7</v>
      </c>
      <c r="DL31" s="787" t="s">
        <v>436</v>
      </c>
      <c r="DM31" s="769">
        <v>0.4</v>
      </c>
      <c r="DN31" s="587">
        <v>1400</v>
      </c>
      <c r="DO31" s="770">
        <v>0.4</v>
      </c>
      <c r="DP31" s="587">
        <v>1400</v>
      </c>
      <c r="DQ31" s="770">
        <v>0.4</v>
      </c>
      <c r="DR31" s="587">
        <v>1400</v>
      </c>
      <c r="DS31" s="770">
        <v>0.4</v>
      </c>
      <c r="DT31" s="587">
        <v>1400</v>
      </c>
      <c r="DU31" s="770">
        <v>1</v>
      </c>
      <c r="DV31" s="587">
        <v>3500</v>
      </c>
      <c r="DW31" s="770">
        <v>1</v>
      </c>
      <c r="DX31" s="587">
        <v>3500</v>
      </c>
      <c r="DY31" s="770">
        <v>1</v>
      </c>
      <c r="DZ31" s="587">
        <v>3500</v>
      </c>
      <c r="EA31" s="770">
        <v>1</v>
      </c>
      <c r="EB31" s="587">
        <v>3500</v>
      </c>
      <c r="EC31" s="770">
        <v>0</v>
      </c>
      <c r="ED31" s="587">
        <v>0</v>
      </c>
      <c r="EE31" s="770">
        <v>0</v>
      </c>
      <c r="EF31" s="587">
        <v>0</v>
      </c>
      <c r="EG31" s="770">
        <v>0</v>
      </c>
      <c r="EH31" s="587">
        <v>0</v>
      </c>
      <c r="EI31" s="770">
        <v>0</v>
      </c>
      <c r="EJ31" s="587">
        <v>0</v>
      </c>
      <c r="EK31" s="770">
        <v>0</v>
      </c>
      <c r="EL31" s="587">
        <v>0</v>
      </c>
      <c r="EM31" s="770">
        <v>0</v>
      </c>
      <c r="EN31" s="587">
        <v>0</v>
      </c>
      <c r="EO31" s="770">
        <v>0</v>
      </c>
      <c r="EP31" s="587">
        <v>0</v>
      </c>
      <c r="EQ31" s="770">
        <v>0</v>
      </c>
      <c r="ER31" s="587">
        <v>0</v>
      </c>
      <c r="ES31" s="770">
        <v>0</v>
      </c>
      <c r="ET31" s="587">
        <v>0</v>
      </c>
      <c r="EU31" s="770">
        <v>0.4</v>
      </c>
      <c r="EV31" s="587">
        <v>1400</v>
      </c>
      <c r="EW31" s="770">
        <v>0.4</v>
      </c>
      <c r="EX31" s="587">
        <v>1400</v>
      </c>
      <c r="EY31" s="770">
        <v>0.4</v>
      </c>
      <c r="EZ31" s="587">
        <v>1400</v>
      </c>
      <c r="FA31" s="770">
        <v>0.4</v>
      </c>
      <c r="FB31" s="587">
        <v>1400</v>
      </c>
      <c r="FC31" s="770">
        <v>0.4</v>
      </c>
      <c r="FD31" s="587">
        <v>1400</v>
      </c>
      <c r="FE31" s="770">
        <v>0.4</v>
      </c>
      <c r="FF31" s="587">
        <v>1400</v>
      </c>
      <c r="FG31" s="770">
        <v>0.4</v>
      </c>
      <c r="FH31" s="589">
        <v>1400</v>
      </c>
      <c r="FI31" s="563"/>
      <c r="FJ31" s="564"/>
      <c r="FK31" s="784" t="s">
        <v>443</v>
      </c>
      <c r="FL31" s="784"/>
      <c r="FM31" s="788"/>
      <c r="FN31" s="786">
        <v>0</v>
      </c>
      <c r="FO31" s="787"/>
      <c r="FP31" s="696"/>
      <c r="FQ31" s="772"/>
      <c r="FR31" s="587">
        <v>0</v>
      </c>
      <c r="FS31" s="773"/>
      <c r="FT31" s="772"/>
      <c r="FU31" s="592">
        <v>0</v>
      </c>
      <c r="FV31" s="593"/>
      <c r="FW31" s="594"/>
      <c r="FX31" s="595"/>
      <c r="FY31" s="596"/>
      <c r="FZ31" s="597"/>
      <c r="GA31" s="598"/>
      <c r="GB31" s="599"/>
      <c r="GC31" s="600"/>
      <c r="GD31" s="599"/>
      <c r="GE31" s="601"/>
      <c r="GF31" s="762"/>
      <c r="GG31" s="602"/>
      <c r="GH31" s="602"/>
      <c r="GI31" s="602"/>
      <c r="GJ31" s="413"/>
      <c r="GK31" s="580" t="s">
        <v>557</v>
      </c>
      <c r="GL31" s="413"/>
      <c r="GM31" s="580"/>
      <c r="GN31" s="413"/>
      <c r="GO31" s="580"/>
      <c r="GP31" s="778">
        <v>0.44</v>
      </c>
      <c r="GQ31" s="413"/>
      <c r="GR31" s="413"/>
      <c r="GS31" s="580"/>
      <c r="GT31" s="763"/>
      <c r="GU31" s="779"/>
      <c r="GV31" s="780"/>
      <c r="GW31" s="789" t="s">
        <v>714</v>
      </c>
      <c r="GX31" s="790" t="s">
        <v>559</v>
      </c>
      <c r="GY31" s="791" t="s">
        <v>716</v>
      </c>
      <c r="GZ31" s="792" t="s">
        <v>783</v>
      </c>
      <c r="HA31" s="792" t="s">
        <v>699</v>
      </c>
      <c r="HB31" s="793"/>
      <c r="HC31" s="579"/>
      <c r="HD31" s="562"/>
      <c r="HE31" s="415"/>
      <c r="HF31" s="415"/>
    </row>
    <row r="32" spans="1:218" ht="20.100000000000001" customHeight="1">
      <c r="A32" s="552"/>
      <c r="B32" s="794" t="s">
        <v>669</v>
      </c>
      <c r="C32" s="795"/>
      <c r="D32" s="785"/>
      <c r="E32" s="796"/>
      <c r="F32" s="797"/>
      <c r="G32" s="798"/>
      <c r="H32" s="799">
        <v>0</v>
      </c>
      <c r="I32" s="800"/>
      <c r="J32" s="799">
        <v>0</v>
      </c>
      <c r="K32" s="800"/>
      <c r="L32" s="799">
        <v>0</v>
      </c>
      <c r="M32" s="800"/>
      <c r="N32" s="799">
        <v>0</v>
      </c>
      <c r="O32" s="800"/>
      <c r="P32" s="799">
        <v>0</v>
      </c>
      <c r="Q32" s="800"/>
      <c r="R32" s="799">
        <v>0</v>
      </c>
      <c r="S32" s="800"/>
      <c r="T32" s="799">
        <v>0</v>
      </c>
      <c r="U32" s="800"/>
      <c r="V32" s="799">
        <v>0</v>
      </c>
      <c r="W32" s="800"/>
      <c r="X32" s="799">
        <v>0</v>
      </c>
      <c r="Y32" s="800"/>
      <c r="Z32" s="799">
        <v>0</v>
      </c>
      <c r="AA32" s="800"/>
      <c r="AB32" s="799">
        <v>0</v>
      </c>
      <c r="AC32" s="800"/>
      <c r="AD32" s="799">
        <v>0</v>
      </c>
      <c r="AE32" s="800"/>
      <c r="AF32" s="799">
        <v>0</v>
      </c>
      <c r="AG32" s="800"/>
      <c r="AH32" s="799">
        <v>0</v>
      </c>
      <c r="AI32" s="800"/>
      <c r="AJ32" s="799">
        <v>0</v>
      </c>
      <c r="AK32" s="800"/>
      <c r="AL32" s="799">
        <v>0</v>
      </c>
      <c r="AM32" s="800"/>
      <c r="AN32" s="799">
        <v>0</v>
      </c>
      <c r="AO32" s="800"/>
      <c r="AP32" s="799">
        <v>0</v>
      </c>
      <c r="AQ32" s="800"/>
      <c r="AR32" s="799">
        <v>0</v>
      </c>
      <c r="AS32" s="800"/>
      <c r="AT32" s="799">
        <v>0</v>
      </c>
      <c r="AU32" s="800"/>
      <c r="AV32" s="799">
        <v>0</v>
      </c>
      <c r="AW32" s="800"/>
      <c r="AX32" s="799">
        <v>0</v>
      </c>
      <c r="AY32" s="800"/>
      <c r="AZ32" s="799">
        <v>0</v>
      </c>
      <c r="BA32" s="800"/>
      <c r="BB32" s="801">
        <v>0</v>
      </c>
      <c r="BC32" s="562"/>
      <c r="BD32" s="552"/>
      <c r="BE32" s="794" t="s">
        <v>444</v>
      </c>
      <c r="BF32" s="795"/>
      <c r="BG32" s="785">
        <v>0</v>
      </c>
      <c r="BH32" s="796">
        <v>0</v>
      </c>
      <c r="BI32" s="797"/>
      <c r="BJ32" s="798"/>
      <c r="BK32" s="799">
        <v>0</v>
      </c>
      <c r="BL32" s="800"/>
      <c r="BM32" s="799">
        <v>0</v>
      </c>
      <c r="BN32" s="800"/>
      <c r="BO32" s="799">
        <v>0</v>
      </c>
      <c r="BP32" s="800"/>
      <c r="BQ32" s="799">
        <v>0</v>
      </c>
      <c r="BR32" s="800"/>
      <c r="BS32" s="799">
        <v>0</v>
      </c>
      <c r="BT32" s="800"/>
      <c r="BU32" s="799">
        <v>0</v>
      </c>
      <c r="BV32" s="800"/>
      <c r="BW32" s="799">
        <v>0</v>
      </c>
      <c r="BX32" s="800"/>
      <c r="BY32" s="799">
        <v>0</v>
      </c>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v>0</v>
      </c>
      <c r="CV32" s="800"/>
      <c r="CW32" s="799">
        <v>0</v>
      </c>
      <c r="CX32" s="800"/>
      <c r="CY32" s="799">
        <v>0</v>
      </c>
      <c r="CZ32" s="800"/>
      <c r="DA32" s="799">
        <v>0</v>
      </c>
      <c r="DB32" s="800"/>
      <c r="DC32" s="799">
        <v>0</v>
      </c>
      <c r="DD32" s="800"/>
      <c r="DE32" s="801">
        <v>0</v>
      </c>
      <c r="DF32" s="562"/>
      <c r="DG32" s="552"/>
      <c r="DH32" s="794" t="s">
        <v>444</v>
      </c>
      <c r="DI32" s="795"/>
      <c r="DJ32" s="785">
        <v>0</v>
      </c>
      <c r="DK32" s="796">
        <v>0</v>
      </c>
      <c r="DL32" s="797"/>
      <c r="DM32" s="798"/>
      <c r="DN32" s="799">
        <v>0</v>
      </c>
      <c r="DO32" s="800"/>
      <c r="DP32" s="799">
        <v>0</v>
      </c>
      <c r="DQ32" s="800"/>
      <c r="DR32" s="799">
        <v>0</v>
      </c>
      <c r="DS32" s="800"/>
      <c r="DT32" s="799">
        <v>0</v>
      </c>
      <c r="DU32" s="800"/>
      <c r="DV32" s="799">
        <v>0</v>
      </c>
      <c r="DW32" s="800"/>
      <c r="DX32" s="799">
        <v>0</v>
      </c>
      <c r="DY32" s="800"/>
      <c r="DZ32" s="799">
        <v>0</v>
      </c>
      <c r="EA32" s="800"/>
      <c r="EB32" s="799">
        <v>0</v>
      </c>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v>0</v>
      </c>
      <c r="EY32" s="800"/>
      <c r="EZ32" s="799">
        <v>0</v>
      </c>
      <c r="FA32" s="800"/>
      <c r="FB32" s="799">
        <v>0</v>
      </c>
      <c r="FC32" s="800"/>
      <c r="FD32" s="799">
        <v>0</v>
      </c>
      <c r="FE32" s="800"/>
      <c r="FF32" s="799">
        <v>0</v>
      </c>
      <c r="FG32" s="800"/>
      <c r="FH32" s="801">
        <v>0</v>
      </c>
      <c r="FI32" s="563"/>
      <c r="FJ32" s="564"/>
      <c r="FK32" s="794" t="s">
        <v>444</v>
      </c>
      <c r="FL32" s="795"/>
      <c r="FM32" s="788"/>
      <c r="FN32" s="796">
        <v>0</v>
      </c>
      <c r="FO32" s="797"/>
      <c r="FP32" s="802"/>
      <c r="FQ32" s="803"/>
      <c r="FR32" s="799">
        <v>0</v>
      </c>
      <c r="FS32" s="804"/>
      <c r="FT32" s="803"/>
      <c r="FU32" s="805">
        <v>0</v>
      </c>
      <c r="FV32" s="593"/>
      <c r="FW32" s="594"/>
      <c r="FX32" s="806"/>
      <c r="FY32" s="596"/>
      <c r="FZ32" s="807"/>
      <c r="GA32" s="598"/>
      <c r="GB32" s="808"/>
      <c r="GC32" s="600"/>
      <c r="GD32" s="808"/>
      <c r="GE32" s="601"/>
      <c r="GF32" s="762"/>
      <c r="GG32" s="602"/>
      <c r="GH32" s="602"/>
      <c r="GI32" s="602"/>
      <c r="GJ32" s="500"/>
      <c r="GK32" s="501"/>
      <c r="GL32" s="501"/>
      <c r="GM32" s="501"/>
      <c r="GN32" s="501"/>
      <c r="GO32" s="501"/>
      <c r="GP32" s="501"/>
      <c r="GQ32" s="501"/>
      <c r="GR32" s="501"/>
      <c r="GS32" s="409"/>
      <c r="GT32" s="763"/>
      <c r="GU32" s="809"/>
      <c r="GV32" s="810"/>
      <c r="GW32" s="789"/>
      <c r="GX32" s="790"/>
      <c r="GY32" s="791"/>
      <c r="GZ32" s="792"/>
      <c r="HA32" s="792"/>
      <c r="HB32" s="793"/>
      <c r="HC32" s="413"/>
      <c r="HD32" s="562"/>
      <c r="HE32" s="415"/>
      <c r="HF32" s="415"/>
    </row>
    <row r="33" spans="1:219" ht="20.100000000000001" customHeight="1">
      <c r="A33" s="641"/>
      <c r="B33" s="642"/>
      <c r="C33" s="642"/>
      <c r="D33" s="643" t="s">
        <v>445</v>
      </c>
      <c r="E33" s="642"/>
      <c r="F33" s="642"/>
      <c r="G33" s="644"/>
      <c r="H33" s="645">
        <v>3356</v>
      </c>
      <c r="I33" s="1310"/>
      <c r="J33" s="645">
        <v>3356</v>
      </c>
      <c r="K33" s="1310"/>
      <c r="L33" s="645">
        <v>3356</v>
      </c>
      <c r="M33" s="1310"/>
      <c r="N33" s="645">
        <v>3356</v>
      </c>
      <c r="O33" s="1310"/>
      <c r="P33" s="645">
        <v>5456</v>
      </c>
      <c r="Q33" s="1310"/>
      <c r="R33" s="645">
        <v>5456</v>
      </c>
      <c r="S33" s="1310"/>
      <c r="T33" s="645">
        <v>5456</v>
      </c>
      <c r="U33" s="1310"/>
      <c r="V33" s="645">
        <v>5456</v>
      </c>
      <c r="W33" s="1310"/>
      <c r="X33" s="645">
        <v>1956</v>
      </c>
      <c r="Y33" s="1310"/>
      <c r="Z33" s="645">
        <v>1956</v>
      </c>
      <c r="AA33" s="1310"/>
      <c r="AB33" s="645">
        <v>1956</v>
      </c>
      <c r="AC33" s="1310"/>
      <c r="AD33" s="645">
        <v>1956</v>
      </c>
      <c r="AE33" s="1310"/>
      <c r="AF33" s="645">
        <v>1956</v>
      </c>
      <c r="AG33" s="1310"/>
      <c r="AH33" s="645">
        <v>1956</v>
      </c>
      <c r="AI33" s="1310"/>
      <c r="AJ33" s="645">
        <v>1956</v>
      </c>
      <c r="AK33" s="1310"/>
      <c r="AL33" s="645">
        <v>1956</v>
      </c>
      <c r="AM33" s="1310"/>
      <c r="AN33" s="645">
        <v>1956</v>
      </c>
      <c r="AO33" s="1310"/>
      <c r="AP33" s="645">
        <v>3356</v>
      </c>
      <c r="AQ33" s="1310"/>
      <c r="AR33" s="645">
        <v>3356</v>
      </c>
      <c r="AS33" s="1310"/>
      <c r="AT33" s="645">
        <v>3356</v>
      </c>
      <c r="AU33" s="1310"/>
      <c r="AV33" s="645">
        <v>3356</v>
      </c>
      <c r="AW33" s="1310"/>
      <c r="AX33" s="645">
        <v>3356</v>
      </c>
      <c r="AY33" s="1310"/>
      <c r="AZ33" s="645">
        <v>3356</v>
      </c>
      <c r="BA33" s="1310"/>
      <c r="BB33" s="647">
        <v>3356</v>
      </c>
      <c r="BC33" s="648"/>
      <c r="BD33" s="641"/>
      <c r="BE33" s="642"/>
      <c r="BF33" s="642"/>
      <c r="BG33" s="643" t="s">
        <v>325</v>
      </c>
      <c r="BH33" s="642"/>
      <c r="BI33" s="642"/>
      <c r="BJ33" s="644"/>
      <c r="BK33" s="645">
        <v>3356</v>
      </c>
      <c r="BL33" s="1310"/>
      <c r="BM33" s="645">
        <v>3356</v>
      </c>
      <c r="BN33" s="1310"/>
      <c r="BO33" s="645">
        <v>3356</v>
      </c>
      <c r="BP33" s="1310"/>
      <c r="BQ33" s="645">
        <v>3356</v>
      </c>
      <c r="BR33" s="1310"/>
      <c r="BS33" s="645">
        <v>5456</v>
      </c>
      <c r="BT33" s="1310"/>
      <c r="BU33" s="645">
        <v>5456</v>
      </c>
      <c r="BV33" s="1310"/>
      <c r="BW33" s="645">
        <v>5456</v>
      </c>
      <c r="BX33" s="1310"/>
      <c r="BY33" s="645">
        <v>5456</v>
      </c>
      <c r="BZ33" s="1310"/>
      <c r="CA33" s="645">
        <v>1956</v>
      </c>
      <c r="CB33" s="1310"/>
      <c r="CC33" s="645">
        <v>1956</v>
      </c>
      <c r="CD33" s="1310"/>
      <c r="CE33" s="645">
        <v>1956</v>
      </c>
      <c r="CF33" s="1310"/>
      <c r="CG33" s="645">
        <v>1956</v>
      </c>
      <c r="CH33" s="1310"/>
      <c r="CI33" s="645">
        <v>1956</v>
      </c>
      <c r="CJ33" s="1310"/>
      <c r="CK33" s="645">
        <v>1956</v>
      </c>
      <c r="CL33" s="1310"/>
      <c r="CM33" s="645">
        <v>1956</v>
      </c>
      <c r="CN33" s="1310"/>
      <c r="CO33" s="645">
        <v>1956</v>
      </c>
      <c r="CP33" s="1310"/>
      <c r="CQ33" s="645">
        <v>1956</v>
      </c>
      <c r="CR33" s="1310"/>
      <c r="CS33" s="645">
        <v>3356</v>
      </c>
      <c r="CT33" s="1310"/>
      <c r="CU33" s="645">
        <v>3356</v>
      </c>
      <c r="CV33" s="1310"/>
      <c r="CW33" s="645">
        <v>3356</v>
      </c>
      <c r="CX33" s="1310"/>
      <c r="CY33" s="645">
        <v>3356</v>
      </c>
      <c r="CZ33" s="1310"/>
      <c r="DA33" s="645">
        <v>3356</v>
      </c>
      <c r="DB33" s="1310"/>
      <c r="DC33" s="645">
        <v>3356</v>
      </c>
      <c r="DD33" s="1310"/>
      <c r="DE33" s="647">
        <v>3356</v>
      </c>
      <c r="DF33" s="648"/>
      <c r="DG33" s="641"/>
      <c r="DH33" s="642"/>
      <c r="DI33" s="642"/>
      <c r="DJ33" s="643" t="s">
        <v>325</v>
      </c>
      <c r="DK33" s="642"/>
      <c r="DL33" s="642"/>
      <c r="DM33" s="644"/>
      <c r="DN33" s="645">
        <v>3356</v>
      </c>
      <c r="DO33" s="1310"/>
      <c r="DP33" s="645">
        <v>3356</v>
      </c>
      <c r="DQ33" s="1310"/>
      <c r="DR33" s="645">
        <v>3356</v>
      </c>
      <c r="DS33" s="1310"/>
      <c r="DT33" s="645">
        <v>3356</v>
      </c>
      <c r="DU33" s="1310"/>
      <c r="DV33" s="645">
        <v>5456</v>
      </c>
      <c r="DW33" s="1310"/>
      <c r="DX33" s="645">
        <v>5456</v>
      </c>
      <c r="DY33" s="1310"/>
      <c r="DZ33" s="645">
        <v>5456</v>
      </c>
      <c r="EA33" s="1310"/>
      <c r="EB33" s="645">
        <v>5456</v>
      </c>
      <c r="EC33" s="1310"/>
      <c r="ED33" s="645">
        <v>1956</v>
      </c>
      <c r="EE33" s="1310"/>
      <c r="EF33" s="645">
        <v>1956</v>
      </c>
      <c r="EG33" s="1310"/>
      <c r="EH33" s="645">
        <v>1956</v>
      </c>
      <c r="EI33" s="1310"/>
      <c r="EJ33" s="645">
        <v>1956</v>
      </c>
      <c r="EK33" s="1310"/>
      <c r="EL33" s="645">
        <v>1956</v>
      </c>
      <c r="EM33" s="1310"/>
      <c r="EN33" s="645">
        <v>1956</v>
      </c>
      <c r="EO33" s="1310"/>
      <c r="EP33" s="645">
        <v>1956</v>
      </c>
      <c r="EQ33" s="1310"/>
      <c r="ER33" s="645">
        <v>1956</v>
      </c>
      <c r="ES33" s="1310"/>
      <c r="ET33" s="645">
        <v>1956</v>
      </c>
      <c r="EU33" s="1310"/>
      <c r="EV33" s="645">
        <v>3356</v>
      </c>
      <c r="EW33" s="1310"/>
      <c r="EX33" s="645">
        <v>3356</v>
      </c>
      <c r="EY33" s="1310"/>
      <c r="EZ33" s="645">
        <v>3356</v>
      </c>
      <c r="FA33" s="1310"/>
      <c r="FB33" s="645">
        <v>3356</v>
      </c>
      <c r="FC33" s="1310"/>
      <c r="FD33" s="645">
        <v>3356</v>
      </c>
      <c r="FE33" s="1310"/>
      <c r="FF33" s="645">
        <v>3356</v>
      </c>
      <c r="FG33" s="1310"/>
      <c r="FH33" s="647">
        <v>3356</v>
      </c>
      <c r="FI33" s="649"/>
      <c r="FJ33" s="564"/>
      <c r="FK33" s="642"/>
      <c r="FL33" s="642"/>
      <c r="FM33" s="643" t="s">
        <v>325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30" t="s">
        <v>784</v>
      </c>
      <c r="GL33" s="579"/>
      <c r="GM33" s="530"/>
      <c r="GN33" s="579"/>
      <c r="GO33" s="530"/>
      <c r="GP33" s="530"/>
      <c r="GQ33" s="530"/>
      <c r="GR33" s="579"/>
      <c r="GS33" s="530"/>
      <c r="GT33" s="763"/>
      <c r="GU33" s="811">
        <v>202</v>
      </c>
      <c r="GV33" s="812"/>
      <c r="GW33" s="813">
        <v>22.68</v>
      </c>
      <c r="GX33" s="814">
        <v>77.350000000000009</v>
      </c>
      <c r="GY33" s="814">
        <v>188.01999999999998</v>
      </c>
      <c r="GZ33" s="814">
        <v>0</v>
      </c>
      <c r="HA33" s="814">
        <v>288.04999999999995</v>
      </c>
      <c r="HB33" s="815">
        <v>68</v>
      </c>
      <c r="HC33" s="413"/>
      <c r="HD33" s="648"/>
      <c r="HE33" s="415"/>
      <c r="HF33" s="415"/>
    </row>
    <row r="34" spans="1:219" ht="20.100000000000001" customHeight="1">
      <c r="A34" s="1312" t="s">
        <v>449</v>
      </c>
      <c r="B34" s="743"/>
      <c r="C34" s="817"/>
      <c r="D34" s="818"/>
      <c r="E34" s="817"/>
      <c r="F34" s="819"/>
      <c r="G34" s="740" t="s">
        <v>448</v>
      </c>
      <c r="H34" s="663" t="s">
        <v>430</v>
      </c>
      <c r="I34" s="741" t="s">
        <v>448</v>
      </c>
      <c r="J34" s="663" t="s">
        <v>428</v>
      </c>
      <c r="K34" s="742" t="s">
        <v>447</v>
      </c>
      <c r="L34" s="663" t="s">
        <v>428</v>
      </c>
      <c r="M34" s="742" t="s">
        <v>448</v>
      </c>
      <c r="N34" s="663" t="s">
        <v>430</v>
      </c>
      <c r="O34" s="742" t="s">
        <v>447</v>
      </c>
      <c r="P34" s="663" t="s">
        <v>430</v>
      </c>
      <c r="Q34" s="742" t="s">
        <v>448</v>
      </c>
      <c r="R34" s="663" t="s">
        <v>428</v>
      </c>
      <c r="S34" s="742" t="s">
        <v>447</v>
      </c>
      <c r="T34" s="663" t="s">
        <v>428</v>
      </c>
      <c r="U34" s="742" t="s">
        <v>447</v>
      </c>
      <c r="V34" s="663" t="s">
        <v>428</v>
      </c>
      <c r="W34" s="742" t="s">
        <v>448</v>
      </c>
      <c r="X34" s="663" t="s">
        <v>430</v>
      </c>
      <c r="Y34" s="742" t="s">
        <v>447</v>
      </c>
      <c r="Z34" s="663" t="s">
        <v>430</v>
      </c>
      <c r="AA34" s="742" t="s">
        <v>447</v>
      </c>
      <c r="AB34" s="663" t="s">
        <v>430</v>
      </c>
      <c r="AC34" s="742" t="s">
        <v>447</v>
      </c>
      <c r="AD34" s="663" t="s">
        <v>430</v>
      </c>
      <c r="AE34" s="742" t="s">
        <v>448</v>
      </c>
      <c r="AF34" s="663" t="s">
        <v>430</v>
      </c>
      <c r="AG34" s="742" t="s">
        <v>448</v>
      </c>
      <c r="AH34" s="663" t="s">
        <v>430</v>
      </c>
      <c r="AI34" s="742" t="s">
        <v>448</v>
      </c>
      <c r="AJ34" s="663" t="s">
        <v>430</v>
      </c>
      <c r="AK34" s="742" t="s">
        <v>447</v>
      </c>
      <c r="AL34" s="663" t="s">
        <v>430</v>
      </c>
      <c r="AM34" s="742" t="s">
        <v>448</v>
      </c>
      <c r="AN34" s="663" t="s">
        <v>428</v>
      </c>
      <c r="AO34" s="742" t="s">
        <v>447</v>
      </c>
      <c r="AP34" s="663" t="s">
        <v>430</v>
      </c>
      <c r="AQ34" s="742" t="s">
        <v>447</v>
      </c>
      <c r="AR34" s="663" t="s">
        <v>428</v>
      </c>
      <c r="AS34" s="742" t="s">
        <v>447</v>
      </c>
      <c r="AT34" s="663" t="s">
        <v>430</v>
      </c>
      <c r="AU34" s="742" t="s">
        <v>447</v>
      </c>
      <c r="AV34" s="663" t="s">
        <v>430</v>
      </c>
      <c r="AW34" s="742" t="s">
        <v>448</v>
      </c>
      <c r="AX34" s="663" t="s">
        <v>428</v>
      </c>
      <c r="AY34" s="742" t="s">
        <v>447</v>
      </c>
      <c r="AZ34" s="663" t="s">
        <v>430</v>
      </c>
      <c r="BA34" s="742" t="s">
        <v>448</v>
      </c>
      <c r="BB34" s="665" t="s">
        <v>430</v>
      </c>
      <c r="BC34" s="723"/>
      <c r="BD34" s="1312" t="s">
        <v>449</v>
      </c>
      <c r="BE34" s="820"/>
      <c r="BF34" s="821"/>
      <c r="BG34" s="822"/>
      <c r="BH34" s="821"/>
      <c r="BI34" s="823"/>
      <c r="BJ34" s="740" t="s">
        <v>447</v>
      </c>
      <c r="BK34" s="663" t="s">
        <v>428</v>
      </c>
      <c r="BL34" s="741" t="s">
        <v>448</v>
      </c>
      <c r="BM34" s="663" t="s">
        <v>430</v>
      </c>
      <c r="BN34" s="742" t="s">
        <v>447</v>
      </c>
      <c r="BO34" s="663" t="s">
        <v>428</v>
      </c>
      <c r="BP34" s="742" t="s">
        <v>447</v>
      </c>
      <c r="BQ34" s="663" t="s">
        <v>428</v>
      </c>
      <c r="BR34" s="742" t="s">
        <v>448</v>
      </c>
      <c r="BS34" s="663" t="s">
        <v>428</v>
      </c>
      <c r="BT34" s="742" t="s">
        <v>447</v>
      </c>
      <c r="BU34" s="663" t="s">
        <v>430</v>
      </c>
      <c r="BV34" s="742" t="s">
        <v>448</v>
      </c>
      <c r="BW34" s="663" t="s">
        <v>430</v>
      </c>
      <c r="BX34" s="742" t="s">
        <v>447</v>
      </c>
      <c r="BY34" s="663" t="s">
        <v>428</v>
      </c>
      <c r="BZ34" s="742" t="s">
        <v>448</v>
      </c>
      <c r="CA34" s="663" t="s">
        <v>428</v>
      </c>
      <c r="CB34" s="742" t="s">
        <v>447</v>
      </c>
      <c r="CC34" s="663" t="s">
        <v>430</v>
      </c>
      <c r="CD34" s="742" t="s">
        <v>447</v>
      </c>
      <c r="CE34" s="663" t="s">
        <v>430</v>
      </c>
      <c r="CF34" s="742" t="s">
        <v>448</v>
      </c>
      <c r="CG34" s="663" t="s">
        <v>430</v>
      </c>
      <c r="CH34" s="742" t="s">
        <v>447</v>
      </c>
      <c r="CI34" s="663" t="s">
        <v>430</v>
      </c>
      <c r="CJ34" s="742" t="s">
        <v>447</v>
      </c>
      <c r="CK34" s="663" t="s">
        <v>430</v>
      </c>
      <c r="CL34" s="742" t="s">
        <v>448</v>
      </c>
      <c r="CM34" s="663" t="s">
        <v>428</v>
      </c>
      <c r="CN34" s="742" t="s">
        <v>447</v>
      </c>
      <c r="CO34" s="663" t="s">
        <v>430</v>
      </c>
      <c r="CP34" s="742" t="s">
        <v>447</v>
      </c>
      <c r="CQ34" s="663" t="s">
        <v>428</v>
      </c>
      <c r="CR34" s="742" t="s">
        <v>448</v>
      </c>
      <c r="CS34" s="663" t="s">
        <v>430</v>
      </c>
      <c r="CT34" s="742" t="s">
        <v>448</v>
      </c>
      <c r="CU34" s="663" t="s">
        <v>430</v>
      </c>
      <c r="CV34" s="742" t="s">
        <v>448</v>
      </c>
      <c r="CW34" s="663" t="s">
        <v>428</v>
      </c>
      <c r="CX34" s="742" t="s">
        <v>447</v>
      </c>
      <c r="CY34" s="663" t="s">
        <v>430</v>
      </c>
      <c r="CZ34" s="742" t="s">
        <v>447</v>
      </c>
      <c r="DA34" s="663" t="s">
        <v>430</v>
      </c>
      <c r="DB34" s="742" t="s">
        <v>447</v>
      </c>
      <c r="DC34" s="663" t="s">
        <v>430</v>
      </c>
      <c r="DD34" s="742" t="s">
        <v>447</v>
      </c>
      <c r="DE34" s="665" t="s">
        <v>428</v>
      </c>
      <c r="DF34" s="723"/>
      <c r="DG34" s="1312" t="s">
        <v>449</v>
      </c>
      <c r="DH34" s="738"/>
      <c r="DI34" s="824"/>
      <c r="DJ34" s="825"/>
      <c r="DK34" s="824"/>
      <c r="DL34" s="826"/>
      <c r="DM34" s="740" t="s">
        <v>447</v>
      </c>
      <c r="DN34" s="663" t="s">
        <v>430</v>
      </c>
      <c r="DO34" s="741" t="s">
        <v>447</v>
      </c>
      <c r="DP34" s="663" t="s">
        <v>430</v>
      </c>
      <c r="DQ34" s="742" t="s">
        <v>447</v>
      </c>
      <c r="DR34" s="663" t="s">
        <v>430</v>
      </c>
      <c r="DS34" s="742" t="s">
        <v>448</v>
      </c>
      <c r="DT34" s="663" t="s">
        <v>430</v>
      </c>
      <c r="DU34" s="742" t="s">
        <v>448</v>
      </c>
      <c r="DV34" s="663" t="s">
        <v>430</v>
      </c>
      <c r="DW34" s="742" t="s">
        <v>448</v>
      </c>
      <c r="DX34" s="663" t="s">
        <v>430</v>
      </c>
      <c r="DY34" s="742" t="s">
        <v>447</v>
      </c>
      <c r="DZ34" s="663" t="s">
        <v>430</v>
      </c>
      <c r="EA34" s="742" t="s">
        <v>448</v>
      </c>
      <c r="EB34" s="663" t="s">
        <v>428</v>
      </c>
      <c r="EC34" s="742" t="s">
        <v>447</v>
      </c>
      <c r="ED34" s="663" t="s">
        <v>430</v>
      </c>
      <c r="EE34" s="742" t="s">
        <v>447</v>
      </c>
      <c r="EF34" s="663" t="s">
        <v>428</v>
      </c>
      <c r="EG34" s="742" t="s">
        <v>447</v>
      </c>
      <c r="EH34" s="663" t="s">
        <v>430</v>
      </c>
      <c r="EI34" s="742" t="s">
        <v>447</v>
      </c>
      <c r="EJ34" s="663" t="s">
        <v>430</v>
      </c>
      <c r="EK34" s="742" t="s">
        <v>448</v>
      </c>
      <c r="EL34" s="663" t="s">
        <v>428</v>
      </c>
      <c r="EM34" s="742" t="s">
        <v>447</v>
      </c>
      <c r="EN34" s="663" t="s">
        <v>430</v>
      </c>
      <c r="EO34" s="742" t="s">
        <v>448</v>
      </c>
      <c r="EP34" s="663" t="s">
        <v>430</v>
      </c>
      <c r="EQ34" s="742" t="s">
        <v>448</v>
      </c>
      <c r="ER34" s="663" t="s">
        <v>428</v>
      </c>
      <c r="ES34" s="742" t="s">
        <v>448</v>
      </c>
      <c r="ET34" s="663" t="s">
        <v>430</v>
      </c>
      <c r="EU34" s="742" t="s">
        <v>447</v>
      </c>
      <c r="EV34" s="663" t="s">
        <v>428</v>
      </c>
      <c r="EW34" s="742" t="s">
        <v>447</v>
      </c>
      <c r="EX34" s="663" t="s">
        <v>430</v>
      </c>
      <c r="EY34" s="742" t="s">
        <v>448</v>
      </c>
      <c r="EZ34" s="663" t="s">
        <v>428</v>
      </c>
      <c r="FA34" s="742" t="s">
        <v>448</v>
      </c>
      <c r="FB34" s="663" t="s">
        <v>430</v>
      </c>
      <c r="FC34" s="742" t="s">
        <v>447</v>
      </c>
      <c r="FD34" s="663" t="s">
        <v>430</v>
      </c>
      <c r="FE34" s="742" t="s">
        <v>447</v>
      </c>
      <c r="FF34" s="663" t="s">
        <v>428</v>
      </c>
      <c r="FG34" s="742" t="s">
        <v>447</v>
      </c>
      <c r="FH34" s="665" t="s">
        <v>430</v>
      </c>
      <c r="FI34" s="746"/>
      <c r="FJ34" s="827" t="s">
        <v>446</v>
      </c>
      <c r="FK34" s="738"/>
      <c r="FL34" s="824"/>
      <c r="FM34" s="825"/>
      <c r="FN34" s="824"/>
      <c r="FO34" s="826"/>
      <c r="FP34" s="747" t="s">
        <v>450</v>
      </c>
      <c r="FQ34" s="673" t="s">
        <v>448</v>
      </c>
      <c r="FR34" s="663" t="s">
        <v>451</v>
      </c>
      <c r="FS34" s="748" t="s">
        <v>433</v>
      </c>
      <c r="FT34" s="673" t="s">
        <v>448</v>
      </c>
      <c r="FU34" s="675" t="s">
        <v>451</v>
      </c>
      <c r="FV34" s="593"/>
      <c r="FW34" s="594"/>
      <c r="FX34" s="806"/>
      <c r="FY34" s="596"/>
      <c r="FZ34" s="807"/>
      <c r="GA34" s="598"/>
      <c r="GB34" s="808"/>
      <c r="GC34" s="600"/>
      <c r="GD34" s="808"/>
      <c r="GE34" s="601"/>
      <c r="GF34" s="749"/>
      <c r="GG34" s="750"/>
      <c r="GH34" s="750"/>
      <c r="GI34" s="750"/>
      <c r="GJ34" s="579"/>
      <c r="GK34" s="828" t="s">
        <v>564</v>
      </c>
      <c r="GL34" s="828"/>
      <c r="GM34" s="828"/>
      <c r="GN34" s="828"/>
      <c r="GO34" s="828"/>
      <c r="GP34" s="828"/>
      <c r="GQ34" s="615">
        <v>0</v>
      </c>
      <c r="GR34" s="579" t="s">
        <v>705</v>
      </c>
      <c r="GS34" s="580"/>
      <c r="GT34" s="763"/>
      <c r="GU34" s="829"/>
      <c r="GV34" s="830"/>
      <c r="GW34" s="831"/>
      <c r="GX34" s="633"/>
      <c r="GY34" s="633"/>
      <c r="GZ34" s="633"/>
      <c r="HA34" s="633"/>
      <c r="HB34" s="634"/>
      <c r="HC34" s="530"/>
      <c r="HD34" s="723"/>
      <c r="HE34" s="415"/>
      <c r="HF34" s="415"/>
    </row>
    <row r="35" spans="1:219" ht="20.100000000000001" customHeight="1">
      <c r="A35" s="832"/>
      <c r="B35" s="466" t="s">
        <v>452</v>
      </c>
      <c r="C35" s="467"/>
      <c r="D35" s="833">
        <v>0</v>
      </c>
      <c r="E35" s="834">
        <v>0</v>
      </c>
      <c r="F35" s="835"/>
      <c r="G35" s="836"/>
      <c r="H35" s="837">
        <v>0</v>
      </c>
      <c r="I35" s="838"/>
      <c r="J35" s="799">
        <v>0</v>
      </c>
      <c r="K35" s="839"/>
      <c r="L35" s="799">
        <v>0</v>
      </c>
      <c r="M35" s="839"/>
      <c r="N35" s="799">
        <v>0</v>
      </c>
      <c r="O35" s="839"/>
      <c r="P35" s="799">
        <v>0</v>
      </c>
      <c r="Q35" s="839"/>
      <c r="R35" s="799">
        <v>0</v>
      </c>
      <c r="S35" s="839"/>
      <c r="T35" s="799">
        <v>0</v>
      </c>
      <c r="U35" s="839"/>
      <c r="V35" s="799">
        <v>0</v>
      </c>
      <c r="W35" s="839"/>
      <c r="X35" s="799">
        <v>0</v>
      </c>
      <c r="Y35" s="839"/>
      <c r="Z35" s="799">
        <v>0</v>
      </c>
      <c r="AA35" s="839"/>
      <c r="AB35" s="799">
        <v>0</v>
      </c>
      <c r="AC35" s="839"/>
      <c r="AD35" s="799">
        <v>0</v>
      </c>
      <c r="AE35" s="839"/>
      <c r="AF35" s="799">
        <v>0</v>
      </c>
      <c r="AG35" s="839"/>
      <c r="AH35" s="799">
        <v>0</v>
      </c>
      <c r="AI35" s="839"/>
      <c r="AJ35" s="799">
        <v>0</v>
      </c>
      <c r="AK35" s="839"/>
      <c r="AL35" s="799">
        <v>0</v>
      </c>
      <c r="AM35" s="839"/>
      <c r="AN35" s="799">
        <v>0</v>
      </c>
      <c r="AO35" s="839"/>
      <c r="AP35" s="799">
        <v>0</v>
      </c>
      <c r="AQ35" s="839"/>
      <c r="AR35" s="799">
        <v>0</v>
      </c>
      <c r="AS35" s="839"/>
      <c r="AT35" s="799">
        <v>0</v>
      </c>
      <c r="AU35" s="839"/>
      <c r="AV35" s="799">
        <v>0</v>
      </c>
      <c r="AW35" s="839"/>
      <c r="AX35" s="799">
        <v>0</v>
      </c>
      <c r="AY35" s="839"/>
      <c r="AZ35" s="799">
        <v>0</v>
      </c>
      <c r="BA35" s="839"/>
      <c r="BB35" s="840">
        <v>0</v>
      </c>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v>0</v>
      </c>
      <c r="FS35" s="843"/>
      <c r="FT35" s="838"/>
      <c r="FU35" s="805">
        <v>0</v>
      </c>
      <c r="FV35" s="593"/>
      <c r="FW35" s="594"/>
      <c r="FX35" s="806"/>
      <c r="FY35" s="596"/>
      <c r="FZ35" s="807"/>
      <c r="GA35" s="598"/>
      <c r="GB35" s="808"/>
      <c r="GC35" s="600"/>
      <c r="GD35" s="808"/>
      <c r="GE35" s="601"/>
      <c r="GF35" s="844"/>
      <c r="GG35" s="602"/>
      <c r="GH35" s="602"/>
      <c r="GI35" s="602"/>
      <c r="GJ35" s="530"/>
      <c r="GK35" s="530" t="s">
        <v>566</v>
      </c>
      <c r="GL35" s="530"/>
      <c r="GM35" s="579"/>
      <c r="GN35" s="530"/>
      <c r="GO35" s="579"/>
      <c r="GP35" s="579"/>
      <c r="GQ35" s="579"/>
      <c r="GR35" s="579"/>
      <c r="GS35" s="409"/>
      <c r="GT35" s="763"/>
      <c r="GU35" s="829"/>
      <c r="GV35" s="830"/>
      <c r="GW35" s="831"/>
      <c r="GX35" s="633"/>
      <c r="GY35" s="633"/>
      <c r="GZ35" s="633"/>
      <c r="HA35" s="633"/>
      <c r="HB35" s="634"/>
      <c r="HC35" s="530"/>
      <c r="HD35" s="562"/>
      <c r="HE35" s="415"/>
      <c r="HF35" s="415"/>
    </row>
    <row r="36" spans="1:219" ht="20.100000000000001" customHeight="1">
      <c r="A36" s="832"/>
      <c r="B36" s="642"/>
      <c r="C36" s="642"/>
      <c r="D36" s="643" t="s">
        <v>453</v>
      </c>
      <c r="E36" s="642"/>
      <c r="F36" s="642"/>
      <c r="G36" s="845"/>
      <c r="H36" s="1313">
        <v>0</v>
      </c>
      <c r="I36" s="1314"/>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1315">
        <v>0</v>
      </c>
      <c r="BC36" s="648"/>
      <c r="BD36" s="832"/>
      <c r="BE36" s="642"/>
      <c r="BF36" s="642"/>
      <c r="BG36" s="643" t="s">
        <v>453</v>
      </c>
      <c r="BH36" s="642"/>
      <c r="BI36" s="642"/>
      <c r="BJ36" s="845"/>
      <c r="BK36" s="1313">
        <v>0</v>
      </c>
      <c r="BL36" s="1314"/>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1315">
        <v>0</v>
      </c>
      <c r="DF36" s="648"/>
      <c r="DG36" s="832"/>
      <c r="DH36" s="642"/>
      <c r="DI36" s="642"/>
      <c r="DJ36" s="643" t="s">
        <v>453</v>
      </c>
      <c r="DK36" s="642"/>
      <c r="DL36" s="642"/>
      <c r="DM36" s="845"/>
      <c r="DN36" s="1313">
        <v>0</v>
      </c>
      <c r="DO36" s="1314"/>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1315">
        <v>0</v>
      </c>
      <c r="FI36" s="649"/>
      <c r="FJ36" s="841"/>
      <c r="FK36" s="642"/>
      <c r="FL36" s="642"/>
      <c r="FM36" s="643" t="s">
        <v>327</v>
      </c>
      <c r="FN36" s="642"/>
      <c r="FO36" s="642"/>
      <c r="FP36" s="650"/>
      <c r="FQ36" s="1314"/>
      <c r="FR36" s="1313">
        <v>0</v>
      </c>
      <c r="FS36" s="1316"/>
      <c r="FT36" s="1314"/>
      <c r="FU36" s="1317">
        <v>0</v>
      </c>
      <c r="FV36" s="593"/>
      <c r="FW36" s="594"/>
      <c r="FX36" s="806"/>
      <c r="FY36" s="596"/>
      <c r="FZ36" s="807"/>
      <c r="GA36" s="598"/>
      <c r="GB36" s="808"/>
      <c r="GC36" s="600"/>
      <c r="GD36" s="808"/>
      <c r="GE36" s="601"/>
      <c r="GF36" s="654"/>
      <c r="GG36" s="655"/>
      <c r="GH36" s="655"/>
      <c r="GI36" s="655"/>
      <c r="GJ36" s="530"/>
      <c r="GK36" s="828" t="s">
        <v>1031</v>
      </c>
      <c r="GL36" s="828"/>
      <c r="GM36" s="828"/>
      <c r="GN36" s="828"/>
      <c r="GO36" s="828"/>
      <c r="GP36" s="828"/>
      <c r="GQ36" s="615">
        <v>17.100000000000001</v>
      </c>
      <c r="GR36" s="579" t="s">
        <v>705</v>
      </c>
      <c r="GS36" s="530"/>
      <c r="GT36" s="763"/>
      <c r="GU36" s="829"/>
      <c r="GV36" s="830"/>
      <c r="GW36" s="831"/>
      <c r="GX36" s="633"/>
      <c r="GY36" s="633"/>
      <c r="GZ36" s="633"/>
      <c r="HA36" s="633"/>
      <c r="HB36" s="634"/>
      <c r="HC36" s="530"/>
      <c r="HD36" s="648"/>
      <c r="HE36" s="415"/>
      <c r="HF36" s="415"/>
    </row>
    <row r="37" spans="1:219" ht="24" customHeight="1">
      <c r="A37" s="853" t="s">
        <v>462</v>
      </c>
      <c r="B37" s="854"/>
      <c r="C37" s="855" t="s">
        <v>455</v>
      </c>
      <c r="D37" s="856"/>
      <c r="E37" s="857" t="s">
        <v>461</v>
      </c>
      <c r="F37" s="858"/>
      <c r="G37" s="662" t="s">
        <v>448</v>
      </c>
      <c r="H37" s="663" t="s">
        <v>457</v>
      </c>
      <c r="I37" s="664" t="s">
        <v>447</v>
      </c>
      <c r="J37" s="663" t="s">
        <v>459</v>
      </c>
      <c r="K37" s="664" t="s">
        <v>448</v>
      </c>
      <c r="L37" s="663" t="s">
        <v>459</v>
      </c>
      <c r="M37" s="664" t="s">
        <v>447</v>
      </c>
      <c r="N37" s="663" t="s">
        <v>459</v>
      </c>
      <c r="O37" s="664" t="s">
        <v>448</v>
      </c>
      <c r="P37" s="663" t="s">
        <v>459</v>
      </c>
      <c r="Q37" s="664" t="s">
        <v>447</v>
      </c>
      <c r="R37" s="663" t="s">
        <v>459</v>
      </c>
      <c r="S37" s="664" t="s">
        <v>448</v>
      </c>
      <c r="T37" s="663" t="s">
        <v>459</v>
      </c>
      <c r="U37" s="664" t="s">
        <v>447</v>
      </c>
      <c r="V37" s="663" t="s">
        <v>459</v>
      </c>
      <c r="W37" s="664" t="s">
        <v>447</v>
      </c>
      <c r="X37" s="663" t="s">
        <v>459</v>
      </c>
      <c r="Y37" s="664" t="s">
        <v>448</v>
      </c>
      <c r="Z37" s="663" t="s">
        <v>458</v>
      </c>
      <c r="AA37" s="664" t="s">
        <v>447</v>
      </c>
      <c r="AB37" s="663" t="s">
        <v>459</v>
      </c>
      <c r="AC37" s="664" t="s">
        <v>448</v>
      </c>
      <c r="AD37" s="663" t="s">
        <v>459</v>
      </c>
      <c r="AE37" s="664" t="s">
        <v>447</v>
      </c>
      <c r="AF37" s="663" t="s">
        <v>458</v>
      </c>
      <c r="AG37" s="664" t="s">
        <v>448</v>
      </c>
      <c r="AH37" s="663" t="s">
        <v>459</v>
      </c>
      <c r="AI37" s="664" t="s">
        <v>447</v>
      </c>
      <c r="AJ37" s="663" t="s">
        <v>458</v>
      </c>
      <c r="AK37" s="664" t="s">
        <v>447</v>
      </c>
      <c r="AL37" s="663" t="s">
        <v>459</v>
      </c>
      <c r="AM37" s="664" t="s">
        <v>448</v>
      </c>
      <c r="AN37" s="663" t="s">
        <v>458</v>
      </c>
      <c r="AO37" s="664" t="s">
        <v>447</v>
      </c>
      <c r="AP37" s="663" t="s">
        <v>459</v>
      </c>
      <c r="AQ37" s="664" t="s">
        <v>448</v>
      </c>
      <c r="AR37" s="663" t="s">
        <v>459</v>
      </c>
      <c r="AS37" s="664" t="s">
        <v>448</v>
      </c>
      <c r="AT37" s="663" t="s">
        <v>458</v>
      </c>
      <c r="AU37" s="664" t="s">
        <v>448</v>
      </c>
      <c r="AV37" s="663" t="s">
        <v>458</v>
      </c>
      <c r="AW37" s="664" t="s">
        <v>447</v>
      </c>
      <c r="AX37" s="663" t="s">
        <v>458</v>
      </c>
      <c r="AY37" s="664" t="s">
        <v>448</v>
      </c>
      <c r="AZ37" s="663" t="s">
        <v>459</v>
      </c>
      <c r="BA37" s="664" t="s">
        <v>448</v>
      </c>
      <c r="BB37" s="665" t="s">
        <v>458</v>
      </c>
      <c r="BC37" s="723"/>
      <c r="BD37" s="853" t="s">
        <v>454</v>
      </c>
      <c r="BE37" s="854"/>
      <c r="BF37" s="855" t="s">
        <v>460</v>
      </c>
      <c r="BG37" s="856"/>
      <c r="BH37" s="857" t="s">
        <v>456</v>
      </c>
      <c r="BI37" s="858"/>
      <c r="BJ37" s="662" t="s">
        <v>447</v>
      </c>
      <c r="BK37" s="663" t="s">
        <v>457</v>
      </c>
      <c r="BL37" s="664" t="s">
        <v>447</v>
      </c>
      <c r="BM37" s="663" t="s">
        <v>459</v>
      </c>
      <c r="BN37" s="664" t="s">
        <v>447</v>
      </c>
      <c r="BO37" s="663" t="s">
        <v>458</v>
      </c>
      <c r="BP37" s="664" t="s">
        <v>447</v>
      </c>
      <c r="BQ37" s="663" t="s">
        <v>459</v>
      </c>
      <c r="BR37" s="664" t="s">
        <v>447</v>
      </c>
      <c r="BS37" s="663" t="s">
        <v>458</v>
      </c>
      <c r="BT37" s="664" t="s">
        <v>447</v>
      </c>
      <c r="BU37" s="663" t="s">
        <v>459</v>
      </c>
      <c r="BV37" s="664" t="s">
        <v>447</v>
      </c>
      <c r="BW37" s="663" t="s">
        <v>459</v>
      </c>
      <c r="BX37" s="664" t="s">
        <v>447</v>
      </c>
      <c r="BY37" s="663" t="s">
        <v>458</v>
      </c>
      <c r="BZ37" s="664" t="s">
        <v>448</v>
      </c>
      <c r="CA37" s="663" t="s">
        <v>459</v>
      </c>
      <c r="CB37" s="664" t="s">
        <v>447</v>
      </c>
      <c r="CC37" s="663" t="s">
        <v>458</v>
      </c>
      <c r="CD37" s="664" t="s">
        <v>447</v>
      </c>
      <c r="CE37" s="663" t="s">
        <v>459</v>
      </c>
      <c r="CF37" s="664" t="s">
        <v>448</v>
      </c>
      <c r="CG37" s="663" t="s">
        <v>458</v>
      </c>
      <c r="CH37" s="664" t="s">
        <v>447</v>
      </c>
      <c r="CI37" s="663" t="s">
        <v>459</v>
      </c>
      <c r="CJ37" s="664" t="s">
        <v>448</v>
      </c>
      <c r="CK37" s="663" t="s">
        <v>459</v>
      </c>
      <c r="CL37" s="664" t="s">
        <v>447</v>
      </c>
      <c r="CM37" s="663" t="s">
        <v>458</v>
      </c>
      <c r="CN37" s="664" t="s">
        <v>448</v>
      </c>
      <c r="CO37" s="663" t="s">
        <v>459</v>
      </c>
      <c r="CP37" s="664" t="s">
        <v>447</v>
      </c>
      <c r="CQ37" s="663" t="s">
        <v>458</v>
      </c>
      <c r="CR37" s="664" t="s">
        <v>447</v>
      </c>
      <c r="CS37" s="663" t="s">
        <v>458</v>
      </c>
      <c r="CT37" s="664" t="s">
        <v>448</v>
      </c>
      <c r="CU37" s="663" t="s">
        <v>458</v>
      </c>
      <c r="CV37" s="664" t="s">
        <v>448</v>
      </c>
      <c r="CW37" s="663" t="s">
        <v>459</v>
      </c>
      <c r="CX37" s="664" t="s">
        <v>448</v>
      </c>
      <c r="CY37" s="663" t="s">
        <v>458</v>
      </c>
      <c r="CZ37" s="664" t="s">
        <v>447</v>
      </c>
      <c r="DA37" s="663" t="s">
        <v>458</v>
      </c>
      <c r="DB37" s="664" t="s">
        <v>448</v>
      </c>
      <c r="DC37" s="663" t="s">
        <v>459</v>
      </c>
      <c r="DD37" s="664" t="s">
        <v>448</v>
      </c>
      <c r="DE37" s="665" t="s">
        <v>458</v>
      </c>
      <c r="DF37" s="723"/>
      <c r="DG37" s="853" t="s">
        <v>454</v>
      </c>
      <c r="DH37" s="854"/>
      <c r="DI37" s="855" t="s">
        <v>460</v>
      </c>
      <c r="DJ37" s="856"/>
      <c r="DK37" s="857" t="s">
        <v>461</v>
      </c>
      <c r="DL37" s="858"/>
      <c r="DM37" s="662" t="s">
        <v>448</v>
      </c>
      <c r="DN37" s="663" t="s">
        <v>328</v>
      </c>
      <c r="DO37" s="664" t="s">
        <v>447</v>
      </c>
      <c r="DP37" s="663" t="s">
        <v>459</v>
      </c>
      <c r="DQ37" s="664" t="s">
        <v>447</v>
      </c>
      <c r="DR37" s="663" t="s">
        <v>459</v>
      </c>
      <c r="DS37" s="664" t="s">
        <v>448</v>
      </c>
      <c r="DT37" s="663" t="s">
        <v>459</v>
      </c>
      <c r="DU37" s="664" t="s">
        <v>447</v>
      </c>
      <c r="DV37" s="663" t="s">
        <v>459</v>
      </c>
      <c r="DW37" s="664" t="s">
        <v>447</v>
      </c>
      <c r="DX37" s="663" t="s">
        <v>459</v>
      </c>
      <c r="DY37" s="664" t="s">
        <v>448</v>
      </c>
      <c r="DZ37" s="663" t="s">
        <v>458</v>
      </c>
      <c r="EA37" s="664" t="s">
        <v>447</v>
      </c>
      <c r="EB37" s="663" t="s">
        <v>459</v>
      </c>
      <c r="EC37" s="664" t="s">
        <v>448</v>
      </c>
      <c r="ED37" s="663" t="s">
        <v>459</v>
      </c>
      <c r="EE37" s="664" t="s">
        <v>447</v>
      </c>
      <c r="EF37" s="663" t="s">
        <v>458</v>
      </c>
      <c r="EG37" s="664" t="s">
        <v>448</v>
      </c>
      <c r="EH37" s="663" t="s">
        <v>459</v>
      </c>
      <c r="EI37" s="664" t="s">
        <v>447</v>
      </c>
      <c r="EJ37" s="663" t="s">
        <v>458</v>
      </c>
      <c r="EK37" s="664" t="s">
        <v>447</v>
      </c>
      <c r="EL37" s="663" t="s">
        <v>459</v>
      </c>
      <c r="EM37" s="664" t="s">
        <v>448</v>
      </c>
      <c r="EN37" s="663" t="s">
        <v>458</v>
      </c>
      <c r="EO37" s="664" t="s">
        <v>447</v>
      </c>
      <c r="EP37" s="663" t="s">
        <v>459</v>
      </c>
      <c r="EQ37" s="664" t="s">
        <v>448</v>
      </c>
      <c r="ER37" s="663" t="s">
        <v>459</v>
      </c>
      <c r="ES37" s="664" t="s">
        <v>448</v>
      </c>
      <c r="ET37" s="663" t="s">
        <v>458</v>
      </c>
      <c r="EU37" s="664" t="s">
        <v>448</v>
      </c>
      <c r="EV37" s="663" t="s">
        <v>458</v>
      </c>
      <c r="EW37" s="664" t="s">
        <v>447</v>
      </c>
      <c r="EX37" s="663" t="s">
        <v>458</v>
      </c>
      <c r="EY37" s="664" t="s">
        <v>448</v>
      </c>
      <c r="EZ37" s="663" t="s">
        <v>459</v>
      </c>
      <c r="FA37" s="664" t="s">
        <v>448</v>
      </c>
      <c r="FB37" s="663" t="s">
        <v>458</v>
      </c>
      <c r="FC37" s="664" t="s">
        <v>447</v>
      </c>
      <c r="FD37" s="663" t="s">
        <v>458</v>
      </c>
      <c r="FE37" s="664" t="s">
        <v>448</v>
      </c>
      <c r="FF37" s="663" t="s">
        <v>459</v>
      </c>
      <c r="FG37" s="664" t="s">
        <v>447</v>
      </c>
      <c r="FH37" s="665" t="s">
        <v>459</v>
      </c>
      <c r="FI37" s="746"/>
      <c r="FJ37" s="827" t="s">
        <v>462</v>
      </c>
      <c r="FK37" s="854"/>
      <c r="FL37" s="855" t="s">
        <v>460</v>
      </c>
      <c r="FM37" s="856"/>
      <c r="FN37" s="857" t="s">
        <v>456</v>
      </c>
      <c r="FO37" s="858"/>
      <c r="FP37" s="672"/>
      <c r="FQ37" s="859" t="s">
        <v>463</v>
      </c>
      <c r="FR37" s="663" t="s">
        <v>459</v>
      </c>
      <c r="FS37" s="674"/>
      <c r="FT37" s="859" t="s">
        <v>463</v>
      </c>
      <c r="FU37" s="675" t="s">
        <v>459</v>
      </c>
      <c r="FV37" s="593"/>
      <c r="FW37" s="594"/>
      <c r="FX37" s="806"/>
      <c r="FY37" s="596"/>
      <c r="FZ37" s="807"/>
      <c r="GA37" s="598"/>
      <c r="GB37" s="808"/>
      <c r="GC37" s="600"/>
      <c r="GD37" s="808"/>
      <c r="GE37" s="601"/>
      <c r="GF37" s="860"/>
      <c r="GG37" s="750"/>
      <c r="GH37" s="750"/>
      <c r="GI37" s="750"/>
      <c r="GJ37" s="530"/>
      <c r="GK37" s="413"/>
      <c r="GL37" s="580"/>
      <c r="GM37" s="413"/>
      <c r="GN37" s="580"/>
      <c r="GO37" s="413"/>
      <c r="GP37" s="413"/>
      <c r="GQ37" s="413"/>
      <c r="GR37" s="413"/>
      <c r="GS37" s="530"/>
      <c r="GT37" s="861"/>
      <c r="GU37" s="829"/>
      <c r="GV37" s="830"/>
      <c r="GW37" s="831"/>
      <c r="GX37" s="633"/>
      <c r="GY37" s="633"/>
      <c r="GZ37" s="633"/>
      <c r="HA37" s="633"/>
      <c r="HB37" s="634"/>
      <c r="HC37" s="530"/>
      <c r="HD37" s="723"/>
      <c r="HE37" s="415"/>
      <c r="HF37" s="415"/>
    </row>
    <row r="38" spans="1:219" ht="20.100000000000001" customHeight="1">
      <c r="A38" s="862"/>
      <c r="B38" s="863" t="s">
        <v>670</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c r="FM38" s="865"/>
      <c r="FN38" s="866">
        <v>0</v>
      </c>
      <c r="FO38" s="867"/>
      <c r="FP38" s="685"/>
      <c r="FQ38" s="686"/>
      <c r="FR38" s="559">
        <v>0</v>
      </c>
      <c r="FS38" s="687"/>
      <c r="FT38" s="686"/>
      <c r="FU38" s="567">
        <v>0</v>
      </c>
      <c r="FV38" s="593"/>
      <c r="FW38" s="594"/>
      <c r="FX38" s="806"/>
      <c r="FY38" s="596"/>
      <c r="FZ38" s="807"/>
      <c r="GA38" s="598"/>
      <c r="GB38" s="808"/>
      <c r="GC38" s="600"/>
      <c r="GD38" s="808"/>
      <c r="GE38" s="601"/>
      <c r="GF38" s="688"/>
      <c r="GG38" s="602"/>
      <c r="GH38" s="602"/>
      <c r="GI38" s="602"/>
      <c r="GJ38" s="580"/>
      <c r="GK38" s="413" t="s">
        <v>569</v>
      </c>
      <c r="GL38" s="409"/>
      <c r="GM38" s="413"/>
      <c r="GN38" s="409"/>
      <c r="GO38" s="413"/>
      <c r="GP38" s="413"/>
      <c r="GQ38" s="413"/>
      <c r="GR38" s="413"/>
      <c r="GS38" s="580"/>
      <c r="GT38" s="861"/>
      <c r="GU38" s="872" t="s">
        <v>699</v>
      </c>
      <c r="GV38" s="873"/>
      <c r="GW38" s="873"/>
      <c r="GX38" s="873"/>
      <c r="GY38" s="873"/>
      <c r="GZ38" s="874"/>
      <c r="HA38" s="633">
        <v>288.04999999999995</v>
      </c>
      <c r="HB38" s="875">
        <v>68</v>
      </c>
      <c r="HC38" s="530"/>
      <c r="HD38" s="530"/>
      <c r="HE38" s="387"/>
      <c r="HF38" s="387"/>
      <c r="HK38" s="415"/>
    </row>
    <row r="39" spans="1:219" ht="20.100000000000001" customHeight="1">
      <c r="A39" s="832"/>
      <c r="B39" s="876" t="s">
        <v>465</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409"/>
      <c r="GK39" s="885"/>
      <c r="GL39" s="886"/>
      <c r="GM39" s="887" t="s">
        <v>881</v>
      </c>
      <c r="GN39" s="886"/>
      <c r="GO39" s="887" t="s">
        <v>837</v>
      </c>
      <c r="GP39" s="886"/>
      <c r="GQ39" s="887" t="s">
        <v>572</v>
      </c>
      <c r="GR39" s="888"/>
      <c r="GS39" s="413"/>
      <c r="GT39" s="689"/>
      <c r="GU39" s="530" t="s">
        <v>573</v>
      </c>
      <c r="GV39" s="530"/>
      <c r="GW39" s="530"/>
      <c r="GX39" s="530"/>
      <c r="GY39" s="530"/>
      <c r="GZ39" s="530"/>
      <c r="HA39" s="690">
        <v>4.24</v>
      </c>
      <c r="HB39" s="579"/>
      <c r="HC39" s="530"/>
      <c r="HD39" s="562"/>
    </row>
    <row r="40" spans="1:219" ht="20.100000000000001" customHeight="1">
      <c r="A40" s="889"/>
      <c r="B40" s="642"/>
      <c r="C40" s="642"/>
      <c r="D40" s="643" t="s">
        <v>466</v>
      </c>
      <c r="E40" s="642"/>
      <c r="F40" s="642"/>
      <c r="G40" s="845"/>
      <c r="H40" s="1313">
        <v>0</v>
      </c>
      <c r="I40" s="1314"/>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1315">
        <v>0</v>
      </c>
      <c r="BC40" s="648"/>
      <c r="BD40" s="889"/>
      <c r="BE40" s="642"/>
      <c r="BF40" s="642"/>
      <c r="BG40" s="643" t="s">
        <v>466</v>
      </c>
      <c r="BH40" s="642"/>
      <c r="BI40" s="642"/>
      <c r="BJ40" s="845"/>
      <c r="BK40" s="1313">
        <v>0</v>
      </c>
      <c r="BL40" s="1314"/>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1315">
        <v>0</v>
      </c>
      <c r="DF40" s="648"/>
      <c r="DG40" s="889"/>
      <c r="DH40" s="642"/>
      <c r="DI40" s="642"/>
      <c r="DJ40" s="643" t="s">
        <v>466</v>
      </c>
      <c r="DK40" s="642"/>
      <c r="DL40" s="642"/>
      <c r="DM40" s="845"/>
      <c r="DN40" s="1313">
        <v>0</v>
      </c>
      <c r="DO40" s="1314"/>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1315">
        <v>0</v>
      </c>
      <c r="FI40" s="649"/>
      <c r="FJ40" s="841"/>
      <c r="FK40" s="642"/>
      <c r="FL40" s="642"/>
      <c r="FM40" s="643" t="s">
        <v>329</v>
      </c>
      <c r="FN40" s="642"/>
      <c r="FO40" s="642"/>
      <c r="FP40" s="650"/>
      <c r="FQ40" s="1314"/>
      <c r="FR40" s="1313">
        <v>0</v>
      </c>
      <c r="FS40" s="1316"/>
      <c r="FT40" s="1314"/>
      <c r="FU40" s="1317">
        <v>0</v>
      </c>
      <c r="FV40" s="593"/>
      <c r="FW40" s="594"/>
      <c r="FX40" s="806"/>
      <c r="FY40" s="596"/>
      <c r="FZ40" s="807"/>
      <c r="GA40" s="598"/>
      <c r="GB40" s="808"/>
      <c r="GC40" s="600"/>
      <c r="GD40" s="808"/>
      <c r="GE40" s="601"/>
      <c r="GF40" s="654"/>
      <c r="GG40" s="655"/>
      <c r="GH40" s="655"/>
      <c r="GI40" s="655"/>
      <c r="GJ40" s="530"/>
      <c r="GK40" s="890"/>
      <c r="GL40" s="891"/>
      <c r="GM40" s="891"/>
      <c r="GN40" s="891"/>
      <c r="GO40" s="891"/>
      <c r="GP40" s="891"/>
      <c r="GQ40" s="891"/>
      <c r="GR40" s="892"/>
      <c r="GS40" s="893"/>
      <c r="GT40" s="689"/>
      <c r="GU40" s="530" t="s">
        <v>610</v>
      </c>
      <c r="GV40" s="530"/>
      <c r="GW40" s="530"/>
      <c r="GX40" s="530"/>
      <c r="GY40" s="530"/>
      <c r="GZ40" s="530"/>
      <c r="HA40" s="894">
        <v>65.8</v>
      </c>
      <c r="HB40" s="413"/>
      <c r="HC40" s="530"/>
      <c r="HD40" s="580"/>
      <c r="HK40" s="415"/>
    </row>
    <row r="41" spans="1:219" ht="20.100000000000001" customHeight="1">
      <c r="A41" s="862" t="s">
        <v>467</v>
      </c>
      <c r="B41" s="738"/>
      <c r="C41" s="895"/>
      <c r="D41" s="895"/>
      <c r="E41" s="895"/>
      <c r="F41" s="896"/>
      <c r="G41" s="740"/>
      <c r="H41" s="663" t="s">
        <v>430</v>
      </c>
      <c r="I41" s="741"/>
      <c r="J41" s="663" t="s">
        <v>430</v>
      </c>
      <c r="K41" s="742"/>
      <c r="L41" s="663" t="s">
        <v>428</v>
      </c>
      <c r="M41" s="742"/>
      <c r="N41" s="663" t="s">
        <v>428</v>
      </c>
      <c r="O41" s="742"/>
      <c r="P41" s="663" t="s">
        <v>428</v>
      </c>
      <c r="Q41" s="742"/>
      <c r="R41" s="663" t="s">
        <v>428</v>
      </c>
      <c r="S41" s="742"/>
      <c r="T41" s="663" t="s">
        <v>430</v>
      </c>
      <c r="U41" s="742"/>
      <c r="V41" s="663" t="s">
        <v>428</v>
      </c>
      <c r="W41" s="742"/>
      <c r="X41" s="663" t="s">
        <v>428</v>
      </c>
      <c r="Y41" s="742" t="s">
        <v>447</v>
      </c>
      <c r="Z41" s="663" t="s">
        <v>428</v>
      </c>
      <c r="AA41" s="742" t="s">
        <v>447</v>
      </c>
      <c r="AB41" s="663" t="s">
        <v>430</v>
      </c>
      <c r="AC41" s="742"/>
      <c r="AD41" s="663" t="s">
        <v>430</v>
      </c>
      <c r="AE41" s="742"/>
      <c r="AF41" s="663" t="s">
        <v>430</v>
      </c>
      <c r="AG41" s="742"/>
      <c r="AH41" s="663" t="s">
        <v>428</v>
      </c>
      <c r="AI41" s="742"/>
      <c r="AJ41" s="663" t="s">
        <v>428</v>
      </c>
      <c r="AK41" s="742"/>
      <c r="AL41" s="663" t="s">
        <v>430</v>
      </c>
      <c r="AM41" s="742"/>
      <c r="AN41" s="663" t="s">
        <v>428</v>
      </c>
      <c r="AO41" s="742"/>
      <c r="AP41" s="663" t="s">
        <v>428</v>
      </c>
      <c r="AQ41" s="742"/>
      <c r="AR41" s="663" t="s">
        <v>428</v>
      </c>
      <c r="AS41" s="742"/>
      <c r="AT41" s="663" t="s">
        <v>428</v>
      </c>
      <c r="AU41" s="742"/>
      <c r="AV41" s="663" t="s">
        <v>430</v>
      </c>
      <c r="AW41" s="742"/>
      <c r="AX41" s="663" t="s">
        <v>428</v>
      </c>
      <c r="AY41" s="742"/>
      <c r="AZ41" s="663" t="s">
        <v>428</v>
      </c>
      <c r="BA41" s="742"/>
      <c r="BB41" s="665" t="s">
        <v>428</v>
      </c>
      <c r="BC41" s="723"/>
      <c r="BD41" s="862" t="s">
        <v>468</v>
      </c>
      <c r="BE41" s="738"/>
      <c r="BF41" s="895"/>
      <c r="BG41" s="895"/>
      <c r="BH41" s="895"/>
      <c r="BI41" s="896"/>
      <c r="BJ41" s="740"/>
      <c r="BK41" s="663" t="s">
        <v>428</v>
      </c>
      <c r="BL41" s="741"/>
      <c r="BM41" s="663" t="s">
        <v>428</v>
      </c>
      <c r="BN41" s="742"/>
      <c r="BO41" s="663" t="s">
        <v>430</v>
      </c>
      <c r="BP41" s="742"/>
      <c r="BQ41" s="663" t="s">
        <v>428</v>
      </c>
      <c r="BR41" s="742"/>
      <c r="BS41" s="663" t="s">
        <v>428</v>
      </c>
      <c r="BT41" s="742"/>
      <c r="BU41" s="663" t="s">
        <v>428</v>
      </c>
      <c r="BV41" s="742"/>
      <c r="BW41" s="663" t="s">
        <v>428</v>
      </c>
      <c r="BX41" s="742"/>
      <c r="BY41" s="663" t="s">
        <v>430</v>
      </c>
      <c r="BZ41" s="742"/>
      <c r="CA41" s="663" t="s">
        <v>428</v>
      </c>
      <c r="CB41" s="742" t="s">
        <v>448</v>
      </c>
      <c r="CC41" s="663" t="s">
        <v>428</v>
      </c>
      <c r="CD41" s="742" t="s">
        <v>448</v>
      </c>
      <c r="CE41" s="663" t="s">
        <v>430</v>
      </c>
      <c r="CF41" s="742"/>
      <c r="CG41" s="663" t="s">
        <v>428</v>
      </c>
      <c r="CH41" s="742"/>
      <c r="CI41" s="663" t="s">
        <v>428</v>
      </c>
      <c r="CJ41" s="742"/>
      <c r="CK41" s="663" t="s">
        <v>430</v>
      </c>
      <c r="CL41" s="742"/>
      <c r="CM41" s="663" t="s">
        <v>428</v>
      </c>
      <c r="CN41" s="742"/>
      <c r="CO41" s="663" t="s">
        <v>428</v>
      </c>
      <c r="CP41" s="742"/>
      <c r="CQ41" s="663" t="s">
        <v>430</v>
      </c>
      <c r="CR41" s="742"/>
      <c r="CS41" s="663" t="s">
        <v>428</v>
      </c>
      <c r="CT41" s="742"/>
      <c r="CU41" s="663" t="s">
        <v>428</v>
      </c>
      <c r="CV41" s="742"/>
      <c r="CW41" s="663" t="s">
        <v>428</v>
      </c>
      <c r="CX41" s="742"/>
      <c r="CY41" s="663" t="s">
        <v>428</v>
      </c>
      <c r="CZ41" s="742"/>
      <c r="DA41" s="663" t="s">
        <v>430</v>
      </c>
      <c r="DB41" s="742"/>
      <c r="DC41" s="663" t="s">
        <v>428</v>
      </c>
      <c r="DD41" s="742"/>
      <c r="DE41" s="665" t="s">
        <v>428</v>
      </c>
      <c r="DF41" s="723"/>
      <c r="DG41" s="862" t="s">
        <v>467</v>
      </c>
      <c r="DH41" s="738"/>
      <c r="DI41" s="895"/>
      <c r="DJ41" s="895"/>
      <c r="DK41" s="895"/>
      <c r="DL41" s="896"/>
      <c r="DM41" s="740"/>
      <c r="DN41" s="663" t="s">
        <v>430</v>
      </c>
      <c r="DO41" s="741"/>
      <c r="DP41" s="663" t="s">
        <v>428</v>
      </c>
      <c r="DQ41" s="742"/>
      <c r="DR41" s="663" t="s">
        <v>428</v>
      </c>
      <c r="DS41" s="742"/>
      <c r="DT41" s="663" t="s">
        <v>430</v>
      </c>
      <c r="DU41" s="742"/>
      <c r="DV41" s="663" t="s">
        <v>428</v>
      </c>
      <c r="DW41" s="742"/>
      <c r="DX41" s="663" t="s">
        <v>428</v>
      </c>
      <c r="DY41" s="742"/>
      <c r="DZ41" s="663" t="s">
        <v>428</v>
      </c>
      <c r="EA41" s="742"/>
      <c r="EB41" s="663" t="s">
        <v>428</v>
      </c>
      <c r="EC41" s="742"/>
      <c r="ED41" s="663" t="s">
        <v>430</v>
      </c>
      <c r="EE41" s="742" t="s">
        <v>448</v>
      </c>
      <c r="EF41" s="663" t="s">
        <v>430</v>
      </c>
      <c r="EG41" s="742" t="s">
        <v>447</v>
      </c>
      <c r="EH41" s="663" t="s">
        <v>430</v>
      </c>
      <c r="EI41" s="742"/>
      <c r="EJ41" s="663" t="s">
        <v>430</v>
      </c>
      <c r="EK41" s="742"/>
      <c r="EL41" s="663" t="s">
        <v>428</v>
      </c>
      <c r="EM41" s="742"/>
      <c r="EN41" s="663" t="s">
        <v>430</v>
      </c>
      <c r="EO41" s="742"/>
      <c r="EP41" s="663" t="s">
        <v>430</v>
      </c>
      <c r="EQ41" s="742"/>
      <c r="ER41" s="663" t="s">
        <v>428</v>
      </c>
      <c r="ES41" s="742"/>
      <c r="ET41" s="663" t="s">
        <v>428</v>
      </c>
      <c r="EU41" s="742"/>
      <c r="EV41" s="663" t="s">
        <v>430</v>
      </c>
      <c r="EW41" s="742"/>
      <c r="EX41" s="663" t="s">
        <v>428</v>
      </c>
      <c r="EY41" s="742"/>
      <c r="EZ41" s="663" t="s">
        <v>428</v>
      </c>
      <c r="FA41" s="742"/>
      <c r="FB41" s="663" t="s">
        <v>428</v>
      </c>
      <c r="FC41" s="742"/>
      <c r="FD41" s="663" t="s">
        <v>428</v>
      </c>
      <c r="FE41" s="742"/>
      <c r="FF41" s="663" t="s">
        <v>430</v>
      </c>
      <c r="FG41" s="742"/>
      <c r="FH41" s="665" t="s">
        <v>428</v>
      </c>
      <c r="FI41" s="746"/>
      <c r="FJ41" s="827" t="s">
        <v>467</v>
      </c>
      <c r="FK41" s="743"/>
      <c r="FL41" s="897"/>
      <c r="FM41" s="897"/>
      <c r="FN41" s="897"/>
      <c r="FO41" s="898"/>
      <c r="FP41" s="747"/>
      <c r="FQ41" s="673"/>
      <c r="FR41" s="663" t="s">
        <v>434</v>
      </c>
      <c r="FS41" s="748"/>
      <c r="FT41" s="673"/>
      <c r="FU41" s="675" t="s">
        <v>451</v>
      </c>
      <c r="FV41" s="593"/>
      <c r="FW41" s="594"/>
      <c r="FX41" s="806"/>
      <c r="FY41" s="596"/>
      <c r="FZ41" s="807"/>
      <c r="GA41" s="598"/>
      <c r="GB41" s="808"/>
      <c r="GC41" s="600"/>
      <c r="GD41" s="808"/>
      <c r="GE41" s="601"/>
      <c r="GF41" s="749"/>
      <c r="GG41" s="750"/>
      <c r="GH41" s="750"/>
      <c r="GI41" s="750"/>
      <c r="GJ41" s="580"/>
      <c r="GK41" s="899" t="s">
        <v>574</v>
      </c>
      <c r="GL41" s="900"/>
      <c r="GM41" s="901" t="s">
        <v>575</v>
      </c>
      <c r="GN41" s="901"/>
      <c r="GO41" s="901" t="s">
        <v>576</v>
      </c>
      <c r="GP41" s="901"/>
      <c r="GQ41" s="901"/>
      <c r="GR41" s="902"/>
      <c r="GS41" s="861"/>
      <c r="GT41" s="689"/>
      <c r="GU41" s="530" t="s">
        <v>611</v>
      </c>
      <c r="GV41" s="530"/>
      <c r="GW41" s="530"/>
      <c r="GX41" s="530"/>
      <c r="GY41" s="530"/>
      <c r="GZ41" s="530"/>
      <c r="HA41" s="894">
        <v>40.799999999999997</v>
      </c>
      <c r="HB41" s="413"/>
      <c r="HC41" s="530"/>
      <c r="HD41" s="409"/>
    </row>
    <row r="42" spans="1:219" ht="20.100000000000001" customHeight="1">
      <c r="A42" s="832"/>
      <c r="B42" s="903" t="s">
        <v>469</v>
      </c>
      <c r="C42" s="904"/>
      <c r="D42" s="904"/>
      <c r="E42" s="905"/>
      <c r="F42" s="906"/>
      <c r="G42" s="836"/>
      <c r="H42" s="837"/>
      <c r="I42" s="838"/>
      <c r="J42" s="799"/>
      <c r="K42" s="839"/>
      <c r="L42" s="799"/>
      <c r="M42" s="839"/>
      <c r="N42" s="799"/>
      <c r="O42" s="839"/>
      <c r="P42" s="799"/>
      <c r="Q42" s="839"/>
      <c r="R42" s="799"/>
      <c r="S42" s="839"/>
      <c r="T42" s="799"/>
      <c r="U42" s="839"/>
      <c r="V42" s="799"/>
      <c r="W42" s="839"/>
      <c r="X42" s="799">
        <v>1163</v>
      </c>
      <c r="Y42" s="839"/>
      <c r="Z42" s="799">
        <v>748</v>
      </c>
      <c r="AA42" s="839"/>
      <c r="AB42" s="799">
        <v>748</v>
      </c>
      <c r="AC42" s="839"/>
      <c r="AD42" s="799">
        <v>748</v>
      </c>
      <c r="AE42" s="839"/>
      <c r="AF42" s="799">
        <v>748</v>
      </c>
      <c r="AG42" s="839"/>
      <c r="AH42" s="799">
        <v>748</v>
      </c>
      <c r="AI42" s="839"/>
      <c r="AJ42" s="799">
        <v>748</v>
      </c>
      <c r="AK42" s="839"/>
      <c r="AL42" s="799">
        <v>748</v>
      </c>
      <c r="AM42" s="839"/>
      <c r="AN42" s="799">
        <v>748</v>
      </c>
      <c r="AO42" s="839"/>
      <c r="AP42" s="799">
        <v>748</v>
      </c>
      <c r="AQ42" s="839"/>
      <c r="AR42" s="799"/>
      <c r="AS42" s="839"/>
      <c r="AT42" s="799"/>
      <c r="AU42" s="839"/>
      <c r="AV42" s="799"/>
      <c r="AW42" s="839"/>
      <c r="AX42" s="799"/>
      <c r="AY42" s="839"/>
      <c r="AZ42" s="799"/>
      <c r="BA42" s="839"/>
      <c r="BB42" s="840"/>
      <c r="BC42" s="562"/>
      <c r="BD42" s="832"/>
      <c r="BE42" s="907" t="s">
        <v>469</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1163</v>
      </c>
      <c r="CB42" s="839"/>
      <c r="CC42" s="799">
        <v>748</v>
      </c>
      <c r="CD42" s="839"/>
      <c r="CE42" s="799">
        <v>748</v>
      </c>
      <c r="CF42" s="839"/>
      <c r="CG42" s="799">
        <v>748</v>
      </c>
      <c r="CH42" s="839"/>
      <c r="CI42" s="799">
        <v>748</v>
      </c>
      <c r="CJ42" s="839"/>
      <c r="CK42" s="799">
        <v>748</v>
      </c>
      <c r="CL42" s="839"/>
      <c r="CM42" s="799">
        <v>748</v>
      </c>
      <c r="CN42" s="839"/>
      <c r="CO42" s="799">
        <v>748</v>
      </c>
      <c r="CP42" s="839"/>
      <c r="CQ42" s="799">
        <v>748</v>
      </c>
      <c r="CR42" s="839"/>
      <c r="CS42" s="799">
        <v>748</v>
      </c>
      <c r="CT42" s="839"/>
      <c r="CU42" s="799"/>
      <c r="CV42" s="839"/>
      <c r="CW42" s="799"/>
      <c r="CX42" s="839"/>
      <c r="CY42" s="799"/>
      <c r="CZ42" s="839"/>
      <c r="DA42" s="799"/>
      <c r="DB42" s="839"/>
      <c r="DC42" s="799"/>
      <c r="DD42" s="839"/>
      <c r="DE42" s="840"/>
      <c r="DF42" s="562"/>
      <c r="DG42" s="832"/>
      <c r="DH42" s="907" t="s">
        <v>469</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1163</v>
      </c>
      <c r="EE42" s="839"/>
      <c r="EF42" s="799">
        <v>748</v>
      </c>
      <c r="EG42" s="839"/>
      <c r="EH42" s="799">
        <v>748</v>
      </c>
      <c r="EI42" s="839"/>
      <c r="EJ42" s="799">
        <v>748</v>
      </c>
      <c r="EK42" s="839"/>
      <c r="EL42" s="799">
        <v>748</v>
      </c>
      <c r="EM42" s="839"/>
      <c r="EN42" s="799">
        <v>748</v>
      </c>
      <c r="EO42" s="839"/>
      <c r="EP42" s="799">
        <v>748</v>
      </c>
      <c r="EQ42" s="839"/>
      <c r="ER42" s="799">
        <v>748</v>
      </c>
      <c r="ES42" s="839"/>
      <c r="ET42" s="799">
        <v>748</v>
      </c>
      <c r="EU42" s="839"/>
      <c r="EV42" s="799">
        <v>748</v>
      </c>
      <c r="EW42" s="839"/>
      <c r="EX42" s="799"/>
      <c r="EY42" s="839"/>
      <c r="EZ42" s="799"/>
      <c r="FA42" s="839"/>
      <c r="FB42" s="799"/>
      <c r="FC42" s="839"/>
      <c r="FD42" s="799"/>
      <c r="FE42" s="839"/>
      <c r="FF42" s="799"/>
      <c r="FG42" s="839"/>
      <c r="FH42" s="840"/>
      <c r="FI42" s="563"/>
      <c r="FJ42" s="841"/>
      <c r="FK42" s="907" t="s">
        <v>470</v>
      </c>
      <c r="FL42" s="904"/>
      <c r="FM42" s="904"/>
      <c r="FN42" s="905"/>
      <c r="FO42" s="906"/>
      <c r="FP42" s="842"/>
      <c r="FQ42" s="838"/>
      <c r="FR42" s="837">
        <v>2441</v>
      </c>
      <c r="FS42" s="843"/>
      <c r="FT42" s="838"/>
      <c r="FU42" s="805">
        <v>2441</v>
      </c>
      <c r="FV42" s="593"/>
      <c r="FW42" s="594"/>
      <c r="FX42" s="806"/>
      <c r="FY42" s="596"/>
      <c r="FZ42" s="807"/>
      <c r="GA42" s="598"/>
      <c r="GB42" s="808"/>
      <c r="GC42" s="600"/>
      <c r="GD42" s="808"/>
      <c r="GE42" s="601"/>
      <c r="GF42" s="844"/>
      <c r="GG42" s="602"/>
      <c r="GH42" s="602"/>
      <c r="GI42" s="602"/>
      <c r="GJ42" s="409"/>
      <c r="GK42" s="908"/>
      <c r="GL42" s="909"/>
      <c r="GM42" s="910">
        <v>0</v>
      </c>
      <c r="GN42" s="910"/>
      <c r="GO42" s="910">
        <v>17.100000000000001</v>
      </c>
      <c r="GP42" s="910"/>
      <c r="GQ42" s="910">
        <v>17.100000000000001</v>
      </c>
      <c r="GR42" s="911"/>
      <c r="GS42" s="580"/>
      <c r="GT42" s="500"/>
      <c r="GU42" s="500"/>
      <c r="GV42" s="500"/>
      <c r="GW42" s="579"/>
      <c r="GX42" s="579"/>
      <c r="GY42" s="579"/>
      <c r="GZ42" s="578"/>
      <c r="HA42" s="500"/>
      <c r="HB42" s="500"/>
      <c r="HC42" s="530"/>
      <c r="HD42" s="530"/>
    </row>
    <row r="43" spans="1:219" ht="20.100000000000001" customHeight="1">
      <c r="A43" s="832"/>
      <c r="B43" s="912" t="s">
        <v>471</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471</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471</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471</v>
      </c>
      <c r="FL43" s="913"/>
      <c r="FM43" s="913"/>
      <c r="FN43" s="913"/>
      <c r="FO43" s="914"/>
      <c r="FP43" s="696"/>
      <c r="FQ43" s="697"/>
      <c r="FR43" s="587">
        <v>0</v>
      </c>
      <c r="FS43" s="698"/>
      <c r="FT43" s="697"/>
      <c r="FU43" s="592">
        <v>0</v>
      </c>
      <c r="FV43" s="918"/>
      <c r="FW43" s="919"/>
      <c r="FX43" s="920"/>
      <c r="FY43" s="921"/>
      <c r="FZ43" s="922"/>
      <c r="GA43" s="923"/>
      <c r="GB43" s="924"/>
      <c r="GC43" s="925"/>
      <c r="GD43" s="924"/>
      <c r="GE43" s="926"/>
      <c r="GF43" s="688"/>
      <c r="GG43" s="602"/>
      <c r="GH43" s="602"/>
      <c r="GI43" s="602"/>
      <c r="GJ43" s="927"/>
      <c r="GK43" s="928" t="s">
        <v>787</v>
      </c>
      <c r="GL43" s="929"/>
      <c r="GM43" s="930" t="s">
        <v>575</v>
      </c>
      <c r="GN43" s="930"/>
      <c r="GO43" s="930" t="s">
        <v>578</v>
      </c>
      <c r="GP43" s="930"/>
      <c r="GQ43" s="930"/>
      <c r="GR43" s="931"/>
      <c r="GS43" s="580"/>
      <c r="GT43" s="609"/>
      <c r="GU43" s="530" t="s">
        <v>722</v>
      </c>
      <c r="GV43" s="413"/>
      <c r="GW43" s="409"/>
      <c r="GX43" s="413"/>
      <c r="GY43" s="413"/>
      <c r="GZ43" s="413"/>
      <c r="HA43" s="409"/>
      <c r="HB43" s="413"/>
      <c r="HC43" s="932"/>
      <c r="HD43" s="415"/>
    </row>
    <row r="44" spans="1:219" ht="20.100000000000001" customHeight="1" thickBot="1">
      <c r="A44" s="933"/>
      <c r="B44" s="642"/>
      <c r="C44" s="642"/>
      <c r="D44" s="643" t="s">
        <v>330</v>
      </c>
      <c r="E44" s="642"/>
      <c r="F44" s="642"/>
      <c r="G44" s="845"/>
      <c r="H44" s="1313">
        <v>0</v>
      </c>
      <c r="I44" s="1314"/>
      <c r="J44" s="848">
        <v>0</v>
      </c>
      <c r="K44" s="849"/>
      <c r="L44" s="848">
        <v>0</v>
      </c>
      <c r="M44" s="849"/>
      <c r="N44" s="848">
        <v>0</v>
      </c>
      <c r="O44" s="849"/>
      <c r="P44" s="848">
        <v>0</v>
      </c>
      <c r="Q44" s="849"/>
      <c r="R44" s="848">
        <v>0</v>
      </c>
      <c r="S44" s="849"/>
      <c r="T44" s="848">
        <v>0</v>
      </c>
      <c r="U44" s="849"/>
      <c r="V44" s="848">
        <v>0</v>
      </c>
      <c r="W44" s="849"/>
      <c r="X44" s="848">
        <v>1163</v>
      </c>
      <c r="Y44" s="849"/>
      <c r="Z44" s="848">
        <v>748</v>
      </c>
      <c r="AA44" s="849"/>
      <c r="AB44" s="848">
        <v>748</v>
      </c>
      <c r="AC44" s="849"/>
      <c r="AD44" s="848">
        <v>748</v>
      </c>
      <c r="AE44" s="849"/>
      <c r="AF44" s="848">
        <v>748</v>
      </c>
      <c r="AG44" s="849"/>
      <c r="AH44" s="848">
        <v>748</v>
      </c>
      <c r="AI44" s="849"/>
      <c r="AJ44" s="848">
        <v>748</v>
      </c>
      <c r="AK44" s="849"/>
      <c r="AL44" s="848">
        <v>748</v>
      </c>
      <c r="AM44" s="849"/>
      <c r="AN44" s="848">
        <v>748</v>
      </c>
      <c r="AO44" s="849"/>
      <c r="AP44" s="848">
        <v>748</v>
      </c>
      <c r="AQ44" s="849"/>
      <c r="AR44" s="848">
        <v>0</v>
      </c>
      <c r="AS44" s="849"/>
      <c r="AT44" s="848">
        <v>0</v>
      </c>
      <c r="AU44" s="849"/>
      <c r="AV44" s="848">
        <v>0</v>
      </c>
      <c r="AW44" s="849"/>
      <c r="AX44" s="848">
        <v>0</v>
      </c>
      <c r="AY44" s="849"/>
      <c r="AZ44" s="848">
        <v>0</v>
      </c>
      <c r="BA44" s="849"/>
      <c r="BB44" s="1315">
        <v>0</v>
      </c>
      <c r="BC44" s="648"/>
      <c r="BD44" s="933"/>
      <c r="BE44" s="642"/>
      <c r="BF44" s="642"/>
      <c r="BG44" s="643" t="s">
        <v>672</v>
      </c>
      <c r="BH44" s="642"/>
      <c r="BI44" s="642"/>
      <c r="BJ44" s="845"/>
      <c r="BK44" s="1313">
        <v>0</v>
      </c>
      <c r="BL44" s="1314"/>
      <c r="BM44" s="848">
        <v>0</v>
      </c>
      <c r="BN44" s="849"/>
      <c r="BO44" s="848">
        <v>0</v>
      </c>
      <c r="BP44" s="849"/>
      <c r="BQ44" s="848">
        <v>0</v>
      </c>
      <c r="BR44" s="849"/>
      <c r="BS44" s="848">
        <v>0</v>
      </c>
      <c r="BT44" s="849"/>
      <c r="BU44" s="848">
        <v>0</v>
      </c>
      <c r="BV44" s="849"/>
      <c r="BW44" s="848">
        <v>0</v>
      </c>
      <c r="BX44" s="849"/>
      <c r="BY44" s="848">
        <v>0</v>
      </c>
      <c r="BZ44" s="849"/>
      <c r="CA44" s="848">
        <v>1163</v>
      </c>
      <c r="CB44" s="849"/>
      <c r="CC44" s="848">
        <v>748</v>
      </c>
      <c r="CD44" s="849"/>
      <c r="CE44" s="848">
        <v>748</v>
      </c>
      <c r="CF44" s="849"/>
      <c r="CG44" s="848">
        <v>748</v>
      </c>
      <c r="CH44" s="849"/>
      <c r="CI44" s="848">
        <v>748</v>
      </c>
      <c r="CJ44" s="849"/>
      <c r="CK44" s="848">
        <v>748</v>
      </c>
      <c r="CL44" s="849"/>
      <c r="CM44" s="848">
        <v>748</v>
      </c>
      <c r="CN44" s="849"/>
      <c r="CO44" s="848">
        <v>748</v>
      </c>
      <c r="CP44" s="849"/>
      <c r="CQ44" s="848">
        <v>748</v>
      </c>
      <c r="CR44" s="849"/>
      <c r="CS44" s="848">
        <v>748</v>
      </c>
      <c r="CT44" s="849"/>
      <c r="CU44" s="848">
        <v>0</v>
      </c>
      <c r="CV44" s="849"/>
      <c r="CW44" s="848">
        <v>0</v>
      </c>
      <c r="CX44" s="849"/>
      <c r="CY44" s="848">
        <v>0</v>
      </c>
      <c r="CZ44" s="849"/>
      <c r="DA44" s="848">
        <v>0</v>
      </c>
      <c r="DB44" s="849"/>
      <c r="DC44" s="848">
        <v>0</v>
      </c>
      <c r="DD44" s="849"/>
      <c r="DE44" s="1315">
        <v>0</v>
      </c>
      <c r="DF44" s="648"/>
      <c r="DG44" s="933"/>
      <c r="DH44" s="642"/>
      <c r="DI44" s="642"/>
      <c r="DJ44" s="643" t="s">
        <v>330</v>
      </c>
      <c r="DK44" s="642"/>
      <c r="DL44" s="642"/>
      <c r="DM44" s="845"/>
      <c r="DN44" s="1313">
        <v>0</v>
      </c>
      <c r="DO44" s="1314"/>
      <c r="DP44" s="848">
        <v>0</v>
      </c>
      <c r="DQ44" s="849"/>
      <c r="DR44" s="848">
        <v>0</v>
      </c>
      <c r="DS44" s="849"/>
      <c r="DT44" s="848">
        <v>0</v>
      </c>
      <c r="DU44" s="849"/>
      <c r="DV44" s="848">
        <v>0</v>
      </c>
      <c r="DW44" s="849"/>
      <c r="DX44" s="848">
        <v>0</v>
      </c>
      <c r="DY44" s="849"/>
      <c r="DZ44" s="848">
        <v>0</v>
      </c>
      <c r="EA44" s="849"/>
      <c r="EB44" s="848">
        <v>0</v>
      </c>
      <c r="EC44" s="849"/>
      <c r="ED44" s="848">
        <v>1163</v>
      </c>
      <c r="EE44" s="849"/>
      <c r="EF44" s="848">
        <v>748</v>
      </c>
      <c r="EG44" s="849"/>
      <c r="EH44" s="848">
        <v>748</v>
      </c>
      <c r="EI44" s="849"/>
      <c r="EJ44" s="848">
        <v>748</v>
      </c>
      <c r="EK44" s="849"/>
      <c r="EL44" s="848">
        <v>748</v>
      </c>
      <c r="EM44" s="849"/>
      <c r="EN44" s="848">
        <v>748</v>
      </c>
      <c r="EO44" s="849"/>
      <c r="EP44" s="848">
        <v>748</v>
      </c>
      <c r="EQ44" s="849"/>
      <c r="ER44" s="848">
        <v>748</v>
      </c>
      <c r="ES44" s="849"/>
      <c r="ET44" s="848">
        <v>748</v>
      </c>
      <c r="EU44" s="849"/>
      <c r="EV44" s="848">
        <v>748</v>
      </c>
      <c r="EW44" s="849"/>
      <c r="EX44" s="848">
        <v>0</v>
      </c>
      <c r="EY44" s="849"/>
      <c r="EZ44" s="848">
        <v>0</v>
      </c>
      <c r="FA44" s="849"/>
      <c r="FB44" s="848">
        <v>0</v>
      </c>
      <c r="FC44" s="849"/>
      <c r="FD44" s="848">
        <v>0</v>
      </c>
      <c r="FE44" s="849"/>
      <c r="FF44" s="848">
        <v>0</v>
      </c>
      <c r="FG44" s="849"/>
      <c r="FH44" s="1315">
        <v>0</v>
      </c>
      <c r="FI44" s="649"/>
      <c r="FJ44" s="934"/>
      <c r="FK44" s="642"/>
      <c r="FL44" s="642"/>
      <c r="FM44" s="643" t="s">
        <v>672</v>
      </c>
      <c r="FN44" s="642"/>
      <c r="FO44" s="642"/>
      <c r="FP44" s="650"/>
      <c r="FQ44" s="1314"/>
      <c r="FR44" s="1313">
        <v>2441</v>
      </c>
      <c r="FS44" s="1316"/>
      <c r="FT44" s="1314"/>
      <c r="FU44" s="1317">
        <v>2441</v>
      </c>
      <c r="FV44" s="593" t="s">
        <v>331</v>
      </c>
      <c r="FW44" s="594"/>
      <c r="FX44" s="806" t="s">
        <v>332</v>
      </c>
      <c r="FY44" s="596"/>
      <c r="FZ44" s="807" t="s">
        <v>333</v>
      </c>
      <c r="GA44" s="598"/>
      <c r="GB44" s="808" t="s">
        <v>334</v>
      </c>
      <c r="GC44" s="600"/>
      <c r="GD44" s="808" t="s">
        <v>335</v>
      </c>
      <c r="GE44" s="601"/>
      <c r="GF44" s="654"/>
      <c r="GG44" s="655"/>
      <c r="GH44" s="655"/>
      <c r="GI44" s="655"/>
      <c r="GJ44" s="530"/>
      <c r="GK44" s="908"/>
      <c r="GL44" s="909"/>
      <c r="GM44" s="935">
        <v>0</v>
      </c>
      <c r="GN44" s="935"/>
      <c r="GO44" s="935">
        <v>11</v>
      </c>
      <c r="GP44" s="935"/>
      <c r="GQ44" s="910">
        <v>11</v>
      </c>
      <c r="GR44" s="911"/>
      <c r="GS44" s="936"/>
      <c r="GT44" s="937"/>
      <c r="GU44" s="530" t="s">
        <v>925</v>
      </c>
      <c r="GV44" s="615"/>
      <c r="GW44" s="615"/>
      <c r="GX44" s="615"/>
      <c r="GY44" s="413"/>
      <c r="GZ44" s="413"/>
      <c r="HA44" s="751">
        <v>1.5</v>
      </c>
      <c r="HB44" s="413" t="s">
        <v>707</v>
      </c>
      <c r="HC44" s="938"/>
      <c r="HD44" s="415"/>
    </row>
    <row r="45" spans="1:219" ht="20.100000000000001" customHeight="1" thickTop="1">
      <c r="A45" s="939" t="s">
        <v>476</v>
      </c>
      <c r="B45" s="940"/>
      <c r="C45" s="940"/>
      <c r="D45" s="940"/>
      <c r="E45" s="940"/>
      <c r="F45" s="941"/>
      <c r="G45" s="942"/>
      <c r="H45" s="943">
        <v>7297</v>
      </c>
      <c r="I45" s="944"/>
      <c r="J45" s="943">
        <v>7242</v>
      </c>
      <c r="K45" s="944"/>
      <c r="L45" s="943">
        <v>7207</v>
      </c>
      <c r="M45" s="944"/>
      <c r="N45" s="943">
        <v>7160</v>
      </c>
      <c r="O45" s="944"/>
      <c r="P45" s="943">
        <v>9255</v>
      </c>
      <c r="Q45" s="944"/>
      <c r="R45" s="943">
        <v>9394</v>
      </c>
      <c r="S45" s="944"/>
      <c r="T45" s="943">
        <v>9648</v>
      </c>
      <c r="U45" s="944"/>
      <c r="V45" s="943">
        <v>9916</v>
      </c>
      <c r="W45" s="944"/>
      <c r="X45" s="943">
        <v>7829</v>
      </c>
      <c r="Y45" s="944"/>
      <c r="Z45" s="943">
        <v>7620</v>
      </c>
      <c r="AA45" s="944"/>
      <c r="AB45" s="943">
        <v>7748</v>
      </c>
      <c r="AC45" s="944"/>
      <c r="AD45" s="943">
        <v>7832</v>
      </c>
      <c r="AE45" s="944"/>
      <c r="AF45" s="943">
        <v>7960</v>
      </c>
      <c r="AG45" s="944"/>
      <c r="AH45" s="943">
        <v>8476</v>
      </c>
      <c r="AI45" s="944"/>
      <c r="AJ45" s="943">
        <v>8809</v>
      </c>
      <c r="AK45" s="944"/>
      <c r="AL45" s="943">
        <v>8774</v>
      </c>
      <c r="AM45" s="944"/>
      <c r="AN45" s="943">
        <v>8398</v>
      </c>
      <c r="AO45" s="944"/>
      <c r="AP45" s="943">
        <v>8923</v>
      </c>
      <c r="AQ45" s="944"/>
      <c r="AR45" s="943">
        <v>7730</v>
      </c>
      <c r="AS45" s="944"/>
      <c r="AT45" s="943">
        <v>7618</v>
      </c>
      <c r="AU45" s="944"/>
      <c r="AV45" s="943">
        <v>7532</v>
      </c>
      <c r="AW45" s="944"/>
      <c r="AX45" s="943">
        <v>7469</v>
      </c>
      <c r="AY45" s="944"/>
      <c r="AZ45" s="943">
        <v>7400</v>
      </c>
      <c r="BA45" s="944"/>
      <c r="BB45" s="945">
        <v>7348</v>
      </c>
      <c r="BC45" s="648"/>
      <c r="BD45" s="939" t="s">
        <v>673</v>
      </c>
      <c r="BE45" s="940"/>
      <c r="BF45" s="940"/>
      <c r="BG45" s="940"/>
      <c r="BH45" s="940"/>
      <c r="BI45" s="941"/>
      <c r="BJ45" s="942"/>
      <c r="BK45" s="943">
        <v>7241</v>
      </c>
      <c r="BL45" s="944"/>
      <c r="BM45" s="943">
        <v>7186</v>
      </c>
      <c r="BN45" s="944"/>
      <c r="BO45" s="943">
        <v>7146</v>
      </c>
      <c r="BP45" s="944"/>
      <c r="BQ45" s="943">
        <v>7099</v>
      </c>
      <c r="BR45" s="944"/>
      <c r="BS45" s="943">
        <v>9199</v>
      </c>
      <c r="BT45" s="944"/>
      <c r="BU45" s="943">
        <v>9373</v>
      </c>
      <c r="BV45" s="944"/>
      <c r="BW45" s="943">
        <v>9637</v>
      </c>
      <c r="BX45" s="944"/>
      <c r="BY45" s="943">
        <v>9926</v>
      </c>
      <c r="BZ45" s="944"/>
      <c r="CA45" s="943">
        <v>7804</v>
      </c>
      <c r="CB45" s="944"/>
      <c r="CC45" s="943">
        <v>7522</v>
      </c>
      <c r="CD45" s="944"/>
      <c r="CE45" s="943">
        <v>7610</v>
      </c>
      <c r="CF45" s="944"/>
      <c r="CG45" s="943">
        <v>7664</v>
      </c>
      <c r="CH45" s="944"/>
      <c r="CI45" s="943">
        <v>7833</v>
      </c>
      <c r="CJ45" s="944"/>
      <c r="CK45" s="943">
        <v>8656</v>
      </c>
      <c r="CL45" s="944"/>
      <c r="CM45" s="943">
        <v>9412</v>
      </c>
      <c r="CN45" s="944"/>
      <c r="CO45" s="943">
        <v>9698</v>
      </c>
      <c r="CP45" s="944"/>
      <c r="CQ45" s="943">
        <v>9600</v>
      </c>
      <c r="CR45" s="944"/>
      <c r="CS45" s="943">
        <v>9885</v>
      </c>
      <c r="CT45" s="944"/>
      <c r="CU45" s="943">
        <v>7784</v>
      </c>
      <c r="CV45" s="944"/>
      <c r="CW45" s="943">
        <v>7623</v>
      </c>
      <c r="CX45" s="944"/>
      <c r="CY45" s="943">
        <v>7514</v>
      </c>
      <c r="CZ45" s="944"/>
      <c r="DA45" s="943">
        <v>7425</v>
      </c>
      <c r="DB45" s="944"/>
      <c r="DC45" s="943">
        <v>7367</v>
      </c>
      <c r="DD45" s="944"/>
      <c r="DE45" s="945">
        <v>7300</v>
      </c>
      <c r="DF45" s="648"/>
      <c r="DG45" s="939" t="s">
        <v>673</v>
      </c>
      <c r="DH45" s="940"/>
      <c r="DI45" s="940"/>
      <c r="DJ45" s="940"/>
      <c r="DK45" s="940"/>
      <c r="DL45" s="941"/>
      <c r="DM45" s="942"/>
      <c r="DN45" s="943">
        <v>7013</v>
      </c>
      <c r="DO45" s="944"/>
      <c r="DP45" s="943">
        <v>6952</v>
      </c>
      <c r="DQ45" s="944"/>
      <c r="DR45" s="943">
        <v>6911</v>
      </c>
      <c r="DS45" s="944"/>
      <c r="DT45" s="943">
        <v>6859</v>
      </c>
      <c r="DU45" s="944"/>
      <c r="DV45" s="943">
        <v>8919</v>
      </c>
      <c r="DW45" s="944"/>
      <c r="DX45" s="943">
        <v>9000</v>
      </c>
      <c r="DY45" s="944"/>
      <c r="DZ45" s="943">
        <v>9221</v>
      </c>
      <c r="EA45" s="944"/>
      <c r="EB45" s="943">
        <v>9468</v>
      </c>
      <c r="EC45" s="944"/>
      <c r="ED45" s="943">
        <v>7318</v>
      </c>
      <c r="EE45" s="944"/>
      <c r="EF45" s="943">
        <v>7075</v>
      </c>
      <c r="EG45" s="944"/>
      <c r="EH45" s="943">
        <v>7210</v>
      </c>
      <c r="EI45" s="944"/>
      <c r="EJ45" s="943">
        <v>7313</v>
      </c>
      <c r="EK45" s="944"/>
      <c r="EL45" s="943">
        <v>7372</v>
      </c>
      <c r="EM45" s="944"/>
      <c r="EN45" s="943">
        <v>8035</v>
      </c>
      <c r="EO45" s="944"/>
      <c r="EP45" s="943">
        <v>8831</v>
      </c>
      <c r="EQ45" s="944"/>
      <c r="ER45" s="943">
        <v>8968</v>
      </c>
      <c r="ES45" s="944"/>
      <c r="ET45" s="943">
        <v>8377</v>
      </c>
      <c r="EU45" s="944"/>
      <c r="EV45" s="943">
        <v>8350</v>
      </c>
      <c r="EW45" s="944"/>
      <c r="EX45" s="943">
        <v>7470</v>
      </c>
      <c r="EY45" s="944"/>
      <c r="EZ45" s="943">
        <v>7363</v>
      </c>
      <c r="FA45" s="944"/>
      <c r="FB45" s="943">
        <v>7277</v>
      </c>
      <c r="FC45" s="944"/>
      <c r="FD45" s="943">
        <v>7210</v>
      </c>
      <c r="FE45" s="944"/>
      <c r="FF45" s="943">
        <v>7156</v>
      </c>
      <c r="FG45" s="944"/>
      <c r="FH45" s="945">
        <v>7088</v>
      </c>
      <c r="FI45" s="648"/>
      <c r="FJ45" s="939" t="s">
        <v>673</v>
      </c>
      <c r="FK45" s="940"/>
      <c r="FL45" s="940"/>
      <c r="FM45" s="940"/>
      <c r="FN45" s="940"/>
      <c r="FO45" s="941"/>
      <c r="FP45" s="946"/>
      <c r="FQ45" s="947"/>
      <c r="FR45" s="943">
        <v>9510</v>
      </c>
      <c r="FS45" s="948"/>
      <c r="FT45" s="947"/>
      <c r="FU45" s="949">
        <v>8948</v>
      </c>
      <c r="FV45" s="593"/>
      <c r="FW45" s="594"/>
      <c r="FX45" s="806"/>
      <c r="FY45" s="596"/>
      <c r="FZ45" s="807"/>
      <c r="GA45" s="598"/>
      <c r="GB45" s="808"/>
      <c r="GC45" s="600"/>
      <c r="GD45" s="808"/>
      <c r="GE45" s="601"/>
      <c r="GF45" s="654"/>
      <c r="GG45" s="655"/>
      <c r="GH45" s="655"/>
      <c r="GI45" s="655"/>
      <c r="GJ45" s="500"/>
      <c r="GK45" s="950"/>
      <c r="GL45" s="950"/>
      <c r="GM45" s="951"/>
      <c r="GN45" s="951"/>
      <c r="GO45" s="952"/>
      <c r="GP45" s="950"/>
      <c r="GQ45" s="950"/>
      <c r="GR45" s="950"/>
      <c r="GS45" s="953"/>
      <c r="GT45" s="861"/>
      <c r="GU45" s="530" t="s">
        <v>580</v>
      </c>
      <c r="GV45" s="413"/>
      <c r="GW45" s="413"/>
      <c r="GX45" s="413"/>
      <c r="GY45" s="530"/>
      <c r="GZ45" s="733"/>
      <c r="HA45" s="751">
        <v>24</v>
      </c>
      <c r="HB45" s="413" t="s">
        <v>550</v>
      </c>
      <c r="HC45" s="938"/>
      <c r="HD45" s="415"/>
    </row>
    <row r="46" spans="1:219" ht="20.100000000000001" customHeight="1">
      <c r="A46" s="954" t="s">
        <v>674</v>
      </c>
      <c r="B46" s="955"/>
      <c r="C46" s="955"/>
      <c r="D46" s="955"/>
      <c r="E46" s="955"/>
      <c r="F46" s="956"/>
      <c r="G46" s="957" t="s">
        <v>1028</v>
      </c>
      <c r="H46" s="958"/>
      <c r="I46" s="1287" t="s">
        <v>1028</v>
      </c>
      <c r="J46" s="958"/>
      <c r="K46" s="1287" t="s">
        <v>1028</v>
      </c>
      <c r="L46" s="958"/>
      <c r="M46" s="1287" t="s">
        <v>1028</v>
      </c>
      <c r="N46" s="958"/>
      <c r="O46" s="1287" t="s">
        <v>1028</v>
      </c>
      <c r="P46" s="958"/>
      <c r="Q46" s="1287" t="s">
        <v>1028</v>
      </c>
      <c r="R46" s="958"/>
      <c r="S46" s="1287" t="s">
        <v>1028</v>
      </c>
      <c r="T46" s="958"/>
      <c r="U46" s="1287" t="s">
        <v>1028</v>
      </c>
      <c r="V46" s="958"/>
      <c r="W46" s="1287" t="s">
        <v>1028</v>
      </c>
      <c r="X46" s="958"/>
      <c r="Y46" s="1287" t="s">
        <v>1028</v>
      </c>
      <c r="Z46" s="958"/>
      <c r="AA46" s="1287" t="s">
        <v>1028</v>
      </c>
      <c r="AB46" s="958"/>
      <c r="AC46" s="1287" t="s">
        <v>1028</v>
      </c>
      <c r="AD46" s="958"/>
      <c r="AE46" s="1287" t="s">
        <v>1028</v>
      </c>
      <c r="AF46" s="958"/>
      <c r="AG46" s="1287" t="s">
        <v>1028</v>
      </c>
      <c r="AH46" s="958"/>
      <c r="AI46" s="1287" t="s">
        <v>1028</v>
      </c>
      <c r="AJ46" s="958"/>
      <c r="AK46" s="1287" t="s">
        <v>1028</v>
      </c>
      <c r="AL46" s="958"/>
      <c r="AM46" s="1287" t="s">
        <v>1028</v>
      </c>
      <c r="AN46" s="958"/>
      <c r="AO46" s="1287" t="s">
        <v>1028</v>
      </c>
      <c r="AP46" s="958"/>
      <c r="AQ46" s="1287" t="s">
        <v>1028</v>
      </c>
      <c r="AR46" s="958"/>
      <c r="AS46" s="1287" t="s">
        <v>1028</v>
      </c>
      <c r="AT46" s="958"/>
      <c r="AU46" s="1287" t="s">
        <v>1028</v>
      </c>
      <c r="AV46" s="958"/>
      <c r="AW46" s="1287" t="s">
        <v>1028</v>
      </c>
      <c r="AX46" s="958"/>
      <c r="AY46" s="1287" t="s">
        <v>1028</v>
      </c>
      <c r="AZ46" s="960"/>
      <c r="BA46" s="961" t="s">
        <v>1028</v>
      </c>
      <c r="BB46" s="962"/>
      <c r="BC46" s="963"/>
      <c r="BD46" s="954" t="s">
        <v>674</v>
      </c>
      <c r="BE46" s="955"/>
      <c r="BF46" s="955"/>
      <c r="BG46" s="955"/>
      <c r="BH46" s="955"/>
      <c r="BI46" s="956"/>
      <c r="BJ46" s="957" t="s">
        <v>1028</v>
      </c>
      <c r="BK46" s="958"/>
      <c r="BL46" s="1287" t="s">
        <v>1028</v>
      </c>
      <c r="BM46" s="958"/>
      <c r="BN46" s="1287" t="s">
        <v>1028</v>
      </c>
      <c r="BO46" s="958"/>
      <c r="BP46" s="1287" t="s">
        <v>1028</v>
      </c>
      <c r="BQ46" s="958"/>
      <c r="BR46" s="1287" t="s">
        <v>1028</v>
      </c>
      <c r="BS46" s="958"/>
      <c r="BT46" s="1287" t="s">
        <v>1028</v>
      </c>
      <c r="BU46" s="958"/>
      <c r="BV46" s="1287" t="s">
        <v>1028</v>
      </c>
      <c r="BW46" s="958"/>
      <c r="BX46" s="1287" t="s">
        <v>1028</v>
      </c>
      <c r="BY46" s="958"/>
      <c r="BZ46" s="1287" t="s">
        <v>1028</v>
      </c>
      <c r="CA46" s="958"/>
      <c r="CB46" s="1287" t="s">
        <v>1028</v>
      </c>
      <c r="CC46" s="958"/>
      <c r="CD46" s="1287" t="s">
        <v>1028</v>
      </c>
      <c r="CE46" s="958"/>
      <c r="CF46" s="1287" t="s">
        <v>1028</v>
      </c>
      <c r="CG46" s="958"/>
      <c r="CH46" s="1287" t="s">
        <v>1028</v>
      </c>
      <c r="CI46" s="958"/>
      <c r="CJ46" s="1287" t="s">
        <v>1028</v>
      </c>
      <c r="CK46" s="958"/>
      <c r="CL46" s="1287" t="s">
        <v>1028</v>
      </c>
      <c r="CM46" s="958"/>
      <c r="CN46" s="1287" t="s">
        <v>1028</v>
      </c>
      <c r="CO46" s="958"/>
      <c r="CP46" s="1287" t="s">
        <v>1028</v>
      </c>
      <c r="CQ46" s="958"/>
      <c r="CR46" s="1287" t="s">
        <v>1028</v>
      </c>
      <c r="CS46" s="958"/>
      <c r="CT46" s="1287" t="s">
        <v>1028</v>
      </c>
      <c r="CU46" s="958"/>
      <c r="CV46" s="1287" t="s">
        <v>1028</v>
      </c>
      <c r="CW46" s="958"/>
      <c r="CX46" s="1287" t="s">
        <v>1028</v>
      </c>
      <c r="CY46" s="958"/>
      <c r="CZ46" s="1287" t="s">
        <v>1028</v>
      </c>
      <c r="DA46" s="958"/>
      <c r="DB46" s="1287" t="s">
        <v>1028</v>
      </c>
      <c r="DC46" s="960"/>
      <c r="DD46" s="961" t="s">
        <v>1028</v>
      </c>
      <c r="DE46" s="962"/>
      <c r="DF46" s="963"/>
      <c r="DG46" s="954" t="s">
        <v>336</v>
      </c>
      <c r="DH46" s="955"/>
      <c r="DI46" s="955"/>
      <c r="DJ46" s="955"/>
      <c r="DK46" s="955"/>
      <c r="DL46" s="956"/>
      <c r="DM46" s="957" t="s">
        <v>1028</v>
      </c>
      <c r="DN46" s="958"/>
      <c r="DO46" s="1287" t="s">
        <v>1028</v>
      </c>
      <c r="DP46" s="958"/>
      <c r="DQ46" s="1287" t="s">
        <v>1028</v>
      </c>
      <c r="DR46" s="958"/>
      <c r="DS46" s="1287" t="s">
        <v>1028</v>
      </c>
      <c r="DT46" s="958"/>
      <c r="DU46" s="1287" t="s">
        <v>1028</v>
      </c>
      <c r="DV46" s="958"/>
      <c r="DW46" s="1287" t="s">
        <v>1028</v>
      </c>
      <c r="DX46" s="958"/>
      <c r="DY46" s="1287" t="s">
        <v>1028</v>
      </c>
      <c r="DZ46" s="958"/>
      <c r="EA46" s="1287" t="s">
        <v>1028</v>
      </c>
      <c r="EB46" s="958"/>
      <c r="EC46" s="1287" t="s">
        <v>1028</v>
      </c>
      <c r="ED46" s="958"/>
      <c r="EE46" s="1287" t="s">
        <v>1028</v>
      </c>
      <c r="EF46" s="958"/>
      <c r="EG46" s="1287" t="s">
        <v>1028</v>
      </c>
      <c r="EH46" s="958"/>
      <c r="EI46" s="1287" t="s">
        <v>1028</v>
      </c>
      <c r="EJ46" s="958"/>
      <c r="EK46" s="1287" t="s">
        <v>1028</v>
      </c>
      <c r="EL46" s="958"/>
      <c r="EM46" s="1287" t="s">
        <v>1028</v>
      </c>
      <c r="EN46" s="958"/>
      <c r="EO46" s="1287" t="s">
        <v>1028</v>
      </c>
      <c r="EP46" s="958"/>
      <c r="EQ46" s="1287" t="s">
        <v>1028</v>
      </c>
      <c r="ER46" s="958"/>
      <c r="ES46" s="1287" t="s">
        <v>1028</v>
      </c>
      <c r="ET46" s="958"/>
      <c r="EU46" s="1287" t="s">
        <v>1028</v>
      </c>
      <c r="EV46" s="958"/>
      <c r="EW46" s="1287" t="s">
        <v>1028</v>
      </c>
      <c r="EX46" s="958"/>
      <c r="EY46" s="1287" t="s">
        <v>1028</v>
      </c>
      <c r="EZ46" s="958"/>
      <c r="FA46" s="1287" t="s">
        <v>1028</v>
      </c>
      <c r="FB46" s="958"/>
      <c r="FC46" s="1287" t="s">
        <v>1028</v>
      </c>
      <c r="FD46" s="958"/>
      <c r="FE46" s="1287" t="s">
        <v>1028</v>
      </c>
      <c r="FF46" s="960"/>
      <c r="FG46" s="961" t="s">
        <v>1028</v>
      </c>
      <c r="FH46" s="962"/>
      <c r="FI46" s="963"/>
      <c r="FJ46" s="954" t="s">
        <v>480</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413"/>
      <c r="GK46" s="409"/>
      <c r="GL46" s="413"/>
      <c r="GM46" s="750"/>
      <c r="GN46" s="750"/>
      <c r="GO46" s="750"/>
      <c r="GP46" s="750"/>
      <c r="GQ46" s="750"/>
      <c r="GR46" s="861"/>
      <c r="GS46" s="580"/>
      <c r="GT46" s="763"/>
      <c r="GU46" s="774" t="s">
        <v>1032</v>
      </c>
      <c r="GV46" s="774"/>
      <c r="GW46" s="774"/>
      <c r="GX46" s="774"/>
      <c r="GY46" s="615"/>
      <c r="GZ46" s="775"/>
      <c r="HA46" s="751">
        <v>22.5</v>
      </c>
      <c r="HB46" s="413" t="s">
        <v>550</v>
      </c>
      <c r="HC46" s="938"/>
      <c r="HD46" s="415"/>
    </row>
    <row r="47" spans="1:219" ht="20.100000000000001" customHeight="1" thickBot="1">
      <c r="A47" s="970" t="s">
        <v>337</v>
      </c>
      <c r="B47" s="971"/>
      <c r="C47" s="971"/>
      <c r="D47" s="972"/>
      <c r="E47" s="973"/>
      <c r="F47" s="973"/>
      <c r="G47" s="974"/>
      <c r="H47" s="975">
        <v>7297</v>
      </c>
      <c r="I47" s="976"/>
      <c r="J47" s="975">
        <v>7242</v>
      </c>
      <c r="K47" s="976"/>
      <c r="L47" s="975">
        <v>7207</v>
      </c>
      <c r="M47" s="976"/>
      <c r="N47" s="975">
        <v>7160</v>
      </c>
      <c r="O47" s="976"/>
      <c r="P47" s="975">
        <v>9255</v>
      </c>
      <c r="Q47" s="976"/>
      <c r="R47" s="975">
        <v>9394</v>
      </c>
      <c r="S47" s="976"/>
      <c r="T47" s="975">
        <v>9648</v>
      </c>
      <c r="U47" s="976"/>
      <c r="V47" s="975">
        <v>9916</v>
      </c>
      <c r="W47" s="976"/>
      <c r="X47" s="975">
        <v>7829</v>
      </c>
      <c r="Y47" s="976"/>
      <c r="Z47" s="975">
        <v>7620</v>
      </c>
      <c r="AA47" s="976"/>
      <c r="AB47" s="975">
        <v>7748</v>
      </c>
      <c r="AC47" s="976"/>
      <c r="AD47" s="975">
        <v>7832</v>
      </c>
      <c r="AE47" s="976"/>
      <c r="AF47" s="975">
        <v>7960</v>
      </c>
      <c r="AG47" s="976"/>
      <c r="AH47" s="975">
        <v>8476</v>
      </c>
      <c r="AI47" s="976"/>
      <c r="AJ47" s="975">
        <v>8809</v>
      </c>
      <c r="AK47" s="976"/>
      <c r="AL47" s="975">
        <v>8774</v>
      </c>
      <c r="AM47" s="976"/>
      <c r="AN47" s="975">
        <v>8398</v>
      </c>
      <c r="AO47" s="976"/>
      <c r="AP47" s="975">
        <v>8923</v>
      </c>
      <c r="AQ47" s="976"/>
      <c r="AR47" s="975">
        <v>7730</v>
      </c>
      <c r="AS47" s="976"/>
      <c r="AT47" s="975">
        <v>7618</v>
      </c>
      <c r="AU47" s="976"/>
      <c r="AV47" s="975">
        <v>7532</v>
      </c>
      <c r="AW47" s="976"/>
      <c r="AX47" s="975">
        <v>7469</v>
      </c>
      <c r="AY47" s="977"/>
      <c r="AZ47" s="978">
        <v>7400</v>
      </c>
      <c r="BA47" s="979"/>
      <c r="BB47" s="980">
        <v>7348</v>
      </c>
      <c r="BC47" s="981"/>
      <c r="BD47" s="970" t="s">
        <v>337</v>
      </c>
      <c r="BE47" s="971"/>
      <c r="BF47" s="971"/>
      <c r="BG47" s="972"/>
      <c r="BH47" s="973"/>
      <c r="BI47" s="973"/>
      <c r="BJ47" s="974"/>
      <c r="BK47" s="975">
        <v>7241</v>
      </c>
      <c r="BL47" s="976"/>
      <c r="BM47" s="975">
        <v>7186</v>
      </c>
      <c r="BN47" s="976"/>
      <c r="BO47" s="975">
        <v>7146</v>
      </c>
      <c r="BP47" s="976"/>
      <c r="BQ47" s="975">
        <v>7099</v>
      </c>
      <c r="BR47" s="976"/>
      <c r="BS47" s="975">
        <v>9199</v>
      </c>
      <c r="BT47" s="976"/>
      <c r="BU47" s="975">
        <v>9373</v>
      </c>
      <c r="BV47" s="976"/>
      <c r="BW47" s="975">
        <v>9637</v>
      </c>
      <c r="BX47" s="976"/>
      <c r="BY47" s="975">
        <v>9926</v>
      </c>
      <c r="BZ47" s="976"/>
      <c r="CA47" s="975">
        <v>7804</v>
      </c>
      <c r="CB47" s="976"/>
      <c r="CC47" s="975">
        <v>7522</v>
      </c>
      <c r="CD47" s="976"/>
      <c r="CE47" s="975">
        <v>7610</v>
      </c>
      <c r="CF47" s="976"/>
      <c r="CG47" s="975">
        <v>7664</v>
      </c>
      <c r="CH47" s="976"/>
      <c r="CI47" s="975">
        <v>7833</v>
      </c>
      <c r="CJ47" s="976"/>
      <c r="CK47" s="975">
        <v>8656</v>
      </c>
      <c r="CL47" s="976"/>
      <c r="CM47" s="975">
        <v>9412</v>
      </c>
      <c r="CN47" s="976"/>
      <c r="CO47" s="975">
        <v>9698</v>
      </c>
      <c r="CP47" s="976"/>
      <c r="CQ47" s="975">
        <v>9600</v>
      </c>
      <c r="CR47" s="976"/>
      <c r="CS47" s="975">
        <v>9885</v>
      </c>
      <c r="CT47" s="976"/>
      <c r="CU47" s="975">
        <v>7784</v>
      </c>
      <c r="CV47" s="976"/>
      <c r="CW47" s="975">
        <v>7623</v>
      </c>
      <c r="CX47" s="976"/>
      <c r="CY47" s="975">
        <v>7514</v>
      </c>
      <c r="CZ47" s="976"/>
      <c r="DA47" s="975">
        <v>7425</v>
      </c>
      <c r="DB47" s="977"/>
      <c r="DC47" s="978">
        <v>7367</v>
      </c>
      <c r="DD47" s="979"/>
      <c r="DE47" s="980">
        <v>7300</v>
      </c>
      <c r="DF47" s="981"/>
      <c r="DG47" s="970" t="s">
        <v>337</v>
      </c>
      <c r="DH47" s="971"/>
      <c r="DI47" s="971"/>
      <c r="DJ47" s="972"/>
      <c r="DK47" s="973"/>
      <c r="DL47" s="973"/>
      <c r="DM47" s="974"/>
      <c r="DN47" s="975">
        <v>7013</v>
      </c>
      <c r="DO47" s="976"/>
      <c r="DP47" s="975">
        <v>6952</v>
      </c>
      <c r="DQ47" s="976"/>
      <c r="DR47" s="975">
        <v>6911</v>
      </c>
      <c r="DS47" s="976"/>
      <c r="DT47" s="975">
        <v>6859</v>
      </c>
      <c r="DU47" s="976"/>
      <c r="DV47" s="975">
        <v>8919</v>
      </c>
      <c r="DW47" s="976"/>
      <c r="DX47" s="975">
        <v>9000</v>
      </c>
      <c r="DY47" s="976"/>
      <c r="DZ47" s="975">
        <v>9221</v>
      </c>
      <c r="EA47" s="976"/>
      <c r="EB47" s="975">
        <v>9468</v>
      </c>
      <c r="EC47" s="976"/>
      <c r="ED47" s="975">
        <v>7318</v>
      </c>
      <c r="EE47" s="976"/>
      <c r="EF47" s="975">
        <v>7075</v>
      </c>
      <c r="EG47" s="976"/>
      <c r="EH47" s="975">
        <v>7210</v>
      </c>
      <c r="EI47" s="976"/>
      <c r="EJ47" s="975">
        <v>7313</v>
      </c>
      <c r="EK47" s="976"/>
      <c r="EL47" s="975">
        <v>7372</v>
      </c>
      <c r="EM47" s="976"/>
      <c r="EN47" s="975">
        <v>8035</v>
      </c>
      <c r="EO47" s="976"/>
      <c r="EP47" s="975">
        <v>8831</v>
      </c>
      <c r="EQ47" s="976"/>
      <c r="ER47" s="975">
        <v>8968</v>
      </c>
      <c r="ES47" s="976"/>
      <c r="ET47" s="975">
        <v>8377</v>
      </c>
      <c r="EU47" s="976"/>
      <c r="EV47" s="975">
        <v>8350</v>
      </c>
      <c r="EW47" s="976"/>
      <c r="EX47" s="975">
        <v>7470</v>
      </c>
      <c r="EY47" s="976"/>
      <c r="EZ47" s="975">
        <v>7363</v>
      </c>
      <c r="FA47" s="976"/>
      <c r="FB47" s="975">
        <v>7277</v>
      </c>
      <c r="FC47" s="976"/>
      <c r="FD47" s="975">
        <v>7210</v>
      </c>
      <c r="FE47" s="977"/>
      <c r="FF47" s="978">
        <v>7156</v>
      </c>
      <c r="FG47" s="979"/>
      <c r="FH47" s="980">
        <v>7088</v>
      </c>
      <c r="FI47" s="981"/>
      <c r="FJ47" s="970" t="s">
        <v>337</v>
      </c>
      <c r="FK47" s="971"/>
      <c r="FL47" s="971"/>
      <c r="FM47" s="972"/>
      <c r="FN47" s="973"/>
      <c r="FO47" s="973"/>
      <c r="FP47" s="982"/>
      <c r="FQ47" s="983"/>
      <c r="FR47" s="975">
        <v>9510</v>
      </c>
      <c r="FS47" s="984"/>
      <c r="FT47" s="983"/>
      <c r="FU47" s="985">
        <v>8948</v>
      </c>
      <c r="FV47" s="986">
        <v>8</v>
      </c>
      <c r="FW47" s="975">
        <v>9916</v>
      </c>
      <c r="FX47" s="987">
        <v>8</v>
      </c>
      <c r="FY47" s="975">
        <v>9926</v>
      </c>
      <c r="FZ47" s="987">
        <v>8</v>
      </c>
      <c r="GA47" s="975">
        <v>9468</v>
      </c>
      <c r="GB47" s="988" t="s">
        <v>951</v>
      </c>
      <c r="GC47" s="975">
        <v>9926</v>
      </c>
      <c r="GD47" s="988" t="s">
        <v>368</v>
      </c>
      <c r="GE47" s="989">
        <v>9510</v>
      </c>
      <c r="GF47" s="688"/>
      <c r="GG47" s="990"/>
      <c r="GH47" s="990"/>
      <c r="GI47" s="990"/>
      <c r="GJ47" s="893"/>
      <c r="GK47" s="413" t="s">
        <v>584</v>
      </c>
      <c r="GL47" s="893"/>
      <c r="GM47" s="530"/>
      <c r="GN47" s="893"/>
      <c r="GO47" s="530"/>
      <c r="GP47" s="530"/>
      <c r="GQ47" s="530"/>
      <c r="GR47" s="893"/>
      <c r="GS47" s="530"/>
      <c r="GT47" s="763"/>
      <c r="GU47" s="774" t="s">
        <v>1033</v>
      </c>
      <c r="GV47" s="774"/>
      <c r="GW47" s="774"/>
      <c r="GX47" s="774"/>
      <c r="GY47" s="530"/>
      <c r="GZ47" s="413"/>
      <c r="HA47" s="778">
        <v>0.1</v>
      </c>
      <c r="HB47" s="413"/>
      <c r="HC47" s="981"/>
      <c r="HD47" s="415"/>
    </row>
    <row r="48" spans="1:219" ht="20.100000000000001" customHeight="1">
      <c r="A48" s="991" t="s">
        <v>676</v>
      </c>
      <c r="B48" s="992" t="s">
        <v>677</v>
      </c>
      <c r="C48" s="895"/>
      <c r="D48" s="825"/>
      <c r="E48" s="825"/>
      <c r="F48" s="826"/>
      <c r="G48" s="740" t="s">
        <v>678</v>
      </c>
      <c r="H48" s="663" t="s">
        <v>428</v>
      </c>
      <c r="I48" s="742" t="s">
        <v>484</v>
      </c>
      <c r="J48" s="993" t="s">
        <v>430</v>
      </c>
      <c r="K48" s="742" t="s">
        <v>484</v>
      </c>
      <c r="L48" s="993" t="s">
        <v>428</v>
      </c>
      <c r="M48" s="742" t="s">
        <v>484</v>
      </c>
      <c r="N48" s="993" t="s">
        <v>430</v>
      </c>
      <c r="O48" s="742" t="s">
        <v>484</v>
      </c>
      <c r="P48" s="993" t="s">
        <v>428</v>
      </c>
      <c r="Q48" s="742" t="s">
        <v>678</v>
      </c>
      <c r="R48" s="993" t="s">
        <v>428</v>
      </c>
      <c r="S48" s="742" t="s">
        <v>678</v>
      </c>
      <c r="T48" s="993" t="s">
        <v>428</v>
      </c>
      <c r="U48" s="742" t="s">
        <v>484</v>
      </c>
      <c r="V48" s="993" t="s">
        <v>430</v>
      </c>
      <c r="W48" s="742" t="s">
        <v>678</v>
      </c>
      <c r="X48" s="993" t="s">
        <v>430</v>
      </c>
      <c r="Y48" s="742" t="s">
        <v>484</v>
      </c>
      <c r="Z48" s="993" t="s">
        <v>430</v>
      </c>
      <c r="AA48" s="742" t="s">
        <v>484</v>
      </c>
      <c r="AB48" s="993" t="s">
        <v>428</v>
      </c>
      <c r="AC48" s="742" t="s">
        <v>484</v>
      </c>
      <c r="AD48" s="993" t="s">
        <v>428</v>
      </c>
      <c r="AE48" s="742" t="s">
        <v>484</v>
      </c>
      <c r="AF48" s="993" t="s">
        <v>428</v>
      </c>
      <c r="AG48" s="742" t="s">
        <v>484</v>
      </c>
      <c r="AH48" s="993" t="s">
        <v>428</v>
      </c>
      <c r="AI48" s="742" t="s">
        <v>678</v>
      </c>
      <c r="AJ48" s="993" t="s">
        <v>428</v>
      </c>
      <c r="AK48" s="742" t="s">
        <v>678</v>
      </c>
      <c r="AL48" s="993" t="s">
        <v>428</v>
      </c>
      <c r="AM48" s="742" t="s">
        <v>678</v>
      </c>
      <c r="AN48" s="993" t="s">
        <v>428</v>
      </c>
      <c r="AO48" s="742" t="s">
        <v>484</v>
      </c>
      <c r="AP48" s="993" t="s">
        <v>430</v>
      </c>
      <c r="AQ48" s="742" t="s">
        <v>678</v>
      </c>
      <c r="AR48" s="993" t="s">
        <v>430</v>
      </c>
      <c r="AS48" s="742" t="s">
        <v>678</v>
      </c>
      <c r="AT48" s="993" t="s">
        <v>428</v>
      </c>
      <c r="AU48" s="742" t="s">
        <v>484</v>
      </c>
      <c r="AV48" s="993" t="s">
        <v>428</v>
      </c>
      <c r="AW48" s="742" t="s">
        <v>678</v>
      </c>
      <c r="AX48" s="993" t="s">
        <v>428</v>
      </c>
      <c r="AY48" s="742" t="s">
        <v>678</v>
      </c>
      <c r="AZ48" s="994" t="s">
        <v>430</v>
      </c>
      <c r="BA48" s="995" t="s">
        <v>678</v>
      </c>
      <c r="BB48" s="996" t="s">
        <v>428</v>
      </c>
      <c r="BC48" s="932"/>
      <c r="BD48" s="991" t="s">
        <v>482</v>
      </c>
      <c r="BE48" s="992" t="s">
        <v>483</v>
      </c>
      <c r="BF48" s="895"/>
      <c r="BG48" s="825"/>
      <c r="BH48" s="825"/>
      <c r="BI48" s="826"/>
      <c r="BJ48" s="740" t="s">
        <v>484</v>
      </c>
      <c r="BK48" s="663" t="s">
        <v>430</v>
      </c>
      <c r="BL48" s="742" t="s">
        <v>678</v>
      </c>
      <c r="BM48" s="993" t="s">
        <v>428</v>
      </c>
      <c r="BN48" s="742" t="s">
        <v>678</v>
      </c>
      <c r="BO48" s="993" t="s">
        <v>430</v>
      </c>
      <c r="BP48" s="742" t="s">
        <v>484</v>
      </c>
      <c r="BQ48" s="993" t="s">
        <v>430</v>
      </c>
      <c r="BR48" s="742" t="s">
        <v>484</v>
      </c>
      <c r="BS48" s="993" t="s">
        <v>430</v>
      </c>
      <c r="BT48" s="742" t="s">
        <v>678</v>
      </c>
      <c r="BU48" s="993" t="s">
        <v>428</v>
      </c>
      <c r="BV48" s="742" t="s">
        <v>484</v>
      </c>
      <c r="BW48" s="993" t="s">
        <v>430</v>
      </c>
      <c r="BX48" s="742" t="s">
        <v>484</v>
      </c>
      <c r="BY48" s="993" t="s">
        <v>428</v>
      </c>
      <c r="BZ48" s="742" t="s">
        <v>484</v>
      </c>
      <c r="CA48" s="993" t="s">
        <v>430</v>
      </c>
      <c r="CB48" s="742" t="s">
        <v>484</v>
      </c>
      <c r="CC48" s="993" t="s">
        <v>428</v>
      </c>
      <c r="CD48" s="742" t="s">
        <v>678</v>
      </c>
      <c r="CE48" s="993" t="s">
        <v>428</v>
      </c>
      <c r="CF48" s="742" t="s">
        <v>678</v>
      </c>
      <c r="CG48" s="993" t="s">
        <v>428</v>
      </c>
      <c r="CH48" s="742" t="s">
        <v>484</v>
      </c>
      <c r="CI48" s="993" t="s">
        <v>430</v>
      </c>
      <c r="CJ48" s="742" t="s">
        <v>678</v>
      </c>
      <c r="CK48" s="993" t="s">
        <v>430</v>
      </c>
      <c r="CL48" s="742" t="s">
        <v>484</v>
      </c>
      <c r="CM48" s="993" t="s">
        <v>430</v>
      </c>
      <c r="CN48" s="742" t="s">
        <v>484</v>
      </c>
      <c r="CO48" s="993" t="s">
        <v>428</v>
      </c>
      <c r="CP48" s="742" t="s">
        <v>484</v>
      </c>
      <c r="CQ48" s="993" t="s">
        <v>428</v>
      </c>
      <c r="CR48" s="742" t="s">
        <v>484</v>
      </c>
      <c r="CS48" s="993" t="s">
        <v>428</v>
      </c>
      <c r="CT48" s="742" t="s">
        <v>484</v>
      </c>
      <c r="CU48" s="993" t="s">
        <v>428</v>
      </c>
      <c r="CV48" s="742" t="s">
        <v>678</v>
      </c>
      <c r="CW48" s="993" t="s">
        <v>428</v>
      </c>
      <c r="CX48" s="742" t="s">
        <v>678</v>
      </c>
      <c r="CY48" s="993" t="s">
        <v>428</v>
      </c>
      <c r="CZ48" s="742" t="s">
        <v>678</v>
      </c>
      <c r="DA48" s="993" t="s">
        <v>428</v>
      </c>
      <c r="DB48" s="742" t="s">
        <v>484</v>
      </c>
      <c r="DC48" s="994" t="s">
        <v>430</v>
      </c>
      <c r="DD48" s="995" t="s">
        <v>678</v>
      </c>
      <c r="DE48" s="996" t="s">
        <v>430</v>
      </c>
      <c r="DF48" s="932"/>
      <c r="DG48" s="991" t="s">
        <v>676</v>
      </c>
      <c r="DH48" s="992" t="s">
        <v>483</v>
      </c>
      <c r="DI48" s="895"/>
      <c r="DJ48" s="825"/>
      <c r="DK48" s="825"/>
      <c r="DL48" s="826"/>
      <c r="DM48" s="740" t="s">
        <v>484</v>
      </c>
      <c r="DN48" s="663" t="s">
        <v>428</v>
      </c>
      <c r="DO48" s="742" t="s">
        <v>678</v>
      </c>
      <c r="DP48" s="993" t="s">
        <v>428</v>
      </c>
      <c r="DQ48" s="742" t="s">
        <v>678</v>
      </c>
      <c r="DR48" s="993" t="s">
        <v>430</v>
      </c>
      <c r="DS48" s="742" t="s">
        <v>678</v>
      </c>
      <c r="DT48" s="993" t="s">
        <v>428</v>
      </c>
      <c r="DU48" s="742" t="s">
        <v>484</v>
      </c>
      <c r="DV48" s="993" t="s">
        <v>430</v>
      </c>
      <c r="DW48" s="742" t="s">
        <v>484</v>
      </c>
      <c r="DX48" s="993" t="s">
        <v>428</v>
      </c>
      <c r="DY48" s="742" t="s">
        <v>678</v>
      </c>
      <c r="DZ48" s="993" t="s">
        <v>428</v>
      </c>
      <c r="EA48" s="742" t="s">
        <v>678</v>
      </c>
      <c r="EB48" s="993" t="s">
        <v>430</v>
      </c>
      <c r="EC48" s="742" t="s">
        <v>484</v>
      </c>
      <c r="ED48" s="993" t="s">
        <v>430</v>
      </c>
      <c r="EE48" s="742" t="s">
        <v>484</v>
      </c>
      <c r="EF48" s="993" t="s">
        <v>430</v>
      </c>
      <c r="EG48" s="742" t="s">
        <v>678</v>
      </c>
      <c r="EH48" s="993" t="s">
        <v>428</v>
      </c>
      <c r="EI48" s="742" t="s">
        <v>484</v>
      </c>
      <c r="EJ48" s="993" t="s">
        <v>430</v>
      </c>
      <c r="EK48" s="742" t="s">
        <v>484</v>
      </c>
      <c r="EL48" s="993" t="s">
        <v>428</v>
      </c>
      <c r="EM48" s="742" t="s">
        <v>484</v>
      </c>
      <c r="EN48" s="993" t="s">
        <v>430</v>
      </c>
      <c r="EO48" s="742" t="s">
        <v>484</v>
      </c>
      <c r="EP48" s="993" t="s">
        <v>428</v>
      </c>
      <c r="EQ48" s="742" t="s">
        <v>678</v>
      </c>
      <c r="ER48" s="993" t="s">
        <v>428</v>
      </c>
      <c r="ES48" s="742" t="s">
        <v>678</v>
      </c>
      <c r="ET48" s="993" t="s">
        <v>428</v>
      </c>
      <c r="EU48" s="742" t="s">
        <v>484</v>
      </c>
      <c r="EV48" s="993" t="s">
        <v>430</v>
      </c>
      <c r="EW48" s="742" t="s">
        <v>678</v>
      </c>
      <c r="EX48" s="993" t="s">
        <v>430</v>
      </c>
      <c r="EY48" s="742" t="s">
        <v>484</v>
      </c>
      <c r="EZ48" s="993" t="s">
        <v>430</v>
      </c>
      <c r="FA48" s="742" t="s">
        <v>484</v>
      </c>
      <c r="FB48" s="993" t="s">
        <v>428</v>
      </c>
      <c r="FC48" s="742" t="s">
        <v>484</v>
      </c>
      <c r="FD48" s="993" t="s">
        <v>428</v>
      </c>
      <c r="FE48" s="742" t="s">
        <v>484</v>
      </c>
      <c r="FF48" s="994" t="s">
        <v>428</v>
      </c>
      <c r="FG48" s="995" t="s">
        <v>484</v>
      </c>
      <c r="FH48" s="996" t="s">
        <v>428</v>
      </c>
      <c r="FI48" s="932"/>
      <c r="FJ48" s="991" t="s">
        <v>676</v>
      </c>
      <c r="FK48" s="738" t="s">
        <v>677</v>
      </c>
      <c r="FL48" s="895"/>
      <c r="FM48" s="825"/>
      <c r="FN48" s="825"/>
      <c r="FO48" s="826"/>
      <c r="FP48" s="747" t="s">
        <v>433</v>
      </c>
      <c r="FQ48" s="673" t="s">
        <v>484</v>
      </c>
      <c r="FR48" s="663" t="s">
        <v>434</v>
      </c>
      <c r="FS48" s="997" t="s">
        <v>433</v>
      </c>
      <c r="FT48" s="673" t="s">
        <v>678</v>
      </c>
      <c r="FU48" s="998" t="s">
        <v>434</v>
      </c>
      <c r="FV48" s="999"/>
      <c r="FW48" s="993" t="s">
        <v>323</v>
      </c>
      <c r="FX48" s="997"/>
      <c r="FY48" s="993" t="s">
        <v>323</v>
      </c>
      <c r="FZ48" s="997"/>
      <c r="GA48" s="993" t="s">
        <v>323</v>
      </c>
      <c r="GB48" s="997"/>
      <c r="GC48" s="993" t="s">
        <v>323</v>
      </c>
      <c r="GD48" s="997"/>
      <c r="GE48" s="1000" t="s">
        <v>324</v>
      </c>
      <c r="GF48" s="688"/>
      <c r="GG48" s="655"/>
      <c r="GH48" s="655"/>
      <c r="GI48" s="655"/>
      <c r="GJ48" s="530"/>
      <c r="GK48" s="615" t="s">
        <v>586</v>
      </c>
      <c r="GL48" s="530"/>
      <c r="GM48" s="615"/>
      <c r="GN48" s="530"/>
      <c r="GO48" s="615"/>
      <c r="GP48" s="615"/>
      <c r="GQ48" s="615"/>
      <c r="GR48" s="530"/>
      <c r="GS48" s="530"/>
      <c r="GT48" s="500"/>
      <c r="GU48" s="500"/>
      <c r="GV48" s="500"/>
      <c r="GW48" s="579"/>
      <c r="GX48" s="579"/>
      <c r="GY48" s="579"/>
      <c r="GZ48" s="578"/>
      <c r="HA48" s="500"/>
      <c r="HB48" s="500"/>
      <c r="HC48" s="981"/>
      <c r="HD48" s="415"/>
    </row>
    <row r="49" spans="1:212" ht="20.100000000000001" customHeight="1">
      <c r="A49" s="1001"/>
      <c r="B49" s="752" t="s">
        <v>435</v>
      </c>
      <c r="C49" s="1002"/>
      <c r="D49" s="754">
        <v>40</v>
      </c>
      <c r="E49" s="755">
        <v>4</v>
      </c>
      <c r="F49" s="1003" t="s">
        <v>436</v>
      </c>
      <c r="G49" s="757">
        <v>1</v>
      </c>
      <c r="H49" s="559">
        <v>160</v>
      </c>
      <c r="I49" s="758">
        <v>1</v>
      </c>
      <c r="J49" s="559">
        <v>160</v>
      </c>
      <c r="K49" s="758">
        <v>1</v>
      </c>
      <c r="L49" s="559">
        <v>160</v>
      </c>
      <c r="M49" s="758">
        <v>1</v>
      </c>
      <c r="N49" s="559">
        <v>160</v>
      </c>
      <c r="O49" s="758">
        <v>1</v>
      </c>
      <c r="P49" s="559">
        <v>160</v>
      </c>
      <c r="Q49" s="758">
        <v>1</v>
      </c>
      <c r="R49" s="559">
        <v>160</v>
      </c>
      <c r="S49" s="758">
        <v>1</v>
      </c>
      <c r="T49" s="559">
        <v>160</v>
      </c>
      <c r="U49" s="758">
        <v>1</v>
      </c>
      <c r="V49" s="559">
        <v>160</v>
      </c>
      <c r="W49" s="758">
        <v>1</v>
      </c>
      <c r="X49" s="559">
        <v>160</v>
      </c>
      <c r="Y49" s="758">
        <v>1</v>
      </c>
      <c r="Z49" s="559">
        <v>160</v>
      </c>
      <c r="AA49" s="758">
        <v>1</v>
      </c>
      <c r="AB49" s="559">
        <v>160</v>
      </c>
      <c r="AC49" s="758">
        <v>1</v>
      </c>
      <c r="AD49" s="559">
        <v>160</v>
      </c>
      <c r="AE49" s="758">
        <v>1</v>
      </c>
      <c r="AF49" s="559">
        <v>160</v>
      </c>
      <c r="AG49" s="758">
        <v>1</v>
      </c>
      <c r="AH49" s="559">
        <v>160</v>
      </c>
      <c r="AI49" s="758">
        <v>1</v>
      </c>
      <c r="AJ49" s="559">
        <v>160</v>
      </c>
      <c r="AK49" s="758">
        <v>1</v>
      </c>
      <c r="AL49" s="559">
        <v>160</v>
      </c>
      <c r="AM49" s="758">
        <v>1</v>
      </c>
      <c r="AN49" s="559">
        <v>160</v>
      </c>
      <c r="AO49" s="758">
        <v>1</v>
      </c>
      <c r="AP49" s="559">
        <v>160</v>
      </c>
      <c r="AQ49" s="758">
        <v>1</v>
      </c>
      <c r="AR49" s="559">
        <v>160</v>
      </c>
      <c r="AS49" s="758">
        <v>1</v>
      </c>
      <c r="AT49" s="559">
        <v>160</v>
      </c>
      <c r="AU49" s="758">
        <v>1</v>
      </c>
      <c r="AV49" s="559">
        <v>160</v>
      </c>
      <c r="AW49" s="758">
        <v>1</v>
      </c>
      <c r="AX49" s="559">
        <v>160</v>
      </c>
      <c r="AY49" s="1004">
        <v>1</v>
      </c>
      <c r="AZ49" s="1005">
        <v>160</v>
      </c>
      <c r="BA49" s="1006">
        <v>1</v>
      </c>
      <c r="BB49" s="1007">
        <v>160</v>
      </c>
      <c r="BC49" s="938"/>
      <c r="BD49" s="1001"/>
      <c r="BE49" s="752" t="s">
        <v>435</v>
      </c>
      <c r="BF49" s="1002"/>
      <c r="BG49" s="754"/>
      <c r="BH49" s="755">
        <v>4</v>
      </c>
      <c r="BI49" s="1003" t="s">
        <v>436</v>
      </c>
      <c r="BJ49" s="757">
        <v>1</v>
      </c>
      <c r="BK49" s="559">
        <v>160</v>
      </c>
      <c r="BL49" s="758">
        <v>1</v>
      </c>
      <c r="BM49" s="559">
        <v>160</v>
      </c>
      <c r="BN49" s="758">
        <v>1</v>
      </c>
      <c r="BO49" s="559">
        <v>160</v>
      </c>
      <c r="BP49" s="758">
        <v>1</v>
      </c>
      <c r="BQ49" s="559">
        <v>160</v>
      </c>
      <c r="BR49" s="758">
        <v>1</v>
      </c>
      <c r="BS49" s="559">
        <v>160</v>
      </c>
      <c r="BT49" s="758">
        <v>1</v>
      </c>
      <c r="BU49" s="559">
        <v>160</v>
      </c>
      <c r="BV49" s="758">
        <v>1</v>
      </c>
      <c r="BW49" s="559">
        <v>160</v>
      </c>
      <c r="BX49" s="758">
        <v>1</v>
      </c>
      <c r="BY49" s="559">
        <v>160</v>
      </c>
      <c r="BZ49" s="758">
        <v>1</v>
      </c>
      <c r="CA49" s="559">
        <v>160</v>
      </c>
      <c r="CB49" s="758">
        <v>1</v>
      </c>
      <c r="CC49" s="559">
        <v>160</v>
      </c>
      <c r="CD49" s="758">
        <v>1</v>
      </c>
      <c r="CE49" s="559">
        <v>160</v>
      </c>
      <c r="CF49" s="758">
        <v>1</v>
      </c>
      <c r="CG49" s="559">
        <v>160</v>
      </c>
      <c r="CH49" s="758">
        <v>1</v>
      </c>
      <c r="CI49" s="559">
        <v>160</v>
      </c>
      <c r="CJ49" s="758">
        <v>1</v>
      </c>
      <c r="CK49" s="559">
        <v>160</v>
      </c>
      <c r="CL49" s="758">
        <v>1</v>
      </c>
      <c r="CM49" s="559">
        <v>160</v>
      </c>
      <c r="CN49" s="758">
        <v>1</v>
      </c>
      <c r="CO49" s="559">
        <v>160</v>
      </c>
      <c r="CP49" s="758">
        <v>1</v>
      </c>
      <c r="CQ49" s="559">
        <v>160</v>
      </c>
      <c r="CR49" s="758">
        <v>1</v>
      </c>
      <c r="CS49" s="559">
        <v>160</v>
      </c>
      <c r="CT49" s="758">
        <v>1</v>
      </c>
      <c r="CU49" s="559">
        <v>160</v>
      </c>
      <c r="CV49" s="758">
        <v>1</v>
      </c>
      <c r="CW49" s="559">
        <v>160</v>
      </c>
      <c r="CX49" s="758">
        <v>1</v>
      </c>
      <c r="CY49" s="559">
        <v>160</v>
      </c>
      <c r="CZ49" s="758">
        <v>1</v>
      </c>
      <c r="DA49" s="559">
        <v>160</v>
      </c>
      <c r="DB49" s="1004">
        <v>1</v>
      </c>
      <c r="DC49" s="1005">
        <v>160</v>
      </c>
      <c r="DD49" s="1006">
        <v>1</v>
      </c>
      <c r="DE49" s="1007">
        <v>160</v>
      </c>
      <c r="DF49" s="938"/>
      <c r="DG49" s="1001"/>
      <c r="DH49" s="752" t="s">
        <v>435</v>
      </c>
      <c r="DI49" s="1002"/>
      <c r="DJ49" s="754"/>
      <c r="DK49" s="755">
        <v>4</v>
      </c>
      <c r="DL49" s="1003" t="s">
        <v>436</v>
      </c>
      <c r="DM49" s="757">
        <v>1</v>
      </c>
      <c r="DN49" s="559">
        <v>160</v>
      </c>
      <c r="DO49" s="758">
        <v>1</v>
      </c>
      <c r="DP49" s="559">
        <v>160</v>
      </c>
      <c r="DQ49" s="758">
        <v>1</v>
      </c>
      <c r="DR49" s="559">
        <v>160</v>
      </c>
      <c r="DS49" s="758">
        <v>1</v>
      </c>
      <c r="DT49" s="559">
        <v>160</v>
      </c>
      <c r="DU49" s="758">
        <v>1</v>
      </c>
      <c r="DV49" s="559">
        <v>160</v>
      </c>
      <c r="DW49" s="758">
        <v>1</v>
      </c>
      <c r="DX49" s="559">
        <v>160</v>
      </c>
      <c r="DY49" s="758">
        <v>1</v>
      </c>
      <c r="DZ49" s="559">
        <v>160</v>
      </c>
      <c r="EA49" s="758">
        <v>1</v>
      </c>
      <c r="EB49" s="559">
        <v>160</v>
      </c>
      <c r="EC49" s="758">
        <v>1</v>
      </c>
      <c r="ED49" s="559">
        <v>160</v>
      </c>
      <c r="EE49" s="758">
        <v>1</v>
      </c>
      <c r="EF49" s="559">
        <v>160</v>
      </c>
      <c r="EG49" s="758">
        <v>1</v>
      </c>
      <c r="EH49" s="559">
        <v>160</v>
      </c>
      <c r="EI49" s="758">
        <v>1</v>
      </c>
      <c r="EJ49" s="559">
        <v>160</v>
      </c>
      <c r="EK49" s="758">
        <v>1</v>
      </c>
      <c r="EL49" s="559">
        <v>160</v>
      </c>
      <c r="EM49" s="758">
        <v>1</v>
      </c>
      <c r="EN49" s="559">
        <v>160</v>
      </c>
      <c r="EO49" s="758">
        <v>1</v>
      </c>
      <c r="EP49" s="559">
        <v>160</v>
      </c>
      <c r="EQ49" s="758">
        <v>1</v>
      </c>
      <c r="ER49" s="559">
        <v>160</v>
      </c>
      <c r="ES49" s="758">
        <v>1</v>
      </c>
      <c r="ET49" s="559">
        <v>160</v>
      </c>
      <c r="EU49" s="758">
        <v>1</v>
      </c>
      <c r="EV49" s="559">
        <v>160</v>
      </c>
      <c r="EW49" s="758">
        <v>1</v>
      </c>
      <c r="EX49" s="559">
        <v>160</v>
      </c>
      <c r="EY49" s="758">
        <v>1</v>
      </c>
      <c r="EZ49" s="559">
        <v>160</v>
      </c>
      <c r="FA49" s="758">
        <v>1</v>
      </c>
      <c r="FB49" s="559">
        <v>160</v>
      </c>
      <c r="FC49" s="758">
        <v>1</v>
      </c>
      <c r="FD49" s="559">
        <v>160</v>
      </c>
      <c r="FE49" s="1004">
        <v>1</v>
      </c>
      <c r="FF49" s="1005">
        <v>160</v>
      </c>
      <c r="FG49" s="1006">
        <v>1</v>
      </c>
      <c r="FH49" s="1007">
        <v>160</v>
      </c>
      <c r="FI49" s="938"/>
      <c r="FJ49" s="1001"/>
      <c r="FK49" s="752" t="s">
        <v>435</v>
      </c>
      <c r="FL49" s="1002"/>
      <c r="FM49" s="759"/>
      <c r="FN49" s="755">
        <v>0</v>
      </c>
      <c r="FO49" s="1003"/>
      <c r="FP49" s="685"/>
      <c r="FQ49" s="760"/>
      <c r="FR49" s="587">
        <v>0</v>
      </c>
      <c r="FS49" s="761"/>
      <c r="FT49" s="760"/>
      <c r="FU49" s="567">
        <v>0</v>
      </c>
      <c r="FV49" s="1008" t="s">
        <v>338</v>
      </c>
      <c r="FW49" s="1009"/>
      <c r="FX49" s="1010" t="s">
        <v>339</v>
      </c>
      <c r="FY49" s="1011"/>
      <c r="FZ49" s="1012" t="s">
        <v>340</v>
      </c>
      <c r="GA49" s="1013"/>
      <c r="GB49" s="1014" t="s">
        <v>341</v>
      </c>
      <c r="GC49" s="1015"/>
      <c r="GD49" s="1014" t="s">
        <v>342</v>
      </c>
      <c r="GE49" s="1016"/>
      <c r="GF49" s="688"/>
      <c r="GG49" s="602"/>
      <c r="GH49" s="602"/>
      <c r="GI49" s="602"/>
      <c r="GJ49" s="580"/>
      <c r="GK49" s="413" t="s">
        <v>587</v>
      </c>
      <c r="GL49" s="580"/>
      <c r="GM49" s="413"/>
      <c r="GN49" s="580"/>
      <c r="GO49" s="413"/>
      <c r="GP49" s="413"/>
      <c r="GQ49" s="413"/>
      <c r="GR49" s="580"/>
      <c r="GS49" s="530"/>
      <c r="GT49" s="861"/>
      <c r="GU49" s="530" t="s">
        <v>784</v>
      </c>
      <c r="GV49" s="615"/>
      <c r="GW49" s="530"/>
      <c r="GX49" s="615"/>
      <c r="GY49" s="530"/>
      <c r="GZ49" s="391"/>
      <c r="HA49" s="580"/>
      <c r="HB49" s="391"/>
      <c r="HC49" s="1017"/>
      <c r="HD49" s="415"/>
    </row>
    <row r="50" spans="1:212" ht="20.100000000000001" customHeight="1">
      <c r="A50" s="1001"/>
      <c r="B50" s="764" t="s">
        <v>446</v>
      </c>
      <c r="C50" s="1018"/>
      <c r="D50" s="1019">
        <v>0</v>
      </c>
      <c r="E50" s="1020">
        <v>0</v>
      </c>
      <c r="F50" s="1021"/>
      <c r="G50" s="1022"/>
      <c r="H50" s="587">
        <v>0</v>
      </c>
      <c r="I50" s="1023"/>
      <c r="J50" s="587">
        <v>0</v>
      </c>
      <c r="K50" s="1023"/>
      <c r="L50" s="587">
        <v>0</v>
      </c>
      <c r="M50" s="1023"/>
      <c r="N50" s="587">
        <v>0</v>
      </c>
      <c r="O50" s="1023"/>
      <c r="P50" s="587">
        <v>0</v>
      </c>
      <c r="Q50" s="1023"/>
      <c r="R50" s="587">
        <v>0</v>
      </c>
      <c r="S50" s="1023"/>
      <c r="T50" s="587">
        <v>0</v>
      </c>
      <c r="U50" s="1023"/>
      <c r="V50" s="587">
        <v>0</v>
      </c>
      <c r="W50" s="1023"/>
      <c r="X50" s="587">
        <v>0</v>
      </c>
      <c r="Y50" s="1023"/>
      <c r="Z50" s="587">
        <v>0</v>
      </c>
      <c r="AA50" s="1023"/>
      <c r="AB50" s="587">
        <v>0</v>
      </c>
      <c r="AC50" s="1023"/>
      <c r="AD50" s="587">
        <v>0</v>
      </c>
      <c r="AE50" s="1023"/>
      <c r="AF50" s="587">
        <v>0</v>
      </c>
      <c r="AG50" s="1023"/>
      <c r="AH50" s="587">
        <v>0</v>
      </c>
      <c r="AI50" s="1023"/>
      <c r="AJ50" s="587">
        <v>0</v>
      </c>
      <c r="AK50" s="1023"/>
      <c r="AL50" s="587">
        <v>0</v>
      </c>
      <c r="AM50" s="1023"/>
      <c r="AN50" s="587">
        <v>0</v>
      </c>
      <c r="AO50" s="1023"/>
      <c r="AP50" s="587">
        <v>0</v>
      </c>
      <c r="AQ50" s="1023"/>
      <c r="AR50" s="587">
        <v>0</v>
      </c>
      <c r="AS50" s="1023"/>
      <c r="AT50" s="587">
        <v>0</v>
      </c>
      <c r="AU50" s="1023"/>
      <c r="AV50" s="587">
        <v>0</v>
      </c>
      <c r="AW50" s="1023"/>
      <c r="AX50" s="587">
        <v>0</v>
      </c>
      <c r="AY50" s="1024"/>
      <c r="AZ50" s="1025">
        <v>0</v>
      </c>
      <c r="BA50" s="1026"/>
      <c r="BB50" s="1027">
        <v>0</v>
      </c>
      <c r="BC50" s="938"/>
      <c r="BD50" s="1001"/>
      <c r="BE50" s="764" t="s">
        <v>449</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446</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446</v>
      </c>
      <c r="FL50" s="1018"/>
      <c r="FM50" s="1019">
        <v>0</v>
      </c>
      <c r="FN50" s="1020">
        <v>0</v>
      </c>
      <c r="FO50" s="1021"/>
      <c r="FP50" s="696"/>
      <c r="FQ50" s="1028"/>
      <c r="FR50" s="587">
        <v>0</v>
      </c>
      <c r="FS50" s="773"/>
      <c r="FT50" s="1028"/>
      <c r="FU50" s="592">
        <v>0</v>
      </c>
      <c r="FV50" s="1029"/>
      <c r="FW50" s="1030"/>
      <c r="FX50" s="1031"/>
      <c r="FY50" s="1032"/>
      <c r="FZ50" s="1033"/>
      <c r="GA50" s="1034"/>
      <c r="GB50" s="1035"/>
      <c r="GC50" s="1036"/>
      <c r="GD50" s="1035"/>
      <c r="GE50" s="1037"/>
      <c r="GF50" s="688"/>
      <c r="GG50" s="602"/>
      <c r="GH50" s="602"/>
      <c r="GI50" s="602"/>
      <c r="GJ50" s="580"/>
      <c r="GK50" s="413" t="s">
        <v>588</v>
      </c>
      <c r="GL50" s="580"/>
      <c r="GM50" s="413"/>
      <c r="GN50" s="580"/>
      <c r="GO50" s="413"/>
      <c r="GP50" s="413"/>
      <c r="GQ50" s="413"/>
      <c r="GR50" s="580"/>
      <c r="GS50" s="953"/>
      <c r="GT50" s="937"/>
      <c r="GU50" s="580" t="s">
        <v>564</v>
      </c>
      <c r="GV50" s="580"/>
      <c r="GW50" s="580"/>
      <c r="GX50" s="580"/>
      <c r="GY50" s="615"/>
      <c r="GZ50" s="579"/>
      <c r="HA50" s="615">
        <v>0</v>
      </c>
      <c r="HB50" s="579" t="s">
        <v>705</v>
      </c>
      <c r="HC50" s="1038"/>
      <c r="HD50" s="415"/>
    </row>
    <row r="51" spans="1:212" ht="20.100000000000001" customHeight="1" thickBot="1">
      <c r="A51" s="1039"/>
      <c r="B51" s="466" t="s">
        <v>506</v>
      </c>
      <c r="C51" s="1040"/>
      <c r="D51" s="785"/>
      <c r="E51" s="796"/>
      <c r="F51" s="1041"/>
      <c r="G51" s="798"/>
      <c r="H51" s="799">
        <v>0</v>
      </c>
      <c r="I51" s="800"/>
      <c r="J51" s="799">
        <v>0</v>
      </c>
      <c r="K51" s="800"/>
      <c r="L51" s="799">
        <v>0</v>
      </c>
      <c r="M51" s="800"/>
      <c r="N51" s="799">
        <v>0</v>
      </c>
      <c r="O51" s="800"/>
      <c r="P51" s="799">
        <v>0</v>
      </c>
      <c r="Q51" s="800"/>
      <c r="R51" s="799">
        <v>0</v>
      </c>
      <c r="S51" s="800"/>
      <c r="T51" s="799">
        <v>0</v>
      </c>
      <c r="U51" s="800"/>
      <c r="V51" s="799">
        <v>0</v>
      </c>
      <c r="W51" s="800"/>
      <c r="X51" s="799">
        <v>0</v>
      </c>
      <c r="Y51" s="800"/>
      <c r="Z51" s="799">
        <v>0</v>
      </c>
      <c r="AA51" s="800"/>
      <c r="AB51" s="799">
        <v>0</v>
      </c>
      <c r="AC51" s="800"/>
      <c r="AD51" s="799">
        <v>0</v>
      </c>
      <c r="AE51" s="800"/>
      <c r="AF51" s="799">
        <v>0</v>
      </c>
      <c r="AG51" s="800"/>
      <c r="AH51" s="799">
        <v>0</v>
      </c>
      <c r="AI51" s="800"/>
      <c r="AJ51" s="799">
        <v>0</v>
      </c>
      <c r="AK51" s="800"/>
      <c r="AL51" s="799">
        <v>0</v>
      </c>
      <c r="AM51" s="800"/>
      <c r="AN51" s="799">
        <v>0</v>
      </c>
      <c r="AO51" s="800"/>
      <c r="AP51" s="799">
        <v>0</v>
      </c>
      <c r="AQ51" s="800"/>
      <c r="AR51" s="799">
        <v>0</v>
      </c>
      <c r="AS51" s="800"/>
      <c r="AT51" s="799">
        <v>0</v>
      </c>
      <c r="AU51" s="800"/>
      <c r="AV51" s="799">
        <v>0</v>
      </c>
      <c r="AW51" s="800"/>
      <c r="AX51" s="799">
        <v>0</v>
      </c>
      <c r="AY51" s="1042"/>
      <c r="AZ51" s="1043">
        <v>0</v>
      </c>
      <c r="BA51" s="1044"/>
      <c r="BB51" s="1045">
        <v>0</v>
      </c>
      <c r="BC51" s="938"/>
      <c r="BD51" s="1039"/>
      <c r="BE51" s="466" t="s">
        <v>506</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506</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679</v>
      </c>
      <c r="FL51" s="1040"/>
      <c r="FM51" s="788"/>
      <c r="FN51" s="796">
        <v>0</v>
      </c>
      <c r="FO51" s="1041"/>
      <c r="FP51" s="802"/>
      <c r="FQ51" s="803"/>
      <c r="FR51" s="799">
        <v>0</v>
      </c>
      <c r="FS51" s="804"/>
      <c r="FT51" s="803"/>
      <c r="FU51" s="805">
        <v>0</v>
      </c>
      <c r="FV51" s="1029"/>
      <c r="FW51" s="1030"/>
      <c r="FX51" s="1031"/>
      <c r="FY51" s="1032"/>
      <c r="FZ51" s="1033"/>
      <c r="GA51" s="1034"/>
      <c r="GB51" s="1035"/>
      <c r="GC51" s="1036"/>
      <c r="GD51" s="1035"/>
      <c r="GE51" s="1037"/>
      <c r="GF51" s="688"/>
      <c r="GG51" s="602"/>
      <c r="GH51" s="602"/>
      <c r="GI51" s="602"/>
      <c r="GJ51" s="936"/>
      <c r="GK51" s="733"/>
      <c r="GL51" s="1046" t="s">
        <v>450</v>
      </c>
      <c r="GM51" s="1047" t="s">
        <v>590</v>
      </c>
      <c r="GN51" s="1048" t="s">
        <v>725</v>
      </c>
      <c r="GO51" s="1049" t="s">
        <v>788</v>
      </c>
      <c r="GP51" s="1049" t="s">
        <v>592</v>
      </c>
      <c r="GQ51" s="1050" t="s">
        <v>789</v>
      </c>
      <c r="GR51" s="733"/>
      <c r="GS51" s="953"/>
      <c r="GT51" s="763"/>
      <c r="GU51" s="580"/>
      <c r="GV51" s="580"/>
      <c r="GW51" s="580"/>
      <c r="GX51" s="580"/>
      <c r="GY51" s="413"/>
      <c r="GZ51" s="1051"/>
      <c r="HA51" s="615">
        <v>0</v>
      </c>
      <c r="HB51" s="579" t="s">
        <v>319</v>
      </c>
      <c r="HC51" s="1052"/>
      <c r="HD51" s="415"/>
    </row>
    <row r="52" spans="1:212" ht="20.100000000000001" customHeight="1" thickBot="1">
      <c r="A52" s="1053" t="s">
        <v>508</v>
      </c>
      <c r="B52" s="1054"/>
      <c r="C52" s="1055"/>
      <c r="D52" s="1055"/>
      <c r="E52" s="1056"/>
      <c r="F52" s="1055"/>
      <c r="G52" s="1057"/>
      <c r="H52" s="1058">
        <v>160</v>
      </c>
      <c r="I52" s="1059"/>
      <c r="J52" s="1058">
        <v>160</v>
      </c>
      <c r="K52" s="1059"/>
      <c r="L52" s="1058">
        <v>160</v>
      </c>
      <c r="M52" s="1059"/>
      <c r="N52" s="1058">
        <v>160</v>
      </c>
      <c r="O52" s="1059"/>
      <c r="P52" s="1058">
        <v>160</v>
      </c>
      <c r="Q52" s="1059"/>
      <c r="R52" s="1058">
        <v>160</v>
      </c>
      <c r="S52" s="1059"/>
      <c r="T52" s="1058">
        <v>160</v>
      </c>
      <c r="U52" s="1059"/>
      <c r="V52" s="1058">
        <v>160</v>
      </c>
      <c r="W52" s="1059"/>
      <c r="X52" s="1058">
        <v>160</v>
      </c>
      <c r="Y52" s="1059"/>
      <c r="Z52" s="1058">
        <v>160</v>
      </c>
      <c r="AA52" s="1059"/>
      <c r="AB52" s="1058">
        <v>160</v>
      </c>
      <c r="AC52" s="1059"/>
      <c r="AD52" s="1058">
        <v>160</v>
      </c>
      <c r="AE52" s="1059"/>
      <c r="AF52" s="1058">
        <v>160</v>
      </c>
      <c r="AG52" s="1059"/>
      <c r="AH52" s="1058">
        <v>160</v>
      </c>
      <c r="AI52" s="1059"/>
      <c r="AJ52" s="1058">
        <v>160</v>
      </c>
      <c r="AK52" s="1059"/>
      <c r="AL52" s="1058">
        <v>160</v>
      </c>
      <c r="AM52" s="1059"/>
      <c r="AN52" s="1058">
        <v>160</v>
      </c>
      <c r="AO52" s="1059"/>
      <c r="AP52" s="1058">
        <v>160</v>
      </c>
      <c r="AQ52" s="1059"/>
      <c r="AR52" s="1058">
        <v>160</v>
      </c>
      <c r="AS52" s="1059"/>
      <c r="AT52" s="1058">
        <v>160</v>
      </c>
      <c r="AU52" s="1059"/>
      <c r="AV52" s="1058">
        <v>160</v>
      </c>
      <c r="AW52" s="1059"/>
      <c r="AX52" s="1058">
        <v>160</v>
      </c>
      <c r="AY52" s="1060"/>
      <c r="AZ52" s="1061">
        <v>160</v>
      </c>
      <c r="BA52" s="1062"/>
      <c r="BB52" s="1063">
        <v>160</v>
      </c>
      <c r="BC52" s="981"/>
      <c r="BD52" s="1053" t="s">
        <v>508</v>
      </c>
      <c r="BE52" s="1054"/>
      <c r="BF52" s="1055"/>
      <c r="BG52" s="1055"/>
      <c r="BH52" s="1056"/>
      <c r="BI52" s="1055"/>
      <c r="BJ52" s="1057"/>
      <c r="BK52" s="1058">
        <v>160</v>
      </c>
      <c r="BL52" s="1059"/>
      <c r="BM52" s="1058">
        <v>160</v>
      </c>
      <c r="BN52" s="1059"/>
      <c r="BO52" s="1058">
        <v>160</v>
      </c>
      <c r="BP52" s="1059"/>
      <c r="BQ52" s="1058">
        <v>160</v>
      </c>
      <c r="BR52" s="1059"/>
      <c r="BS52" s="1058">
        <v>160</v>
      </c>
      <c r="BT52" s="1059"/>
      <c r="BU52" s="1058">
        <v>160</v>
      </c>
      <c r="BV52" s="1059"/>
      <c r="BW52" s="1058">
        <v>160</v>
      </c>
      <c r="BX52" s="1059"/>
      <c r="BY52" s="1058">
        <v>160</v>
      </c>
      <c r="BZ52" s="1059"/>
      <c r="CA52" s="1058">
        <v>160</v>
      </c>
      <c r="CB52" s="1059"/>
      <c r="CC52" s="1058">
        <v>160</v>
      </c>
      <c r="CD52" s="1059"/>
      <c r="CE52" s="1058">
        <v>160</v>
      </c>
      <c r="CF52" s="1059"/>
      <c r="CG52" s="1058">
        <v>160</v>
      </c>
      <c r="CH52" s="1059"/>
      <c r="CI52" s="1058">
        <v>160</v>
      </c>
      <c r="CJ52" s="1059"/>
      <c r="CK52" s="1058">
        <v>160</v>
      </c>
      <c r="CL52" s="1059"/>
      <c r="CM52" s="1058">
        <v>160</v>
      </c>
      <c r="CN52" s="1059"/>
      <c r="CO52" s="1058">
        <v>160</v>
      </c>
      <c r="CP52" s="1059"/>
      <c r="CQ52" s="1058">
        <v>160</v>
      </c>
      <c r="CR52" s="1059"/>
      <c r="CS52" s="1058">
        <v>160</v>
      </c>
      <c r="CT52" s="1059"/>
      <c r="CU52" s="1058">
        <v>160</v>
      </c>
      <c r="CV52" s="1059"/>
      <c r="CW52" s="1058">
        <v>160</v>
      </c>
      <c r="CX52" s="1059"/>
      <c r="CY52" s="1058">
        <v>160</v>
      </c>
      <c r="CZ52" s="1059"/>
      <c r="DA52" s="1058">
        <v>160</v>
      </c>
      <c r="DB52" s="1060"/>
      <c r="DC52" s="1061">
        <v>160</v>
      </c>
      <c r="DD52" s="1062"/>
      <c r="DE52" s="1063">
        <v>160</v>
      </c>
      <c r="DF52" s="981"/>
      <c r="DG52" s="1053" t="s">
        <v>508</v>
      </c>
      <c r="DH52" s="1054"/>
      <c r="DI52" s="1055"/>
      <c r="DJ52" s="1055"/>
      <c r="DK52" s="1056"/>
      <c r="DL52" s="1055"/>
      <c r="DM52" s="1057"/>
      <c r="DN52" s="1058">
        <v>160</v>
      </c>
      <c r="DO52" s="1059"/>
      <c r="DP52" s="1058">
        <v>160</v>
      </c>
      <c r="DQ52" s="1059"/>
      <c r="DR52" s="1058">
        <v>160</v>
      </c>
      <c r="DS52" s="1059"/>
      <c r="DT52" s="1058">
        <v>160</v>
      </c>
      <c r="DU52" s="1059"/>
      <c r="DV52" s="1058">
        <v>160</v>
      </c>
      <c r="DW52" s="1059"/>
      <c r="DX52" s="1058">
        <v>160</v>
      </c>
      <c r="DY52" s="1059"/>
      <c r="DZ52" s="1058">
        <v>160</v>
      </c>
      <c r="EA52" s="1059"/>
      <c r="EB52" s="1058">
        <v>160</v>
      </c>
      <c r="EC52" s="1059"/>
      <c r="ED52" s="1058">
        <v>160</v>
      </c>
      <c r="EE52" s="1059"/>
      <c r="EF52" s="1058">
        <v>160</v>
      </c>
      <c r="EG52" s="1059"/>
      <c r="EH52" s="1058">
        <v>160</v>
      </c>
      <c r="EI52" s="1059"/>
      <c r="EJ52" s="1058">
        <v>160</v>
      </c>
      <c r="EK52" s="1059"/>
      <c r="EL52" s="1058">
        <v>160</v>
      </c>
      <c r="EM52" s="1059"/>
      <c r="EN52" s="1058">
        <v>160</v>
      </c>
      <c r="EO52" s="1059"/>
      <c r="EP52" s="1058">
        <v>160</v>
      </c>
      <c r="EQ52" s="1059"/>
      <c r="ER52" s="1058">
        <v>160</v>
      </c>
      <c r="ES52" s="1059"/>
      <c r="ET52" s="1058">
        <v>160</v>
      </c>
      <c r="EU52" s="1059"/>
      <c r="EV52" s="1058">
        <v>160</v>
      </c>
      <c r="EW52" s="1059"/>
      <c r="EX52" s="1058">
        <v>160</v>
      </c>
      <c r="EY52" s="1059"/>
      <c r="EZ52" s="1058">
        <v>160</v>
      </c>
      <c r="FA52" s="1059"/>
      <c r="FB52" s="1058">
        <v>160</v>
      </c>
      <c r="FC52" s="1059"/>
      <c r="FD52" s="1058">
        <v>160</v>
      </c>
      <c r="FE52" s="1060"/>
      <c r="FF52" s="1061">
        <v>160</v>
      </c>
      <c r="FG52" s="1062"/>
      <c r="FH52" s="1063">
        <v>160</v>
      </c>
      <c r="FI52" s="981"/>
      <c r="FJ52" s="1053" t="s">
        <v>508</v>
      </c>
      <c r="FK52" s="1054"/>
      <c r="FL52" s="1055"/>
      <c r="FM52" s="1055"/>
      <c r="FN52" s="1056"/>
      <c r="FO52" s="1055"/>
      <c r="FP52" s="1064"/>
      <c r="FQ52" s="1065"/>
      <c r="FR52" s="1058">
        <v>0</v>
      </c>
      <c r="FS52" s="1066"/>
      <c r="FT52" s="1065"/>
      <c r="FU52" s="1067">
        <v>0</v>
      </c>
      <c r="FV52" s="1068">
        <v>8</v>
      </c>
      <c r="FW52" s="1069">
        <v>160</v>
      </c>
      <c r="FX52" s="1070">
        <v>8</v>
      </c>
      <c r="FY52" s="1069">
        <v>160</v>
      </c>
      <c r="FZ52" s="1070">
        <v>8</v>
      </c>
      <c r="GA52" s="1069">
        <v>160</v>
      </c>
      <c r="GB52" s="1071" t="s">
        <v>951</v>
      </c>
      <c r="GC52" s="1072">
        <v>160</v>
      </c>
      <c r="GD52" s="1071" t="s">
        <v>368</v>
      </c>
      <c r="GE52" s="1073">
        <v>0</v>
      </c>
      <c r="GF52" s="688"/>
      <c r="GG52" s="990"/>
      <c r="GH52" s="990"/>
      <c r="GI52" s="990"/>
      <c r="GJ52" s="936"/>
      <c r="GK52" s="733"/>
      <c r="GL52" s="1074"/>
      <c r="GM52" s="1075"/>
      <c r="GN52" s="1075"/>
      <c r="GO52" s="1076"/>
      <c r="GP52" s="1076"/>
      <c r="GQ52" s="1077"/>
      <c r="GR52" s="953"/>
      <c r="GS52" s="893"/>
      <c r="GT52" s="861"/>
      <c r="GU52" s="530" t="s">
        <v>566</v>
      </c>
      <c r="GV52" s="733"/>
      <c r="GW52" s="936"/>
      <c r="GX52" s="733"/>
      <c r="GY52" s="413"/>
      <c r="GZ52" s="1078"/>
      <c r="HA52" s="953"/>
      <c r="HB52" s="1078"/>
      <c r="HC52" s="562"/>
      <c r="HD52" s="415"/>
    </row>
    <row r="53" spans="1:212" ht="20.100000000000001" customHeight="1" thickTop="1">
      <c r="A53" s="1079" t="s">
        <v>344</v>
      </c>
      <c r="B53" s="1080"/>
      <c r="C53" s="1081"/>
      <c r="D53" s="1081"/>
      <c r="E53" s="1082"/>
      <c r="F53" s="1083"/>
      <c r="G53" s="1084"/>
      <c r="H53" s="1085">
        <v>7457</v>
      </c>
      <c r="I53" s="1086"/>
      <c r="J53" s="1085">
        <v>7402</v>
      </c>
      <c r="K53" s="1086"/>
      <c r="L53" s="1085">
        <v>7367</v>
      </c>
      <c r="M53" s="1086"/>
      <c r="N53" s="1085">
        <v>7320</v>
      </c>
      <c r="O53" s="1086"/>
      <c r="P53" s="1085">
        <v>9415</v>
      </c>
      <c r="Q53" s="1086"/>
      <c r="R53" s="1085">
        <v>9554</v>
      </c>
      <c r="S53" s="1086"/>
      <c r="T53" s="1085">
        <v>9808</v>
      </c>
      <c r="U53" s="1086"/>
      <c r="V53" s="1085">
        <v>10076</v>
      </c>
      <c r="W53" s="1086"/>
      <c r="X53" s="1085">
        <v>7989</v>
      </c>
      <c r="Y53" s="1086"/>
      <c r="Z53" s="1085">
        <v>7780</v>
      </c>
      <c r="AA53" s="1086"/>
      <c r="AB53" s="1085">
        <v>7908</v>
      </c>
      <c r="AC53" s="1086"/>
      <c r="AD53" s="1085">
        <v>7992</v>
      </c>
      <c r="AE53" s="1086"/>
      <c r="AF53" s="1085">
        <v>8120</v>
      </c>
      <c r="AG53" s="1086"/>
      <c r="AH53" s="1085">
        <v>8636</v>
      </c>
      <c r="AI53" s="1086"/>
      <c r="AJ53" s="1085">
        <v>8969</v>
      </c>
      <c r="AK53" s="1086"/>
      <c r="AL53" s="1085">
        <v>8934</v>
      </c>
      <c r="AM53" s="1086"/>
      <c r="AN53" s="1085">
        <v>8558</v>
      </c>
      <c r="AO53" s="1086"/>
      <c r="AP53" s="1085">
        <v>9083</v>
      </c>
      <c r="AQ53" s="1086"/>
      <c r="AR53" s="1085">
        <v>7890</v>
      </c>
      <c r="AS53" s="1086"/>
      <c r="AT53" s="1085">
        <v>7778</v>
      </c>
      <c r="AU53" s="1086"/>
      <c r="AV53" s="1085">
        <v>7692</v>
      </c>
      <c r="AW53" s="1086"/>
      <c r="AX53" s="1085">
        <v>7629</v>
      </c>
      <c r="AY53" s="1087"/>
      <c r="AZ53" s="1088">
        <v>7560</v>
      </c>
      <c r="BA53" s="1089"/>
      <c r="BB53" s="1090">
        <v>7508</v>
      </c>
      <c r="BC53" s="981"/>
      <c r="BD53" s="1079" t="s">
        <v>681</v>
      </c>
      <c r="BE53" s="1080"/>
      <c r="BF53" s="1081"/>
      <c r="BG53" s="1081"/>
      <c r="BH53" s="1082"/>
      <c r="BI53" s="1083"/>
      <c r="BJ53" s="1084"/>
      <c r="BK53" s="1085">
        <v>7401</v>
      </c>
      <c r="BL53" s="1086"/>
      <c r="BM53" s="1085">
        <v>7346</v>
      </c>
      <c r="BN53" s="1086"/>
      <c r="BO53" s="1085">
        <v>7306</v>
      </c>
      <c r="BP53" s="1086"/>
      <c r="BQ53" s="1085">
        <v>7259</v>
      </c>
      <c r="BR53" s="1086"/>
      <c r="BS53" s="1085">
        <v>9359</v>
      </c>
      <c r="BT53" s="1086"/>
      <c r="BU53" s="1085">
        <v>9533</v>
      </c>
      <c r="BV53" s="1086"/>
      <c r="BW53" s="1085">
        <v>9797</v>
      </c>
      <c r="BX53" s="1086"/>
      <c r="BY53" s="1085">
        <v>10086</v>
      </c>
      <c r="BZ53" s="1086"/>
      <c r="CA53" s="1085">
        <v>7964</v>
      </c>
      <c r="CB53" s="1086"/>
      <c r="CC53" s="1085">
        <v>7682</v>
      </c>
      <c r="CD53" s="1086"/>
      <c r="CE53" s="1085">
        <v>7770</v>
      </c>
      <c r="CF53" s="1086"/>
      <c r="CG53" s="1085">
        <v>7824</v>
      </c>
      <c r="CH53" s="1086"/>
      <c r="CI53" s="1085">
        <v>7993</v>
      </c>
      <c r="CJ53" s="1086"/>
      <c r="CK53" s="1085">
        <v>8816</v>
      </c>
      <c r="CL53" s="1086"/>
      <c r="CM53" s="1085">
        <v>9572</v>
      </c>
      <c r="CN53" s="1086"/>
      <c r="CO53" s="1085">
        <v>9858</v>
      </c>
      <c r="CP53" s="1086"/>
      <c r="CQ53" s="1085">
        <v>9760</v>
      </c>
      <c r="CR53" s="1086"/>
      <c r="CS53" s="1085">
        <v>10045</v>
      </c>
      <c r="CT53" s="1086"/>
      <c r="CU53" s="1085">
        <v>7944</v>
      </c>
      <c r="CV53" s="1086"/>
      <c r="CW53" s="1085">
        <v>7783</v>
      </c>
      <c r="CX53" s="1086"/>
      <c r="CY53" s="1085">
        <v>7674</v>
      </c>
      <c r="CZ53" s="1086"/>
      <c r="DA53" s="1085">
        <v>7585</v>
      </c>
      <c r="DB53" s="1087"/>
      <c r="DC53" s="1088">
        <v>7527</v>
      </c>
      <c r="DD53" s="1089"/>
      <c r="DE53" s="1090">
        <v>7460</v>
      </c>
      <c r="DF53" s="981"/>
      <c r="DG53" s="1079" t="s">
        <v>344</v>
      </c>
      <c r="DH53" s="1080"/>
      <c r="DI53" s="1081"/>
      <c r="DJ53" s="1081"/>
      <c r="DK53" s="1082"/>
      <c r="DL53" s="1083"/>
      <c r="DM53" s="1084"/>
      <c r="DN53" s="1085">
        <v>7173</v>
      </c>
      <c r="DO53" s="1086"/>
      <c r="DP53" s="1085">
        <v>7112</v>
      </c>
      <c r="DQ53" s="1086"/>
      <c r="DR53" s="1085">
        <v>7071</v>
      </c>
      <c r="DS53" s="1086"/>
      <c r="DT53" s="1085">
        <v>7019</v>
      </c>
      <c r="DU53" s="1086"/>
      <c r="DV53" s="1085">
        <v>9079</v>
      </c>
      <c r="DW53" s="1086"/>
      <c r="DX53" s="1085">
        <v>9160</v>
      </c>
      <c r="DY53" s="1086"/>
      <c r="DZ53" s="1085">
        <v>9381</v>
      </c>
      <c r="EA53" s="1086"/>
      <c r="EB53" s="1085">
        <v>9628</v>
      </c>
      <c r="EC53" s="1086"/>
      <c r="ED53" s="1085">
        <v>7478</v>
      </c>
      <c r="EE53" s="1086"/>
      <c r="EF53" s="1085">
        <v>7235</v>
      </c>
      <c r="EG53" s="1086"/>
      <c r="EH53" s="1085">
        <v>7370</v>
      </c>
      <c r="EI53" s="1086"/>
      <c r="EJ53" s="1085">
        <v>7473</v>
      </c>
      <c r="EK53" s="1086"/>
      <c r="EL53" s="1085">
        <v>7532</v>
      </c>
      <c r="EM53" s="1086"/>
      <c r="EN53" s="1085">
        <v>8195</v>
      </c>
      <c r="EO53" s="1086"/>
      <c r="EP53" s="1085">
        <v>8991</v>
      </c>
      <c r="EQ53" s="1086"/>
      <c r="ER53" s="1085">
        <v>9128</v>
      </c>
      <c r="ES53" s="1086"/>
      <c r="ET53" s="1085">
        <v>8537</v>
      </c>
      <c r="EU53" s="1086"/>
      <c r="EV53" s="1085">
        <v>8510</v>
      </c>
      <c r="EW53" s="1086"/>
      <c r="EX53" s="1085">
        <v>7630</v>
      </c>
      <c r="EY53" s="1086"/>
      <c r="EZ53" s="1085">
        <v>7523</v>
      </c>
      <c r="FA53" s="1086"/>
      <c r="FB53" s="1085">
        <v>7437</v>
      </c>
      <c r="FC53" s="1086"/>
      <c r="FD53" s="1085">
        <v>7370</v>
      </c>
      <c r="FE53" s="1087"/>
      <c r="FF53" s="1088">
        <v>7316</v>
      </c>
      <c r="FG53" s="1089"/>
      <c r="FH53" s="1090">
        <v>7248</v>
      </c>
      <c r="FI53" s="981"/>
      <c r="FJ53" s="1079" t="s">
        <v>344</v>
      </c>
      <c r="FK53" s="1080"/>
      <c r="FL53" s="1081"/>
      <c r="FM53" s="1081"/>
      <c r="FN53" s="1082"/>
      <c r="FO53" s="1083"/>
      <c r="FP53" s="1091"/>
      <c r="FQ53" s="1092"/>
      <c r="FR53" s="1085">
        <v>9510</v>
      </c>
      <c r="FS53" s="1093"/>
      <c r="FT53" s="1092"/>
      <c r="FU53" s="1094">
        <v>8948</v>
      </c>
      <c r="FV53" s="1095">
        <v>8</v>
      </c>
      <c r="FW53" s="1096">
        <v>10076</v>
      </c>
      <c r="FX53" s="1097">
        <v>8</v>
      </c>
      <c r="FY53" s="1096">
        <v>10086</v>
      </c>
      <c r="FZ53" s="1097">
        <v>8</v>
      </c>
      <c r="GA53" s="1096">
        <v>9628</v>
      </c>
      <c r="GB53" s="1098" t="s">
        <v>951</v>
      </c>
      <c r="GC53" s="1096">
        <v>10086</v>
      </c>
      <c r="GD53" s="1098" t="s">
        <v>368</v>
      </c>
      <c r="GE53" s="1099">
        <v>9510</v>
      </c>
      <c r="GF53" s="688"/>
      <c r="GG53" s="990"/>
      <c r="GH53" s="990"/>
      <c r="GI53" s="990"/>
      <c r="GJ53" s="953"/>
      <c r="GK53" s="413"/>
      <c r="GL53" s="1100">
        <v>10</v>
      </c>
      <c r="GM53" s="1101">
        <v>1</v>
      </c>
      <c r="GN53" s="1102">
        <v>0.92</v>
      </c>
      <c r="GO53" s="1103">
        <v>0</v>
      </c>
      <c r="GP53" s="1103">
        <v>11</v>
      </c>
      <c r="GQ53" s="1104">
        <v>11</v>
      </c>
      <c r="GR53" s="580"/>
      <c r="GS53" s="483"/>
      <c r="GT53" s="861"/>
      <c r="GU53" s="580" t="s">
        <v>1034</v>
      </c>
      <c r="GV53" s="580"/>
      <c r="GW53" s="580"/>
      <c r="GX53" s="580"/>
      <c r="GY53" s="413"/>
      <c r="GZ53" s="409"/>
      <c r="HA53" s="615">
        <v>35.9</v>
      </c>
      <c r="HB53" s="579" t="s">
        <v>705</v>
      </c>
      <c r="HC53" s="799"/>
      <c r="HD53" s="415"/>
    </row>
    <row r="54" spans="1:212" ht="20.100000000000001" customHeight="1">
      <c r="A54" s="1105" t="s">
        <v>682</v>
      </c>
      <c r="B54" s="1106"/>
      <c r="C54" s="1107"/>
      <c r="D54" s="1108"/>
      <c r="E54" s="1109"/>
      <c r="F54" s="1110"/>
      <c r="G54" s="1111"/>
      <c r="H54" s="1112">
        <v>109.7</v>
      </c>
      <c r="I54" s="1113"/>
      <c r="J54" s="1112">
        <v>108.9</v>
      </c>
      <c r="K54" s="1113"/>
      <c r="L54" s="1112">
        <v>108.3</v>
      </c>
      <c r="M54" s="1113"/>
      <c r="N54" s="1112">
        <v>107.6</v>
      </c>
      <c r="O54" s="1113"/>
      <c r="P54" s="1112">
        <v>138.5</v>
      </c>
      <c r="Q54" s="1113"/>
      <c r="R54" s="1112">
        <v>140.5</v>
      </c>
      <c r="S54" s="1113"/>
      <c r="T54" s="1112">
        <v>144.19999999999999</v>
      </c>
      <c r="U54" s="1113"/>
      <c r="V54" s="1112">
        <v>148.19999999999999</v>
      </c>
      <c r="W54" s="1113"/>
      <c r="X54" s="1112">
        <v>117.5</v>
      </c>
      <c r="Y54" s="1113"/>
      <c r="Z54" s="1112">
        <v>114.4</v>
      </c>
      <c r="AA54" s="1113"/>
      <c r="AB54" s="1112">
        <v>116.3</v>
      </c>
      <c r="AC54" s="1113"/>
      <c r="AD54" s="1112">
        <v>117.5</v>
      </c>
      <c r="AE54" s="1113"/>
      <c r="AF54" s="1112">
        <v>119.4</v>
      </c>
      <c r="AG54" s="1113"/>
      <c r="AH54" s="1112">
        <v>127</v>
      </c>
      <c r="AI54" s="1113"/>
      <c r="AJ54" s="1112">
        <v>131.9</v>
      </c>
      <c r="AK54" s="1113"/>
      <c r="AL54" s="1112">
        <v>131.4</v>
      </c>
      <c r="AM54" s="1113"/>
      <c r="AN54" s="1112">
        <v>125.9</v>
      </c>
      <c r="AO54" s="1113"/>
      <c r="AP54" s="1112">
        <v>133.6</v>
      </c>
      <c r="AQ54" s="1113"/>
      <c r="AR54" s="1112">
        <v>116</v>
      </c>
      <c r="AS54" s="1113"/>
      <c r="AT54" s="1112">
        <v>114.4</v>
      </c>
      <c r="AU54" s="1113"/>
      <c r="AV54" s="1112">
        <v>113.1</v>
      </c>
      <c r="AW54" s="1113"/>
      <c r="AX54" s="1112">
        <v>112.2</v>
      </c>
      <c r="AY54" s="1113"/>
      <c r="AZ54" s="1112">
        <v>111.2</v>
      </c>
      <c r="BA54" s="1113"/>
      <c r="BB54" s="1114">
        <v>110.4</v>
      </c>
      <c r="BC54" s="1017"/>
      <c r="BD54" s="1105" t="s">
        <v>682</v>
      </c>
      <c r="BE54" s="1106"/>
      <c r="BF54" s="1107"/>
      <c r="BG54" s="1108"/>
      <c r="BH54" s="1109"/>
      <c r="BI54" s="1110"/>
      <c r="BJ54" s="1111"/>
      <c r="BK54" s="1112">
        <v>108.8</v>
      </c>
      <c r="BL54" s="1113"/>
      <c r="BM54" s="1112">
        <v>108</v>
      </c>
      <c r="BN54" s="1113"/>
      <c r="BO54" s="1112">
        <v>107.4</v>
      </c>
      <c r="BP54" s="1113"/>
      <c r="BQ54" s="1112">
        <v>106.8</v>
      </c>
      <c r="BR54" s="1113"/>
      <c r="BS54" s="1112">
        <v>137.6</v>
      </c>
      <c r="BT54" s="1113"/>
      <c r="BU54" s="1112">
        <v>140.19999999999999</v>
      </c>
      <c r="BV54" s="1113"/>
      <c r="BW54" s="1112">
        <v>144.1</v>
      </c>
      <c r="BX54" s="1113"/>
      <c r="BY54" s="1112">
        <v>148.30000000000001</v>
      </c>
      <c r="BZ54" s="1113"/>
      <c r="CA54" s="1112">
        <v>117.1</v>
      </c>
      <c r="CB54" s="1113"/>
      <c r="CC54" s="1112">
        <v>113</v>
      </c>
      <c r="CD54" s="1113"/>
      <c r="CE54" s="1112">
        <v>114.3</v>
      </c>
      <c r="CF54" s="1113"/>
      <c r="CG54" s="1112">
        <v>115.1</v>
      </c>
      <c r="CH54" s="1113"/>
      <c r="CI54" s="1112">
        <v>117.5</v>
      </c>
      <c r="CJ54" s="1113"/>
      <c r="CK54" s="1112">
        <v>129.6</v>
      </c>
      <c r="CL54" s="1113"/>
      <c r="CM54" s="1112">
        <v>140.80000000000001</v>
      </c>
      <c r="CN54" s="1113"/>
      <c r="CO54" s="1112">
        <v>145</v>
      </c>
      <c r="CP54" s="1113"/>
      <c r="CQ54" s="1112">
        <v>143.5</v>
      </c>
      <c r="CR54" s="1113"/>
      <c r="CS54" s="1112">
        <v>147.69999999999999</v>
      </c>
      <c r="CT54" s="1113"/>
      <c r="CU54" s="1112">
        <v>116.8</v>
      </c>
      <c r="CV54" s="1113"/>
      <c r="CW54" s="1112">
        <v>114.5</v>
      </c>
      <c r="CX54" s="1113"/>
      <c r="CY54" s="1112">
        <v>112.9</v>
      </c>
      <c r="CZ54" s="1113"/>
      <c r="DA54" s="1112">
        <v>111.5</v>
      </c>
      <c r="DB54" s="1113"/>
      <c r="DC54" s="1112">
        <v>110.7</v>
      </c>
      <c r="DD54" s="1113"/>
      <c r="DE54" s="1114">
        <v>109.7</v>
      </c>
      <c r="DF54" s="1017"/>
      <c r="DG54" s="1105" t="s">
        <v>345</v>
      </c>
      <c r="DH54" s="1106"/>
      <c r="DI54" s="1107"/>
      <c r="DJ54" s="1108"/>
      <c r="DK54" s="1109"/>
      <c r="DL54" s="1110"/>
      <c r="DM54" s="1111"/>
      <c r="DN54" s="1112">
        <v>105.5</v>
      </c>
      <c r="DO54" s="1113"/>
      <c r="DP54" s="1112">
        <v>104.6</v>
      </c>
      <c r="DQ54" s="1113"/>
      <c r="DR54" s="1112">
        <v>104</v>
      </c>
      <c r="DS54" s="1113"/>
      <c r="DT54" s="1112">
        <v>103.2</v>
      </c>
      <c r="DU54" s="1113"/>
      <c r="DV54" s="1112">
        <v>133.5</v>
      </c>
      <c r="DW54" s="1113"/>
      <c r="DX54" s="1112">
        <v>134.69999999999999</v>
      </c>
      <c r="DY54" s="1113"/>
      <c r="DZ54" s="1112">
        <v>138</v>
      </c>
      <c r="EA54" s="1113"/>
      <c r="EB54" s="1112">
        <v>141.6</v>
      </c>
      <c r="EC54" s="1113"/>
      <c r="ED54" s="1112">
        <v>110</v>
      </c>
      <c r="EE54" s="1113"/>
      <c r="EF54" s="1112">
        <v>106.4</v>
      </c>
      <c r="EG54" s="1113"/>
      <c r="EH54" s="1112">
        <v>108.4</v>
      </c>
      <c r="EI54" s="1113"/>
      <c r="EJ54" s="1112">
        <v>109.9</v>
      </c>
      <c r="EK54" s="1113"/>
      <c r="EL54" s="1112">
        <v>110.8</v>
      </c>
      <c r="EM54" s="1113"/>
      <c r="EN54" s="1112">
        <v>120.5</v>
      </c>
      <c r="EO54" s="1113"/>
      <c r="EP54" s="1112">
        <v>132.19999999999999</v>
      </c>
      <c r="EQ54" s="1113"/>
      <c r="ER54" s="1112">
        <v>134.19999999999999</v>
      </c>
      <c r="ES54" s="1113"/>
      <c r="ET54" s="1112">
        <v>125.5</v>
      </c>
      <c r="EU54" s="1113"/>
      <c r="EV54" s="1112">
        <v>125.1</v>
      </c>
      <c r="EW54" s="1113"/>
      <c r="EX54" s="1112">
        <v>112.2</v>
      </c>
      <c r="EY54" s="1113"/>
      <c r="EZ54" s="1112">
        <v>110.6</v>
      </c>
      <c r="FA54" s="1113"/>
      <c r="FB54" s="1112">
        <v>109.4</v>
      </c>
      <c r="FC54" s="1113"/>
      <c r="FD54" s="1112">
        <v>108.4</v>
      </c>
      <c r="FE54" s="1113"/>
      <c r="FF54" s="1112">
        <v>107.6</v>
      </c>
      <c r="FG54" s="1113"/>
      <c r="FH54" s="1114">
        <v>106.6</v>
      </c>
      <c r="FI54" s="1017"/>
      <c r="FJ54" s="1105" t="s">
        <v>345</v>
      </c>
      <c r="FK54" s="1106"/>
      <c r="FL54" s="1107"/>
      <c r="FM54" s="1108"/>
      <c r="FN54" s="1109"/>
      <c r="FO54" s="1110"/>
      <c r="FP54" s="1115"/>
      <c r="FQ54" s="1113"/>
      <c r="FR54" s="1112">
        <v>139.9</v>
      </c>
      <c r="FS54" s="1116"/>
      <c r="FT54" s="1113"/>
      <c r="FU54" s="1117">
        <v>131.6</v>
      </c>
      <c r="FV54" s="1116"/>
      <c r="FW54" s="1112">
        <f>IF(面積=0,0,ROUND(FW53/面積,1))</f>
        <v>148.19999999999999</v>
      </c>
      <c r="FX54" s="1116"/>
      <c r="FY54" s="1112">
        <f>IF(面積=0,0,ROUND(FY53/面積,1))</f>
        <v>148.30000000000001</v>
      </c>
      <c r="FZ54" s="1116"/>
      <c r="GA54" s="1112">
        <f>IF(面積=0,0,ROUND(GA53/面積,1))</f>
        <v>141.6</v>
      </c>
      <c r="GB54" s="1116"/>
      <c r="GC54" s="1112">
        <f>IF(面積=0,0,ROUND(GC53/面積,1))</f>
        <v>148.30000000000001</v>
      </c>
      <c r="GD54" s="1116"/>
      <c r="GE54" s="1114">
        <f>IF(面積=0,0,ROUND(GE53/面積,1))</f>
        <v>139.9</v>
      </c>
      <c r="GF54" s="688"/>
      <c r="GG54" s="937"/>
      <c r="GH54" s="937"/>
      <c r="GI54" s="937"/>
      <c r="GJ54" s="580"/>
      <c r="GK54" s="579"/>
      <c r="GL54" s="1100">
        <v>11</v>
      </c>
      <c r="GM54" s="1101">
        <v>2</v>
      </c>
      <c r="GN54" s="1102">
        <v>0.85</v>
      </c>
      <c r="GO54" s="1103">
        <v>0</v>
      </c>
      <c r="GP54" s="1103">
        <v>11</v>
      </c>
      <c r="GQ54" s="1104">
        <v>11</v>
      </c>
      <c r="GR54" s="530"/>
      <c r="GS54" s="580"/>
      <c r="GT54" s="861"/>
      <c r="GU54" s="1118" t="s">
        <v>728</v>
      </c>
      <c r="GV54" s="1118"/>
      <c r="GW54" s="1118"/>
      <c r="GX54" s="1118"/>
      <c r="GY54" s="775"/>
      <c r="GZ54" s="1119"/>
      <c r="HA54" s="1120">
        <v>35.9</v>
      </c>
      <c r="HB54" s="1121" t="s">
        <v>705</v>
      </c>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30"/>
      <c r="GK55" s="413"/>
      <c r="GL55" s="1124">
        <v>12</v>
      </c>
      <c r="GM55" s="1125">
        <v>3</v>
      </c>
      <c r="GN55" s="1102">
        <v>0.78</v>
      </c>
      <c r="GO55" s="1103">
        <v>0</v>
      </c>
      <c r="GP55" s="1103">
        <v>11</v>
      </c>
      <c r="GQ55" s="1104">
        <v>11</v>
      </c>
      <c r="GR55" s="530"/>
      <c r="GS55" s="530"/>
      <c r="GT55" s="1126"/>
      <c r="GU55" s="1127"/>
      <c r="GV55" s="579"/>
      <c r="GW55" s="530"/>
      <c r="GX55" s="579"/>
      <c r="GY55" s="391"/>
      <c r="GZ55" s="529"/>
      <c r="HA55" s="580"/>
      <c r="HB55" s="529"/>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1011</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30"/>
      <c r="GK56" s="579"/>
      <c r="GL56" s="1100">
        <v>13</v>
      </c>
      <c r="GM56" s="1101">
        <v>4</v>
      </c>
      <c r="GN56" s="1102">
        <v>0.72</v>
      </c>
      <c r="GO56" s="1103">
        <v>0</v>
      </c>
      <c r="GP56" s="1103">
        <v>11</v>
      </c>
      <c r="GQ56" s="1104">
        <v>11</v>
      </c>
      <c r="GR56" s="530"/>
      <c r="GS56" s="529"/>
      <c r="GT56" s="1303"/>
      <c r="GU56" s="578"/>
      <c r="GV56" s="579"/>
      <c r="GW56" s="578"/>
      <c r="GX56" s="579"/>
      <c r="GY56" s="579"/>
      <c r="GZ56" s="500"/>
      <c r="HA56" s="578"/>
      <c r="HB56" s="500"/>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953"/>
      <c r="GK57" s="409"/>
      <c r="GL57" s="1124">
        <v>14</v>
      </c>
      <c r="GM57" s="1125">
        <v>5</v>
      </c>
      <c r="GN57" s="1102">
        <v>0.66</v>
      </c>
      <c r="GO57" s="1103">
        <v>0</v>
      </c>
      <c r="GP57" s="1103">
        <v>11</v>
      </c>
      <c r="GQ57" s="1104">
        <v>11</v>
      </c>
      <c r="GR57" s="953"/>
      <c r="GS57" s="529"/>
      <c r="GT57" s="1303"/>
      <c r="GU57" s="578"/>
      <c r="GV57" s="578"/>
      <c r="GW57" s="500"/>
      <c r="GX57" s="1306"/>
      <c r="GY57" s="579"/>
      <c r="GZ57" s="500"/>
      <c r="HA57" s="578"/>
      <c r="HB57" s="500"/>
      <c r="HC57" s="1052"/>
    </row>
    <row r="58" spans="1:212" ht="20.100000000000001" customHeight="1">
      <c r="A58" s="1163" t="s">
        <v>884</v>
      </c>
      <c r="B58" s="1164"/>
      <c r="C58" s="1164"/>
      <c r="D58" s="1164"/>
      <c r="E58" s="1165"/>
      <c r="F58" s="1166"/>
      <c r="G58" s="1167"/>
      <c r="H58" s="1168">
        <v>3250</v>
      </c>
      <c r="I58" s="1169"/>
      <c r="J58" s="1168">
        <v>3250</v>
      </c>
      <c r="K58" s="1169"/>
      <c r="L58" s="1168">
        <v>3250</v>
      </c>
      <c r="M58" s="1169"/>
      <c r="N58" s="1168">
        <v>3250</v>
      </c>
      <c r="O58" s="1169"/>
      <c r="P58" s="1168">
        <v>3250</v>
      </c>
      <c r="Q58" s="1169"/>
      <c r="R58" s="1168">
        <v>3250</v>
      </c>
      <c r="S58" s="1169"/>
      <c r="T58" s="1168">
        <v>3250</v>
      </c>
      <c r="U58" s="1169"/>
      <c r="V58" s="1168">
        <v>3250</v>
      </c>
      <c r="W58" s="1169"/>
      <c r="X58" s="1168">
        <v>3250</v>
      </c>
      <c r="Y58" s="1169"/>
      <c r="Z58" s="1168">
        <v>3250</v>
      </c>
      <c r="AA58" s="1169"/>
      <c r="AB58" s="1168">
        <v>3250</v>
      </c>
      <c r="AC58" s="1169"/>
      <c r="AD58" s="1168">
        <v>3250</v>
      </c>
      <c r="AE58" s="1169"/>
      <c r="AF58" s="1168">
        <v>3250</v>
      </c>
      <c r="AG58" s="1169"/>
      <c r="AH58" s="1168">
        <v>3250</v>
      </c>
      <c r="AI58" s="1169"/>
      <c r="AJ58" s="1168">
        <v>3250</v>
      </c>
      <c r="AK58" s="1169"/>
      <c r="AL58" s="1168">
        <v>3250</v>
      </c>
      <c r="AM58" s="1169"/>
      <c r="AN58" s="1168">
        <v>3250</v>
      </c>
      <c r="AO58" s="1169"/>
      <c r="AP58" s="1168">
        <v>3250</v>
      </c>
      <c r="AQ58" s="1169"/>
      <c r="AR58" s="1168">
        <v>3250</v>
      </c>
      <c r="AS58" s="1169"/>
      <c r="AT58" s="1168">
        <v>3250</v>
      </c>
      <c r="AU58" s="1169"/>
      <c r="AV58" s="1168">
        <v>3250</v>
      </c>
      <c r="AW58" s="1169"/>
      <c r="AX58" s="1168">
        <v>3250</v>
      </c>
      <c r="AY58" s="1169"/>
      <c r="AZ58" s="1168">
        <v>3250</v>
      </c>
      <c r="BA58" s="1169"/>
      <c r="BB58" s="561">
        <v>3250</v>
      </c>
      <c r="BC58" s="563"/>
      <c r="BD58" s="1163" t="s">
        <v>737</v>
      </c>
      <c r="BE58" s="1164"/>
      <c r="BF58" s="1164"/>
      <c r="BG58" s="1164"/>
      <c r="BH58" s="1165"/>
      <c r="BI58" s="1166"/>
      <c r="BJ58" s="1167"/>
      <c r="BK58" s="1168">
        <v>3250</v>
      </c>
      <c r="BL58" s="1169"/>
      <c r="BM58" s="1168">
        <v>3250</v>
      </c>
      <c r="BN58" s="1169"/>
      <c r="BO58" s="1168">
        <v>3250</v>
      </c>
      <c r="BP58" s="1169"/>
      <c r="BQ58" s="1168">
        <v>3250</v>
      </c>
      <c r="BR58" s="1169"/>
      <c r="BS58" s="1168">
        <v>3250</v>
      </c>
      <c r="BT58" s="1169"/>
      <c r="BU58" s="1168">
        <v>3250</v>
      </c>
      <c r="BV58" s="1169"/>
      <c r="BW58" s="1168">
        <v>3250</v>
      </c>
      <c r="BX58" s="1169"/>
      <c r="BY58" s="1168">
        <v>3250</v>
      </c>
      <c r="BZ58" s="1169"/>
      <c r="CA58" s="1168">
        <v>3250</v>
      </c>
      <c r="CB58" s="1169"/>
      <c r="CC58" s="1168">
        <v>3250</v>
      </c>
      <c r="CD58" s="1169"/>
      <c r="CE58" s="1168">
        <v>3250</v>
      </c>
      <c r="CF58" s="1169"/>
      <c r="CG58" s="1168">
        <v>3250</v>
      </c>
      <c r="CH58" s="1169"/>
      <c r="CI58" s="1168">
        <v>3250</v>
      </c>
      <c r="CJ58" s="1169"/>
      <c r="CK58" s="1168">
        <v>3250</v>
      </c>
      <c r="CL58" s="1169"/>
      <c r="CM58" s="1168">
        <v>3250</v>
      </c>
      <c r="CN58" s="1169"/>
      <c r="CO58" s="1168">
        <v>3250</v>
      </c>
      <c r="CP58" s="1169"/>
      <c r="CQ58" s="1168">
        <v>3250</v>
      </c>
      <c r="CR58" s="1169"/>
      <c r="CS58" s="1168">
        <v>3250</v>
      </c>
      <c r="CT58" s="1169"/>
      <c r="CU58" s="1168">
        <v>3250</v>
      </c>
      <c r="CV58" s="1169"/>
      <c r="CW58" s="1168">
        <v>3250</v>
      </c>
      <c r="CX58" s="1169"/>
      <c r="CY58" s="1168">
        <v>3250</v>
      </c>
      <c r="CZ58" s="1169"/>
      <c r="DA58" s="1168">
        <v>3250</v>
      </c>
      <c r="DB58" s="1169"/>
      <c r="DC58" s="1168">
        <v>3250</v>
      </c>
      <c r="DD58" s="1169"/>
      <c r="DE58" s="561">
        <v>3250</v>
      </c>
      <c r="DF58" s="562"/>
      <c r="DG58" s="1163" t="s">
        <v>612</v>
      </c>
      <c r="DH58" s="1164"/>
      <c r="DI58" s="1164"/>
      <c r="DJ58" s="1164"/>
      <c r="DK58" s="1165"/>
      <c r="DL58" s="1166"/>
      <c r="DM58" s="1167"/>
      <c r="DN58" s="1168">
        <v>3250</v>
      </c>
      <c r="DO58" s="1169"/>
      <c r="DP58" s="1168">
        <v>3250</v>
      </c>
      <c r="DQ58" s="1169"/>
      <c r="DR58" s="1168">
        <v>3250</v>
      </c>
      <c r="DS58" s="1169"/>
      <c r="DT58" s="1168">
        <v>3250</v>
      </c>
      <c r="DU58" s="1169"/>
      <c r="DV58" s="1168">
        <v>3250</v>
      </c>
      <c r="DW58" s="1169"/>
      <c r="DX58" s="1168">
        <v>3250</v>
      </c>
      <c r="DY58" s="1169"/>
      <c r="DZ58" s="1168">
        <v>3250</v>
      </c>
      <c r="EA58" s="1169"/>
      <c r="EB58" s="1168">
        <v>3250</v>
      </c>
      <c r="EC58" s="1169"/>
      <c r="ED58" s="1168">
        <v>3250</v>
      </c>
      <c r="EE58" s="1169"/>
      <c r="EF58" s="1168">
        <v>3250</v>
      </c>
      <c r="EG58" s="1169"/>
      <c r="EH58" s="1168">
        <v>3250</v>
      </c>
      <c r="EI58" s="1169"/>
      <c r="EJ58" s="1168">
        <v>3250</v>
      </c>
      <c r="EK58" s="1169"/>
      <c r="EL58" s="1168">
        <v>3250</v>
      </c>
      <c r="EM58" s="1169"/>
      <c r="EN58" s="1168">
        <v>3250</v>
      </c>
      <c r="EO58" s="1169"/>
      <c r="EP58" s="1168">
        <v>3250</v>
      </c>
      <c r="EQ58" s="1169"/>
      <c r="ER58" s="1168">
        <v>3250</v>
      </c>
      <c r="ES58" s="1169"/>
      <c r="ET58" s="1168">
        <v>3250</v>
      </c>
      <c r="EU58" s="1169"/>
      <c r="EV58" s="1168">
        <v>3250</v>
      </c>
      <c r="EW58" s="1169"/>
      <c r="EX58" s="1168">
        <v>3250</v>
      </c>
      <c r="EY58" s="1169"/>
      <c r="EZ58" s="1168">
        <v>3250</v>
      </c>
      <c r="FA58" s="1169"/>
      <c r="FB58" s="1168">
        <v>3250</v>
      </c>
      <c r="FC58" s="1169"/>
      <c r="FD58" s="1168">
        <v>3250</v>
      </c>
      <c r="FE58" s="1169"/>
      <c r="FF58" s="1168">
        <v>3250</v>
      </c>
      <c r="FG58" s="1169"/>
      <c r="FH58" s="561">
        <v>3250</v>
      </c>
      <c r="FI58" s="563"/>
      <c r="FJ58" s="1163" t="s">
        <v>737</v>
      </c>
      <c r="FK58" s="1164"/>
      <c r="FL58" s="1164"/>
      <c r="FM58" s="1164"/>
      <c r="FN58" s="1165"/>
      <c r="FO58" s="1166"/>
      <c r="FP58" s="1170"/>
      <c r="FQ58" s="1171"/>
      <c r="FR58" s="1168">
        <v>3250</v>
      </c>
      <c r="FS58" s="1172"/>
      <c r="FT58" s="1171"/>
      <c r="FU58" s="1173">
        <v>3250</v>
      </c>
      <c r="FV58" s="1174"/>
      <c r="FW58" s="1175"/>
      <c r="FX58" s="1176"/>
      <c r="FY58" s="1175"/>
      <c r="FZ58" s="1176"/>
      <c r="GA58" s="1175"/>
      <c r="GB58" s="1176"/>
      <c r="GC58" s="1175"/>
      <c r="GD58" s="1176"/>
      <c r="GE58" s="1177"/>
      <c r="GF58" s="688"/>
      <c r="GG58" s="602"/>
      <c r="GH58" s="602"/>
      <c r="GI58" s="602"/>
      <c r="GJ58" s="953"/>
      <c r="GK58" s="1178"/>
      <c r="GL58" s="1100">
        <v>15</v>
      </c>
      <c r="GM58" s="1101">
        <v>6</v>
      </c>
      <c r="GN58" s="1102">
        <v>0.61</v>
      </c>
      <c r="GO58" s="1103">
        <v>0</v>
      </c>
      <c r="GP58" s="1103">
        <v>11</v>
      </c>
      <c r="GQ58" s="1104">
        <v>11</v>
      </c>
      <c r="GR58" s="953"/>
      <c r="GS58" s="530"/>
      <c r="GT58" s="689"/>
      <c r="GU58" s="500"/>
      <c r="GV58" s="578"/>
      <c r="GW58" s="500"/>
      <c r="GX58" s="1306"/>
      <c r="GY58" s="1304"/>
      <c r="GZ58" s="579"/>
      <c r="HA58" s="578"/>
      <c r="HB58" s="500"/>
      <c r="HC58" s="562"/>
      <c r="HD58" s="1179"/>
    </row>
    <row r="59" spans="1:212" ht="20.100000000000001" customHeight="1">
      <c r="A59" s="1180" t="s">
        <v>616</v>
      </c>
      <c r="B59" s="1181"/>
      <c r="C59" s="1181"/>
      <c r="D59" s="1182" t="s">
        <v>615</v>
      </c>
      <c r="E59" s="1183"/>
      <c r="F59" s="1021"/>
      <c r="G59" s="1184">
        <v>29.5</v>
      </c>
      <c r="H59" s="585">
        <v>31958</v>
      </c>
      <c r="I59" s="1185">
        <v>29.1</v>
      </c>
      <c r="J59" s="587">
        <v>31525</v>
      </c>
      <c r="K59" s="1185">
        <v>28.9</v>
      </c>
      <c r="L59" s="587">
        <v>31308</v>
      </c>
      <c r="M59" s="1185">
        <v>28.4</v>
      </c>
      <c r="N59" s="587">
        <v>30767</v>
      </c>
      <c r="O59" s="1185">
        <v>28.1</v>
      </c>
      <c r="P59" s="587">
        <v>30442</v>
      </c>
      <c r="Q59" s="1185">
        <v>28.6</v>
      </c>
      <c r="R59" s="587">
        <v>30983</v>
      </c>
      <c r="S59" s="1185">
        <v>29.4</v>
      </c>
      <c r="T59" s="587">
        <v>31850</v>
      </c>
      <c r="U59" s="1185">
        <v>30.3</v>
      </c>
      <c r="V59" s="587">
        <v>32825</v>
      </c>
      <c r="W59" s="1185">
        <v>31.2</v>
      </c>
      <c r="X59" s="587">
        <v>33800</v>
      </c>
      <c r="Y59" s="1185">
        <v>32.1</v>
      </c>
      <c r="Z59" s="587">
        <v>34775</v>
      </c>
      <c r="AA59" s="1185">
        <v>32.4</v>
      </c>
      <c r="AB59" s="587">
        <v>35100</v>
      </c>
      <c r="AC59" s="1185">
        <v>33.700000000000003</v>
      </c>
      <c r="AD59" s="587">
        <v>36508</v>
      </c>
      <c r="AE59" s="1185">
        <v>33.299999999999997</v>
      </c>
      <c r="AF59" s="587">
        <v>36075</v>
      </c>
      <c r="AG59" s="1185">
        <v>32.6</v>
      </c>
      <c r="AH59" s="587">
        <v>35317</v>
      </c>
      <c r="AI59" s="1185">
        <v>32.6</v>
      </c>
      <c r="AJ59" s="587">
        <v>35317</v>
      </c>
      <c r="AK59" s="1185">
        <v>32.299999999999997</v>
      </c>
      <c r="AL59" s="587">
        <v>34992</v>
      </c>
      <c r="AM59" s="1185">
        <v>31.6</v>
      </c>
      <c r="AN59" s="587">
        <v>34233</v>
      </c>
      <c r="AO59" s="1185">
        <v>30.9</v>
      </c>
      <c r="AP59" s="587">
        <v>33475</v>
      </c>
      <c r="AQ59" s="1185">
        <v>30</v>
      </c>
      <c r="AR59" s="587">
        <v>32500</v>
      </c>
      <c r="AS59" s="1185">
        <v>29.6</v>
      </c>
      <c r="AT59" s="587">
        <v>32067</v>
      </c>
      <c r="AU59" s="1185">
        <v>29.8</v>
      </c>
      <c r="AV59" s="587">
        <v>32283</v>
      </c>
      <c r="AW59" s="1185">
        <v>29.7</v>
      </c>
      <c r="AX59" s="587">
        <v>32175</v>
      </c>
      <c r="AY59" s="1185">
        <v>29.7</v>
      </c>
      <c r="AZ59" s="587">
        <v>32175</v>
      </c>
      <c r="BA59" s="1185">
        <v>29.8</v>
      </c>
      <c r="BB59" s="589">
        <v>32283</v>
      </c>
      <c r="BC59" s="563"/>
      <c r="BD59" s="1180" t="s">
        <v>616</v>
      </c>
      <c r="BE59" s="1181"/>
      <c r="BF59" s="1181"/>
      <c r="BG59" s="1182" t="s">
        <v>615</v>
      </c>
      <c r="BH59" s="1183"/>
      <c r="BI59" s="1021"/>
      <c r="BJ59" s="1184">
        <v>24.2</v>
      </c>
      <c r="BK59" s="585">
        <v>26217</v>
      </c>
      <c r="BL59" s="1185">
        <v>24.1</v>
      </c>
      <c r="BM59" s="587">
        <v>26108</v>
      </c>
      <c r="BN59" s="1185">
        <v>23.9</v>
      </c>
      <c r="BO59" s="587">
        <v>25892</v>
      </c>
      <c r="BP59" s="1185">
        <v>23.7</v>
      </c>
      <c r="BQ59" s="587">
        <v>25675</v>
      </c>
      <c r="BR59" s="1185">
        <v>23.4</v>
      </c>
      <c r="BS59" s="587">
        <v>25350</v>
      </c>
      <c r="BT59" s="1185">
        <v>23.7</v>
      </c>
      <c r="BU59" s="587">
        <v>25675</v>
      </c>
      <c r="BV59" s="1185">
        <v>24.3</v>
      </c>
      <c r="BW59" s="587">
        <v>26325</v>
      </c>
      <c r="BX59" s="1185">
        <v>25.3</v>
      </c>
      <c r="BY59" s="587">
        <v>27408</v>
      </c>
      <c r="BZ59" s="1185">
        <v>26.1</v>
      </c>
      <c r="CA59" s="587">
        <v>28275</v>
      </c>
      <c r="CB59" s="1185">
        <v>26.9</v>
      </c>
      <c r="CC59" s="587">
        <v>29142</v>
      </c>
      <c r="CD59" s="1185">
        <v>27.8</v>
      </c>
      <c r="CE59" s="587">
        <v>30117</v>
      </c>
      <c r="CF59" s="1185">
        <v>28.5</v>
      </c>
      <c r="CG59" s="587">
        <v>30875</v>
      </c>
      <c r="CH59" s="1185">
        <v>28.9</v>
      </c>
      <c r="CI59" s="587">
        <v>31308</v>
      </c>
      <c r="CJ59" s="1185">
        <v>28.2</v>
      </c>
      <c r="CK59" s="587">
        <v>30550</v>
      </c>
      <c r="CL59" s="1185">
        <v>28</v>
      </c>
      <c r="CM59" s="587">
        <v>30333</v>
      </c>
      <c r="CN59" s="1185">
        <v>27.8</v>
      </c>
      <c r="CO59" s="587">
        <v>30117</v>
      </c>
      <c r="CP59" s="1185">
        <v>27.8</v>
      </c>
      <c r="CQ59" s="587">
        <v>30117</v>
      </c>
      <c r="CR59" s="1185">
        <v>27.1</v>
      </c>
      <c r="CS59" s="587">
        <v>29358</v>
      </c>
      <c r="CT59" s="1185">
        <v>26.1</v>
      </c>
      <c r="CU59" s="587">
        <v>28275</v>
      </c>
      <c r="CV59" s="1185">
        <v>25.3</v>
      </c>
      <c r="CW59" s="587">
        <v>27408</v>
      </c>
      <c r="CX59" s="1185">
        <v>24.9</v>
      </c>
      <c r="CY59" s="587">
        <v>26975</v>
      </c>
      <c r="CZ59" s="1185">
        <v>24.6</v>
      </c>
      <c r="DA59" s="587">
        <v>26650</v>
      </c>
      <c r="DB59" s="1185">
        <v>24.7</v>
      </c>
      <c r="DC59" s="587">
        <v>26758</v>
      </c>
      <c r="DD59" s="1185">
        <v>24.7</v>
      </c>
      <c r="DE59" s="589">
        <v>26758</v>
      </c>
      <c r="DF59" s="562"/>
      <c r="DG59" s="1180" t="s">
        <v>616</v>
      </c>
      <c r="DH59" s="1181"/>
      <c r="DI59" s="1181"/>
      <c r="DJ59" s="1182" t="s">
        <v>615</v>
      </c>
      <c r="DK59" s="1183"/>
      <c r="DL59" s="1021"/>
      <c r="DM59" s="1184">
        <v>19.100000000000001</v>
      </c>
      <c r="DN59" s="585">
        <v>20692</v>
      </c>
      <c r="DO59" s="1185">
        <v>18.5</v>
      </c>
      <c r="DP59" s="587">
        <v>20042</v>
      </c>
      <c r="DQ59" s="1185">
        <v>18</v>
      </c>
      <c r="DR59" s="587">
        <v>19500</v>
      </c>
      <c r="DS59" s="1185">
        <v>17.3</v>
      </c>
      <c r="DT59" s="587">
        <v>18742</v>
      </c>
      <c r="DU59" s="1185">
        <v>16.399999999999999</v>
      </c>
      <c r="DV59" s="587">
        <v>17767</v>
      </c>
      <c r="DW59" s="1185">
        <v>16.100000000000001</v>
      </c>
      <c r="DX59" s="587">
        <v>17442</v>
      </c>
      <c r="DY59" s="1185">
        <v>16.5</v>
      </c>
      <c r="DZ59" s="587">
        <v>17875</v>
      </c>
      <c r="EA59" s="1185">
        <v>17</v>
      </c>
      <c r="EB59" s="587">
        <v>18417</v>
      </c>
      <c r="EC59" s="1185">
        <v>17.3</v>
      </c>
      <c r="ED59" s="587">
        <v>18742</v>
      </c>
      <c r="EE59" s="1185">
        <v>18.399999999999999</v>
      </c>
      <c r="EF59" s="587">
        <v>19933</v>
      </c>
      <c r="EG59" s="1185">
        <v>18.5</v>
      </c>
      <c r="EH59" s="587">
        <v>20042</v>
      </c>
      <c r="EI59" s="1185">
        <v>18.899999999999999</v>
      </c>
      <c r="EJ59" s="587">
        <v>20475</v>
      </c>
      <c r="EK59" s="1185">
        <v>18.600000000000001</v>
      </c>
      <c r="EL59" s="587">
        <v>20150</v>
      </c>
      <c r="EM59" s="1185">
        <v>18.100000000000001</v>
      </c>
      <c r="EN59" s="587">
        <v>19608</v>
      </c>
      <c r="EO59" s="1185">
        <v>17.899999999999999</v>
      </c>
      <c r="EP59" s="587">
        <v>19392</v>
      </c>
      <c r="EQ59" s="1185">
        <v>18</v>
      </c>
      <c r="ER59" s="587">
        <v>19500</v>
      </c>
      <c r="ES59" s="1185">
        <v>17.5</v>
      </c>
      <c r="ET59" s="587">
        <v>18958</v>
      </c>
      <c r="EU59" s="1185">
        <v>18</v>
      </c>
      <c r="EV59" s="587">
        <v>19500</v>
      </c>
      <c r="EW59" s="1185">
        <v>18.899999999999999</v>
      </c>
      <c r="EX59" s="587">
        <v>20475</v>
      </c>
      <c r="EY59" s="1185">
        <v>20.399999999999999</v>
      </c>
      <c r="EZ59" s="587">
        <v>22100</v>
      </c>
      <c r="FA59" s="1185">
        <v>21.3</v>
      </c>
      <c r="FB59" s="587">
        <v>23075</v>
      </c>
      <c r="FC59" s="1185">
        <v>21.4</v>
      </c>
      <c r="FD59" s="587">
        <v>23183</v>
      </c>
      <c r="FE59" s="1185">
        <v>20.7</v>
      </c>
      <c r="FF59" s="587">
        <v>22425</v>
      </c>
      <c r="FG59" s="1185">
        <v>20</v>
      </c>
      <c r="FH59" s="589">
        <v>21667</v>
      </c>
      <c r="FI59" s="563"/>
      <c r="FJ59" s="1180" t="s">
        <v>616</v>
      </c>
      <c r="FK59" s="1181"/>
      <c r="FL59" s="1181"/>
      <c r="FM59" s="1182" t="s">
        <v>615</v>
      </c>
      <c r="FN59" s="1183"/>
      <c r="FO59" s="1021"/>
      <c r="FP59" s="625">
        <v>5</v>
      </c>
      <c r="FQ59" s="1186">
        <v>23.6</v>
      </c>
      <c r="FR59" s="1187">
        <v>25567</v>
      </c>
      <c r="FS59" s="1188">
        <v>5</v>
      </c>
      <c r="FT59" s="1186">
        <v>21.9</v>
      </c>
      <c r="FU59" s="1189">
        <v>23725</v>
      </c>
      <c r="FV59" s="1318" t="s">
        <v>1059</v>
      </c>
      <c r="FW59" s="1319"/>
      <c r="FX59" s="1320" t="s">
        <v>1058</v>
      </c>
      <c r="FY59" s="1319"/>
      <c r="FZ59" s="1320" t="s">
        <v>1059</v>
      </c>
      <c r="GA59" s="1319"/>
      <c r="GB59" s="1320" t="s">
        <v>1059</v>
      </c>
      <c r="GC59" s="1319"/>
      <c r="GD59" s="1320" t="s">
        <v>1058</v>
      </c>
      <c r="GE59" s="1324"/>
      <c r="GF59" s="688"/>
      <c r="GG59" s="1194"/>
      <c r="GH59" s="1194"/>
      <c r="GI59" s="1194"/>
      <c r="GJ59" s="893"/>
      <c r="GK59" s="409"/>
      <c r="GL59" s="1124">
        <v>16</v>
      </c>
      <c r="GM59" s="1125">
        <v>7</v>
      </c>
      <c r="GN59" s="1102">
        <v>0.56000000000000005</v>
      </c>
      <c r="GO59" s="1103">
        <v>0</v>
      </c>
      <c r="GP59" s="1103">
        <v>11</v>
      </c>
      <c r="GQ59" s="1104">
        <v>11</v>
      </c>
      <c r="GR59" s="893"/>
      <c r="GS59" s="391"/>
      <c r="GT59" s="1305"/>
      <c r="GU59" s="579"/>
      <c r="GV59" s="500"/>
      <c r="GW59" s="500"/>
      <c r="GX59" s="1306"/>
      <c r="GY59" s="1304"/>
      <c r="GZ59" s="579"/>
      <c r="HA59" s="578"/>
      <c r="HB59" s="500"/>
      <c r="HC59" s="1179"/>
      <c r="HD59" s="1195"/>
    </row>
    <row r="60" spans="1:212" ht="20.100000000000001" customHeight="1">
      <c r="A60" s="1180" t="s">
        <v>1179</v>
      </c>
      <c r="B60" s="1181"/>
      <c r="C60" s="1181"/>
      <c r="D60" s="1196"/>
      <c r="E60" s="1196"/>
      <c r="F60" s="1197">
        <v>1</v>
      </c>
      <c r="G60" s="584"/>
      <c r="H60" s="585">
        <v>2629</v>
      </c>
      <c r="I60" s="588"/>
      <c r="J60" s="587">
        <v>2684</v>
      </c>
      <c r="K60" s="588"/>
      <c r="L60" s="587">
        <v>2719</v>
      </c>
      <c r="M60" s="588"/>
      <c r="N60" s="587">
        <v>2766</v>
      </c>
      <c r="O60" s="588"/>
      <c r="P60" s="587">
        <v>671</v>
      </c>
      <c r="Q60" s="588"/>
      <c r="R60" s="587">
        <v>532</v>
      </c>
      <c r="S60" s="588"/>
      <c r="T60" s="587">
        <v>278</v>
      </c>
      <c r="U60" s="588"/>
      <c r="V60" s="587">
        <v>10</v>
      </c>
      <c r="W60" s="588"/>
      <c r="X60" s="587">
        <v>2097</v>
      </c>
      <c r="Y60" s="588"/>
      <c r="Z60" s="587">
        <v>2306</v>
      </c>
      <c r="AA60" s="588"/>
      <c r="AB60" s="587">
        <v>2178</v>
      </c>
      <c r="AC60" s="588"/>
      <c r="AD60" s="587">
        <v>2094</v>
      </c>
      <c r="AE60" s="588"/>
      <c r="AF60" s="587">
        <v>1966</v>
      </c>
      <c r="AG60" s="588"/>
      <c r="AH60" s="587">
        <v>1450</v>
      </c>
      <c r="AI60" s="588"/>
      <c r="AJ60" s="587">
        <v>1117</v>
      </c>
      <c r="AK60" s="588"/>
      <c r="AL60" s="587">
        <v>1152</v>
      </c>
      <c r="AM60" s="588"/>
      <c r="AN60" s="587">
        <v>1528</v>
      </c>
      <c r="AO60" s="588"/>
      <c r="AP60" s="587">
        <v>1003</v>
      </c>
      <c r="AQ60" s="588"/>
      <c r="AR60" s="587">
        <v>2196</v>
      </c>
      <c r="AS60" s="588"/>
      <c r="AT60" s="587">
        <v>2308</v>
      </c>
      <c r="AU60" s="588"/>
      <c r="AV60" s="587">
        <v>2394</v>
      </c>
      <c r="AW60" s="588"/>
      <c r="AX60" s="587">
        <v>2457</v>
      </c>
      <c r="AY60" s="588"/>
      <c r="AZ60" s="587">
        <v>2526</v>
      </c>
      <c r="BA60" s="588"/>
      <c r="BB60" s="589">
        <v>2578</v>
      </c>
      <c r="BC60" s="563"/>
      <c r="BD60" s="1180" t="s">
        <v>1180</v>
      </c>
      <c r="BE60" s="1181"/>
      <c r="BF60" s="1181"/>
      <c r="BG60" s="1196"/>
      <c r="BH60" s="1196"/>
      <c r="BI60" s="1197"/>
      <c r="BJ60" s="584"/>
      <c r="BK60" s="585">
        <v>2685</v>
      </c>
      <c r="BL60" s="588"/>
      <c r="BM60" s="587">
        <v>2740</v>
      </c>
      <c r="BN60" s="588"/>
      <c r="BO60" s="587">
        <v>2780</v>
      </c>
      <c r="BP60" s="588"/>
      <c r="BQ60" s="587">
        <v>2827</v>
      </c>
      <c r="BR60" s="588"/>
      <c r="BS60" s="587">
        <v>727</v>
      </c>
      <c r="BT60" s="588"/>
      <c r="BU60" s="587">
        <v>553</v>
      </c>
      <c r="BV60" s="588"/>
      <c r="BW60" s="587">
        <v>289</v>
      </c>
      <c r="BX60" s="588"/>
      <c r="BY60" s="587">
        <v>0</v>
      </c>
      <c r="BZ60" s="588"/>
      <c r="CA60" s="587">
        <v>2122</v>
      </c>
      <c r="CB60" s="588"/>
      <c r="CC60" s="587">
        <v>2404</v>
      </c>
      <c r="CD60" s="588"/>
      <c r="CE60" s="587">
        <v>2316</v>
      </c>
      <c r="CF60" s="588"/>
      <c r="CG60" s="587">
        <v>2262</v>
      </c>
      <c r="CH60" s="588"/>
      <c r="CI60" s="587">
        <v>2093</v>
      </c>
      <c r="CJ60" s="588"/>
      <c r="CK60" s="587">
        <v>1270</v>
      </c>
      <c r="CL60" s="588"/>
      <c r="CM60" s="587">
        <v>514</v>
      </c>
      <c r="CN60" s="588"/>
      <c r="CO60" s="587">
        <v>228</v>
      </c>
      <c r="CP60" s="588"/>
      <c r="CQ60" s="587">
        <v>326</v>
      </c>
      <c r="CR60" s="588"/>
      <c r="CS60" s="587">
        <v>41</v>
      </c>
      <c r="CT60" s="588"/>
      <c r="CU60" s="587">
        <v>2142</v>
      </c>
      <c r="CV60" s="588"/>
      <c r="CW60" s="587">
        <v>2303</v>
      </c>
      <c r="CX60" s="588"/>
      <c r="CY60" s="587">
        <v>2412</v>
      </c>
      <c r="CZ60" s="588"/>
      <c r="DA60" s="587">
        <v>2501</v>
      </c>
      <c r="DB60" s="588"/>
      <c r="DC60" s="587">
        <v>2559</v>
      </c>
      <c r="DD60" s="588"/>
      <c r="DE60" s="589">
        <v>2626</v>
      </c>
      <c r="DF60" s="562"/>
      <c r="DG60" s="1180" t="s">
        <v>1180</v>
      </c>
      <c r="DH60" s="1181"/>
      <c r="DI60" s="1181"/>
      <c r="DJ60" s="1196"/>
      <c r="DK60" s="1196"/>
      <c r="DL60" s="1197"/>
      <c r="DM60" s="584"/>
      <c r="DN60" s="585">
        <v>2913</v>
      </c>
      <c r="DO60" s="588"/>
      <c r="DP60" s="587">
        <v>2974</v>
      </c>
      <c r="DQ60" s="588"/>
      <c r="DR60" s="587">
        <v>3015</v>
      </c>
      <c r="DS60" s="588"/>
      <c r="DT60" s="587">
        <v>3067</v>
      </c>
      <c r="DU60" s="588"/>
      <c r="DV60" s="587">
        <v>1007</v>
      </c>
      <c r="DW60" s="588"/>
      <c r="DX60" s="587">
        <v>926</v>
      </c>
      <c r="DY60" s="588"/>
      <c r="DZ60" s="587">
        <v>705</v>
      </c>
      <c r="EA60" s="588"/>
      <c r="EB60" s="587">
        <v>458</v>
      </c>
      <c r="EC60" s="588"/>
      <c r="ED60" s="587">
        <v>2608</v>
      </c>
      <c r="EE60" s="588"/>
      <c r="EF60" s="587">
        <v>2851</v>
      </c>
      <c r="EG60" s="588"/>
      <c r="EH60" s="587">
        <v>2716</v>
      </c>
      <c r="EI60" s="588"/>
      <c r="EJ60" s="587">
        <v>2613</v>
      </c>
      <c r="EK60" s="588"/>
      <c r="EL60" s="587">
        <v>2554</v>
      </c>
      <c r="EM60" s="588"/>
      <c r="EN60" s="587">
        <v>1891</v>
      </c>
      <c r="EO60" s="588"/>
      <c r="EP60" s="587">
        <v>1095</v>
      </c>
      <c r="EQ60" s="588"/>
      <c r="ER60" s="587">
        <v>958</v>
      </c>
      <c r="ES60" s="588"/>
      <c r="ET60" s="587">
        <v>1549</v>
      </c>
      <c r="EU60" s="588"/>
      <c r="EV60" s="587">
        <v>1576</v>
      </c>
      <c r="EW60" s="588"/>
      <c r="EX60" s="587">
        <v>2456</v>
      </c>
      <c r="EY60" s="588"/>
      <c r="EZ60" s="587">
        <v>2563</v>
      </c>
      <c r="FA60" s="588"/>
      <c r="FB60" s="587">
        <v>2649</v>
      </c>
      <c r="FC60" s="588"/>
      <c r="FD60" s="587">
        <v>2716</v>
      </c>
      <c r="FE60" s="588"/>
      <c r="FF60" s="587">
        <v>2770</v>
      </c>
      <c r="FG60" s="588"/>
      <c r="FH60" s="589">
        <v>2838</v>
      </c>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391"/>
      <c r="GK60" s="391"/>
      <c r="GL60" s="1100">
        <v>17</v>
      </c>
      <c r="GM60" s="1101">
        <v>8</v>
      </c>
      <c r="GN60" s="1102">
        <v>0.51</v>
      </c>
      <c r="GO60" s="1103">
        <v>0</v>
      </c>
      <c r="GP60" s="1103">
        <v>11</v>
      </c>
      <c r="GQ60" s="1104">
        <v>11</v>
      </c>
      <c r="GR60" s="391"/>
      <c r="GS60" s="483"/>
      <c r="GT60" s="1305"/>
      <c r="GU60" s="500"/>
      <c r="GV60" s="579"/>
      <c r="GW60" s="500"/>
      <c r="GX60" s="579"/>
      <c r="GY60" s="500"/>
      <c r="GZ60" s="500"/>
      <c r="HA60" s="578"/>
      <c r="HB60" s="500"/>
      <c r="HC60" s="1201"/>
      <c r="HD60" s="1038"/>
    </row>
    <row r="61" spans="1:212" ht="20.100000000000001" customHeight="1">
      <c r="A61" s="1202" t="s">
        <v>621</v>
      </c>
      <c r="B61" s="1203"/>
      <c r="C61" s="1203"/>
      <c r="D61" s="1203"/>
      <c r="E61" s="1203"/>
      <c r="F61" s="1204"/>
      <c r="G61" s="1205"/>
      <c r="H61" s="1206">
        <v>42044</v>
      </c>
      <c r="I61" s="1207"/>
      <c r="J61" s="1208">
        <v>41611</v>
      </c>
      <c r="K61" s="1207"/>
      <c r="L61" s="1208">
        <v>41394</v>
      </c>
      <c r="M61" s="1207"/>
      <c r="N61" s="1208">
        <v>40853</v>
      </c>
      <c r="O61" s="1207"/>
      <c r="P61" s="1208">
        <v>40528</v>
      </c>
      <c r="Q61" s="1207"/>
      <c r="R61" s="1208">
        <v>41069</v>
      </c>
      <c r="S61" s="1207"/>
      <c r="T61" s="1208">
        <v>41936</v>
      </c>
      <c r="U61" s="1207"/>
      <c r="V61" s="1208">
        <v>42911</v>
      </c>
      <c r="W61" s="1207"/>
      <c r="X61" s="1208">
        <v>43886</v>
      </c>
      <c r="Y61" s="1207"/>
      <c r="Z61" s="1208">
        <v>44861</v>
      </c>
      <c r="AA61" s="1207"/>
      <c r="AB61" s="1208">
        <v>45186</v>
      </c>
      <c r="AC61" s="1207"/>
      <c r="AD61" s="1208">
        <v>46594</v>
      </c>
      <c r="AE61" s="1207"/>
      <c r="AF61" s="1208">
        <v>46161</v>
      </c>
      <c r="AG61" s="1207"/>
      <c r="AH61" s="1208">
        <v>45403</v>
      </c>
      <c r="AI61" s="1207"/>
      <c r="AJ61" s="1208">
        <v>45403</v>
      </c>
      <c r="AK61" s="1207"/>
      <c r="AL61" s="1208">
        <v>45078</v>
      </c>
      <c r="AM61" s="1207"/>
      <c r="AN61" s="1208">
        <v>44319</v>
      </c>
      <c r="AO61" s="1207"/>
      <c r="AP61" s="1208">
        <v>43561</v>
      </c>
      <c r="AQ61" s="1207"/>
      <c r="AR61" s="1208">
        <v>42586</v>
      </c>
      <c r="AS61" s="1207"/>
      <c r="AT61" s="1208">
        <v>42153</v>
      </c>
      <c r="AU61" s="1207"/>
      <c r="AV61" s="1208">
        <v>42369</v>
      </c>
      <c r="AW61" s="1207"/>
      <c r="AX61" s="1208">
        <v>42261</v>
      </c>
      <c r="AY61" s="1207"/>
      <c r="AZ61" s="1208">
        <v>42261</v>
      </c>
      <c r="BA61" s="1207"/>
      <c r="BB61" s="1209">
        <v>42369</v>
      </c>
      <c r="BC61" s="563"/>
      <c r="BD61" s="1202" t="s">
        <v>740</v>
      </c>
      <c r="BE61" s="1203"/>
      <c r="BF61" s="1203"/>
      <c r="BG61" s="1203"/>
      <c r="BH61" s="1203"/>
      <c r="BI61" s="1204"/>
      <c r="BJ61" s="1205"/>
      <c r="BK61" s="1206">
        <v>36303</v>
      </c>
      <c r="BL61" s="1207"/>
      <c r="BM61" s="1208">
        <v>36194</v>
      </c>
      <c r="BN61" s="1207"/>
      <c r="BO61" s="1208">
        <v>35978</v>
      </c>
      <c r="BP61" s="1207"/>
      <c r="BQ61" s="1208">
        <v>35761</v>
      </c>
      <c r="BR61" s="1207"/>
      <c r="BS61" s="1208">
        <v>35436</v>
      </c>
      <c r="BT61" s="1207"/>
      <c r="BU61" s="1208">
        <v>35761</v>
      </c>
      <c r="BV61" s="1207"/>
      <c r="BW61" s="1208">
        <v>36411</v>
      </c>
      <c r="BX61" s="1207"/>
      <c r="BY61" s="1208">
        <v>37494</v>
      </c>
      <c r="BZ61" s="1207"/>
      <c r="CA61" s="1208">
        <v>38361</v>
      </c>
      <c r="CB61" s="1207"/>
      <c r="CC61" s="1208">
        <v>39228</v>
      </c>
      <c r="CD61" s="1207"/>
      <c r="CE61" s="1208">
        <v>40203</v>
      </c>
      <c r="CF61" s="1207"/>
      <c r="CG61" s="1208">
        <v>40961</v>
      </c>
      <c r="CH61" s="1207"/>
      <c r="CI61" s="1208">
        <v>41394</v>
      </c>
      <c r="CJ61" s="1207"/>
      <c r="CK61" s="1208">
        <v>40636</v>
      </c>
      <c r="CL61" s="1207"/>
      <c r="CM61" s="1208">
        <v>40419</v>
      </c>
      <c r="CN61" s="1207"/>
      <c r="CO61" s="1208">
        <v>40203</v>
      </c>
      <c r="CP61" s="1207"/>
      <c r="CQ61" s="1208">
        <v>40203</v>
      </c>
      <c r="CR61" s="1207"/>
      <c r="CS61" s="1208">
        <v>39444</v>
      </c>
      <c r="CT61" s="1207"/>
      <c r="CU61" s="1208">
        <v>38361</v>
      </c>
      <c r="CV61" s="1207"/>
      <c r="CW61" s="1208">
        <v>37494</v>
      </c>
      <c r="CX61" s="1207"/>
      <c r="CY61" s="1208">
        <v>37061</v>
      </c>
      <c r="CZ61" s="1207"/>
      <c r="DA61" s="1208">
        <v>36736</v>
      </c>
      <c r="DB61" s="1207"/>
      <c r="DC61" s="1208">
        <v>36844</v>
      </c>
      <c r="DD61" s="1207"/>
      <c r="DE61" s="1209">
        <v>36844</v>
      </c>
      <c r="DF61" s="562"/>
      <c r="DG61" s="1202" t="s">
        <v>740</v>
      </c>
      <c r="DH61" s="1203"/>
      <c r="DI61" s="1203"/>
      <c r="DJ61" s="1203"/>
      <c r="DK61" s="1203"/>
      <c r="DL61" s="1204"/>
      <c r="DM61" s="1205"/>
      <c r="DN61" s="1206">
        <v>30778</v>
      </c>
      <c r="DO61" s="1207"/>
      <c r="DP61" s="1208">
        <v>30128</v>
      </c>
      <c r="DQ61" s="1207"/>
      <c r="DR61" s="1208">
        <v>29586</v>
      </c>
      <c r="DS61" s="1207"/>
      <c r="DT61" s="1208">
        <v>28828</v>
      </c>
      <c r="DU61" s="1207"/>
      <c r="DV61" s="1208">
        <v>27853</v>
      </c>
      <c r="DW61" s="1207"/>
      <c r="DX61" s="1208">
        <v>27528</v>
      </c>
      <c r="DY61" s="1207"/>
      <c r="DZ61" s="1208">
        <v>27961</v>
      </c>
      <c r="EA61" s="1207"/>
      <c r="EB61" s="1208">
        <v>28503</v>
      </c>
      <c r="EC61" s="1207"/>
      <c r="ED61" s="1208">
        <v>28828</v>
      </c>
      <c r="EE61" s="1207"/>
      <c r="EF61" s="1208">
        <v>30019</v>
      </c>
      <c r="EG61" s="1207"/>
      <c r="EH61" s="1208">
        <v>30128</v>
      </c>
      <c r="EI61" s="1207"/>
      <c r="EJ61" s="1208">
        <v>30561</v>
      </c>
      <c r="EK61" s="1207"/>
      <c r="EL61" s="1208">
        <v>30236</v>
      </c>
      <c r="EM61" s="1207"/>
      <c r="EN61" s="1208">
        <v>29694</v>
      </c>
      <c r="EO61" s="1207"/>
      <c r="EP61" s="1208">
        <v>29478</v>
      </c>
      <c r="EQ61" s="1207"/>
      <c r="ER61" s="1208">
        <v>29586</v>
      </c>
      <c r="ES61" s="1207"/>
      <c r="ET61" s="1208">
        <v>29044</v>
      </c>
      <c r="EU61" s="1207"/>
      <c r="EV61" s="1208">
        <v>29586</v>
      </c>
      <c r="EW61" s="1207"/>
      <c r="EX61" s="1208">
        <v>30561</v>
      </c>
      <c r="EY61" s="1207"/>
      <c r="EZ61" s="1208">
        <v>32186</v>
      </c>
      <c r="FA61" s="1207"/>
      <c r="FB61" s="1208">
        <v>33161</v>
      </c>
      <c r="FC61" s="1207"/>
      <c r="FD61" s="1208">
        <v>33269</v>
      </c>
      <c r="FE61" s="1207"/>
      <c r="FF61" s="1208">
        <v>32511</v>
      </c>
      <c r="FG61" s="1207"/>
      <c r="FH61" s="1209">
        <v>31753</v>
      </c>
      <c r="FI61" s="563"/>
      <c r="FJ61" s="1202" t="s">
        <v>740</v>
      </c>
      <c r="FK61" s="1203"/>
      <c r="FL61" s="1203"/>
      <c r="FM61" s="1203"/>
      <c r="FN61" s="1203"/>
      <c r="FO61" s="1203"/>
      <c r="FP61" s="1210"/>
      <c r="FQ61" s="1211"/>
      <c r="FR61" s="1212">
        <v>35077</v>
      </c>
      <c r="FS61" s="1213"/>
      <c r="FT61" s="1211"/>
      <c r="FU61" s="1214">
        <v>32673</v>
      </c>
      <c r="FV61" s="1321" t="s">
        <v>1058</v>
      </c>
      <c r="FW61" s="1322"/>
      <c r="FX61" s="1323" t="s">
        <v>1058</v>
      </c>
      <c r="FY61" s="1322"/>
      <c r="FZ61" s="1323" t="s">
        <v>1058</v>
      </c>
      <c r="GA61" s="1322"/>
      <c r="GB61" s="1323" t="s">
        <v>1058</v>
      </c>
      <c r="GC61" s="1322"/>
      <c r="GD61" s="1323" t="s">
        <v>1058</v>
      </c>
      <c r="GE61" s="1325"/>
      <c r="GF61" s="688"/>
      <c r="GG61" s="483"/>
      <c r="GH61" s="483"/>
      <c r="GI61" s="483"/>
      <c r="GJ61" s="483"/>
      <c r="GK61" s="486"/>
      <c r="GL61" s="1124">
        <v>18</v>
      </c>
      <c r="GM61" s="1220">
        <v>9</v>
      </c>
      <c r="GN61" s="1102">
        <v>0.47</v>
      </c>
      <c r="GO61" s="1103">
        <v>0</v>
      </c>
      <c r="GP61" s="1103">
        <v>11</v>
      </c>
      <c r="GQ61" s="1104">
        <v>11</v>
      </c>
      <c r="GR61" s="483"/>
      <c r="GS61" s="580"/>
      <c r="GT61" s="1305"/>
      <c r="GU61" s="689"/>
      <c r="GV61" s="689"/>
      <c r="GW61" s="689"/>
      <c r="GX61" s="689"/>
      <c r="GY61" s="579"/>
      <c r="GZ61" s="500"/>
      <c r="HA61" s="579"/>
      <c r="HB61" s="500"/>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80"/>
      <c r="GK62" s="486"/>
      <c r="GL62" s="483"/>
      <c r="GM62" s="486"/>
      <c r="GN62" s="483"/>
      <c r="GO62" s="486"/>
      <c r="GP62" s="486"/>
      <c r="GQ62" s="486"/>
      <c r="GR62" s="483"/>
      <c r="GS62" s="530"/>
      <c r="GT62" s="579"/>
      <c r="GU62" s="689"/>
      <c r="GV62" s="689"/>
      <c r="GW62" s="689"/>
      <c r="GX62" s="689"/>
      <c r="GY62" s="579"/>
      <c r="GZ62" s="500"/>
      <c r="HA62" s="579"/>
      <c r="HB62" s="500"/>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759</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303"/>
      <c r="GK63" s="1303"/>
      <c r="GL63" s="578"/>
      <c r="GM63" s="500"/>
      <c r="GN63" s="578"/>
      <c r="GO63" s="500"/>
      <c r="GP63" s="500"/>
      <c r="GQ63" s="500"/>
      <c r="GR63" s="578"/>
      <c r="GS63" s="530"/>
      <c r="GT63" s="579"/>
      <c r="GU63" s="578"/>
      <c r="GV63" s="500"/>
      <c r="GW63" s="578"/>
      <c r="GX63" s="500"/>
      <c r="GY63" s="500"/>
      <c r="GZ63" s="500"/>
      <c r="HA63" s="579"/>
      <c r="HB63" s="500"/>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00"/>
      <c r="GK64" s="500"/>
      <c r="GL64" s="578"/>
      <c r="GM64" s="500"/>
      <c r="GN64" s="578"/>
      <c r="GO64" s="500"/>
      <c r="GP64" s="500"/>
      <c r="GQ64" s="500"/>
      <c r="GR64" s="578"/>
      <c r="GS64" s="409"/>
      <c r="GT64" s="1305"/>
      <c r="GU64" s="578"/>
      <c r="GV64" s="500"/>
      <c r="GW64" s="578"/>
      <c r="GX64" s="500"/>
      <c r="GY64" s="500"/>
      <c r="GZ64" s="579"/>
      <c r="HA64" s="579"/>
      <c r="HB64" s="579"/>
      <c r="HC64" s="562"/>
    </row>
    <row r="65" spans="1:211" ht="20.100000000000001" customHeight="1">
      <c r="A65" s="1163" t="s">
        <v>1181</v>
      </c>
      <c r="B65" s="1164"/>
      <c r="C65" s="1164"/>
      <c r="D65" s="1232"/>
      <c r="E65" s="1233"/>
      <c r="F65" s="1234"/>
      <c r="G65" s="1235"/>
      <c r="H65" s="1168">
        <v>6570</v>
      </c>
      <c r="I65" s="1236"/>
      <c r="J65" s="1237">
        <v>6570</v>
      </c>
      <c r="K65" s="1238"/>
      <c r="L65" s="1237">
        <v>6570</v>
      </c>
      <c r="M65" s="1238"/>
      <c r="N65" s="1237">
        <v>6570</v>
      </c>
      <c r="O65" s="1238"/>
      <c r="P65" s="1237">
        <v>4470</v>
      </c>
      <c r="Q65" s="1238"/>
      <c r="R65" s="1237">
        <v>4470</v>
      </c>
      <c r="S65" s="1238"/>
      <c r="T65" s="1237">
        <v>4470</v>
      </c>
      <c r="U65" s="1238"/>
      <c r="V65" s="1237">
        <v>4470</v>
      </c>
      <c r="W65" s="1238"/>
      <c r="X65" s="1237">
        <v>7970</v>
      </c>
      <c r="Y65" s="1238"/>
      <c r="Z65" s="1237">
        <v>7970</v>
      </c>
      <c r="AA65" s="1238"/>
      <c r="AB65" s="1237">
        <v>7970</v>
      </c>
      <c r="AC65" s="1238"/>
      <c r="AD65" s="1237">
        <v>7970</v>
      </c>
      <c r="AE65" s="1238"/>
      <c r="AF65" s="1237">
        <v>7970</v>
      </c>
      <c r="AG65" s="1238"/>
      <c r="AH65" s="1237">
        <v>7970</v>
      </c>
      <c r="AI65" s="1238"/>
      <c r="AJ65" s="1237">
        <v>7970</v>
      </c>
      <c r="AK65" s="1238"/>
      <c r="AL65" s="1237">
        <v>7970</v>
      </c>
      <c r="AM65" s="1238"/>
      <c r="AN65" s="1237">
        <v>7970</v>
      </c>
      <c r="AO65" s="1238"/>
      <c r="AP65" s="1237">
        <v>6570</v>
      </c>
      <c r="AQ65" s="1238"/>
      <c r="AR65" s="1237">
        <v>6570</v>
      </c>
      <c r="AS65" s="1238"/>
      <c r="AT65" s="1237">
        <v>6570</v>
      </c>
      <c r="AU65" s="1238"/>
      <c r="AV65" s="1237">
        <v>6570</v>
      </c>
      <c r="AW65" s="1238"/>
      <c r="AX65" s="1237">
        <v>6570</v>
      </c>
      <c r="AY65" s="1238"/>
      <c r="AZ65" s="1237">
        <v>6570</v>
      </c>
      <c r="BA65" s="1238"/>
      <c r="BB65" s="561">
        <v>6570</v>
      </c>
      <c r="BC65" s="563"/>
      <c r="BD65" s="1163" t="s">
        <v>1182</v>
      </c>
      <c r="BE65" s="1164"/>
      <c r="BF65" s="1164"/>
      <c r="BG65" s="1232"/>
      <c r="BH65" s="1233"/>
      <c r="BI65" s="1234"/>
      <c r="BJ65" s="1235"/>
      <c r="BK65" s="1168">
        <v>6570</v>
      </c>
      <c r="BL65" s="1236"/>
      <c r="BM65" s="1237">
        <v>6570</v>
      </c>
      <c r="BN65" s="1238"/>
      <c r="BO65" s="1237">
        <v>6570</v>
      </c>
      <c r="BP65" s="1238"/>
      <c r="BQ65" s="1237">
        <v>6570</v>
      </c>
      <c r="BR65" s="1238"/>
      <c r="BS65" s="1237">
        <v>4470</v>
      </c>
      <c r="BT65" s="1238"/>
      <c r="BU65" s="1237">
        <v>4470</v>
      </c>
      <c r="BV65" s="1238"/>
      <c r="BW65" s="1237">
        <v>4470</v>
      </c>
      <c r="BX65" s="1238"/>
      <c r="BY65" s="1237">
        <v>4470</v>
      </c>
      <c r="BZ65" s="1238"/>
      <c r="CA65" s="1237">
        <v>7970</v>
      </c>
      <c r="CB65" s="1238"/>
      <c r="CC65" s="1237">
        <v>7970</v>
      </c>
      <c r="CD65" s="1238"/>
      <c r="CE65" s="1237">
        <v>7970</v>
      </c>
      <c r="CF65" s="1238"/>
      <c r="CG65" s="1237">
        <v>7970</v>
      </c>
      <c r="CH65" s="1238"/>
      <c r="CI65" s="1237">
        <v>7970</v>
      </c>
      <c r="CJ65" s="1238"/>
      <c r="CK65" s="1237">
        <v>7970</v>
      </c>
      <c r="CL65" s="1238"/>
      <c r="CM65" s="1237">
        <v>7970</v>
      </c>
      <c r="CN65" s="1238"/>
      <c r="CO65" s="1237">
        <v>7970</v>
      </c>
      <c r="CP65" s="1238"/>
      <c r="CQ65" s="1237">
        <v>7970</v>
      </c>
      <c r="CR65" s="1238"/>
      <c r="CS65" s="1237">
        <v>6570</v>
      </c>
      <c r="CT65" s="1238"/>
      <c r="CU65" s="1237">
        <v>6570</v>
      </c>
      <c r="CV65" s="1238"/>
      <c r="CW65" s="1237">
        <v>6570</v>
      </c>
      <c r="CX65" s="1238"/>
      <c r="CY65" s="1237">
        <v>6570</v>
      </c>
      <c r="CZ65" s="1238"/>
      <c r="DA65" s="1237">
        <v>6570</v>
      </c>
      <c r="DB65" s="1238"/>
      <c r="DC65" s="1237">
        <v>6570</v>
      </c>
      <c r="DD65" s="1238"/>
      <c r="DE65" s="561">
        <v>6570</v>
      </c>
      <c r="DF65" s="562"/>
      <c r="DG65" s="1163" t="s">
        <v>1182</v>
      </c>
      <c r="DH65" s="1164"/>
      <c r="DI65" s="1164"/>
      <c r="DJ65" s="1232"/>
      <c r="DK65" s="1233"/>
      <c r="DL65" s="1234"/>
      <c r="DM65" s="1235"/>
      <c r="DN65" s="1168">
        <v>6570</v>
      </c>
      <c r="DO65" s="1236"/>
      <c r="DP65" s="1237">
        <v>6570</v>
      </c>
      <c r="DQ65" s="1238"/>
      <c r="DR65" s="1237">
        <v>6570</v>
      </c>
      <c r="DS65" s="1238"/>
      <c r="DT65" s="1237">
        <v>6570</v>
      </c>
      <c r="DU65" s="1238"/>
      <c r="DV65" s="1237">
        <v>4470</v>
      </c>
      <c r="DW65" s="1238"/>
      <c r="DX65" s="1237">
        <v>4470</v>
      </c>
      <c r="DY65" s="1238"/>
      <c r="DZ65" s="1237">
        <v>4470</v>
      </c>
      <c r="EA65" s="1238"/>
      <c r="EB65" s="1237">
        <v>4470</v>
      </c>
      <c r="EC65" s="1238"/>
      <c r="ED65" s="1237">
        <v>7970</v>
      </c>
      <c r="EE65" s="1238"/>
      <c r="EF65" s="1237">
        <v>7970</v>
      </c>
      <c r="EG65" s="1238"/>
      <c r="EH65" s="1237">
        <v>7970</v>
      </c>
      <c r="EI65" s="1238"/>
      <c r="EJ65" s="1237">
        <v>7970</v>
      </c>
      <c r="EK65" s="1238"/>
      <c r="EL65" s="1237">
        <v>7970</v>
      </c>
      <c r="EM65" s="1238"/>
      <c r="EN65" s="1237">
        <v>7970</v>
      </c>
      <c r="EO65" s="1238"/>
      <c r="EP65" s="1237">
        <v>7970</v>
      </c>
      <c r="EQ65" s="1238"/>
      <c r="ER65" s="1237">
        <v>7970</v>
      </c>
      <c r="ES65" s="1238"/>
      <c r="ET65" s="1237">
        <v>7970</v>
      </c>
      <c r="EU65" s="1238"/>
      <c r="EV65" s="1237">
        <v>6570</v>
      </c>
      <c r="EW65" s="1238"/>
      <c r="EX65" s="1237">
        <v>6570</v>
      </c>
      <c r="EY65" s="1238"/>
      <c r="EZ65" s="1237">
        <v>6570</v>
      </c>
      <c r="FA65" s="1238"/>
      <c r="FB65" s="1237">
        <v>6570</v>
      </c>
      <c r="FC65" s="1238"/>
      <c r="FD65" s="1237">
        <v>6570</v>
      </c>
      <c r="FE65" s="1238"/>
      <c r="FF65" s="1237">
        <v>6570</v>
      </c>
      <c r="FG65" s="1238"/>
      <c r="FH65" s="561">
        <v>6570</v>
      </c>
      <c r="FI65" s="563"/>
      <c r="FJ65" s="1163" t="s">
        <v>1182</v>
      </c>
      <c r="FK65" s="1164"/>
      <c r="FL65" s="1239"/>
      <c r="FM65" s="1239"/>
      <c r="FN65" s="1239"/>
      <c r="FO65" s="1234"/>
      <c r="FP65" s="1170"/>
      <c r="FQ65" s="1236"/>
      <c r="FR65" s="1168">
        <v>0</v>
      </c>
      <c r="FS65" s="1240"/>
      <c r="FT65" s="1236"/>
      <c r="FU65" s="1173">
        <v>0</v>
      </c>
      <c r="FV65" s="1240"/>
      <c r="FW65" s="1241">
        <v>7970</v>
      </c>
      <c r="FX65" s="1172"/>
      <c r="FY65" s="1241">
        <v>7970</v>
      </c>
      <c r="FZ65" s="1172"/>
      <c r="GA65" s="1241">
        <v>7970</v>
      </c>
      <c r="GB65" s="1172"/>
      <c r="GC65" s="1241">
        <v>7970</v>
      </c>
      <c r="GD65" s="1242"/>
      <c r="GE65" s="1243"/>
      <c r="GF65" s="688"/>
      <c r="GG65" s="602"/>
      <c r="GH65" s="602"/>
      <c r="GI65" s="602"/>
      <c r="GJ65" s="391"/>
      <c r="GK65" s="529"/>
      <c r="GL65" s="529"/>
      <c r="GM65" s="529"/>
      <c r="GN65" s="529"/>
      <c r="GO65" s="529"/>
      <c r="GP65" s="529"/>
      <c r="GQ65" s="529"/>
      <c r="GR65" s="529"/>
      <c r="GS65" s="409"/>
      <c r="GT65" s="1305"/>
      <c r="GU65" s="500"/>
      <c r="GV65" s="500"/>
      <c r="GW65" s="500"/>
      <c r="GX65" s="500"/>
      <c r="GY65" s="500"/>
      <c r="GZ65" s="579"/>
      <c r="HA65" s="579"/>
      <c r="HB65" s="579"/>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741</v>
      </c>
      <c r="FK66" s="1203"/>
      <c r="FL66" s="1249"/>
      <c r="FM66" s="1250" t="s">
        <v>624</v>
      </c>
      <c r="FN66" s="1251"/>
      <c r="FO66" s="1204"/>
      <c r="FP66" s="1210">
        <v>5</v>
      </c>
      <c r="FQ66" s="1252">
        <v>7.9</v>
      </c>
      <c r="FR66" s="1253">
        <v>30.8</v>
      </c>
      <c r="FS66" s="1213">
        <v>5</v>
      </c>
      <c r="FT66" s="1252">
        <v>6.5</v>
      </c>
      <c r="FU66" s="1254">
        <v>25.4</v>
      </c>
      <c r="FV66" s="1255"/>
      <c r="FW66" s="1256"/>
      <c r="FX66" s="1256"/>
      <c r="FY66" s="1256"/>
      <c r="FZ66" s="1256"/>
      <c r="GA66" s="1256"/>
      <c r="GB66" s="1256"/>
      <c r="GC66" s="1257"/>
      <c r="GD66" s="1213"/>
      <c r="GE66" s="1258">
        <v>30.8</v>
      </c>
      <c r="GF66" s="688"/>
      <c r="GG66" s="391"/>
      <c r="GH66" s="391"/>
      <c r="GI66" s="391"/>
      <c r="GJ66" s="483"/>
      <c r="GK66" s="529"/>
      <c r="GL66" s="530"/>
      <c r="GM66" s="529"/>
      <c r="GN66" s="530"/>
      <c r="GO66" s="529"/>
      <c r="GP66" s="529"/>
      <c r="GQ66" s="529"/>
      <c r="GR66" s="530"/>
      <c r="GT66" s="1305"/>
      <c r="GU66" s="579"/>
      <c r="GV66" s="579"/>
      <c r="GW66" s="579"/>
      <c r="GX66" s="579"/>
      <c r="GY66" s="579"/>
      <c r="GZ66" s="500"/>
      <c r="HA66" s="500"/>
      <c r="HB66" s="500"/>
      <c r="HC66" s="406"/>
    </row>
    <row r="67" spans="1:211" ht="20.100000000000001" customHeight="1" thickBot="1">
      <c r="BC67" s="389"/>
      <c r="DF67" s="389"/>
      <c r="FI67" s="389"/>
      <c r="GD67" s="688"/>
      <c r="GE67" s="799"/>
      <c r="GF67" s="688"/>
      <c r="GG67" s="483"/>
      <c r="GH67" s="483"/>
      <c r="GI67" s="483"/>
      <c r="GJ67" s="391"/>
      <c r="GT67" s="689"/>
      <c r="GU67" s="500"/>
      <c r="GV67" s="500"/>
      <c r="GW67" s="500"/>
      <c r="GX67" s="500"/>
      <c r="GY67" s="500"/>
      <c r="GZ67" s="579"/>
      <c r="HA67" s="578"/>
      <c r="HB67" s="579"/>
      <c r="HC67" s="406"/>
    </row>
    <row r="68" spans="1:211" ht="20.100000000000001" customHeight="1">
      <c r="A68" s="1260" t="s">
        <v>360</v>
      </c>
      <c r="B68" s="1261"/>
      <c r="C68" s="1261"/>
      <c r="D68" s="1261"/>
      <c r="E68" s="825"/>
      <c r="F68" s="825"/>
      <c r="G68" s="1262" t="s">
        <v>1014</v>
      </c>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t="str">
        <f>$G68</f>
        <v>(C)室内全熱負荷以降の外気負荷等は、熱源容量計算用の基準別、時刻別の値です。外気負荷を含めた空調機の容量の計算等は別紙「AHU-1系統 空調機容量の計算」をご参照ください。また、本系統はオールフレッシュのため、外気風量はすべて空調機風量です。</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t="str">
        <f>$G68</f>
        <v>(C)室内全熱負荷以降の外気負荷等は、熱源容量計算用の基準別、時刻別の値です。外気負荷を含めた空調機の容量の計算等は別紙「AHU-1系統 空調機容量の計算」をご参照ください。また、本系統はオールフレッシュのため、外気風量はすべて空調機風量です。</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483"/>
      <c r="GK68" s="529"/>
      <c r="GL68" s="530"/>
      <c r="GM68" s="529"/>
      <c r="GN68" s="530"/>
      <c r="GO68" s="529"/>
      <c r="GP68" s="529"/>
      <c r="GQ68" s="529"/>
      <c r="GR68" s="530"/>
      <c r="GT68" s="579"/>
      <c r="GU68" s="1303"/>
      <c r="GV68" s="1303"/>
      <c r="GW68" s="1303"/>
      <c r="GX68" s="1303"/>
      <c r="GY68" s="1121"/>
      <c r="GZ68" s="1304"/>
      <c r="HA68" s="1304"/>
      <c r="HB68" s="1304"/>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MO89"/>
  <sheetViews>
    <sheetView showGridLines="0" zoomScale="70" zoomScaleNormal="70" workbookViewId="0">
      <pane ySplit="8" topLeftCell="A9" activePane="bottomLeft" state="frozenSplit"/>
      <selection pane="bottomLeft"/>
    </sheetView>
  </sheetViews>
  <sheetFormatPr defaultColWidth="7.42578125" defaultRowHeight="20.100000000000001" customHeight="1"/>
  <cols>
    <col min="1" max="1" width="5" style="392" customWidth="1"/>
    <col min="2" max="6" width="9.5703125" style="392" customWidth="1"/>
    <col min="7" max="7" width="4.7109375" style="392" customWidth="1"/>
    <col min="8" max="8" width="7.7109375" style="392" customWidth="1"/>
    <col min="9" max="9" width="4.7109375" style="392" customWidth="1"/>
    <col min="10" max="10" width="7.7109375" style="392" customWidth="1"/>
    <col min="11" max="11" width="4.7109375" style="392" customWidth="1"/>
    <col min="12" max="12" width="7.7109375" style="392" customWidth="1"/>
    <col min="13" max="13" width="4.7109375" style="392" customWidth="1"/>
    <col min="14" max="14" width="7.7109375" style="392" customWidth="1"/>
    <col min="15" max="15" width="4.7109375" style="392" customWidth="1"/>
    <col min="16" max="16" width="7.7109375" style="392" customWidth="1"/>
    <col min="17" max="17" width="4.7109375" style="392" customWidth="1"/>
    <col min="18" max="18" width="7.7109375" style="392" customWidth="1"/>
    <col min="19" max="19" width="4.7109375" style="392" customWidth="1"/>
    <col min="20" max="20" width="7.7109375" style="392" customWidth="1"/>
    <col min="21" max="21" width="4.7109375" style="392" customWidth="1"/>
    <col min="22" max="22" width="7.7109375" style="392" customWidth="1"/>
    <col min="23" max="23" width="4.7109375" style="392" customWidth="1"/>
    <col min="24" max="24" width="7.7109375" style="392" customWidth="1"/>
    <col min="25" max="25" width="4.7109375" style="392" customWidth="1"/>
    <col min="26" max="26" width="7.7109375" style="392" customWidth="1"/>
    <col min="27" max="27" width="4.7109375" style="392" customWidth="1"/>
    <col min="28" max="28" width="7.7109375" style="392" customWidth="1"/>
    <col min="29" max="29" width="4.7109375" style="392" customWidth="1"/>
    <col min="30" max="30" width="7.7109375" style="392" customWidth="1"/>
    <col min="31" max="31" width="4.7109375" style="392" customWidth="1"/>
    <col min="32" max="32" width="7.7109375" style="392" customWidth="1"/>
    <col min="33" max="33" width="4.7109375" style="392" customWidth="1"/>
    <col min="34" max="34" width="7.7109375" style="392" customWidth="1"/>
    <col min="35" max="35" width="4.7109375" style="392" customWidth="1"/>
    <col min="36" max="36" width="7.7109375" style="392" customWidth="1"/>
    <col min="37" max="37" width="4.7109375" style="392" customWidth="1"/>
    <col min="38" max="38" width="7.7109375" style="392" customWidth="1"/>
    <col min="39" max="39" width="4.7109375" style="392" customWidth="1"/>
    <col min="40" max="40" width="7.7109375" style="392" customWidth="1"/>
    <col min="41" max="41" width="4.7109375" style="392" customWidth="1"/>
    <col min="42" max="42" width="7.7109375" style="392" customWidth="1"/>
    <col min="43" max="43" width="4.7109375" style="392" customWidth="1"/>
    <col min="44" max="44" width="7.7109375" style="392" customWidth="1"/>
    <col min="45" max="45" width="4.7109375" style="392" customWidth="1"/>
    <col min="46" max="46" width="7.7109375" style="392" customWidth="1"/>
    <col min="47" max="47" width="4.7109375" style="392" customWidth="1"/>
    <col min="48" max="48" width="7.7109375" style="392" customWidth="1"/>
    <col min="49" max="49" width="4.7109375" style="392" customWidth="1"/>
    <col min="50" max="50" width="7.7109375" style="392" customWidth="1"/>
    <col min="51" max="51" width="4.7109375" style="392" customWidth="1"/>
    <col min="52" max="52" width="7.7109375" style="392" customWidth="1"/>
    <col min="53" max="53" width="4.7109375" style="392" customWidth="1"/>
    <col min="54" max="54" width="7.7109375" style="392" customWidth="1"/>
    <col min="55" max="55" width="4.28515625" style="1222" customWidth="1"/>
    <col min="56" max="56" width="5" style="392" customWidth="1"/>
    <col min="57" max="61" width="9.5703125" style="392" customWidth="1"/>
    <col min="62" max="62" width="4.7109375" style="392" customWidth="1"/>
    <col min="63" max="63" width="7.7109375" style="392" customWidth="1"/>
    <col min="64" max="64" width="4.7109375" style="392" customWidth="1"/>
    <col min="65" max="65" width="7.7109375" style="392" customWidth="1"/>
    <col min="66" max="66" width="4.7109375" style="392" customWidth="1"/>
    <col min="67" max="67" width="7.7109375" style="392" customWidth="1"/>
    <col min="68" max="68" width="4.7109375" style="392" customWidth="1"/>
    <col min="69" max="69" width="7.7109375" style="392" customWidth="1"/>
    <col min="70" max="70" width="4.7109375" style="392" customWidth="1"/>
    <col min="71" max="71" width="7.7109375" style="392" customWidth="1"/>
    <col min="72" max="72" width="4.7109375" style="392" customWidth="1"/>
    <col min="73" max="73" width="7.7109375" style="392" customWidth="1"/>
    <col min="74" max="74" width="4.7109375" style="392" customWidth="1"/>
    <col min="75" max="75" width="7.7109375" style="392" customWidth="1"/>
    <col min="76" max="76" width="4.7109375" style="392" customWidth="1"/>
    <col min="77" max="77" width="7.7109375" style="392" customWidth="1"/>
    <col min="78" max="78" width="4.7109375" style="392" customWidth="1"/>
    <col min="79" max="79" width="7.7109375" style="392" customWidth="1"/>
    <col min="80" max="80" width="4.7109375" style="392" customWidth="1"/>
    <col min="81" max="81" width="7.7109375" style="392" customWidth="1"/>
    <col min="82" max="82" width="4.7109375" style="392" customWidth="1"/>
    <col min="83" max="83" width="7.7109375" style="392" customWidth="1"/>
    <col min="84" max="84" width="4.7109375" style="392" customWidth="1"/>
    <col min="85" max="85" width="7.7109375" style="392" customWidth="1"/>
    <col min="86" max="86" width="4.7109375" style="392" customWidth="1"/>
    <col min="87" max="87" width="7.7109375" style="392" customWidth="1"/>
    <col min="88" max="88" width="4.7109375" style="392" customWidth="1"/>
    <col min="89" max="89" width="7.7109375" style="392" customWidth="1"/>
    <col min="90" max="90" width="4.7109375" style="392" customWidth="1"/>
    <col min="91" max="91" width="7.7109375" style="392" customWidth="1"/>
    <col min="92" max="92" width="4.7109375" style="392" customWidth="1"/>
    <col min="93" max="93" width="7.7109375" style="392" customWidth="1"/>
    <col min="94" max="94" width="4.7109375" style="392" customWidth="1"/>
    <col min="95" max="95" width="7.7109375" style="392" customWidth="1"/>
    <col min="96" max="96" width="4.7109375" style="392" customWidth="1"/>
    <col min="97" max="97" width="7.7109375" style="392" customWidth="1"/>
    <col min="98" max="98" width="4.7109375" style="392" customWidth="1"/>
    <col min="99" max="99" width="7.7109375" style="392" customWidth="1"/>
    <col min="100" max="100" width="4.7109375" style="392" customWidth="1"/>
    <col min="101" max="101" width="7.7109375" style="392" customWidth="1"/>
    <col min="102" max="102" width="4.7109375" style="392" customWidth="1"/>
    <col min="103" max="103" width="7.7109375" style="392" customWidth="1"/>
    <col min="104" max="104" width="4.7109375" style="392" customWidth="1"/>
    <col min="105" max="105" width="7.7109375" style="392" customWidth="1"/>
    <col min="106" max="106" width="4.7109375" style="392" customWidth="1"/>
    <col min="107" max="107" width="7.7109375" style="392" customWidth="1"/>
    <col min="108" max="108" width="4.7109375" style="392" customWidth="1"/>
    <col min="109" max="109" width="7.7109375" style="392" customWidth="1"/>
    <col min="110" max="110" width="4.7109375" style="1222" customWidth="1"/>
    <col min="111" max="111" width="5" style="392" customWidth="1"/>
    <col min="112" max="116" width="9.5703125" style="392" customWidth="1"/>
    <col min="117" max="117" width="4.7109375" style="392" customWidth="1"/>
    <col min="118" max="118" width="7.7109375" style="392" customWidth="1"/>
    <col min="119" max="119" width="4.7109375" style="392" customWidth="1"/>
    <col min="120" max="120" width="7.7109375" style="392" customWidth="1"/>
    <col min="121" max="121" width="4.7109375" style="392" customWidth="1"/>
    <col min="122" max="122" width="7.7109375" style="392" customWidth="1"/>
    <col min="123" max="123" width="4.7109375" style="392" customWidth="1"/>
    <col min="124" max="124" width="7.7109375" style="392" customWidth="1"/>
    <col min="125" max="125" width="4.7109375" style="392" customWidth="1"/>
    <col min="126" max="126" width="7.7109375" style="392" customWidth="1"/>
    <col min="127" max="127" width="4.7109375" style="392" customWidth="1"/>
    <col min="128" max="128" width="7.7109375" style="392" customWidth="1"/>
    <col min="129" max="129" width="4.7109375" style="392" customWidth="1"/>
    <col min="130" max="130" width="7.7109375" style="392" customWidth="1"/>
    <col min="131" max="131" width="4.7109375" style="392" customWidth="1"/>
    <col min="132" max="132" width="7.7109375" style="392" customWidth="1"/>
    <col min="133" max="133" width="4.7109375" style="392" customWidth="1"/>
    <col min="134" max="134" width="7.7109375" style="392" customWidth="1"/>
    <col min="135" max="135" width="4.7109375" style="392" customWidth="1"/>
    <col min="136" max="136" width="7.7109375" style="392" customWidth="1"/>
    <col min="137" max="137" width="4.7109375" style="392" customWidth="1"/>
    <col min="138" max="138" width="7.7109375" style="392" customWidth="1"/>
    <col min="139" max="139" width="4.7109375" style="392" customWidth="1"/>
    <col min="140" max="140" width="7.7109375" style="392" customWidth="1"/>
    <col min="141" max="141" width="4.7109375" style="392" customWidth="1"/>
    <col min="142" max="142" width="7.7109375" style="392" customWidth="1"/>
    <col min="143" max="143" width="4.7109375" style="392" customWidth="1"/>
    <col min="144" max="144" width="7.7109375" style="392" customWidth="1"/>
    <col min="145" max="145" width="4.7109375" style="392" customWidth="1"/>
    <col min="146" max="146" width="7.7109375" style="392" customWidth="1"/>
    <col min="147" max="147" width="4.7109375" style="392" customWidth="1"/>
    <col min="148" max="148" width="7.7109375" style="392" customWidth="1"/>
    <col min="149" max="149" width="4.7109375" style="392" customWidth="1"/>
    <col min="150" max="150" width="7.7109375" style="392" customWidth="1"/>
    <col min="151" max="151" width="4.7109375" style="392" customWidth="1"/>
    <col min="152" max="152" width="7.7109375" style="392" customWidth="1"/>
    <col min="153" max="153" width="4.7109375" style="392" customWidth="1"/>
    <col min="154" max="154" width="7.7109375" style="392" customWidth="1"/>
    <col min="155" max="155" width="4.7109375" style="392" customWidth="1"/>
    <col min="156" max="156" width="7.7109375" style="392" customWidth="1"/>
    <col min="157" max="157" width="4.7109375" style="392" customWidth="1"/>
    <col min="158" max="158" width="7.7109375" style="392" customWidth="1"/>
    <col min="159" max="159" width="4.7109375" style="392" customWidth="1"/>
    <col min="160" max="160" width="7.7109375" style="392" customWidth="1"/>
    <col min="161" max="161" width="4.7109375" style="392" customWidth="1"/>
    <col min="162" max="162" width="7.7109375" style="392" customWidth="1"/>
    <col min="163" max="163" width="4.7109375" style="392" customWidth="1"/>
    <col min="164" max="164" width="7.7109375" style="392" customWidth="1"/>
    <col min="165" max="165" width="4.7109375" style="1222" customWidth="1"/>
    <col min="166" max="166" width="5" style="392" customWidth="1"/>
    <col min="167" max="171" width="9.5703125" style="392" customWidth="1"/>
    <col min="172" max="173" width="4.7109375" style="392" customWidth="1"/>
    <col min="174" max="174" width="7.7109375" style="392" customWidth="1"/>
    <col min="175" max="176" width="4.7109375" style="392" customWidth="1"/>
    <col min="177" max="177" width="7.7109375" style="392" customWidth="1"/>
    <col min="178" max="178" width="4.7109375" style="392" customWidth="1"/>
    <col min="179" max="179" width="7.7109375" style="392" customWidth="1"/>
    <col min="180" max="180" width="4.7109375" style="392" customWidth="1"/>
    <col min="181" max="181" width="7.7109375" style="392" customWidth="1"/>
    <col min="182" max="182" width="4.7109375" style="392" customWidth="1"/>
    <col min="183" max="183" width="7.7109375" style="392" customWidth="1"/>
    <col min="184" max="184" width="4.7109375" style="392" customWidth="1"/>
    <col min="185" max="185" width="7.7109375" style="392" customWidth="1"/>
    <col min="186" max="186" width="4.7109375" style="392" customWidth="1"/>
    <col min="187" max="187" width="7.7109375" style="392" customWidth="1"/>
    <col min="188" max="188" width="4.7109375" style="392" customWidth="1"/>
    <col min="189" max="191" width="7.7109375" style="1259" customWidth="1"/>
    <col min="192" max="192" width="4.7109375" style="1259" customWidth="1"/>
    <col min="193" max="193" width="6.7109375" style="1259" customWidth="1"/>
    <col min="194" max="199" width="8.7109375" style="1259" customWidth="1"/>
    <col min="200" max="200" width="12.5703125" style="1259" customWidth="1"/>
    <col min="201" max="201" width="7.140625" style="1259" customWidth="1"/>
    <col min="202" max="202" width="4.7109375" style="1259" customWidth="1"/>
    <col min="203" max="203" width="6.7109375" style="1259" customWidth="1"/>
    <col min="204" max="210" width="8.7109375" style="1259" customWidth="1"/>
    <col min="211" max="211" width="4.28515625" style="1222" customWidth="1"/>
    <col min="212" max="212" width="7.42578125" style="392" customWidth="1"/>
    <col min="213" max="213" width="24.5703125" style="392" customWidth="1"/>
    <col min="214" max="214" width="8.85546875" style="392" customWidth="1"/>
    <col min="215" max="16384" width="7.42578125" style="392"/>
  </cols>
  <sheetData>
    <row r="1" spans="1:353" s="385" customFormat="1" ht="42" customHeight="1">
      <c r="A1" s="375" t="s">
        <v>274</v>
      </c>
      <c r="B1" s="376"/>
      <c r="C1" s="376"/>
      <c r="D1" s="376"/>
      <c r="E1" s="376"/>
      <c r="F1" s="376"/>
      <c r="G1" s="376"/>
      <c r="H1" s="377"/>
      <c r="I1" s="37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8" t="s">
        <v>276</v>
      </c>
      <c r="AY1" s="376" t="s">
        <v>1052</v>
      </c>
      <c r="AZ1" s="376"/>
      <c r="BA1" s="376"/>
      <c r="BB1" s="379"/>
      <c r="BC1" s="380"/>
      <c r="BD1" s="375" t="s">
        <v>274</v>
      </c>
      <c r="BE1" s="376"/>
      <c r="BF1" s="376"/>
      <c r="BG1" s="376"/>
      <c r="BH1" s="376"/>
      <c r="BI1" s="376"/>
      <c r="BJ1" s="376"/>
      <c r="BK1" s="377"/>
      <c r="BL1" s="377"/>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8" t="s">
        <v>276</v>
      </c>
      <c r="DB1" s="376" t="str">
        <f>$AY1</f>
        <v>24時間</v>
      </c>
      <c r="DC1" s="378"/>
      <c r="DD1" s="376"/>
      <c r="DE1" s="379"/>
      <c r="DF1" s="380"/>
      <c r="DG1" s="375" t="s">
        <v>274</v>
      </c>
      <c r="DH1" s="376"/>
      <c r="DI1" s="376"/>
      <c r="DJ1" s="376"/>
      <c r="DK1" s="376"/>
      <c r="DL1" s="376"/>
      <c r="DM1" s="376"/>
      <c r="DN1" s="377"/>
      <c r="DO1" s="377"/>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8" t="s">
        <v>276</v>
      </c>
      <c r="FE1" s="376" t="str">
        <f>$AY1</f>
        <v>24時間</v>
      </c>
      <c r="FF1" s="378"/>
      <c r="FG1" s="376"/>
      <c r="FH1" s="379"/>
      <c r="FI1" s="380"/>
      <c r="FJ1" s="375" t="s">
        <v>274</v>
      </c>
      <c r="FK1" s="376"/>
      <c r="FL1" s="376"/>
      <c r="FM1" s="376"/>
      <c r="FN1" s="376"/>
      <c r="FO1" s="376"/>
      <c r="FP1" s="376"/>
      <c r="FQ1" s="377"/>
      <c r="FR1" s="377"/>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8"/>
      <c r="GV1" s="376"/>
      <c r="GW1" s="376"/>
      <c r="GX1" s="376"/>
      <c r="GY1" s="378" t="s">
        <v>825</v>
      </c>
      <c r="GZ1" s="376" t="s">
        <v>364</v>
      </c>
      <c r="HA1" s="376"/>
      <c r="HB1" s="379"/>
      <c r="HC1" s="1276" t="s">
        <v>769</v>
      </c>
      <c r="HD1" s="381"/>
      <c r="HE1" s="382"/>
      <c r="HF1" s="381"/>
      <c r="HG1" s="1274"/>
      <c r="HH1" s="383" t="s">
        <v>277</v>
      </c>
      <c r="HI1" s="384"/>
    </row>
    <row r="2" spans="1:353" ht="20.100000000000001" customHeight="1" thickBot="1">
      <c r="A2" s="386"/>
      <c r="B2" s="386"/>
      <c r="C2" s="386"/>
      <c r="D2" s="386"/>
      <c r="E2" s="386"/>
      <c r="F2" s="386"/>
      <c r="G2" s="386"/>
      <c r="H2" s="386"/>
      <c r="I2" s="386"/>
      <c r="J2" s="386"/>
      <c r="K2" s="386"/>
      <c r="L2" s="386"/>
      <c r="M2" s="386"/>
      <c r="N2" s="386"/>
      <c r="O2" s="386"/>
      <c r="P2" s="386"/>
      <c r="Q2" s="386"/>
      <c r="R2" s="386"/>
      <c r="S2" s="386"/>
      <c r="T2" s="386"/>
      <c r="U2" s="386"/>
      <c r="V2" s="386"/>
      <c r="W2" s="386"/>
      <c r="X2" s="387"/>
      <c r="Y2" s="386"/>
      <c r="Z2" s="386"/>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8"/>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7"/>
      <c r="CB2" s="386"/>
      <c r="CC2" s="386"/>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9"/>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7"/>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9"/>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90"/>
      <c r="GH2" s="390"/>
      <c r="GI2" s="390"/>
      <c r="GJ2" s="390"/>
      <c r="GK2" s="390"/>
      <c r="GL2" s="390"/>
      <c r="GM2" s="390"/>
      <c r="GN2" s="390"/>
      <c r="GO2" s="390"/>
      <c r="GP2" s="390"/>
      <c r="GQ2" s="390"/>
      <c r="GR2" s="390"/>
      <c r="GS2" s="390"/>
      <c r="GT2" s="391"/>
      <c r="GU2" s="391"/>
      <c r="GV2" s="390"/>
      <c r="GW2" s="390"/>
      <c r="GX2" s="390"/>
      <c r="GY2" s="390"/>
      <c r="GZ2" s="390"/>
      <c r="HA2" s="390"/>
      <c r="HB2" s="390"/>
      <c r="HC2" s="388"/>
      <c r="HD2" s="386"/>
      <c r="HE2" s="386"/>
      <c r="HF2" s="386"/>
      <c r="HG2" s="386"/>
    </row>
    <row r="3" spans="1:353" ht="20.100000000000001" customHeight="1">
      <c r="A3" s="393" t="s">
        <v>380</v>
      </c>
      <c r="B3" s="394" t="s">
        <v>1055</v>
      </c>
      <c r="C3" s="395" t="s">
        <v>650</v>
      </c>
      <c r="D3" s="396" t="s">
        <v>1056</v>
      </c>
      <c r="E3" s="396"/>
      <c r="F3" s="396"/>
      <c r="G3" s="396"/>
      <c r="H3" s="396"/>
      <c r="I3" s="396"/>
      <c r="J3" s="397"/>
      <c r="K3" s="398" t="s">
        <v>381</v>
      </c>
      <c r="L3" s="399"/>
      <c r="M3" s="398" t="s">
        <v>377</v>
      </c>
      <c r="N3" s="399"/>
      <c r="O3" s="400" t="s">
        <v>382</v>
      </c>
      <c r="P3" s="401"/>
      <c r="Q3" s="401"/>
      <c r="R3" s="401"/>
      <c r="S3" s="401"/>
      <c r="T3" s="401"/>
      <c r="U3" s="401"/>
      <c r="V3" s="402"/>
      <c r="W3" s="403" t="s">
        <v>379</v>
      </c>
      <c r="X3" s="404"/>
      <c r="Y3" s="405"/>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393" t="s">
        <v>380</v>
      </c>
      <c r="BE3" s="394" t="s">
        <v>1048</v>
      </c>
      <c r="BF3" s="395" t="s">
        <v>373</v>
      </c>
      <c r="BG3" s="407" t="s">
        <v>1049</v>
      </c>
      <c r="BH3" s="407"/>
      <c r="BI3" s="407"/>
      <c r="BJ3" s="407"/>
      <c r="BK3" s="407"/>
      <c r="BL3" s="407"/>
      <c r="BM3" s="408"/>
      <c r="BN3" s="398" t="s">
        <v>381</v>
      </c>
      <c r="BO3" s="399"/>
      <c r="BP3" s="398" t="s">
        <v>377</v>
      </c>
      <c r="BQ3" s="399"/>
      <c r="BR3" s="400" t="s">
        <v>382</v>
      </c>
      <c r="BS3" s="401"/>
      <c r="BT3" s="401"/>
      <c r="BU3" s="401"/>
      <c r="BV3" s="401"/>
      <c r="BW3" s="401"/>
      <c r="BX3" s="401"/>
      <c r="BY3" s="402"/>
      <c r="BZ3" s="403" t="s">
        <v>379</v>
      </c>
      <c r="CA3" s="404"/>
      <c r="CB3" s="405"/>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393" t="s">
        <v>380</v>
      </c>
      <c r="DH3" s="394" t="s">
        <v>1048</v>
      </c>
      <c r="DI3" s="395" t="s">
        <v>373</v>
      </c>
      <c r="DJ3" s="407" t="s">
        <v>1049</v>
      </c>
      <c r="DK3" s="407"/>
      <c r="DL3" s="407"/>
      <c r="DM3" s="407"/>
      <c r="DN3" s="407"/>
      <c r="DO3" s="407"/>
      <c r="DP3" s="408"/>
      <c r="DQ3" s="398" t="s">
        <v>381</v>
      </c>
      <c r="DR3" s="399"/>
      <c r="DS3" s="398" t="s">
        <v>377</v>
      </c>
      <c r="DT3" s="399"/>
      <c r="DU3" s="400" t="s">
        <v>382</v>
      </c>
      <c r="DV3" s="401"/>
      <c r="DW3" s="401"/>
      <c r="DX3" s="401"/>
      <c r="DY3" s="401"/>
      <c r="DZ3" s="401"/>
      <c r="EA3" s="401"/>
      <c r="EB3" s="402"/>
      <c r="EC3" s="403" t="s">
        <v>379</v>
      </c>
      <c r="ED3" s="404"/>
      <c r="EE3" s="405"/>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393" t="s">
        <v>380</v>
      </c>
      <c r="FK3" s="394" t="s">
        <v>1048</v>
      </c>
      <c r="FL3" s="395" t="s">
        <v>373</v>
      </c>
      <c r="FM3" s="407" t="s">
        <v>1049</v>
      </c>
      <c r="FN3" s="407"/>
      <c r="FO3" s="407"/>
      <c r="FP3" s="407"/>
      <c r="FQ3" s="407"/>
      <c r="FR3" s="407"/>
      <c r="FS3" s="408"/>
      <c r="FT3" s="398" t="s">
        <v>376</v>
      </c>
      <c r="FU3" s="399"/>
      <c r="FV3" s="398" t="s">
        <v>385</v>
      </c>
      <c r="FW3" s="399"/>
      <c r="FX3" s="400" t="s">
        <v>652</v>
      </c>
      <c r="FY3" s="401"/>
      <c r="FZ3" s="401"/>
      <c r="GA3" s="401"/>
      <c r="GB3" s="401"/>
      <c r="GC3" s="401"/>
      <c r="GD3" s="401"/>
      <c r="GE3" s="402"/>
      <c r="GF3" s="403" t="s">
        <v>379</v>
      </c>
      <c r="GG3" s="404"/>
      <c r="GH3" s="405"/>
      <c r="GI3" s="409"/>
      <c r="GJ3" s="1331" t="s">
        <v>683</v>
      </c>
      <c r="GK3" s="1332"/>
      <c r="GL3" s="1332"/>
      <c r="GM3" s="1332"/>
      <c r="GN3" s="1332"/>
      <c r="GO3" s="1332"/>
      <c r="GP3" s="1332"/>
      <c r="GQ3" s="1332"/>
      <c r="GR3" s="1333"/>
      <c r="GS3" s="413"/>
      <c r="GT3" s="1331" t="s">
        <v>771</v>
      </c>
      <c r="GU3" s="1332"/>
      <c r="GV3" s="1332"/>
      <c r="GW3" s="1332"/>
      <c r="GX3" s="1332"/>
      <c r="GY3" s="1332"/>
      <c r="GZ3" s="1332"/>
      <c r="HA3" s="1332"/>
      <c r="HB3" s="1333"/>
      <c r="HC3" s="414"/>
      <c r="HD3" s="437"/>
      <c r="HE3" s="416"/>
      <c r="HF3" s="416"/>
      <c r="HG3" s="386"/>
    </row>
    <row r="4" spans="1:353" ht="20.100000000000001" customHeight="1">
      <c r="A4" s="417"/>
      <c r="B4" s="418"/>
      <c r="C4" s="419"/>
      <c r="D4" s="420"/>
      <c r="E4" s="420"/>
      <c r="F4" s="420"/>
      <c r="G4" s="420"/>
      <c r="H4" s="420"/>
      <c r="I4" s="420"/>
      <c r="J4" s="421"/>
      <c r="K4" s="422"/>
      <c r="L4" s="423"/>
      <c r="M4" s="422"/>
      <c r="N4" s="423"/>
      <c r="O4" s="424" t="s">
        <v>653</v>
      </c>
      <c r="P4" s="425"/>
      <c r="Q4" s="426" t="s">
        <v>388</v>
      </c>
      <c r="R4" s="425"/>
      <c r="S4" s="427" t="s">
        <v>392</v>
      </c>
      <c r="T4" s="428"/>
      <c r="U4" s="429" t="s">
        <v>393</v>
      </c>
      <c r="V4" s="430"/>
      <c r="W4" s="431" t="s">
        <v>1057</v>
      </c>
      <c r="X4" s="432"/>
      <c r="Y4" s="433"/>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17"/>
      <c r="BE4" s="418"/>
      <c r="BF4" s="419"/>
      <c r="BG4" s="434"/>
      <c r="BH4" s="434"/>
      <c r="BI4" s="434"/>
      <c r="BJ4" s="434"/>
      <c r="BK4" s="434"/>
      <c r="BL4" s="434"/>
      <c r="BM4" s="435"/>
      <c r="BN4" s="422"/>
      <c r="BO4" s="423"/>
      <c r="BP4" s="422"/>
      <c r="BQ4" s="423"/>
      <c r="BR4" s="424" t="s">
        <v>653</v>
      </c>
      <c r="BS4" s="425"/>
      <c r="BT4" s="426" t="s">
        <v>388</v>
      </c>
      <c r="BU4" s="425"/>
      <c r="BV4" s="427" t="s">
        <v>392</v>
      </c>
      <c r="BW4" s="428"/>
      <c r="BX4" s="429" t="s">
        <v>393</v>
      </c>
      <c r="BY4" s="430"/>
      <c r="BZ4" s="431" t="s">
        <v>1057</v>
      </c>
      <c r="CA4" s="432"/>
      <c r="CB4" s="433"/>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17"/>
      <c r="DH4" s="418"/>
      <c r="DI4" s="419"/>
      <c r="DJ4" s="434"/>
      <c r="DK4" s="434"/>
      <c r="DL4" s="434"/>
      <c r="DM4" s="434"/>
      <c r="DN4" s="434"/>
      <c r="DO4" s="434"/>
      <c r="DP4" s="435"/>
      <c r="DQ4" s="422"/>
      <c r="DR4" s="423"/>
      <c r="DS4" s="422"/>
      <c r="DT4" s="423"/>
      <c r="DU4" s="424" t="s">
        <v>653</v>
      </c>
      <c r="DV4" s="425"/>
      <c r="DW4" s="426" t="s">
        <v>388</v>
      </c>
      <c r="DX4" s="425"/>
      <c r="DY4" s="427" t="s">
        <v>392</v>
      </c>
      <c r="DZ4" s="428"/>
      <c r="EA4" s="429" t="s">
        <v>393</v>
      </c>
      <c r="EB4" s="430"/>
      <c r="EC4" s="431" t="s">
        <v>1057</v>
      </c>
      <c r="ED4" s="432"/>
      <c r="EE4" s="433"/>
      <c r="EF4" s="406"/>
      <c r="EG4" s="406"/>
      <c r="EH4" s="406"/>
      <c r="EI4" s="406"/>
      <c r="EJ4" s="406"/>
      <c r="EK4" s="406"/>
      <c r="EL4" s="406"/>
      <c r="EM4" s="406"/>
      <c r="EN4" s="406"/>
      <c r="EO4" s="406"/>
      <c r="EP4" s="406"/>
      <c r="EQ4" s="406"/>
      <c r="ER4" s="406"/>
      <c r="ES4" s="406"/>
      <c r="ET4" s="406"/>
      <c r="EU4" s="406"/>
      <c r="EV4" s="406"/>
      <c r="EW4" s="406"/>
      <c r="EX4" s="406"/>
      <c r="EY4" s="406"/>
      <c r="EZ4" s="406"/>
      <c r="FA4" s="406"/>
      <c r="FB4" s="406"/>
      <c r="FC4" s="406"/>
      <c r="FD4" s="406"/>
      <c r="FE4" s="406"/>
      <c r="FF4" s="406"/>
      <c r="FG4" s="406"/>
      <c r="FH4" s="406"/>
      <c r="FI4" s="406"/>
      <c r="FJ4" s="417"/>
      <c r="FK4" s="418"/>
      <c r="FL4" s="419"/>
      <c r="FM4" s="434"/>
      <c r="FN4" s="434"/>
      <c r="FO4" s="434"/>
      <c r="FP4" s="434"/>
      <c r="FQ4" s="434"/>
      <c r="FR4" s="434"/>
      <c r="FS4" s="435"/>
      <c r="FT4" s="422"/>
      <c r="FU4" s="423"/>
      <c r="FV4" s="422"/>
      <c r="FW4" s="423"/>
      <c r="FX4" s="424" t="s">
        <v>387</v>
      </c>
      <c r="FY4" s="425"/>
      <c r="FZ4" s="426" t="s">
        <v>388</v>
      </c>
      <c r="GA4" s="425"/>
      <c r="GB4" s="427" t="s">
        <v>392</v>
      </c>
      <c r="GC4" s="428"/>
      <c r="GD4" s="429" t="s">
        <v>393</v>
      </c>
      <c r="GE4" s="430"/>
      <c r="GF4" s="431" t="s">
        <v>1050</v>
      </c>
      <c r="GG4" s="432"/>
      <c r="GH4" s="433"/>
      <c r="GI4" s="409"/>
      <c r="GJ4" s="1335"/>
      <c r="GK4" s="1335"/>
      <c r="GL4" s="1335"/>
      <c r="GM4" s="1335"/>
      <c r="GN4" s="1335"/>
      <c r="GO4" s="1335"/>
      <c r="GP4" s="1335"/>
      <c r="GQ4" s="1335"/>
      <c r="GR4" s="1335"/>
      <c r="GS4" s="413"/>
      <c r="GT4" s="1335"/>
      <c r="GU4" s="1335"/>
      <c r="GV4" s="1335"/>
      <c r="GW4" s="1335"/>
      <c r="GX4" s="1335"/>
      <c r="GY4" s="1335"/>
      <c r="GZ4" s="1335"/>
      <c r="HA4" s="1335"/>
      <c r="HB4" s="1335"/>
      <c r="HC4" s="1277"/>
      <c r="HD4" s="437"/>
      <c r="HE4" s="437"/>
      <c r="HF4" s="504"/>
      <c r="HG4" s="386"/>
      <c r="MO4" s="392" t="s">
        <v>1050</v>
      </c>
    </row>
    <row r="5" spans="1:353" ht="24.95" customHeight="1" thickBot="1">
      <c r="A5" s="438" t="s">
        <v>395</v>
      </c>
      <c r="B5" s="439">
        <v>2</v>
      </c>
      <c r="C5" s="440" t="s">
        <v>397</v>
      </c>
      <c r="D5" s="441">
        <v>0</v>
      </c>
      <c r="E5" s="442" t="s">
        <v>398</v>
      </c>
      <c r="F5" s="443">
        <v>0</v>
      </c>
      <c r="G5" s="444" t="s">
        <v>404</v>
      </c>
      <c r="H5" s="445"/>
      <c r="I5" s="446">
        <v>0</v>
      </c>
      <c r="J5" s="447"/>
      <c r="K5" s="448">
        <v>2640</v>
      </c>
      <c r="L5" s="449"/>
      <c r="M5" s="448">
        <v>0</v>
      </c>
      <c r="N5" s="449"/>
      <c r="O5" s="450" t="s">
        <v>1021</v>
      </c>
      <c r="P5" s="451"/>
      <c r="Q5" s="452" t="s">
        <v>764</v>
      </c>
      <c r="R5" s="453"/>
      <c r="S5" s="454" t="s">
        <v>1022</v>
      </c>
      <c r="T5" s="455"/>
      <c r="U5" s="456" t="s">
        <v>1025</v>
      </c>
      <c r="V5" s="457"/>
      <c r="W5" s="458"/>
      <c r="X5" s="459"/>
      <c r="Y5" s="460"/>
      <c r="Z5" s="414"/>
      <c r="AA5" s="461"/>
      <c r="AB5" s="414"/>
      <c r="AC5" s="461"/>
      <c r="AD5" s="414"/>
      <c r="AE5" s="461"/>
      <c r="AF5" s="414"/>
      <c r="AG5" s="461"/>
      <c r="AH5" s="414"/>
      <c r="AI5" s="461"/>
      <c r="AJ5" s="414"/>
      <c r="AK5" s="461"/>
      <c r="AL5" s="414"/>
      <c r="AM5" s="461"/>
      <c r="AN5" s="414"/>
      <c r="AO5" s="461"/>
      <c r="AP5" s="414"/>
      <c r="AQ5" s="461"/>
      <c r="AR5" s="414"/>
      <c r="AS5" s="461"/>
      <c r="AT5" s="414"/>
      <c r="AU5" s="461"/>
      <c r="AV5" s="414"/>
      <c r="AW5" s="461"/>
      <c r="AX5" s="414"/>
      <c r="AY5" s="461"/>
      <c r="AZ5" s="414"/>
      <c r="BA5" s="461"/>
      <c r="BB5" s="414"/>
      <c r="BC5" s="414"/>
      <c r="BD5" s="438" t="s">
        <v>408</v>
      </c>
      <c r="BE5" s="439">
        <v>2</v>
      </c>
      <c r="BF5" s="440" t="s">
        <v>278</v>
      </c>
      <c r="BG5" s="441">
        <v>0</v>
      </c>
      <c r="BH5" s="442" t="s">
        <v>410</v>
      </c>
      <c r="BI5" s="443">
        <v>0</v>
      </c>
      <c r="BJ5" s="444" t="s">
        <v>399</v>
      </c>
      <c r="BK5" s="445"/>
      <c r="BL5" s="446">
        <v>0</v>
      </c>
      <c r="BM5" s="447"/>
      <c r="BN5" s="448">
        <v>2640</v>
      </c>
      <c r="BO5" s="449"/>
      <c r="BP5" s="448">
        <v>0</v>
      </c>
      <c r="BQ5" s="449"/>
      <c r="BR5" s="450" t="s">
        <v>1021</v>
      </c>
      <c r="BS5" s="451"/>
      <c r="BT5" s="452" t="s">
        <v>764</v>
      </c>
      <c r="BU5" s="453"/>
      <c r="BV5" s="454" t="s">
        <v>1024</v>
      </c>
      <c r="BW5" s="455"/>
      <c r="BX5" s="456" t="s">
        <v>1025</v>
      </c>
      <c r="BY5" s="457"/>
      <c r="BZ5" s="458"/>
      <c r="CA5" s="459"/>
      <c r="CB5" s="460"/>
      <c r="CC5" s="414"/>
      <c r="CD5" s="461"/>
      <c r="CE5" s="414"/>
      <c r="CF5" s="461"/>
      <c r="CG5" s="414"/>
      <c r="CH5" s="461"/>
      <c r="CI5" s="414"/>
      <c r="CJ5" s="461"/>
      <c r="CK5" s="414"/>
      <c r="CL5" s="461"/>
      <c r="CM5" s="414"/>
      <c r="CN5" s="461"/>
      <c r="CO5" s="414"/>
      <c r="CP5" s="461"/>
      <c r="CQ5" s="414"/>
      <c r="CR5" s="461"/>
      <c r="CS5" s="414"/>
      <c r="CT5" s="461"/>
      <c r="CU5" s="414"/>
      <c r="CV5" s="461"/>
      <c r="CW5" s="414"/>
      <c r="CX5" s="461"/>
      <c r="CY5" s="414"/>
      <c r="CZ5" s="461"/>
      <c r="DA5" s="414"/>
      <c r="DB5" s="461"/>
      <c r="DC5" s="414"/>
      <c r="DD5" s="461"/>
      <c r="DE5" s="414"/>
      <c r="DF5" s="414"/>
      <c r="DG5" s="438" t="s">
        <v>395</v>
      </c>
      <c r="DH5" s="439">
        <v>2</v>
      </c>
      <c r="DI5" s="440" t="s">
        <v>278</v>
      </c>
      <c r="DJ5" s="441">
        <v>0</v>
      </c>
      <c r="DK5" s="442" t="s">
        <v>398</v>
      </c>
      <c r="DL5" s="443">
        <v>0</v>
      </c>
      <c r="DM5" s="444" t="s">
        <v>399</v>
      </c>
      <c r="DN5" s="445"/>
      <c r="DO5" s="446">
        <v>0</v>
      </c>
      <c r="DP5" s="447"/>
      <c r="DQ5" s="448">
        <v>2640</v>
      </c>
      <c r="DR5" s="449"/>
      <c r="DS5" s="448">
        <v>0</v>
      </c>
      <c r="DT5" s="449"/>
      <c r="DU5" s="450" t="s">
        <v>1026</v>
      </c>
      <c r="DV5" s="451"/>
      <c r="DW5" s="452" t="s">
        <v>658</v>
      </c>
      <c r="DX5" s="453"/>
      <c r="DY5" s="454" t="s">
        <v>1022</v>
      </c>
      <c r="DZ5" s="455"/>
      <c r="EA5" s="456" t="s">
        <v>1027</v>
      </c>
      <c r="EB5" s="457"/>
      <c r="EC5" s="458"/>
      <c r="ED5" s="459"/>
      <c r="EE5" s="460"/>
      <c r="EF5" s="414"/>
      <c r="EG5" s="461"/>
      <c r="EH5" s="414"/>
      <c r="EI5" s="461"/>
      <c r="EJ5" s="414"/>
      <c r="EK5" s="461"/>
      <c r="EL5" s="414"/>
      <c r="EM5" s="461"/>
      <c r="EN5" s="414"/>
      <c r="EO5" s="461"/>
      <c r="EP5" s="414"/>
      <c r="EQ5" s="461"/>
      <c r="ER5" s="414"/>
      <c r="ES5" s="461"/>
      <c r="ET5" s="414"/>
      <c r="EU5" s="461"/>
      <c r="EV5" s="414"/>
      <c r="EW5" s="461"/>
      <c r="EX5" s="414"/>
      <c r="EY5" s="461"/>
      <c r="EZ5" s="414"/>
      <c r="FA5" s="461"/>
      <c r="FB5" s="414"/>
      <c r="FC5" s="461"/>
      <c r="FD5" s="414"/>
      <c r="FE5" s="461"/>
      <c r="FF5" s="414"/>
      <c r="FG5" s="461"/>
      <c r="FH5" s="414"/>
      <c r="FI5" s="414"/>
      <c r="FJ5" s="438" t="s">
        <v>395</v>
      </c>
      <c r="FK5" s="439">
        <v>2</v>
      </c>
      <c r="FL5" s="440" t="s">
        <v>278</v>
      </c>
      <c r="FM5" s="441">
        <v>0</v>
      </c>
      <c r="FN5" s="442" t="s">
        <v>398</v>
      </c>
      <c r="FO5" s="443">
        <v>0</v>
      </c>
      <c r="FP5" s="444" t="s">
        <v>404</v>
      </c>
      <c r="FQ5" s="445"/>
      <c r="FR5" s="446">
        <v>0</v>
      </c>
      <c r="FS5" s="447"/>
      <c r="FT5" s="448">
        <v>2640</v>
      </c>
      <c r="FU5" s="449"/>
      <c r="FV5" s="448">
        <v>0</v>
      </c>
      <c r="FW5" s="449"/>
      <c r="FX5" s="450" t="s">
        <v>1026</v>
      </c>
      <c r="FY5" s="451"/>
      <c r="FZ5" s="452" t="s">
        <v>658</v>
      </c>
      <c r="GA5" s="453"/>
      <c r="GB5" s="454" t="s">
        <v>1022</v>
      </c>
      <c r="GC5" s="455"/>
      <c r="GD5" s="456" t="s">
        <v>1027</v>
      </c>
      <c r="GE5" s="457"/>
      <c r="GF5" s="458"/>
      <c r="GG5" s="459"/>
      <c r="GH5" s="460"/>
      <c r="GI5" s="462"/>
      <c r="GJ5" s="500"/>
      <c r="GK5" s="1305"/>
      <c r="GL5" s="1305"/>
      <c r="GM5" s="1305"/>
      <c r="GN5" s="500"/>
      <c r="GO5" s="500"/>
      <c r="GP5" s="500"/>
      <c r="GQ5" s="500"/>
      <c r="GR5" s="500"/>
      <c r="GS5" s="409"/>
      <c r="GT5" s="500"/>
      <c r="GU5" s="1305"/>
      <c r="GV5" s="1305"/>
      <c r="GW5" s="1305"/>
      <c r="GX5" s="500"/>
      <c r="GY5" s="500"/>
      <c r="GZ5" s="500"/>
      <c r="HA5" s="500"/>
      <c r="HB5" s="500"/>
      <c r="HC5" s="465"/>
      <c r="HD5" s="437"/>
      <c r="HE5" s="437"/>
      <c r="HF5" s="504"/>
      <c r="HG5" s="386"/>
    </row>
    <row r="6" spans="1:353" ht="20.100000000000001" customHeight="1" thickBot="1">
      <c r="A6" s="466" t="s">
        <v>415</v>
      </c>
      <c r="B6" s="467"/>
      <c r="C6" s="468" t="s">
        <v>416</v>
      </c>
      <c r="D6" s="468"/>
      <c r="E6" s="468"/>
      <c r="F6" s="469">
        <v>0</v>
      </c>
      <c r="G6" s="469"/>
      <c r="H6" s="468" t="s">
        <v>417</v>
      </c>
      <c r="I6" s="468"/>
      <c r="J6" s="468"/>
      <c r="K6" s="468"/>
      <c r="L6" s="468"/>
      <c r="M6" s="470">
        <v>0</v>
      </c>
      <c r="N6" s="470"/>
      <c r="O6" s="471"/>
      <c r="P6" s="472"/>
      <c r="Q6" s="472" t="s">
        <v>665</v>
      </c>
      <c r="R6" s="473">
        <v>0</v>
      </c>
      <c r="S6" s="473"/>
      <c r="T6" s="474"/>
      <c r="U6" s="475" t="s">
        <v>874</v>
      </c>
      <c r="V6" s="476">
        <v>0</v>
      </c>
      <c r="W6" s="476"/>
      <c r="X6" s="477"/>
      <c r="Y6" s="472"/>
      <c r="Z6" s="472"/>
      <c r="AA6" s="472"/>
      <c r="AB6" s="470"/>
      <c r="AC6" s="470"/>
      <c r="AD6" s="472"/>
      <c r="AE6" s="471"/>
      <c r="AF6" s="467"/>
      <c r="AG6" s="472"/>
      <c r="AH6" s="472"/>
      <c r="AI6" s="477"/>
      <c r="AJ6" s="472"/>
      <c r="AK6" s="477"/>
      <c r="AL6" s="472"/>
      <c r="AM6" s="477"/>
      <c r="AN6" s="472"/>
      <c r="AO6" s="477"/>
      <c r="AP6" s="472"/>
      <c r="AQ6" s="477"/>
      <c r="AR6" s="472"/>
      <c r="AS6" s="477"/>
      <c r="AT6" s="472"/>
      <c r="AU6" s="477"/>
      <c r="AV6" s="472"/>
      <c r="AW6" s="477"/>
      <c r="AX6" s="478"/>
      <c r="AY6" s="477"/>
      <c r="AZ6" s="472"/>
      <c r="BA6" s="477"/>
      <c r="BB6" s="37" t="s">
        <v>29</v>
      </c>
      <c r="BC6" s="479"/>
      <c r="BD6" s="466" t="s">
        <v>415</v>
      </c>
      <c r="BE6" s="467"/>
      <c r="BF6" s="468" t="s">
        <v>416</v>
      </c>
      <c r="BG6" s="468"/>
      <c r="BH6" s="468"/>
      <c r="BI6" s="469">
        <v>0</v>
      </c>
      <c r="BJ6" s="469"/>
      <c r="BK6" s="468" t="s">
        <v>417</v>
      </c>
      <c r="BL6" s="468"/>
      <c r="BM6" s="468"/>
      <c r="BN6" s="468"/>
      <c r="BO6" s="468"/>
      <c r="BP6" s="470">
        <v>0</v>
      </c>
      <c r="BQ6" s="470"/>
      <c r="BR6" s="471"/>
      <c r="BS6" s="472"/>
      <c r="BT6" s="472" t="s">
        <v>279</v>
      </c>
      <c r="BU6" s="473">
        <v>0</v>
      </c>
      <c r="BV6" s="473"/>
      <c r="BW6" s="474"/>
      <c r="BX6" s="475" t="s">
        <v>280</v>
      </c>
      <c r="BY6" s="476">
        <v>0</v>
      </c>
      <c r="BZ6" s="476"/>
      <c r="CA6" s="477"/>
      <c r="CB6" s="472"/>
      <c r="CC6" s="472"/>
      <c r="CD6" s="477"/>
      <c r="CE6" s="470"/>
      <c r="CF6" s="470"/>
      <c r="CG6" s="472"/>
      <c r="CH6" s="471"/>
      <c r="CI6" s="467"/>
      <c r="CJ6" s="472"/>
      <c r="CK6" s="472"/>
      <c r="CL6" s="477"/>
      <c r="CM6" s="472"/>
      <c r="CN6" s="477"/>
      <c r="CO6" s="472"/>
      <c r="CP6" s="477"/>
      <c r="CQ6" s="472"/>
      <c r="CR6" s="477"/>
      <c r="CS6" s="472"/>
      <c r="CT6" s="477"/>
      <c r="CU6" s="472"/>
      <c r="CV6" s="477"/>
      <c r="CW6" s="472"/>
      <c r="CX6" s="477"/>
      <c r="CY6" s="472"/>
      <c r="CZ6" s="477"/>
      <c r="DA6" s="472"/>
      <c r="DB6" s="477"/>
      <c r="DC6" s="472"/>
      <c r="DD6" s="477"/>
      <c r="DE6" s="480" t="s">
        <v>875</v>
      </c>
      <c r="DF6" s="481"/>
      <c r="DG6" s="466" t="s">
        <v>664</v>
      </c>
      <c r="DH6" s="467"/>
      <c r="DI6" s="468" t="s">
        <v>416</v>
      </c>
      <c r="DJ6" s="468"/>
      <c r="DK6" s="468"/>
      <c r="DL6" s="469">
        <v>0</v>
      </c>
      <c r="DM6" s="469"/>
      <c r="DN6" s="468" t="s">
        <v>417</v>
      </c>
      <c r="DO6" s="468"/>
      <c r="DP6" s="468"/>
      <c r="DQ6" s="468"/>
      <c r="DR6" s="468"/>
      <c r="DS6" s="470">
        <v>0</v>
      </c>
      <c r="DT6" s="470"/>
      <c r="DU6" s="471"/>
      <c r="DV6" s="472"/>
      <c r="DW6" s="472" t="s">
        <v>279</v>
      </c>
      <c r="DX6" s="473">
        <v>0</v>
      </c>
      <c r="DY6" s="473"/>
      <c r="DZ6" s="474"/>
      <c r="EA6" s="475" t="s">
        <v>280</v>
      </c>
      <c r="EB6" s="476">
        <v>0</v>
      </c>
      <c r="EC6" s="476"/>
      <c r="ED6" s="477"/>
      <c r="EE6" s="472"/>
      <c r="EF6" s="477"/>
      <c r="EG6" s="472"/>
      <c r="EH6" s="467"/>
      <c r="EI6" s="477"/>
      <c r="EJ6" s="472"/>
      <c r="EK6" s="471"/>
      <c r="EL6" s="467"/>
      <c r="EM6" s="472"/>
      <c r="EN6" s="472"/>
      <c r="EO6" s="477"/>
      <c r="EP6" s="472"/>
      <c r="EQ6" s="477"/>
      <c r="ER6" s="472"/>
      <c r="ES6" s="477"/>
      <c r="ET6" s="472"/>
      <c r="EU6" s="477"/>
      <c r="EV6" s="472"/>
      <c r="EW6" s="477"/>
      <c r="EX6" s="472"/>
      <c r="EY6" s="477"/>
      <c r="EZ6" s="472"/>
      <c r="FA6" s="477"/>
      <c r="FB6" s="472"/>
      <c r="FC6" s="477"/>
      <c r="FD6" s="472"/>
      <c r="FE6" s="477"/>
      <c r="FF6" s="472"/>
      <c r="FG6" s="477"/>
      <c r="FH6" s="482" t="s">
        <v>19</v>
      </c>
      <c r="FI6" s="481"/>
      <c r="FJ6" s="466" t="s">
        <v>903</v>
      </c>
      <c r="FK6" s="467"/>
      <c r="FL6" s="468" t="s">
        <v>416</v>
      </c>
      <c r="FM6" s="468"/>
      <c r="FN6" s="468"/>
      <c r="FO6" s="469">
        <v>0</v>
      </c>
      <c r="FP6" s="469"/>
      <c r="FQ6" s="468" t="s">
        <v>417</v>
      </c>
      <c r="FR6" s="468"/>
      <c r="FS6" s="468"/>
      <c r="FT6" s="468"/>
      <c r="FU6" s="468"/>
      <c r="FV6" s="470">
        <v>0</v>
      </c>
      <c r="FW6" s="470"/>
      <c r="FX6" s="471"/>
      <c r="FY6" s="472"/>
      <c r="FZ6" s="472" t="s">
        <v>667</v>
      </c>
      <c r="GA6" s="473">
        <v>0</v>
      </c>
      <c r="GB6" s="473"/>
      <c r="GC6" s="474"/>
      <c r="GD6" s="475" t="s">
        <v>668</v>
      </c>
      <c r="GE6" s="476">
        <v>0</v>
      </c>
      <c r="GF6" s="476"/>
      <c r="GG6" s="477"/>
      <c r="GH6" s="472"/>
      <c r="GI6" s="472"/>
      <c r="GJ6" s="500"/>
      <c r="GK6" s="500"/>
      <c r="GL6" s="500"/>
      <c r="GM6" s="500"/>
      <c r="GN6" s="1336"/>
      <c r="GO6" s="579"/>
      <c r="GP6" s="579"/>
      <c r="GQ6" s="579"/>
      <c r="GR6" s="500"/>
      <c r="GS6" s="483"/>
      <c r="GT6" s="500"/>
      <c r="GU6" s="500"/>
      <c r="GV6" s="500"/>
      <c r="GW6" s="500"/>
      <c r="GX6" s="1336"/>
      <c r="GY6" s="500"/>
      <c r="GZ6" s="500"/>
      <c r="HA6" s="579"/>
      <c r="HB6" s="579"/>
      <c r="HC6" s="487"/>
      <c r="HD6" s="437"/>
      <c r="HE6" s="437"/>
      <c r="HF6" s="504"/>
      <c r="HG6" s="386"/>
    </row>
    <row r="7" spans="1:353" ht="20.100000000000001" customHeight="1">
      <c r="A7" s="488" t="s">
        <v>281</v>
      </c>
      <c r="B7" s="489"/>
      <c r="C7" s="489"/>
      <c r="D7" s="489"/>
      <c r="E7" s="489"/>
      <c r="F7" s="490"/>
      <c r="G7" s="491" t="s">
        <v>282</v>
      </c>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65"/>
      <c r="BD7" s="488" t="s">
        <v>281</v>
      </c>
      <c r="BE7" s="489"/>
      <c r="BF7" s="489"/>
      <c r="BG7" s="489"/>
      <c r="BH7" s="489"/>
      <c r="BI7" s="490"/>
      <c r="BJ7" s="491" t="s">
        <v>283</v>
      </c>
      <c r="BK7" s="492"/>
      <c r="BL7" s="492"/>
      <c r="BM7" s="492"/>
      <c r="BN7" s="492"/>
      <c r="BO7" s="492"/>
      <c r="BP7" s="492"/>
      <c r="BQ7" s="492"/>
      <c r="BR7" s="492"/>
      <c r="BS7" s="492"/>
      <c r="BT7" s="492"/>
      <c r="BU7" s="492"/>
      <c r="BV7" s="492"/>
      <c r="BW7" s="492"/>
      <c r="BX7" s="492"/>
      <c r="BY7" s="492"/>
      <c r="BZ7" s="492"/>
      <c r="CA7" s="492"/>
      <c r="CB7" s="492"/>
      <c r="CC7" s="492"/>
      <c r="CD7" s="492"/>
      <c r="CE7" s="492"/>
      <c r="CF7" s="492"/>
      <c r="CG7" s="492"/>
      <c r="CH7" s="492"/>
      <c r="CI7" s="492"/>
      <c r="CJ7" s="492"/>
      <c r="CK7" s="492"/>
      <c r="CL7" s="492"/>
      <c r="CM7" s="492"/>
      <c r="CN7" s="492"/>
      <c r="CO7" s="492"/>
      <c r="CP7" s="492"/>
      <c r="CQ7" s="492"/>
      <c r="CR7" s="492"/>
      <c r="CS7" s="492"/>
      <c r="CT7" s="492"/>
      <c r="CU7" s="492"/>
      <c r="CV7" s="492"/>
      <c r="CW7" s="492"/>
      <c r="CX7" s="492"/>
      <c r="CY7" s="492"/>
      <c r="CZ7" s="492"/>
      <c r="DA7" s="492"/>
      <c r="DB7" s="492"/>
      <c r="DC7" s="492"/>
      <c r="DD7" s="492"/>
      <c r="DE7" s="493"/>
      <c r="DF7" s="465"/>
      <c r="DG7" s="488" t="s">
        <v>281</v>
      </c>
      <c r="DH7" s="489"/>
      <c r="DI7" s="489"/>
      <c r="DJ7" s="489"/>
      <c r="DK7" s="489"/>
      <c r="DL7" s="490"/>
      <c r="DM7" s="491" t="s">
        <v>284</v>
      </c>
      <c r="DN7" s="492"/>
      <c r="DO7" s="492"/>
      <c r="DP7" s="492"/>
      <c r="DQ7" s="492"/>
      <c r="DR7" s="492"/>
      <c r="DS7" s="492"/>
      <c r="DT7" s="492"/>
      <c r="DU7" s="492"/>
      <c r="DV7" s="492"/>
      <c r="DW7" s="492"/>
      <c r="DX7" s="492"/>
      <c r="DY7" s="492"/>
      <c r="DZ7" s="492"/>
      <c r="EA7" s="492"/>
      <c r="EB7" s="492"/>
      <c r="EC7" s="492"/>
      <c r="ED7" s="492"/>
      <c r="EE7" s="492"/>
      <c r="EF7" s="492"/>
      <c r="EG7" s="492"/>
      <c r="EH7" s="492"/>
      <c r="EI7" s="492"/>
      <c r="EJ7" s="492"/>
      <c r="EK7" s="492"/>
      <c r="EL7" s="492"/>
      <c r="EM7" s="492"/>
      <c r="EN7" s="492"/>
      <c r="EO7" s="492"/>
      <c r="EP7" s="492"/>
      <c r="EQ7" s="492"/>
      <c r="ER7" s="492"/>
      <c r="ES7" s="492"/>
      <c r="ET7" s="492"/>
      <c r="EU7" s="492"/>
      <c r="EV7" s="492"/>
      <c r="EW7" s="492"/>
      <c r="EX7" s="492"/>
      <c r="EY7" s="492"/>
      <c r="EZ7" s="492"/>
      <c r="FA7" s="492"/>
      <c r="FB7" s="492"/>
      <c r="FC7" s="492"/>
      <c r="FD7" s="492"/>
      <c r="FE7" s="492"/>
      <c r="FF7" s="492"/>
      <c r="FG7" s="492"/>
      <c r="FH7" s="493"/>
      <c r="FI7" s="465"/>
      <c r="FJ7" s="488" t="s">
        <v>281</v>
      </c>
      <c r="FK7" s="489"/>
      <c r="FL7" s="489"/>
      <c r="FM7" s="489"/>
      <c r="FN7" s="489"/>
      <c r="FO7" s="490"/>
      <c r="FP7" s="494" t="s">
        <v>285</v>
      </c>
      <c r="FQ7" s="495"/>
      <c r="FR7" s="495"/>
      <c r="FS7" s="495"/>
      <c r="FT7" s="495"/>
      <c r="FU7" s="495"/>
      <c r="FV7" s="496" t="s">
        <v>286</v>
      </c>
      <c r="FW7" s="497"/>
      <c r="FX7" s="497"/>
      <c r="FY7" s="497"/>
      <c r="FZ7" s="497"/>
      <c r="GA7" s="497"/>
      <c r="GB7" s="497"/>
      <c r="GC7" s="497"/>
      <c r="GD7" s="497"/>
      <c r="GE7" s="498"/>
      <c r="GF7" s="499"/>
      <c r="GG7" s="464"/>
      <c r="GH7" s="464"/>
      <c r="GI7" s="464"/>
      <c r="GJ7" s="500"/>
      <c r="GK7" s="1330"/>
      <c r="GL7" s="1330"/>
      <c r="GM7" s="1330"/>
      <c r="GN7" s="1330"/>
      <c r="GO7" s="1330"/>
      <c r="GP7" s="1330"/>
      <c r="GQ7" s="1330"/>
      <c r="GR7" s="1330"/>
      <c r="GS7" s="501"/>
      <c r="GT7" s="1330"/>
      <c r="GU7" s="1330"/>
      <c r="GV7" s="1330"/>
      <c r="GW7" s="1330"/>
      <c r="GX7" s="1330"/>
      <c r="GY7" s="1330"/>
      <c r="GZ7" s="1330"/>
      <c r="HA7" s="1330"/>
      <c r="HB7" s="1330"/>
      <c r="HC7" s="541"/>
      <c r="HD7" s="437"/>
      <c r="HE7" s="437"/>
      <c r="HF7" s="504"/>
      <c r="HG7" s="386"/>
    </row>
    <row r="8" spans="1:353" s="531" customFormat="1" ht="20.100000000000001" customHeight="1">
      <c r="A8" s="505"/>
      <c r="B8" s="506"/>
      <c r="C8" s="506"/>
      <c r="D8" s="506"/>
      <c r="E8" s="506"/>
      <c r="F8" s="507"/>
      <c r="G8" s="508">
        <v>1</v>
      </c>
      <c r="H8" s="509"/>
      <c r="I8" s="510">
        <v>2</v>
      </c>
      <c r="J8" s="509"/>
      <c r="K8" s="510">
        <v>3</v>
      </c>
      <c r="L8" s="509"/>
      <c r="M8" s="510">
        <v>4</v>
      </c>
      <c r="N8" s="509"/>
      <c r="O8" s="510">
        <v>5</v>
      </c>
      <c r="P8" s="509"/>
      <c r="Q8" s="510">
        <v>6</v>
      </c>
      <c r="R8" s="509"/>
      <c r="S8" s="510">
        <v>7</v>
      </c>
      <c r="T8" s="509"/>
      <c r="U8" s="510">
        <v>8</v>
      </c>
      <c r="V8" s="509"/>
      <c r="W8" s="510">
        <v>9</v>
      </c>
      <c r="X8" s="509"/>
      <c r="Y8" s="510">
        <v>10</v>
      </c>
      <c r="Z8" s="509"/>
      <c r="AA8" s="510">
        <v>11</v>
      </c>
      <c r="AB8" s="509"/>
      <c r="AC8" s="510">
        <v>12</v>
      </c>
      <c r="AD8" s="509"/>
      <c r="AE8" s="510">
        <v>13</v>
      </c>
      <c r="AF8" s="509"/>
      <c r="AG8" s="510">
        <v>14</v>
      </c>
      <c r="AH8" s="509"/>
      <c r="AI8" s="510">
        <v>15</v>
      </c>
      <c r="AJ8" s="509"/>
      <c r="AK8" s="510">
        <v>16</v>
      </c>
      <c r="AL8" s="509"/>
      <c r="AM8" s="510">
        <v>17</v>
      </c>
      <c r="AN8" s="509"/>
      <c r="AO8" s="510">
        <v>18</v>
      </c>
      <c r="AP8" s="509"/>
      <c r="AQ8" s="510">
        <v>19</v>
      </c>
      <c r="AR8" s="509"/>
      <c r="AS8" s="510">
        <v>20</v>
      </c>
      <c r="AT8" s="509"/>
      <c r="AU8" s="510">
        <v>21</v>
      </c>
      <c r="AV8" s="509"/>
      <c r="AW8" s="510">
        <v>22</v>
      </c>
      <c r="AX8" s="509"/>
      <c r="AY8" s="510">
        <v>23</v>
      </c>
      <c r="AZ8" s="509"/>
      <c r="BA8" s="510">
        <v>24</v>
      </c>
      <c r="BB8" s="511"/>
      <c r="BC8" s="487"/>
      <c r="BD8" s="505"/>
      <c r="BE8" s="506"/>
      <c r="BF8" s="506"/>
      <c r="BG8" s="506"/>
      <c r="BH8" s="506"/>
      <c r="BI8" s="507"/>
      <c r="BJ8" s="512">
        <v>1</v>
      </c>
      <c r="BK8" s="513"/>
      <c r="BL8" s="514">
        <v>2</v>
      </c>
      <c r="BM8" s="513"/>
      <c r="BN8" s="514">
        <v>3</v>
      </c>
      <c r="BO8" s="513"/>
      <c r="BP8" s="514">
        <v>4</v>
      </c>
      <c r="BQ8" s="513"/>
      <c r="BR8" s="514">
        <v>5</v>
      </c>
      <c r="BS8" s="513"/>
      <c r="BT8" s="514">
        <v>6</v>
      </c>
      <c r="BU8" s="513"/>
      <c r="BV8" s="514">
        <v>7</v>
      </c>
      <c r="BW8" s="513"/>
      <c r="BX8" s="514">
        <v>8</v>
      </c>
      <c r="BY8" s="513"/>
      <c r="BZ8" s="514">
        <v>9</v>
      </c>
      <c r="CA8" s="513"/>
      <c r="CB8" s="514">
        <v>10</v>
      </c>
      <c r="CC8" s="513"/>
      <c r="CD8" s="514">
        <v>11</v>
      </c>
      <c r="CE8" s="513"/>
      <c r="CF8" s="514">
        <v>12</v>
      </c>
      <c r="CG8" s="513"/>
      <c r="CH8" s="514">
        <v>13</v>
      </c>
      <c r="CI8" s="513"/>
      <c r="CJ8" s="514">
        <v>14</v>
      </c>
      <c r="CK8" s="513"/>
      <c r="CL8" s="514">
        <v>15</v>
      </c>
      <c r="CM8" s="513"/>
      <c r="CN8" s="514">
        <v>16</v>
      </c>
      <c r="CO8" s="513"/>
      <c r="CP8" s="514">
        <v>17</v>
      </c>
      <c r="CQ8" s="513"/>
      <c r="CR8" s="514">
        <v>18</v>
      </c>
      <c r="CS8" s="513"/>
      <c r="CT8" s="514">
        <v>19</v>
      </c>
      <c r="CU8" s="513"/>
      <c r="CV8" s="514">
        <v>20</v>
      </c>
      <c r="CW8" s="513"/>
      <c r="CX8" s="514">
        <v>21</v>
      </c>
      <c r="CY8" s="513"/>
      <c r="CZ8" s="514">
        <v>22</v>
      </c>
      <c r="DA8" s="513"/>
      <c r="DB8" s="514">
        <v>23</v>
      </c>
      <c r="DC8" s="513"/>
      <c r="DD8" s="514">
        <v>24</v>
      </c>
      <c r="DE8" s="515"/>
      <c r="DF8" s="487"/>
      <c r="DG8" s="505"/>
      <c r="DH8" s="506"/>
      <c r="DI8" s="506"/>
      <c r="DJ8" s="506"/>
      <c r="DK8" s="506"/>
      <c r="DL8" s="507"/>
      <c r="DM8" s="516">
        <v>1</v>
      </c>
      <c r="DN8" s="517"/>
      <c r="DO8" s="518">
        <v>2</v>
      </c>
      <c r="DP8" s="517"/>
      <c r="DQ8" s="518">
        <v>3</v>
      </c>
      <c r="DR8" s="517"/>
      <c r="DS8" s="518">
        <v>4</v>
      </c>
      <c r="DT8" s="517"/>
      <c r="DU8" s="518">
        <v>5</v>
      </c>
      <c r="DV8" s="517"/>
      <c r="DW8" s="518">
        <v>6</v>
      </c>
      <c r="DX8" s="517"/>
      <c r="DY8" s="518">
        <v>7</v>
      </c>
      <c r="DZ8" s="517"/>
      <c r="EA8" s="518">
        <v>8</v>
      </c>
      <c r="EB8" s="517"/>
      <c r="EC8" s="518">
        <v>9</v>
      </c>
      <c r="ED8" s="517"/>
      <c r="EE8" s="518">
        <v>10</v>
      </c>
      <c r="EF8" s="517"/>
      <c r="EG8" s="518">
        <v>11</v>
      </c>
      <c r="EH8" s="517"/>
      <c r="EI8" s="518">
        <v>12</v>
      </c>
      <c r="EJ8" s="517"/>
      <c r="EK8" s="518">
        <v>13</v>
      </c>
      <c r="EL8" s="517"/>
      <c r="EM8" s="518">
        <v>14</v>
      </c>
      <c r="EN8" s="517"/>
      <c r="EO8" s="518">
        <v>15</v>
      </c>
      <c r="EP8" s="517"/>
      <c r="EQ8" s="518">
        <v>16</v>
      </c>
      <c r="ER8" s="517"/>
      <c r="ES8" s="518">
        <v>17</v>
      </c>
      <c r="ET8" s="517"/>
      <c r="EU8" s="518">
        <v>18</v>
      </c>
      <c r="EV8" s="517"/>
      <c r="EW8" s="518">
        <v>19</v>
      </c>
      <c r="EX8" s="517"/>
      <c r="EY8" s="518">
        <v>20</v>
      </c>
      <c r="EZ8" s="517"/>
      <c r="FA8" s="518">
        <v>21</v>
      </c>
      <c r="FB8" s="517"/>
      <c r="FC8" s="518">
        <v>22</v>
      </c>
      <c r="FD8" s="517"/>
      <c r="FE8" s="518">
        <v>23</v>
      </c>
      <c r="FF8" s="517"/>
      <c r="FG8" s="518">
        <v>24</v>
      </c>
      <c r="FH8" s="519"/>
      <c r="FI8" s="487"/>
      <c r="FJ8" s="505"/>
      <c r="FK8" s="506"/>
      <c r="FL8" s="506"/>
      <c r="FM8" s="506"/>
      <c r="FN8" s="506"/>
      <c r="FO8" s="507"/>
      <c r="FP8" s="520" t="s">
        <v>287</v>
      </c>
      <c r="FQ8" s="521"/>
      <c r="FR8" s="522"/>
      <c r="FS8" s="523" t="s">
        <v>288</v>
      </c>
      <c r="FT8" s="523"/>
      <c r="FU8" s="524"/>
      <c r="FV8" s="525"/>
      <c r="FW8" s="526"/>
      <c r="FX8" s="526"/>
      <c r="FY8" s="526"/>
      <c r="FZ8" s="526"/>
      <c r="GA8" s="526"/>
      <c r="GB8" s="526"/>
      <c r="GC8" s="526"/>
      <c r="GD8" s="526"/>
      <c r="GE8" s="527"/>
      <c r="GF8" s="499"/>
      <c r="GG8" s="483"/>
      <c r="GH8" s="483"/>
      <c r="GI8" s="483"/>
      <c r="GJ8" s="1304"/>
      <c r="GK8" s="1304"/>
      <c r="GL8" s="500"/>
      <c r="GM8" s="578"/>
      <c r="GN8" s="500"/>
      <c r="GO8" s="578"/>
      <c r="GP8" s="500"/>
      <c r="GQ8" s="500"/>
      <c r="GR8" s="500"/>
      <c r="GS8" s="529"/>
      <c r="GT8" s="1304"/>
      <c r="GU8" s="1304"/>
      <c r="GV8" s="500"/>
      <c r="GW8" s="500"/>
      <c r="GX8" s="579"/>
      <c r="GY8" s="500"/>
      <c r="GZ8" s="579"/>
      <c r="HA8" s="578"/>
      <c r="HB8" s="578"/>
      <c r="HC8" s="530"/>
      <c r="HD8" s="437"/>
      <c r="HE8" s="437"/>
      <c r="HF8" s="1275"/>
      <c r="HG8" s="1275"/>
    </row>
    <row r="9" spans="1:353" ht="22.5" customHeight="1">
      <c r="A9" s="532" t="s">
        <v>289</v>
      </c>
      <c r="B9" s="533" t="s">
        <v>290</v>
      </c>
      <c r="C9" s="534" t="s">
        <v>291</v>
      </c>
      <c r="D9" s="534" t="s">
        <v>1035</v>
      </c>
      <c r="E9" s="535" t="s">
        <v>1036</v>
      </c>
      <c r="F9" s="536" t="s">
        <v>294</v>
      </c>
      <c r="G9" s="537" t="s">
        <v>1037</v>
      </c>
      <c r="H9" s="538" t="s">
        <v>1038</v>
      </c>
      <c r="I9" s="539" t="s">
        <v>297</v>
      </c>
      <c r="J9" s="538" t="s">
        <v>1038</v>
      </c>
      <c r="K9" s="539" t="s">
        <v>297</v>
      </c>
      <c r="L9" s="538" t="s">
        <v>1038</v>
      </c>
      <c r="M9" s="539" t="s">
        <v>297</v>
      </c>
      <c r="N9" s="538" t="s">
        <v>1038</v>
      </c>
      <c r="O9" s="539" t="s">
        <v>297</v>
      </c>
      <c r="P9" s="538" t="s">
        <v>1038</v>
      </c>
      <c r="Q9" s="539" t="s">
        <v>297</v>
      </c>
      <c r="R9" s="538" t="s">
        <v>1038</v>
      </c>
      <c r="S9" s="539" t="s">
        <v>297</v>
      </c>
      <c r="T9" s="538" t="s">
        <v>1038</v>
      </c>
      <c r="U9" s="539" t="s">
        <v>297</v>
      </c>
      <c r="V9" s="538" t="s">
        <v>1038</v>
      </c>
      <c r="W9" s="539" t="s">
        <v>297</v>
      </c>
      <c r="X9" s="538" t="s">
        <v>1038</v>
      </c>
      <c r="Y9" s="539" t="s">
        <v>297</v>
      </c>
      <c r="Z9" s="538" t="s">
        <v>1038</v>
      </c>
      <c r="AA9" s="539" t="s">
        <v>297</v>
      </c>
      <c r="AB9" s="538" t="s">
        <v>1038</v>
      </c>
      <c r="AC9" s="539" t="s">
        <v>297</v>
      </c>
      <c r="AD9" s="538" t="s">
        <v>1038</v>
      </c>
      <c r="AE9" s="539" t="s">
        <v>297</v>
      </c>
      <c r="AF9" s="538" t="s">
        <v>1038</v>
      </c>
      <c r="AG9" s="539" t="s">
        <v>297</v>
      </c>
      <c r="AH9" s="538" t="s">
        <v>1038</v>
      </c>
      <c r="AI9" s="539" t="s">
        <v>297</v>
      </c>
      <c r="AJ9" s="538" t="s">
        <v>1038</v>
      </c>
      <c r="AK9" s="539" t="s">
        <v>297</v>
      </c>
      <c r="AL9" s="538" t="s">
        <v>1038</v>
      </c>
      <c r="AM9" s="539" t="s">
        <v>297</v>
      </c>
      <c r="AN9" s="538" t="s">
        <v>1038</v>
      </c>
      <c r="AO9" s="539" t="s">
        <v>297</v>
      </c>
      <c r="AP9" s="538" t="s">
        <v>1038</v>
      </c>
      <c r="AQ9" s="539" t="s">
        <v>297</v>
      </c>
      <c r="AR9" s="538" t="s">
        <v>1038</v>
      </c>
      <c r="AS9" s="539" t="s">
        <v>297</v>
      </c>
      <c r="AT9" s="538" t="s">
        <v>1038</v>
      </c>
      <c r="AU9" s="539" t="s">
        <v>297</v>
      </c>
      <c r="AV9" s="538" t="s">
        <v>1038</v>
      </c>
      <c r="AW9" s="539" t="s">
        <v>297</v>
      </c>
      <c r="AX9" s="538" t="s">
        <v>1038</v>
      </c>
      <c r="AY9" s="539" t="s">
        <v>297</v>
      </c>
      <c r="AZ9" s="538" t="s">
        <v>1038</v>
      </c>
      <c r="BA9" s="539" t="s">
        <v>297</v>
      </c>
      <c r="BB9" s="540" t="s">
        <v>298</v>
      </c>
      <c r="BC9" s="503"/>
      <c r="BD9" s="532" t="s">
        <v>289</v>
      </c>
      <c r="BE9" s="533" t="s">
        <v>290</v>
      </c>
      <c r="BF9" s="534" t="s">
        <v>291</v>
      </c>
      <c r="BG9" s="534" t="s">
        <v>1035</v>
      </c>
      <c r="BH9" s="535" t="s">
        <v>1036</v>
      </c>
      <c r="BI9" s="536" t="s">
        <v>294</v>
      </c>
      <c r="BJ9" s="537" t="s">
        <v>1037</v>
      </c>
      <c r="BK9" s="538" t="s">
        <v>1038</v>
      </c>
      <c r="BL9" s="539" t="s">
        <v>297</v>
      </c>
      <c r="BM9" s="538" t="s">
        <v>1038</v>
      </c>
      <c r="BN9" s="539" t="s">
        <v>297</v>
      </c>
      <c r="BO9" s="538" t="s">
        <v>1038</v>
      </c>
      <c r="BP9" s="539" t="s">
        <v>297</v>
      </c>
      <c r="BQ9" s="538" t="s">
        <v>1038</v>
      </c>
      <c r="BR9" s="539" t="s">
        <v>297</v>
      </c>
      <c r="BS9" s="538" t="s">
        <v>1038</v>
      </c>
      <c r="BT9" s="539" t="s">
        <v>297</v>
      </c>
      <c r="BU9" s="538" t="s">
        <v>1038</v>
      </c>
      <c r="BV9" s="539" t="s">
        <v>297</v>
      </c>
      <c r="BW9" s="538" t="s">
        <v>1038</v>
      </c>
      <c r="BX9" s="539" t="s">
        <v>297</v>
      </c>
      <c r="BY9" s="538" t="s">
        <v>1038</v>
      </c>
      <c r="BZ9" s="539" t="s">
        <v>297</v>
      </c>
      <c r="CA9" s="538" t="s">
        <v>1038</v>
      </c>
      <c r="CB9" s="539" t="s">
        <v>297</v>
      </c>
      <c r="CC9" s="538" t="s">
        <v>1038</v>
      </c>
      <c r="CD9" s="539" t="s">
        <v>297</v>
      </c>
      <c r="CE9" s="538" t="s">
        <v>1038</v>
      </c>
      <c r="CF9" s="539" t="s">
        <v>297</v>
      </c>
      <c r="CG9" s="538" t="s">
        <v>1038</v>
      </c>
      <c r="CH9" s="539" t="s">
        <v>297</v>
      </c>
      <c r="CI9" s="538" t="s">
        <v>1038</v>
      </c>
      <c r="CJ9" s="539" t="s">
        <v>297</v>
      </c>
      <c r="CK9" s="538" t="s">
        <v>1038</v>
      </c>
      <c r="CL9" s="539" t="s">
        <v>297</v>
      </c>
      <c r="CM9" s="538" t="s">
        <v>1038</v>
      </c>
      <c r="CN9" s="539" t="s">
        <v>297</v>
      </c>
      <c r="CO9" s="538" t="s">
        <v>1038</v>
      </c>
      <c r="CP9" s="539" t="s">
        <v>297</v>
      </c>
      <c r="CQ9" s="538" t="s">
        <v>1038</v>
      </c>
      <c r="CR9" s="539" t="s">
        <v>297</v>
      </c>
      <c r="CS9" s="538" t="s">
        <v>1038</v>
      </c>
      <c r="CT9" s="539" t="s">
        <v>297</v>
      </c>
      <c r="CU9" s="538" t="s">
        <v>1038</v>
      </c>
      <c r="CV9" s="539" t="s">
        <v>297</v>
      </c>
      <c r="CW9" s="538" t="s">
        <v>1038</v>
      </c>
      <c r="CX9" s="539" t="s">
        <v>297</v>
      </c>
      <c r="CY9" s="538" t="s">
        <v>1038</v>
      </c>
      <c r="CZ9" s="539" t="s">
        <v>297</v>
      </c>
      <c r="DA9" s="538" t="s">
        <v>1038</v>
      </c>
      <c r="DB9" s="539" t="s">
        <v>297</v>
      </c>
      <c r="DC9" s="538" t="s">
        <v>1038</v>
      </c>
      <c r="DD9" s="539" t="s">
        <v>297</v>
      </c>
      <c r="DE9" s="540" t="s">
        <v>298</v>
      </c>
      <c r="DF9" s="503"/>
      <c r="DG9" s="532" t="s">
        <v>289</v>
      </c>
      <c r="DH9" s="533" t="s">
        <v>290</v>
      </c>
      <c r="DI9" s="534" t="s">
        <v>291</v>
      </c>
      <c r="DJ9" s="534" t="s">
        <v>1035</v>
      </c>
      <c r="DK9" s="535" t="s">
        <v>1036</v>
      </c>
      <c r="DL9" s="536" t="s">
        <v>294</v>
      </c>
      <c r="DM9" s="537" t="s">
        <v>1037</v>
      </c>
      <c r="DN9" s="538" t="s">
        <v>1038</v>
      </c>
      <c r="DO9" s="539" t="s">
        <v>297</v>
      </c>
      <c r="DP9" s="538" t="s">
        <v>1038</v>
      </c>
      <c r="DQ9" s="539" t="s">
        <v>297</v>
      </c>
      <c r="DR9" s="538" t="s">
        <v>1038</v>
      </c>
      <c r="DS9" s="539" t="s">
        <v>297</v>
      </c>
      <c r="DT9" s="538" t="s">
        <v>1038</v>
      </c>
      <c r="DU9" s="539" t="s">
        <v>297</v>
      </c>
      <c r="DV9" s="538" t="s">
        <v>1038</v>
      </c>
      <c r="DW9" s="539" t="s">
        <v>297</v>
      </c>
      <c r="DX9" s="538" t="s">
        <v>1038</v>
      </c>
      <c r="DY9" s="539" t="s">
        <v>297</v>
      </c>
      <c r="DZ9" s="538" t="s">
        <v>1038</v>
      </c>
      <c r="EA9" s="539" t="s">
        <v>297</v>
      </c>
      <c r="EB9" s="538" t="s">
        <v>1038</v>
      </c>
      <c r="EC9" s="539" t="s">
        <v>297</v>
      </c>
      <c r="ED9" s="538" t="s">
        <v>1038</v>
      </c>
      <c r="EE9" s="539" t="s">
        <v>297</v>
      </c>
      <c r="EF9" s="538" t="s">
        <v>1038</v>
      </c>
      <c r="EG9" s="539" t="s">
        <v>297</v>
      </c>
      <c r="EH9" s="538" t="s">
        <v>1038</v>
      </c>
      <c r="EI9" s="539" t="s">
        <v>297</v>
      </c>
      <c r="EJ9" s="538" t="s">
        <v>1038</v>
      </c>
      <c r="EK9" s="539" t="s">
        <v>297</v>
      </c>
      <c r="EL9" s="538" t="s">
        <v>1038</v>
      </c>
      <c r="EM9" s="539" t="s">
        <v>297</v>
      </c>
      <c r="EN9" s="538" t="s">
        <v>1038</v>
      </c>
      <c r="EO9" s="539" t="s">
        <v>297</v>
      </c>
      <c r="EP9" s="538" t="s">
        <v>1038</v>
      </c>
      <c r="EQ9" s="539" t="s">
        <v>297</v>
      </c>
      <c r="ER9" s="538" t="s">
        <v>1038</v>
      </c>
      <c r="ES9" s="539" t="s">
        <v>297</v>
      </c>
      <c r="ET9" s="538" t="s">
        <v>1038</v>
      </c>
      <c r="EU9" s="539" t="s">
        <v>297</v>
      </c>
      <c r="EV9" s="538" t="s">
        <v>1038</v>
      </c>
      <c r="EW9" s="539" t="s">
        <v>297</v>
      </c>
      <c r="EX9" s="538" t="s">
        <v>1038</v>
      </c>
      <c r="EY9" s="539" t="s">
        <v>297</v>
      </c>
      <c r="EZ9" s="538" t="s">
        <v>1038</v>
      </c>
      <c r="FA9" s="539" t="s">
        <v>297</v>
      </c>
      <c r="FB9" s="538" t="s">
        <v>1038</v>
      </c>
      <c r="FC9" s="539" t="s">
        <v>297</v>
      </c>
      <c r="FD9" s="538" t="s">
        <v>1038</v>
      </c>
      <c r="FE9" s="539" t="s">
        <v>297</v>
      </c>
      <c r="FF9" s="538" t="s">
        <v>1038</v>
      </c>
      <c r="FG9" s="539" t="s">
        <v>297</v>
      </c>
      <c r="FH9" s="540" t="s">
        <v>298</v>
      </c>
      <c r="FI9" s="541"/>
      <c r="FJ9" s="542" t="s">
        <v>289</v>
      </c>
      <c r="FK9" s="533" t="s">
        <v>290</v>
      </c>
      <c r="FL9" s="534" t="s">
        <v>291</v>
      </c>
      <c r="FM9" s="534" t="s">
        <v>1035</v>
      </c>
      <c r="FN9" s="535" t="s">
        <v>1036</v>
      </c>
      <c r="FO9" s="536" t="s">
        <v>294</v>
      </c>
      <c r="FP9" s="543" t="s">
        <v>299</v>
      </c>
      <c r="FQ9" s="544" t="s">
        <v>297</v>
      </c>
      <c r="FR9" s="538" t="s">
        <v>298</v>
      </c>
      <c r="FS9" s="545" t="s">
        <v>299</v>
      </c>
      <c r="FT9" s="544" t="s">
        <v>297</v>
      </c>
      <c r="FU9" s="538" t="s">
        <v>298</v>
      </c>
      <c r="FV9" s="525"/>
      <c r="FW9" s="526"/>
      <c r="FX9" s="526"/>
      <c r="FY9" s="526"/>
      <c r="FZ9" s="526"/>
      <c r="GA9" s="526"/>
      <c r="GB9" s="526"/>
      <c r="GC9" s="526"/>
      <c r="GD9" s="546"/>
      <c r="GE9" s="547"/>
      <c r="GF9" s="499"/>
      <c r="GG9" s="548"/>
      <c r="GH9" s="548"/>
      <c r="GI9" s="548"/>
      <c r="GJ9" s="500"/>
      <c r="GK9" s="578"/>
      <c r="GL9" s="500"/>
      <c r="GM9" s="578"/>
      <c r="GN9" s="500"/>
      <c r="GO9" s="578"/>
      <c r="GP9" s="500"/>
      <c r="GQ9" s="500"/>
      <c r="GR9" s="500"/>
      <c r="GS9" s="529"/>
      <c r="GT9" s="1343"/>
      <c r="GU9" s="500"/>
      <c r="GV9" s="500"/>
      <c r="GW9" s="500"/>
      <c r="GX9" s="579"/>
      <c r="GY9" s="500"/>
      <c r="GZ9" s="579"/>
      <c r="HA9" s="578"/>
      <c r="HB9" s="578"/>
      <c r="HC9" s="530"/>
      <c r="HD9" s="437"/>
      <c r="HE9" s="437"/>
      <c r="HF9" s="1279"/>
      <c r="HG9" s="1279"/>
    </row>
    <row r="10" spans="1:353" ht="20.100000000000001" customHeight="1">
      <c r="A10" s="552"/>
      <c r="B10" s="553"/>
      <c r="C10" s="554"/>
      <c r="D10" s="555"/>
      <c r="E10" s="553"/>
      <c r="F10" s="554"/>
      <c r="G10" s="556"/>
      <c r="H10" s="557"/>
      <c r="I10" s="558"/>
      <c r="J10" s="559"/>
      <c r="K10" s="560"/>
      <c r="L10" s="559"/>
      <c r="M10" s="560"/>
      <c r="N10" s="559"/>
      <c r="O10" s="560"/>
      <c r="P10" s="559"/>
      <c r="Q10" s="560"/>
      <c r="R10" s="559"/>
      <c r="S10" s="560"/>
      <c r="T10" s="559"/>
      <c r="U10" s="560"/>
      <c r="V10" s="559"/>
      <c r="W10" s="560"/>
      <c r="X10" s="559"/>
      <c r="Y10" s="560"/>
      <c r="Z10" s="559"/>
      <c r="AA10" s="560"/>
      <c r="AB10" s="559"/>
      <c r="AC10" s="560"/>
      <c r="AD10" s="559"/>
      <c r="AE10" s="560"/>
      <c r="AF10" s="559"/>
      <c r="AG10" s="560"/>
      <c r="AH10" s="559"/>
      <c r="AI10" s="560"/>
      <c r="AJ10" s="559"/>
      <c r="AK10" s="560"/>
      <c r="AL10" s="559"/>
      <c r="AM10" s="560"/>
      <c r="AN10" s="559"/>
      <c r="AO10" s="560"/>
      <c r="AP10" s="559"/>
      <c r="AQ10" s="560"/>
      <c r="AR10" s="559"/>
      <c r="AS10" s="560"/>
      <c r="AT10" s="559"/>
      <c r="AU10" s="560"/>
      <c r="AV10" s="559"/>
      <c r="AW10" s="560"/>
      <c r="AX10" s="559"/>
      <c r="AY10" s="560"/>
      <c r="AZ10" s="559"/>
      <c r="BA10" s="560"/>
      <c r="BB10" s="561"/>
      <c r="BC10" s="562"/>
      <c r="BD10" s="552"/>
      <c r="BE10" s="553"/>
      <c r="BF10" s="554"/>
      <c r="BG10" s="555"/>
      <c r="BH10" s="553"/>
      <c r="BI10" s="554"/>
      <c r="BJ10" s="556"/>
      <c r="BK10" s="557"/>
      <c r="BL10" s="558"/>
      <c r="BM10" s="559"/>
      <c r="BN10" s="560"/>
      <c r="BO10" s="559"/>
      <c r="BP10" s="560"/>
      <c r="BQ10" s="559"/>
      <c r="BR10" s="560"/>
      <c r="BS10" s="559"/>
      <c r="BT10" s="560"/>
      <c r="BU10" s="559"/>
      <c r="BV10" s="560"/>
      <c r="BW10" s="559"/>
      <c r="BX10" s="560"/>
      <c r="BY10" s="559"/>
      <c r="BZ10" s="560"/>
      <c r="CA10" s="559"/>
      <c r="CB10" s="560"/>
      <c r="CC10" s="559"/>
      <c r="CD10" s="560"/>
      <c r="CE10" s="559"/>
      <c r="CF10" s="560"/>
      <c r="CG10" s="559"/>
      <c r="CH10" s="560"/>
      <c r="CI10" s="559"/>
      <c r="CJ10" s="560"/>
      <c r="CK10" s="559"/>
      <c r="CL10" s="560"/>
      <c r="CM10" s="559"/>
      <c r="CN10" s="560"/>
      <c r="CO10" s="559"/>
      <c r="CP10" s="560"/>
      <c r="CQ10" s="559"/>
      <c r="CR10" s="560"/>
      <c r="CS10" s="559"/>
      <c r="CT10" s="560"/>
      <c r="CU10" s="559"/>
      <c r="CV10" s="560"/>
      <c r="CW10" s="559"/>
      <c r="CX10" s="560"/>
      <c r="CY10" s="559"/>
      <c r="CZ10" s="560"/>
      <c r="DA10" s="559"/>
      <c r="DB10" s="560"/>
      <c r="DC10" s="559"/>
      <c r="DD10" s="560"/>
      <c r="DE10" s="561"/>
      <c r="DF10" s="562"/>
      <c r="DG10" s="552"/>
      <c r="DH10" s="553"/>
      <c r="DI10" s="554"/>
      <c r="DJ10" s="555"/>
      <c r="DK10" s="553"/>
      <c r="DL10" s="554"/>
      <c r="DM10" s="556"/>
      <c r="DN10" s="557"/>
      <c r="DO10" s="558"/>
      <c r="DP10" s="559"/>
      <c r="DQ10" s="560"/>
      <c r="DR10" s="559"/>
      <c r="DS10" s="560"/>
      <c r="DT10" s="559"/>
      <c r="DU10" s="560"/>
      <c r="DV10" s="559"/>
      <c r="DW10" s="560"/>
      <c r="DX10" s="559"/>
      <c r="DY10" s="560"/>
      <c r="DZ10" s="559"/>
      <c r="EA10" s="560"/>
      <c r="EB10" s="559"/>
      <c r="EC10" s="560"/>
      <c r="ED10" s="559"/>
      <c r="EE10" s="560"/>
      <c r="EF10" s="559"/>
      <c r="EG10" s="560"/>
      <c r="EH10" s="559"/>
      <c r="EI10" s="560"/>
      <c r="EJ10" s="559"/>
      <c r="EK10" s="560"/>
      <c r="EL10" s="559"/>
      <c r="EM10" s="560"/>
      <c r="EN10" s="559"/>
      <c r="EO10" s="560"/>
      <c r="EP10" s="559"/>
      <c r="EQ10" s="560"/>
      <c r="ER10" s="559"/>
      <c r="ES10" s="560"/>
      <c r="ET10" s="559"/>
      <c r="EU10" s="560"/>
      <c r="EV10" s="559"/>
      <c r="EW10" s="560"/>
      <c r="EX10" s="559"/>
      <c r="EY10" s="560"/>
      <c r="EZ10" s="559"/>
      <c r="FA10" s="560"/>
      <c r="FB10" s="559"/>
      <c r="FC10" s="560"/>
      <c r="FD10" s="559"/>
      <c r="FE10" s="560"/>
      <c r="FF10" s="559"/>
      <c r="FG10" s="560"/>
      <c r="FH10" s="561"/>
      <c r="FI10" s="563"/>
      <c r="FJ10" s="564"/>
      <c r="FK10" s="553"/>
      <c r="FL10" s="554"/>
      <c r="FM10" s="555"/>
      <c r="FN10" s="553"/>
      <c r="FO10" s="554"/>
      <c r="FP10" s="565"/>
      <c r="FQ10" s="558"/>
      <c r="FR10" s="557" t="s">
        <v>1039</v>
      </c>
      <c r="FS10" s="566"/>
      <c r="FT10" s="558"/>
      <c r="FU10" s="567" t="s">
        <v>1039</v>
      </c>
      <c r="FV10" s="568" t="s">
        <v>301</v>
      </c>
      <c r="FW10" s="1326"/>
      <c r="FX10" s="1281" t="s">
        <v>302</v>
      </c>
      <c r="FY10" s="1327"/>
      <c r="FZ10" s="1283" t="s">
        <v>303</v>
      </c>
      <c r="GA10" s="1328"/>
      <c r="GB10" s="1285" t="s">
        <v>1053</v>
      </c>
      <c r="GC10" s="1329"/>
      <c r="GD10" s="576" t="s">
        <v>1054</v>
      </c>
      <c r="GE10" s="577"/>
      <c r="GF10" s="499"/>
      <c r="GG10" s="548"/>
      <c r="GH10" s="548"/>
      <c r="GI10" s="548"/>
      <c r="GJ10" s="578"/>
      <c r="GK10" s="500"/>
      <c r="GL10" s="500"/>
      <c r="GM10" s="579"/>
      <c r="GN10" s="579"/>
      <c r="GO10" s="578"/>
      <c r="GP10" s="500"/>
      <c r="GQ10" s="500"/>
      <c r="GR10" s="500"/>
      <c r="GS10" s="500"/>
      <c r="GT10" s="500"/>
      <c r="GU10" s="500"/>
      <c r="GV10" s="500"/>
      <c r="GW10" s="579"/>
      <c r="GX10" s="579"/>
      <c r="GY10" s="579"/>
      <c r="GZ10" s="578"/>
      <c r="HA10" s="500"/>
      <c r="HB10" s="500"/>
      <c r="HC10" s="580"/>
      <c r="HD10" s="799"/>
      <c r="HE10" s="437"/>
      <c r="HF10" s="1279"/>
      <c r="HG10" s="1279"/>
    </row>
    <row r="11" spans="1:353" ht="20.100000000000001" customHeight="1">
      <c r="A11" s="552"/>
      <c r="B11" s="581"/>
      <c r="C11" s="582"/>
      <c r="D11" s="583"/>
      <c r="E11" s="581"/>
      <c r="F11" s="582"/>
      <c r="G11" s="584"/>
      <c r="H11" s="585"/>
      <c r="I11" s="586"/>
      <c r="J11" s="587"/>
      <c r="K11" s="588"/>
      <c r="L11" s="587"/>
      <c r="M11" s="588"/>
      <c r="N11" s="587"/>
      <c r="O11" s="588"/>
      <c r="P11" s="587"/>
      <c r="Q11" s="588"/>
      <c r="R11" s="587"/>
      <c r="S11" s="588"/>
      <c r="T11" s="587"/>
      <c r="U11" s="588"/>
      <c r="V11" s="587"/>
      <c r="W11" s="588"/>
      <c r="X11" s="587"/>
      <c r="Y11" s="588"/>
      <c r="Z11" s="587"/>
      <c r="AA11" s="588"/>
      <c r="AB11" s="587"/>
      <c r="AC11" s="588"/>
      <c r="AD11" s="587"/>
      <c r="AE11" s="588"/>
      <c r="AF11" s="587"/>
      <c r="AG11" s="588"/>
      <c r="AH11" s="587"/>
      <c r="AI11" s="588"/>
      <c r="AJ11" s="587"/>
      <c r="AK11" s="588"/>
      <c r="AL11" s="587"/>
      <c r="AM11" s="588"/>
      <c r="AN11" s="587"/>
      <c r="AO11" s="588"/>
      <c r="AP11" s="587"/>
      <c r="AQ11" s="588"/>
      <c r="AR11" s="587"/>
      <c r="AS11" s="588"/>
      <c r="AT11" s="587"/>
      <c r="AU11" s="588"/>
      <c r="AV11" s="587"/>
      <c r="AW11" s="588"/>
      <c r="AX11" s="587"/>
      <c r="AY11" s="588"/>
      <c r="AZ11" s="587"/>
      <c r="BA11" s="588"/>
      <c r="BB11" s="589"/>
      <c r="BC11" s="562"/>
      <c r="BD11" s="552"/>
      <c r="BE11" s="581"/>
      <c r="BF11" s="582"/>
      <c r="BG11" s="583"/>
      <c r="BH11" s="581"/>
      <c r="BI11" s="582"/>
      <c r="BJ11" s="584"/>
      <c r="BK11" s="585"/>
      <c r="BL11" s="586"/>
      <c r="BM11" s="587"/>
      <c r="BN11" s="588"/>
      <c r="BO11" s="587"/>
      <c r="BP11" s="588"/>
      <c r="BQ11" s="587"/>
      <c r="BR11" s="588"/>
      <c r="BS11" s="587"/>
      <c r="BT11" s="588"/>
      <c r="BU11" s="587"/>
      <c r="BV11" s="588"/>
      <c r="BW11" s="587"/>
      <c r="BX11" s="588"/>
      <c r="BY11" s="587"/>
      <c r="BZ11" s="588"/>
      <c r="CA11" s="587"/>
      <c r="CB11" s="588"/>
      <c r="CC11" s="587"/>
      <c r="CD11" s="588"/>
      <c r="CE11" s="587"/>
      <c r="CF11" s="588"/>
      <c r="CG11" s="587"/>
      <c r="CH11" s="588"/>
      <c r="CI11" s="587"/>
      <c r="CJ11" s="588"/>
      <c r="CK11" s="587"/>
      <c r="CL11" s="588"/>
      <c r="CM11" s="587"/>
      <c r="CN11" s="588"/>
      <c r="CO11" s="587"/>
      <c r="CP11" s="588"/>
      <c r="CQ11" s="587"/>
      <c r="CR11" s="588"/>
      <c r="CS11" s="587"/>
      <c r="CT11" s="588"/>
      <c r="CU11" s="587"/>
      <c r="CV11" s="588"/>
      <c r="CW11" s="587"/>
      <c r="CX11" s="588"/>
      <c r="CY11" s="587"/>
      <c r="CZ11" s="588"/>
      <c r="DA11" s="587"/>
      <c r="DB11" s="588"/>
      <c r="DC11" s="587"/>
      <c r="DD11" s="588"/>
      <c r="DE11" s="589"/>
      <c r="DF11" s="562"/>
      <c r="DG11" s="552"/>
      <c r="DH11" s="581"/>
      <c r="DI11" s="582"/>
      <c r="DJ11" s="583"/>
      <c r="DK11" s="581"/>
      <c r="DL11" s="582"/>
      <c r="DM11" s="584"/>
      <c r="DN11" s="585"/>
      <c r="DO11" s="586"/>
      <c r="DP11" s="587"/>
      <c r="DQ11" s="588"/>
      <c r="DR11" s="587"/>
      <c r="DS11" s="588"/>
      <c r="DT11" s="587"/>
      <c r="DU11" s="588"/>
      <c r="DV11" s="587"/>
      <c r="DW11" s="588"/>
      <c r="DX11" s="587"/>
      <c r="DY11" s="588"/>
      <c r="DZ11" s="587"/>
      <c r="EA11" s="588"/>
      <c r="EB11" s="587"/>
      <c r="EC11" s="588"/>
      <c r="ED11" s="587"/>
      <c r="EE11" s="588"/>
      <c r="EF11" s="587"/>
      <c r="EG11" s="588"/>
      <c r="EH11" s="587"/>
      <c r="EI11" s="588"/>
      <c r="EJ11" s="587"/>
      <c r="EK11" s="588"/>
      <c r="EL11" s="587"/>
      <c r="EM11" s="588"/>
      <c r="EN11" s="587"/>
      <c r="EO11" s="588"/>
      <c r="EP11" s="587"/>
      <c r="EQ11" s="588"/>
      <c r="ER11" s="587"/>
      <c r="ES11" s="588"/>
      <c r="ET11" s="587"/>
      <c r="EU11" s="588"/>
      <c r="EV11" s="587"/>
      <c r="EW11" s="588"/>
      <c r="EX11" s="587"/>
      <c r="EY11" s="588"/>
      <c r="EZ11" s="587"/>
      <c r="FA11" s="588"/>
      <c r="FB11" s="587"/>
      <c r="FC11" s="588"/>
      <c r="FD11" s="587"/>
      <c r="FE11" s="588"/>
      <c r="FF11" s="587"/>
      <c r="FG11" s="588"/>
      <c r="FH11" s="589"/>
      <c r="FI11" s="563"/>
      <c r="FJ11" s="564"/>
      <c r="FK11" s="581"/>
      <c r="FL11" s="582"/>
      <c r="FM11" s="583"/>
      <c r="FN11" s="581"/>
      <c r="FO11" s="582"/>
      <c r="FP11" s="590"/>
      <c r="FQ11" s="586"/>
      <c r="FR11" s="585" t="s">
        <v>1039</v>
      </c>
      <c r="FS11" s="591"/>
      <c r="FT11" s="586"/>
      <c r="FU11" s="592" t="s">
        <v>1039</v>
      </c>
      <c r="FV11" s="593"/>
      <c r="FW11" s="594"/>
      <c r="FX11" s="595"/>
      <c r="FY11" s="596"/>
      <c r="FZ11" s="597"/>
      <c r="GA11" s="598"/>
      <c r="GB11" s="599"/>
      <c r="GC11" s="600"/>
      <c r="GD11" s="599"/>
      <c r="GE11" s="601"/>
      <c r="GF11" s="499"/>
      <c r="GG11" s="602"/>
      <c r="GH11" s="602"/>
      <c r="GI11" s="602"/>
      <c r="GJ11" s="500"/>
      <c r="GK11" s="578"/>
      <c r="GL11" s="500"/>
      <c r="GM11" s="500"/>
      <c r="GN11" s="579"/>
      <c r="GO11" s="500"/>
      <c r="GP11" s="500"/>
      <c r="GQ11" s="500"/>
      <c r="GR11" s="500"/>
      <c r="GS11" s="529"/>
      <c r="GT11" s="1344"/>
      <c r="GU11" s="578"/>
      <c r="GV11" s="500"/>
      <c r="GW11" s="500"/>
      <c r="GX11" s="579"/>
      <c r="GY11" s="500"/>
      <c r="GZ11" s="500"/>
      <c r="HA11" s="578"/>
      <c r="HB11" s="578"/>
      <c r="HC11" s="409"/>
      <c r="HD11" s="799"/>
      <c r="HE11" s="437"/>
      <c r="HF11" s="1279"/>
      <c r="HG11" s="1279"/>
    </row>
    <row r="12" spans="1:353" ht="20.100000000000001" customHeight="1">
      <c r="A12" s="552"/>
      <c r="B12" s="581"/>
      <c r="C12" s="582"/>
      <c r="D12" s="583"/>
      <c r="E12" s="581"/>
      <c r="F12" s="582"/>
      <c r="G12" s="584"/>
      <c r="H12" s="585"/>
      <c r="I12" s="586"/>
      <c r="J12" s="587"/>
      <c r="K12" s="588"/>
      <c r="L12" s="587"/>
      <c r="M12" s="588"/>
      <c r="N12" s="587"/>
      <c r="O12" s="588"/>
      <c r="P12" s="587"/>
      <c r="Q12" s="588"/>
      <c r="R12" s="587"/>
      <c r="S12" s="588"/>
      <c r="T12" s="587"/>
      <c r="U12" s="588"/>
      <c r="V12" s="587"/>
      <c r="W12" s="588"/>
      <c r="X12" s="587"/>
      <c r="Y12" s="588"/>
      <c r="Z12" s="587"/>
      <c r="AA12" s="588"/>
      <c r="AB12" s="587"/>
      <c r="AC12" s="588"/>
      <c r="AD12" s="587"/>
      <c r="AE12" s="588"/>
      <c r="AF12" s="587"/>
      <c r="AG12" s="588"/>
      <c r="AH12" s="587"/>
      <c r="AI12" s="588"/>
      <c r="AJ12" s="587"/>
      <c r="AK12" s="588"/>
      <c r="AL12" s="587"/>
      <c r="AM12" s="588"/>
      <c r="AN12" s="587"/>
      <c r="AO12" s="588"/>
      <c r="AP12" s="587"/>
      <c r="AQ12" s="588"/>
      <c r="AR12" s="587"/>
      <c r="AS12" s="588"/>
      <c r="AT12" s="587"/>
      <c r="AU12" s="588"/>
      <c r="AV12" s="587"/>
      <c r="AW12" s="588"/>
      <c r="AX12" s="587"/>
      <c r="AY12" s="588"/>
      <c r="AZ12" s="587"/>
      <c r="BA12" s="588"/>
      <c r="BB12" s="589"/>
      <c r="BC12" s="562"/>
      <c r="BD12" s="552"/>
      <c r="BE12" s="581"/>
      <c r="BF12" s="582"/>
      <c r="BG12" s="583"/>
      <c r="BH12" s="581"/>
      <c r="BI12" s="582"/>
      <c r="BJ12" s="584"/>
      <c r="BK12" s="585"/>
      <c r="BL12" s="586"/>
      <c r="BM12" s="587"/>
      <c r="BN12" s="588"/>
      <c r="BO12" s="587"/>
      <c r="BP12" s="588"/>
      <c r="BQ12" s="587"/>
      <c r="BR12" s="588"/>
      <c r="BS12" s="587"/>
      <c r="BT12" s="588"/>
      <c r="BU12" s="587"/>
      <c r="BV12" s="588"/>
      <c r="BW12" s="587"/>
      <c r="BX12" s="588"/>
      <c r="BY12" s="587"/>
      <c r="BZ12" s="588"/>
      <c r="CA12" s="587"/>
      <c r="CB12" s="588"/>
      <c r="CC12" s="587"/>
      <c r="CD12" s="588"/>
      <c r="CE12" s="587"/>
      <c r="CF12" s="588"/>
      <c r="CG12" s="587"/>
      <c r="CH12" s="588"/>
      <c r="CI12" s="587"/>
      <c r="CJ12" s="588"/>
      <c r="CK12" s="587"/>
      <c r="CL12" s="588"/>
      <c r="CM12" s="587"/>
      <c r="CN12" s="588"/>
      <c r="CO12" s="587"/>
      <c r="CP12" s="588"/>
      <c r="CQ12" s="587"/>
      <c r="CR12" s="588"/>
      <c r="CS12" s="587"/>
      <c r="CT12" s="588"/>
      <c r="CU12" s="587"/>
      <c r="CV12" s="588"/>
      <c r="CW12" s="587"/>
      <c r="CX12" s="588"/>
      <c r="CY12" s="587"/>
      <c r="CZ12" s="588"/>
      <c r="DA12" s="587"/>
      <c r="DB12" s="588"/>
      <c r="DC12" s="587"/>
      <c r="DD12" s="588"/>
      <c r="DE12" s="589"/>
      <c r="DF12" s="562"/>
      <c r="DG12" s="552"/>
      <c r="DH12" s="581"/>
      <c r="DI12" s="582"/>
      <c r="DJ12" s="583"/>
      <c r="DK12" s="581"/>
      <c r="DL12" s="582"/>
      <c r="DM12" s="584"/>
      <c r="DN12" s="585"/>
      <c r="DO12" s="586"/>
      <c r="DP12" s="587"/>
      <c r="DQ12" s="588"/>
      <c r="DR12" s="587"/>
      <c r="DS12" s="588"/>
      <c r="DT12" s="587"/>
      <c r="DU12" s="588"/>
      <c r="DV12" s="587"/>
      <c r="DW12" s="588"/>
      <c r="DX12" s="587"/>
      <c r="DY12" s="588"/>
      <c r="DZ12" s="587"/>
      <c r="EA12" s="588"/>
      <c r="EB12" s="587"/>
      <c r="EC12" s="588"/>
      <c r="ED12" s="587"/>
      <c r="EE12" s="588"/>
      <c r="EF12" s="587"/>
      <c r="EG12" s="588"/>
      <c r="EH12" s="587"/>
      <c r="EI12" s="588"/>
      <c r="EJ12" s="587"/>
      <c r="EK12" s="588"/>
      <c r="EL12" s="587"/>
      <c r="EM12" s="588"/>
      <c r="EN12" s="587"/>
      <c r="EO12" s="588"/>
      <c r="EP12" s="587"/>
      <c r="EQ12" s="588"/>
      <c r="ER12" s="587"/>
      <c r="ES12" s="588"/>
      <c r="ET12" s="587"/>
      <c r="EU12" s="588"/>
      <c r="EV12" s="587"/>
      <c r="EW12" s="588"/>
      <c r="EX12" s="587"/>
      <c r="EY12" s="588"/>
      <c r="EZ12" s="587"/>
      <c r="FA12" s="588"/>
      <c r="FB12" s="587"/>
      <c r="FC12" s="588"/>
      <c r="FD12" s="587"/>
      <c r="FE12" s="588"/>
      <c r="FF12" s="587"/>
      <c r="FG12" s="588"/>
      <c r="FH12" s="589"/>
      <c r="FI12" s="563"/>
      <c r="FJ12" s="564"/>
      <c r="FK12" s="581"/>
      <c r="FL12" s="582"/>
      <c r="FM12" s="583"/>
      <c r="FN12" s="581"/>
      <c r="FO12" s="582"/>
      <c r="FP12" s="590"/>
      <c r="FQ12" s="586"/>
      <c r="FR12" s="585" t="s">
        <v>629</v>
      </c>
      <c r="FS12" s="591"/>
      <c r="FT12" s="586"/>
      <c r="FU12" s="592" t="s">
        <v>1039</v>
      </c>
      <c r="FV12" s="593"/>
      <c r="FW12" s="594"/>
      <c r="FX12" s="595"/>
      <c r="FY12" s="596"/>
      <c r="FZ12" s="597"/>
      <c r="GA12" s="598"/>
      <c r="GB12" s="599"/>
      <c r="GC12" s="600"/>
      <c r="GD12" s="599"/>
      <c r="GE12" s="601"/>
      <c r="GF12" s="499"/>
      <c r="GG12" s="602"/>
      <c r="GH12" s="602"/>
      <c r="GI12" s="602"/>
      <c r="GJ12" s="500"/>
      <c r="GK12" s="1339"/>
      <c r="GL12" s="1339"/>
      <c r="GM12" s="1339"/>
      <c r="GN12" s="1339"/>
      <c r="GO12" s="1339"/>
      <c r="GP12" s="1339"/>
      <c r="GQ12" s="1339"/>
      <c r="GR12" s="1339"/>
      <c r="GS12" s="609"/>
      <c r="GT12" s="1344"/>
      <c r="GU12" s="1339"/>
      <c r="GV12" s="1339"/>
      <c r="GW12" s="1339"/>
      <c r="GX12" s="1339"/>
      <c r="GY12" s="1339"/>
      <c r="GZ12" s="1337"/>
      <c r="HA12" s="1339"/>
      <c r="HB12" s="1339"/>
      <c r="HC12" s="615"/>
      <c r="HD12" s="799"/>
      <c r="HE12" s="437"/>
      <c r="HF12" s="1279"/>
      <c r="HG12" s="1279"/>
    </row>
    <row r="13" spans="1:353" ht="20.100000000000001" customHeight="1">
      <c r="A13" s="552"/>
      <c r="B13" s="616"/>
      <c r="C13" s="617"/>
      <c r="D13" s="618"/>
      <c r="E13" s="616"/>
      <c r="F13" s="617"/>
      <c r="G13" s="619"/>
      <c r="H13" s="620"/>
      <c r="I13" s="621"/>
      <c r="J13" s="622"/>
      <c r="K13" s="623"/>
      <c r="L13" s="622"/>
      <c r="M13" s="623"/>
      <c r="N13" s="622"/>
      <c r="O13" s="623"/>
      <c r="P13" s="622"/>
      <c r="Q13" s="623"/>
      <c r="R13" s="622"/>
      <c r="S13" s="623"/>
      <c r="T13" s="622"/>
      <c r="U13" s="623"/>
      <c r="V13" s="622"/>
      <c r="W13" s="623"/>
      <c r="X13" s="622"/>
      <c r="Y13" s="623"/>
      <c r="Z13" s="622"/>
      <c r="AA13" s="623"/>
      <c r="AB13" s="622"/>
      <c r="AC13" s="623"/>
      <c r="AD13" s="622"/>
      <c r="AE13" s="623"/>
      <c r="AF13" s="622"/>
      <c r="AG13" s="623"/>
      <c r="AH13" s="622"/>
      <c r="AI13" s="623"/>
      <c r="AJ13" s="622"/>
      <c r="AK13" s="623"/>
      <c r="AL13" s="622"/>
      <c r="AM13" s="623"/>
      <c r="AN13" s="622"/>
      <c r="AO13" s="623"/>
      <c r="AP13" s="622"/>
      <c r="AQ13" s="623"/>
      <c r="AR13" s="622"/>
      <c r="AS13" s="623"/>
      <c r="AT13" s="622"/>
      <c r="AU13" s="623"/>
      <c r="AV13" s="622"/>
      <c r="AW13" s="623"/>
      <c r="AX13" s="622"/>
      <c r="AY13" s="623"/>
      <c r="AZ13" s="622"/>
      <c r="BA13" s="623"/>
      <c r="BB13" s="624"/>
      <c r="BC13" s="562"/>
      <c r="BD13" s="552"/>
      <c r="BE13" s="616"/>
      <c r="BF13" s="617"/>
      <c r="BG13" s="618"/>
      <c r="BH13" s="616"/>
      <c r="BI13" s="617"/>
      <c r="BJ13" s="619"/>
      <c r="BK13" s="620"/>
      <c r="BL13" s="621"/>
      <c r="BM13" s="622"/>
      <c r="BN13" s="623"/>
      <c r="BO13" s="622"/>
      <c r="BP13" s="623"/>
      <c r="BQ13" s="622"/>
      <c r="BR13" s="623"/>
      <c r="BS13" s="622"/>
      <c r="BT13" s="623"/>
      <c r="BU13" s="622"/>
      <c r="BV13" s="623"/>
      <c r="BW13" s="622"/>
      <c r="BX13" s="623"/>
      <c r="BY13" s="622"/>
      <c r="BZ13" s="623"/>
      <c r="CA13" s="622"/>
      <c r="CB13" s="623"/>
      <c r="CC13" s="622"/>
      <c r="CD13" s="623"/>
      <c r="CE13" s="622"/>
      <c r="CF13" s="623"/>
      <c r="CG13" s="622"/>
      <c r="CH13" s="623"/>
      <c r="CI13" s="622"/>
      <c r="CJ13" s="623"/>
      <c r="CK13" s="622"/>
      <c r="CL13" s="623"/>
      <c r="CM13" s="622"/>
      <c r="CN13" s="623"/>
      <c r="CO13" s="622"/>
      <c r="CP13" s="623"/>
      <c r="CQ13" s="622"/>
      <c r="CR13" s="623"/>
      <c r="CS13" s="622"/>
      <c r="CT13" s="623"/>
      <c r="CU13" s="622"/>
      <c r="CV13" s="623"/>
      <c r="CW13" s="622"/>
      <c r="CX13" s="623"/>
      <c r="CY13" s="622"/>
      <c r="CZ13" s="623"/>
      <c r="DA13" s="622"/>
      <c r="DB13" s="623"/>
      <c r="DC13" s="622"/>
      <c r="DD13" s="623"/>
      <c r="DE13" s="624"/>
      <c r="DF13" s="562"/>
      <c r="DG13" s="552"/>
      <c r="DH13" s="616"/>
      <c r="DI13" s="617"/>
      <c r="DJ13" s="618"/>
      <c r="DK13" s="616"/>
      <c r="DL13" s="617"/>
      <c r="DM13" s="619"/>
      <c r="DN13" s="620"/>
      <c r="DO13" s="621"/>
      <c r="DP13" s="622"/>
      <c r="DQ13" s="623"/>
      <c r="DR13" s="622"/>
      <c r="DS13" s="623"/>
      <c r="DT13" s="622"/>
      <c r="DU13" s="623"/>
      <c r="DV13" s="622"/>
      <c r="DW13" s="623"/>
      <c r="DX13" s="622"/>
      <c r="DY13" s="623"/>
      <c r="DZ13" s="622"/>
      <c r="EA13" s="623"/>
      <c r="EB13" s="622"/>
      <c r="EC13" s="623"/>
      <c r="ED13" s="622"/>
      <c r="EE13" s="623"/>
      <c r="EF13" s="622"/>
      <c r="EG13" s="623"/>
      <c r="EH13" s="622"/>
      <c r="EI13" s="623"/>
      <c r="EJ13" s="622"/>
      <c r="EK13" s="623"/>
      <c r="EL13" s="622"/>
      <c r="EM13" s="623"/>
      <c r="EN13" s="622"/>
      <c r="EO13" s="623"/>
      <c r="EP13" s="622"/>
      <c r="EQ13" s="623"/>
      <c r="ER13" s="622"/>
      <c r="ES13" s="623"/>
      <c r="ET13" s="622"/>
      <c r="EU13" s="623"/>
      <c r="EV13" s="622"/>
      <c r="EW13" s="623"/>
      <c r="EX13" s="622"/>
      <c r="EY13" s="623"/>
      <c r="EZ13" s="622"/>
      <c r="FA13" s="623"/>
      <c r="FB13" s="622"/>
      <c r="FC13" s="623"/>
      <c r="FD13" s="622"/>
      <c r="FE13" s="623"/>
      <c r="FF13" s="622"/>
      <c r="FG13" s="623"/>
      <c r="FH13" s="624"/>
      <c r="FI13" s="563"/>
      <c r="FJ13" s="564"/>
      <c r="FK13" s="616"/>
      <c r="FL13" s="617"/>
      <c r="FM13" s="618"/>
      <c r="FN13" s="616"/>
      <c r="FO13" s="617"/>
      <c r="FP13" s="625"/>
      <c r="FQ13" s="621"/>
      <c r="FR13" s="620" t="s">
        <v>1039</v>
      </c>
      <c r="FS13" s="626"/>
      <c r="FT13" s="621"/>
      <c r="FU13" s="627" t="s">
        <v>629</v>
      </c>
      <c r="FV13" s="593"/>
      <c r="FW13" s="594"/>
      <c r="FX13" s="595"/>
      <c r="FY13" s="596"/>
      <c r="FZ13" s="597"/>
      <c r="GA13" s="598"/>
      <c r="GB13" s="599"/>
      <c r="GC13" s="600"/>
      <c r="GD13" s="599"/>
      <c r="GE13" s="601"/>
      <c r="GF13" s="499"/>
      <c r="GG13" s="602"/>
      <c r="GH13" s="602"/>
      <c r="GI13" s="602"/>
      <c r="GJ13" s="500"/>
      <c r="GK13" s="1339"/>
      <c r="GL13" s="1339"/>
      <c r="GM13" s="1334"/>
      <c r="GN13" s="579"/>
      <c r="GO13" s="578"/>
      <c r="GP13" s="578"/>
      <c r="GQ13" s="500"/>
      <c r="GR13" s="500"/>
      <c r="GS13" s="578"/>
      <c r="GT13" s="500"/>
      <c r="GU13" s="1339"/>
      <c r="GV13" s="1339"/>
      <c r="GW13" s="1334"/>
      <c r="GX13" s="579"/>
      <c r="GY13" s="579"/>
      <c r="GZ13" s="578"/>
      <c r="HA13" s="500"/>
      <c r="HB13" s="500"/>
      <c r="HC13" s="530"/>
      <c r="HD13" s="799"/>
      <c r="HE13" s="437"/>
      <c r="HF13" s="386"/>
      <c r="HG13" s="386"/>
    </row>
    <row r="14" spans="1:353" ht="20.100000000000001" customHeight="1">
      <c r="A14" s="641"/>
      <c r="B14" s="642"/>
      <c r="C14" s="642"/>
      <c r="D14" s="643" t="s">
        <v>1040</v>
      </c>
      <c r="E14" s="642"/>
      <c r="F14" s="642"/>
      <c r="G14" s="644"/>
      <c r="H14" s="645">
        <f>SUM(H10:H13)</f>
        <v>0</v>
      </c>
      <c r="I14" s="735"/>
      <c r="J14" s="645">
        <f>SUM(J10:J13)</f>
        <v>0</v>
      </c>
      <c r="K14" s="735"/>
      <c r="L14" s="645">
        <f>SUM(L10:L13)</f>
        <v>0</v>
      </c>
      <c r="M14" s="735"/>
      <c r="N14" s="645">
        <f>SUM(N10:N13)</f>
        <v>0</v>
      </c>
      <c r="O14" s="735"/>
      <c r="P14" s="645">
        <f>SUM(P10:P13)</f>
        <v>0</v>
      </c>
      <c r="Q14" s="735"/>
      <c r="R14" s="645">
        <f>SUM(R10:R13)</f>
        <v>0</v>
      </c>
      <c r="S14" s="735"/>
      <c r="T14" s="645">
        <f>SUM(T10:T13)</f>
        <v>0</v>
      </c>
      <c r="U14" s="735"/>
      <c r="V14" s="645">
        <f>SUM(V10:V13)</f>
        <v>0</v>
      </c>
      <c r="W14" s="735"/>
      <c r="X14" s="645">
        <f>SUM(X10:X13)</f>
        <v>0</v>
      </c>
      <c r="Y14" s="735"/>
      <c r="Z14" s="645">
        <f>SUM(Z10:Z13)</f>
        <v>0</v>
      </c>
      <c r="AA14" s="735"/>
      <c r="AB14" s="645">
        <f>SUM(AB10:AB13)</f>
        <v>0</v>
      </c>
      <c r="AC14" s="735"/>
      <c r="AD14" s="645">
        <f>SUM(AD10:AD13)</f>
        <v>0</v>
      </c>
      <c r="AE14" s="735"/>
      <c r="AF14" s="645">
        <f>SUM(AF10:AF13)</f>
        <v>0</v>
      </c>
      <c r="AG14" s="735"/>
      <c r="AH14" s="645">
        <f>SUM(AH10:AH13)</f>
        <v>0</v>
      </c>
      <c r="AI14" s="735"/>
      <c r="AJ14" s="645">
        <f>SUM(AJ10:AJ13)</f>
        <v>0</v>
      </c>
      <c r="AK14" s="735"/>
      <c r="AL14" s="645">
        <f>SUM(AL10:AL13)</f>
        <v>0</v>
      </c>
      <c r="AM14" s="735"/>
      <c r="AN14" s="645">
        <f>SUM(AN10:AN13)</f>
        <v>0</v>
      </c>
      <c r="AO14" s="735"/>
      <c r="AP14" s="645">
        <f>SUM(AP10:AP13)</f>
        <v>0</v>
      </c>
      <c r="AQ14" s="735"/>
      <c r="AR14" s="645">
        <f>SUM(AR10:AR13)</f>
        <v>0</v>
      </c>
      <c r="AS14" s="735"/>
      <c r="AT14" s="645">
        <f>SUM(AT10:AT13)</f>
        <v>0</v>
      </c>
      <c r="AU14" s="735"/>
      <c r="AV14" s="645">
        <f>SUM(AV10:AV13)</f>
        <v>0</v>
      </c>
      <c r="AW14" s="735"/>
      <c r="AX14" s="645">
        <f>SUM(AX10:AX13)</f>
        <v>0</v>
      </c>
      <c r="AY14" s="735"/>
      <c r="AZ14" s="645">
        <f>SUM(AZ10:AZ13)</f>
        <v>0</v>
      </c>
      <c r="BA14" s="735"/>
      <c r="BB14" s="647">
        <f>SUM(BB10:BB13)</f>
        <v>0</v>
      </c>
      <c r="BC14" s="648"/>
      <c r="BD14" s="641"/>
      <c r="BE14" s="642"/>
      <c r="BF14" s="642"/>
      <c r="BG14" s="643" t="s">
        <v>1041</v>
      </c>
      <c r="BH14" s="642"/>
      <c r="BI14" s="642"/>
      <c r="BJ14" s="644"/>
      <c r="BK14" s="645">
        <f>SUM(BK10:BK13)</f>
        <v>0</v>
      </c>
      <c r="BL14" s="735"/>
      <c r="BM14" s="645">
        <f>SUM(BM10:BM13)</f>
        <v>0</v>
      </c>
      <c r="BN14" s="735"/>
      <c r="BO14" s="645">
        <f>SUM(BO10:BO13)</f>
        <v>0</v>
      </c>
      <c r="BP14" s="735"/>
      <c r="BQ14" s="645">
        <f>SUM(BQ10:BQ13)</f>
        <v>0</v>
      </c>
      <c r="BR14" s="735"/>
      <c r="BS14" s="645">
        <f>SUM(BS10:BS13)</f>
        <v>0</v>
      </c>
      <c r="BT14" s="735"/>
      <c r="BU14" s="645">
        <f>SUM(BU10:BU13)</f>
        <v>0</v>
      </c>
      <c r="BV14" s="735"/>
      <c r="BW14" s="645">
        <f>SUM(BW10:BW13)</f>
        <v>0</v>
      </c>
      <c r="BX14" s="735"/>
      <c r="BY14" s="645">
        <f>SUM(BY10:BY13)</f>
        <v>0</v>
      </c>
      <c r="BZ14" s="735"/>
      <c r="CA14" s="645">
        <f>SUM(CA10:CA13)</f>
        <v>0</v>
      </c>
      <c r="CB14" s="735"/>
      <c r="CC14" s="645">
        <f>SUM(CC10:CC13)</f>
        <v>0</v>
      </c>
      <c r="CD14" s="735"/>
      <c r="CE14" s="645">
        <f>SUM(CE10:CE13)</f>
        <v>0</v>
      </c>
      <c r="CF14" s="735"/>
      <c r="CG14" s="645">
        <f>SUM(CG10:CG13)</f>
        <v>0</v>
      </c>
      <c r="CH14" s="735"/>
      <c r="CI14" s="645">
        <f>SUM(CI10:CI13)</f>
        <v>0</v>
      </c>
      <c r="CJ14" s="735"/>
      <c r="CK14" s="645">
        <f>SUM(CK10:CK13)</f>
        <v>0</v>
      </c>
      <c r="CL14" s="735"/>
      <c r="CM14" s="645">
        <f>SUM(CM10:CM13)</f>
        <v>0</v>
      </c>
      <c r="CN14" s="735"/>
      <c r="CO14" s="645">
        <f>SUM(CO10:CO13)</f>
        <v>0</v>
      </c>
      <c r="CP14" s="735"/>
      <c r="CQ14" s="645">
        <f>SUM(CQ10:CQ13)</f>
        <v>0</v>
      </c>
      <c r="CR14" s="735"/>
      <c r="CS14" s="645">
        <f>SUM(CS10:CS13)</f>
        <v>0</v>
      </c>
      <c r="CT14" s="735"/>
      <c r="CU14" s="645">
        <f>SUM(CU10:CU13)</f>
        <v>0</v>
      </c>
      <c r="CV14" s="735"/>
      <c r="CW14" s="645">
        <f>SUM(CW10:CW13)</f>
        <v>0</v>
      </c>
      <c r="CX14" s="735"/>
      <c r="CY14" s="645">
        <f>SUM(CY10:CY13)</f>
        <v>0</v>
      </c>
      <c r="CZ14" s="735"/>
      <c r="DA14" s="645">
        <f>SUM(DA10:DA13)</f>
        <v>0</v>
      </c>
      <c r="DB14" s="735"/>
      <c r="DC14" s="645">
        <f>SUM(DC10:DC13)</f>
        <v>0</v>
      </c>
      <c r="DD14" s="735"/>
      <c r="DE14" s="647">
        <f>SUM(DE10:DE13)</f>
        <v>0</v>
      </c>
      <c r="DF14" s="648"/>
      <c r="DG14" s="641"/>
      <c r="DH14" s="642"/>
      <c r="DI14" s="642"/>
      <c r="DJ14" s="643" t="s">
        <v>750</v>
      </c>
      <c r="DK14" s="642"/>
      <c r="DL14" s="642"/>
      <c r="DM14" s="644"/>
      <c r="DN14" s="645">
        <f>SUM(DN10:DN13)</f>
        <v>0</v>
      </c>
      <c r="DO14" s="735"/>
      <c r="DP14" s="645">
        <f>SUM(DP10:DP13)</f>
        <v>0</v>
      </c>
      <c r="DQ14" s="735"/>
      <c r="DR14" s="645">
        <f>SUM(DR10:DR13)</f>
        <v>0</v>
      </c>
      <c r="DS14" s="735"/>
      <c r="DT14" s="645">
        <f>SUM(DT10:DT13)</f>
        <v>0</v>
      </c>
      <c r="DU14" s="735"/>
      <c r="DV14" s="645">
        <f>SUM(DV10:DV13)</f>
        <v>0</v>
      </c>
      <c r="DW14" s="735"/>
      <c r="DX14" s="645">
        <f>SUM(DX10:DX13)</f>
        <v>0</v>
      </c>
      <c r="DY14" s="735"/>
      <c r="DZ14" s="645">
        <f>SUM(DZ10:DZ13)</f>
        <v>0</v>
      </c>
      <c r="EA14" s="735"/>
      <c r="EB14" s="645">
        <f>SUM(EB10:EB13)</f>
        <v>0</v>
      </c>
      <c r="EC14" s="735"/>
      <c r="ED14" s="645">
        <f>SUM(ED10:ED13)</f>
        <v>0</v>
      </c>
      <c r="EE14" s="735"/>
      <c r="EF14" s="645">
        <f>SUM(EF10:EF13)</f>
        <v>0</v>
      </c>
      <c r="EG14" s="735"/>
      <c r="EH14" s="645">
        <f>SUM(EH10:EH13)</f>
        <v>0</v>
      </c>
      <c r="EI14" s="735"/>
      <c r="EJ14" s="645">
        <f>SUM(EJ10:EJ13)</f>
        <v>0</v>
      </c>
      <c r="EK14" s="735"/>
      <c r="EL14" s="645">
        <f>SUM(EL10:EL13)</f>
        <v>0</v>
      </c>
      <c r="EM14" s="735"/>
      <c r="EN14" s="645">
        <f>SUM(EN10:EN13)</f>
        <v>0</v>
      </c>
      <c r="EO14" s="735"/>
      <c r="EP14" s="645">
        <f>SUM(EP10:EP13)</f>
        <v>0</v>
      </c>
      <c r="EQ14" s="735"/>
      <c r="ER14" s="645">
        <f>SUM(ER10:ER13)</f>
        <v>0</v>
      </c>
      <c r="ES14" s="735"/>
      <c r="ET14" s="645">
        <f>SUM(ET10:ET13)</f>
        <v>0</v>
      </c>
      <c r="EU14" s="735"/>
      <c r="EV14" s="645">
        <f>SUM(EV10:EV13)</f>
        <v>0</v>
      </c>
      <c r="EW14" s="735"/>
      <c r="EX14" s="645">
        <f>SUM(EX10:EX13)</f>
        <v>0</v>
      </c>
      <c r="EY14" s="735"/>
      <c r="EZ14" s="645">
        <f>SUM(EZ10:EZ13)</f>
        <v>0</v>
      </c>
      <c r="FA14" s="735"/>
      <c r="FB14" s="645">
        <f>SUM(FB10:FB13)</f>
        <v>0</v>
      </c>
      <c r="FC14" s="735"/>
      <c r="FD14" s="645">
        <f>SUM(FD10:FD13)</f>
        <v>0</v>
      </c>
      <c r="FE14" s="735"/>
      <c r="FF14" s="645">
        <f>SUM(FF10:FF13)</f>
        <v>0</v>
      </c>
      <c r="FG14" s="735"/>
      <c r="FH14" s="647">
        <f>SUM(FH10:FH13)</f>
        <v>0</v>
      </c>
      <c r="FI14" s="649"/>
      <c r="FJ14" s="564"/>
      <c r="FK14" s="642"/>
      <c r="FL14" s="642"/>
      <c r="FM14" s="643" t="s">
        <v>750</v>
      </c>
      <c r="FN14" s="642"/>
      <c r="FO14" s="642"/>
      <c r="FP14" s="650"/>
      <c r="FQ14" s="651"/>
      <c r="FR14" s="645">
        <f>SUM(FR10:FR13)</f>
        <v>0</v>
      </c>
      <c r="FS14" s="652"/>
      <c r="FT14" s="651"/>
      <c r="FU14" s="653">
        <f>SUM(FU10:FU13)</f>
        <v>0</v>
      </c>
      <c r="FV14" s="593"/>
      <c r="FW14" s="594"/>
      <c r="FX14" s="595"/>
      <c r="FY14" s="596"/>
      <c r="FZ14" s="597"/>
      <c r="GA14" s="598"/>
      <c r="GB14" s="599"/>
      <c r="GC14" s="600"/>
      <c r="GD14" s="599"/>
      <c r="GE14" s="601"/>
      <c r="GF14" s="654"/>
      <c r="GG14" s="655"/>
      <c r="GH14" s="655"/>
      <c r="GI14" s="655"/>
      <c r="GJ14" s="579"/>
      <c r="GK14" s="1339"/>
      <c r="GL14" s="1339"/>
      <c r="GM14" s="1334"/>
      <c r="GN14" s="579"/>
      <c r="GO14" s="578"/>
      <c r="GP14" s="500"/>
      <c r="GQ14" s="500"/>
      <c r="GR14" s="500"/>
      <c r="GS14" s="615"/>
      <c r="GT14" s="1345"/>
      <c r="GU14" s="1339"/>
      <c r="GV14" s="1339"/>
      <c r="GW14" s="1334"/>
      <c r="GX14" s="579"/>
      <c r="GY14" s="579"/>
      <c r="GZ14" s="578"/>
      <c r="HA14" s="500"/>
      <c r="HB14" s="500"/>
      <c r="HC14" s="530"/>
      <c r="HD14" s="1278"/>
      <c r="HE14" s="415"/>
      <c r="HF14" s="415"/>
      <c r="HG14" s="415"/>
    </row>
    <row r="15" spans="1:353" ht="24" customHeight="1">
      <c r="A15" s="532" t="s">
        <v>307</v>
      </c>
      <c r="B15" s="658" t="s">
        <v>290</v>
      </c>
      <c r="C15" s="659" t="s">
        <v>291</v>
      </c>
      <c r="D15" s="660" t="s">
        <v>633</v>
      </c>
      <c r="E15" s="660" t="s">
        <v>309</v>
      </c>
      <c r="F15" s="661" t="s">
        <v>310</v>
      </c>
      <c r="G15" s="662" t="s">
        <v>1042</v>
      </c>
      <c r="H15" s="663" t="s">
        <v>1043</v>
      </c>
      <c r="I15" s="664" t="s">
        <v>313</v>
      </c>
      <c r="J15" s="663" t="s">
        <v>1043</v>
      </c>
      <c r="K15" s="664" t="s">
        <v>313</v>
      </c>
      <c r="L15" s="663" t="s">
        <v>1043</v>
      </c>
      <c r="M15" s="664" t="s">
        <v>313</v>
      </c>
      <c r="N15" s="663" t="s">
        <v>1043</v>
      </c>
      <c r="O15" s="664" t="s">
        <v>313</v>
      </c>
      <c r="P15" s="663" t="s">
        <v>637</v>
      </c>
      <c r="Q15" s="664" t="s">
        <v>313</v>
      </c>
      <c r="R15" s="663" t="s">
        <v>1043</v>
      </c>
      <c r="S15" s="664" t="s">
        <v>313</v>
      </c>
      <c r="T15" s="663" t="s">
        <v>1043</v>
      </c>
      <c r="U15" s="664" t="s">
        <v>313</v>
      </c>
      <c r="V15" s="663" t="s">
        <v>1043</v>
      </c>
      <c r="W15" s="664" t="s">
        <v>313</v>
      </c>
      <c r="X15" s="663" t="s">
        <v>637</v>
      </c>
      <c r="Y15" s="664" t="s">
        <v>313</v>
      </c>
      <c r="Z15" s="663" t="s">
        <v>637</v>
      </c>
      <c r="AA15" s="664" t="s">
        <v>313</v>
      </c>
      <c r="AB15" s="663" t="s">
        <v>635</v>
      </c>
      <c r="AC15" s="664" t="s">
        <v>313</v>
      </c>
      <c r="AD15" s="663" t="s">
        <v>1043</v>
      </c>
      <c r="AE15" s="664" t="s">
        <v>313</v>
      </c>
      <c r="AF15" s="663" t="s">
        <v>635</v>
      </c>
      <c r="AG15" s="664" t="s">
        <v>313</v>
      </c>
      <c r="AH15" s="663" t="s">
        <v>1043</v>
      </c>
      <c r="AI15" s="664" t="s">
        <v>313</v>
      </c>
      <c r="AJ15" s="663" t="s">
        <v>637</v>
      </c>
      <c r="AK15" s="664" t="s">
        <v>313</v>
      </c>
      <c r="AL15" s="663" t="s">
        <v>635</v>
      </c>
      <c r="AM15" s="664" t="s">
        <v>313</v>
      </c>
      <c r="AN15" s="663" t="s">
        <v>1043</v>
      </c>
      <c r="AO15" s="664" t="s">
        <v>313</v>
      </c>
      <c r="AP15" s="663" t="s">
        <v>637</v>
      </c>
      <c r="AQ15" s="664" t="s">
        <v>313</v>
      </c>
      <c r="AR15" s="663" t="s">
        <v>635</v>
      </c>
      <c r="AS15" s="664" t="s">
        <v>313</v>
      </c>
      <c r="AT15" s="663" t="s">
        <v>637</v>
      </c>
      <c r="AU15" s="664" t="s">
        <v>313</v>
      </c>
      <c r="AV15" s="663" t="s">
        <v>1043</v>
      </c>
      <c r="AW15" s="664" t="s">
        <v>313</v>
      </c>
      <c r="AX15" s="663" t="s">
        <v>1043</v>
      </c>
      <c r="AY15" s="664" t="s">
        <v>313</v>
      </c>
      <c r="AZ15" s="663" t="s">
        <v>635</v>
      </c>
      <c r="BA15" s="664" t="s">
        <v>313</v>
      </c>
      <c r="BB15" s="665" t="s">
        <v>316</v>
      </c>
      <c r="BC15" s="666"/>
      <c r="BD15" s="532" t="s">
        <v>307</v>
      </c>
      <c r="BE15" s="658" t="s">
        <v>290</v>
      </c>
      <c r="BF15" s="659" t="s">
        <v>291</v>
      </c>
      <c r="BG15" s="660" t="s">
        <v>1035</v>
      </c>
      <c r="BH15" s="660" t="s">
        <v>309</v>
      </c>
      <c r="BI15" s="661" t="s">
        <v>310</v>
      </c>
      <c r="BJ15" s="662" t="s">
        <v>1044</v>
      </c>
      <c r="BK15" s="663" t="s">
        <v>1043</v>
      </c>
      <c r="BL15" s="664" t="s">
        <v>313</v>
      </c>
      <c r="BM15" s="663" t="s">
        <v>635</v>
      </c>
      <c r="BN15" s="664" t="s">
        <v>313</v>
      </c>
      <c r="BO15" s="663" t="s">
        <v>637</v>
      </c>
      <c r="BP15" s="664" t="s">
        <v>313</v>
      </c>
      <c r="BQ15" s="663" t="s">
        <v>1043</v>
      </c>
      <c r="BR15" s="664" t="s">
        <v>313</v>
      </c>
      <c r="BS15" s="663" t="s">
        <v>637</v>
      </c>
      <c r="BT15" s="664" t="s">
        <v>313</v>
      </c>
      <c r="BU15" s="663" t="s">
        <v>1043</v>
      </c>
      <c r="BV15" s="664" t="s">
        <v>313</v>
      </c>
      <c r="BW15" s="663" t="s">
        <v>1043</v>
      </c>
      <c r="BX15" s="664" t="s">
        <v>313</v>
      </c>
      <c r="BY15" s="663" t="s">
        <v>635</v>
      </c>
      <c r="BZ15" s="664" t="s">
        <v>313</v>
      </c>
      <c r="CA15" s="663" t="s">
        <v>635</v>
      </c>
      <c r="CB15" s="664" t="s">
        <v>313</v>
      </c>
      <c r="CC15" s="663" t="s">
        <v>1043</v>
      </c>
      <c r="CD15" s="664" t="s">
        <v>313</v>
      </c>
      <c r="CE15" s="663" t="s">
        <v>1043</v>
      </c>
      <c r="CF15" s="664" t="s">
        <v>313</v>
      </c>
      <c r="CG15" s="663" t="s">
        <v>1043</v>
      </c>
      <c r="CH15" s="664" t="s">
        <v>313</v>
      </c>
      <c r="CI15" s="663" t="s">
        <v>1043</v>
      </c>
      <c r="CJ15" s="664" t="s">
        <v>313</v>
      </c>
      <c r="CK15" s="663" t="s">
        <v>635</v>
      </c>
      <c r="CL15" s="664" t="s">
        <v>313</v>
      </c>
      <c r="CM15" s="663" t="s">
        <v>635</v>
      </c>
      <c r="CN15" s="664" t="s">
        <v>313</v>
      </c>
      <c r="CO15" s="663" t="s">
        <v>635</v>
      </c>
      <c r="CP15" s="664" t="s">
        <v>313</v>
      </c>
      <c r="CQ15" s="663" t="s">
        <v>1043</v>
      </c>
      <c r="CR15" s="664" t="s">
        <v>313</v>
      </c>
      <c r="CS15" s="663" t="s">
        <v>635</v>
      </c>
      <c r="CT15" s="664" t="s">
        <v>313</v>
      </c>
      <c r="CU15" s="663" t="s">
        <v>1043</v>
      </c>
      <c r="CV15" s="664" t="s">
        <v>313</v>
      </c>
      <c r="CW15" s="663" t="s">
        <v>637</v>
      </c>
      <c r="CX15" s="664" t="s">
        <v>313</v>
      </c>
      <c r="CY15" s="663" t="s">
        <v>635</v>
      </c>
      <c r="CZ15" s="664" t="s">
        <v>313</v>
      </c>
      <c r="DA15" s="663" t="s">
        <v>1043</v>
      </c>
      <c r="DB15" s="664" t="s">
        <v>313</v>
      </c>
      <c r="DC15" s="663" t="s">
        <v>1043</v>
      </c>
      <c r="DD15" s="664" t="s">
        <v>313</v>
      </c>
      <c r="DE15" s="665" t="s">
        <v>316</v>
      </c>
      <c r="DF15" s="666"/>
      <c r="DG15" s="532" t="s">
        <v>307</v>
      </c>
      <c r="DH15" s="667" t="s">
        <v>290</v>
      </c>
      <c r="DI15" s="668" t="s">
        <v>291</v>
      </c>
      <c r="DJ15" s="669" t="s">
        <v>633</v>
      </c>
      <c r="DK15" s="669" t="s">
        <v>309</v>
      </c>
      <c r="DL15" s="670" t="s">
        <v>310</v>
      </c>
      <c r="DM15" s="662" t="s">
        <v>634</v>
      </c>
      <c r="DN15" s="663" t="s">
        <v>1043</v>
      </c>
      <c r="DO15" s="664" t="s">
        <v>313</v>
      </c>
      <c r="DP15" s="663" t="s">
        <v>1043</v>
      </c>
      <c r="DQ15" s="664" t="s">
        <v>313</v>
      </c>
      <c r="DR15" s="663" t="s">
        <v>1043</v>
      </c>
      <c r="DS15" s="664" t="s">
        <v>313</v>
      </c>
      <c r="DT15" s="663" t="s">
        <v>635</v>
      </c>
      <c r="DU15" s="664" t="s">
        <v>313</v>
      </c>
      <c r="DV15" s="663" t="s">
        <v>635</v>
      </c>
      <c r="DW15" s="664" t="s">
        <v>313</v>
      </c>
      <c r="DX15" s="663" t="s">
        <v>1045</v>
      </c>
      <c r="DY15" s="664" t="s">
        <v>313</v>
      </c>
      <c r="DZ15" s="663" t="s">
        <v>1043</v>
      </c>
      <c r="EA15" s="664" t="s">
        <v>313</v>
      </c>
      <c r="EB15" s="663" t="s">
        <v>1043</v>
      </c>
      <c r="EC15" s="664" t="s">
        <v>313</v>
      </c>
      <c r="ED15" s="663" t="s">
        <v>1043</v>
      </c>
      <c r="EE15" s="664" t="s">
        <v>313</v>
      </c>
      <c r="EF15" s="663" t="s">
        <v>1043</v>
      </c>
      <c r="EG15" s="664" t="s">
        <v>313</v>
      </c>
      <c r="EH15" s="663" t="s">
        <v>635</v>
      </c>
      <c r="EI15" s="664" t="s">
        <v>313</v>
      </c>
      <c r="EJ15" s="663" t="s">
        <v>635</v>
      </c>
      <c r="EK15" s="664" t="s">
        <v>313</v>
      </c>
      <c r="EL15" s="663" t="s">
        <v>635</v>
      </c>
      <c r="EM15" s="664" t="s">
        <v>313</v>
      </c>
      <c r="EN15" s="663" t="s">
        <v>1043</v>
      </c>
      <c r="EO15" s="664" t="s">
        <v>313</v>
      </c>
      <c r="EP15" s="663" t="s">
        <v>1043</v>
      </c>
      <c r="EQ15" s="664" t="s">
        <v>313</v>
      </c>
      <c r="ER15" s="663" t="s">
        <v>635</v>
      </c>
      <c r="ES15" s="664" t="s">
        <v>313</v>
      </c>
      <c r="ET15" s="663" t="s">
        <v>1043</v>
      </c>
      <c r="EU15" s="664" t="s">
        <v>313</v>
      </c>
      <c r="EV15" s="663" t="s">
        <v>637</v>
      </c>
      <c r="EW15" s="664" t="s">
        <v>313</v>
      </c>
      <c r="EX15" s="663" t="s">
        <v>635</v>
      </c>
      <c r="EY15" s="664" t="s">
        <v>313</v>
      </c>
      <c r="EZ15" s="663" t="s">
        <v>1043</v>
      </c>
      <c r="FA15" s="664" t="s">
        <v>313</v>
      </c>
      <c r="FB15" s="663" t="s">
        <v>1043</v>
      </c>
      <c r="FC15" s="664" t="s">
        <v>313</v>
      </c>
      <c r="FD15" s="663" t="s">
        <v>1043</v>
      </c>
      <c r="FE15" s="664" t="s">
        <v>313</v>
      </c>
      <c r="FF15" s="663" t="s">
        <v>635</v>
      </c>
      <c r="FG15" s="664" t="s">
        <v>313</v>
      </c>
      <c r="FH15" s="665" t="s">
        <v>316</v>
      </c>
      <c r="FI15" s="671"/>
      <c r="FJ15" s="542" t="s">
        <v>307</v>
      </c>
      <c r="FK15" s="658" t="s">
        <v>290</v>
      </c>
      <c r="FL15" s="659" t="s">
        <v>291</v>
      </c>
      <c r="FM15" s="660" t="s">
        <v>633</v>
      </c>
      <c r="FN15" s="660" t="s">
        <v>309</v>
      </c>
      <c r="FO15" s="661" t="s">
        <v>310</v>
      </c>
      <c r="FP15" s="672" t="s">
        <v>299</v>
      </c>
      <c r="FQ15" s="673" t="s">
        <v>313</v>
      </c>
      <c r="FR15" s="663" t="s">
        <v>316</v>
      </c>
      <c r="FS15" s="674" t="s">
        <v>299</v>
      </c>
      <c r="FT15" s="673" t="s">
        <v>313</v>
      </c>
      <c r="FU15" s="675" t="s">
        <v>316</v>
      </c>
      <c r="FV15" s="593"/>
      <c r="FW15" s="594"/>
      <c r="FX15" s="595"/>
      <c r="FY15" s="596"/>
      <c r="FZ15" s="597"/>
      <c r="GA15" s="598"/>
      <c r="GB15" s="599"/>
      <c r="GC15" s="600"/>
      <c r="GD15" s="599"/>
      <c r="GE15" s="601"/>
      <c r="GF15" s="676"/>
      <c r="GG15" s="677"/>
      <c r="GH15" s="677"/>
      <c r="GI15" s="677"/>
      <c r="GJ15" s="500"/>
      <c r="GK15" s="1339"/>
      <c r="GL15" s="1339"/>
      <c r="GM15" s="1334"/>
      <c r="GN15" s="579"/>
      <c r="GO15" s="578"/>
      <c r="GP15" s="500"/>
      <c r="GQ15" s="500"/>
      <c r="GR15" s="500"/>
      <c r="GS15" s="529"/>
      <c r="GT15" s="1342"/>
      <c r="GU15" s="1339"/>
      <c r="GV15" s="1339"/>
      <c r="GW15" s="1334"/>
      <c r="GX15" s="579"/>
      <c r="GY15" s="579"/>
      <c r="GZ15" s="578"/>
      <c r="HA15" s="500"/>
      <c r="HB15" s="500"/>
      <c r="HC15" s="678"/>
      <c r="HD15" s="666"/>
      <c r="HE15" s="415"/>
      <c r="HF15" s="415"/>
      <c r="HG15" s="415"/>
    </row>
    <row r="16" spans="1:353" ht="20.100000000000001" customHeight="1">
      <c r="A16" s="552"/>
      <c r="B16" s="554"/>
      <c r="C16" s="679"/>
      <c r="D16" s="555"/>
      <c r="E16" s="680"/>
      <c r="F16" s="681"/>
      <c r="G16" s="682"/>
      <c r="H16" s="559"/>
      <c r="I16" s="683"/>
      <c r="J16" s="559"/>
      <c r="K16" s="683"/>
      <c r="L16" s="559"/>
      <c r="M16" s="683"/>
      <c r="N16" s="559"/>
      <c r="O16" s="683"/>
      <c r="P16" s="559"/>
      <c r="Q16" s="683"/>
      <c r="R16" s="559"/>
      <c r="S16" s="683"/>
      <c r="T16" s="559"/>
      <c r="U16" s="683"/>
      <c r="V16" s="559"/>
      <c r="W16" s="683"/>
      <c r="X16" s="559"/>
      <c r="Y16" s="683"/>
      <c r="Z16" s="559"/>
      <c r="AA16" s="683"/>
      <c r="AB16" s="559"/>
      <c r="AC16" s="683"/>
      <c r="AD16" s="559"/>
      <c r="AE16" s="683"/>
      <c r="AF16" s="559"/>
      <c r="AG16" s="683"/>
      <c r="AH16" s="559"/>
      <c r="AI16" s="683"/>
      <c r="AJ16" s="559"/>
      <c r="AK16" s="683"/>
      <c r="AL16" s="559"/>
      <c r="AM16" s="683"/>
      <c r="AN16" s="559"/>
      <c r="AO16" s="683"/>
      <c r="AP16" s="559"/>
      <c r="AQ16" s="683"/>
      <c r="AR16" s="559"/>
      <c r="AS16" s="683"/>
      <c r="AT16" s="559"/>
      <c r="AU16" s="683"/>
      <c r="AV16" s="559"/>
      <c r="AW16" s="683"/>
      <c r="AX16" s="559"/>
      <c r="AY16" s="683"/>
      <c r="AZ16" s="559"/>
      <c r="BA16" s="683"/>
      <c r="BB16" s="684"/>
      <c r="BC16" s="562"/>
      <c r="BD16" s="552"/>
      <c r="BE16" s="554"/>
      <c r="BF16" s="679"/>
      <c r="BG16" s="555"/>
      <c r="BH16" s="680"/>
      <c r="BI16" s="681"/>
      <c r="BJ16" s="682"/>
      <c r="BK16" s="559"/>
      <c r="BL16" s="683"/>
      <c r="BM16" s="559"/>
      <c r="BN16" s="683"/>
      <c r="BO16" s="559"/>
      <c r="BP16" s="683"/>
      <c r="BQ16" s="559"/>
      <c r="BR16" s="683"/>
      <c r="BS16" s="559"/>
      <c r="BT16" s="683"/>
      <c r="BU16" s="559"/>
      <c r="BV16" s="683"/>
      <c r="BW16" s="559"/>
      <c r="BX16" s="683"/>
      <c r="BY16" s="559"/>
      <c r="BZ16" s="683"/>
      <c r="CA16" s="559"/>
      <c r="CB16" s="683"/>
      <c r="CC16" s="559"/>
      <c r="CD16" s="683"/>
      <c r="CE16" s="559"/>
      <c r="CF16" s="683"/>
      <c r="CG16" s="559"/>
      <c r="CH16" s="683"/>
      <c r="CI16" s="559"/>
      <c r="CJ16" s="683"/>
      <c r="CK16" s="559"/>
      <c r="CL16" s="683"/>
      <c r="CM16" s="559"/>
      <c r="CN16" s="683"/>
      <c r="CO16" s="559"/>
      <c r="CP16" s="683"/>
      <c r="CQ16" s="559"/>
      <c r="CR16" s="683"/>
      <c r="CS16" s="559"/>
      <c r="CT16" s="683"/>
      <c r="CU16" s="559"/>
      <c r="CV16" s="683"/>
      <c r="CW16" s="559"/>
      <c r="CX16" s="683"/>
      <c r="CY16" s="559"/>
      <c r="CZ16" s="683"/>
      <c r="DA16" s="559"/>
      <c r="DB16" s="683"/>
      <c r="DC16" s="559"/>
      <c r="DD16" s="683"/>
      <c r="DE16" s="684"/>
      <c r="DF16" s="562"/>
      <c r="DG16" s="552"/>
      <c r="DH16" s="554"/>
      <c r="DI16" s="679"/>
      <c r="DJ16" s="555"/>
      <c r="DK16" s="680"/>
      <c r="DL16" s="681"/>
      <c r="DM16" s="682"/>
      <c r="DN16" s="559"/>
      <c r="DO16" s="683"/>
      <c r="DP16" s="559"/>
      <c r="DQ16" s="683"/>
      <c r="DR16" s="559"/>
      <c r="DS16" s="683"/>
      <c r="DT16" s="559"/>
      <c r="DU16" s="683"/>
      <c r="DV16" s="559"/>
      <c r="DW16" s="683"/>
      <c r="DX16" s="559"/>
      <c r="DY16" s="683"/>
      <c r="DZ16" s="559"/>
      <c r="EA16" s="683"/>
      <c r="EB16" s="559"/>
      <c r="EC16" s="683"/>
      <c r="ED16" s="559"/>
      <c r="EE16" s="683"/>
      <c r="EF16" s="559"/>
      <c r="EG16" s="683"/>
      <c r="EH16" s="559"/>
      <c r="EI16" s="683"/>
      <c r="EJ16" s="559"/>
      <c r="EK16" s="683"/>
      <c r="EL16" s="559"/>
      <c r="EM16" s="683"/>
      <c r="EN16" s="559"/>
      <c r="EO16" s="683"/>
      <c r="EP16" s="559"/>
      <c r="EQ16" s="683"/>
      <c r="ER16" s="559"/>
      <c r="ES16" s="683"/>
      <c r="ET16" s="559"/>
      <c r="EU16" s="683"/>
      <c r="EV16" s="559"/>
      <c r="EW16" s="683"/>
      <c r="EX16" s="559"/>
      <c r="EY16" s="683"/>
      <c r="EZ16" s="559"/>
      <c r="FA16" s="683"/>
      <c r="FB16" s="559"/>
      <c r="FC16" s="683"/>
      <c r="FD16" s="559"/>
      <c r="FE16" s="683"/>
      <c r="FF16" s="559"/>
      <c r="FG16" s="683"/>
      <c r="FH16" s="684"/>
      <c r="FI16" s="563"/>
      <c r="FJ16" s="564"/>
      <c r="FK16" s="554"/>
      <c r="FL16" s="679"/>
      <c r="FM16" s="555"/>
      <c r="FN16" s="680"/>
      <c r="FO16" s="681"/>
      <c r="FP16" s="685"/>
      <c r="FQ16" s="686"/>
      <c r="FR16" s="559"/>
      <c r="FS16" s="687"/>
      <c r="FT16" s="686"/>
      <c r="FU16" s="567"/>
      <c r="FV16" s="593"/>
      <c r="FW16" s="594"/>
      <c r="FX16" s="595"/>
      <c r="FY16" s="596"/>
      <c r="FZ16" s="597"/>
      <c r="GA16" s="598"/>
      <c r="GB16" s="599"/>
      <c r="GC16" s="600"/>
      <c r="GD16" s="599"/>
      <c r="GE16" s="601"/>
      <c r="GF16" s="688"/>
      <c r="GG16" s="677"/>
      <c r="GH16" s="677"/>
      <c r="GI16" s="677"/>
      <c r="GJ16" s="500"/>
      <c r="GK16" s="1339"/>
      <c r="GL16" s="1339"/>
      <c r="GM16" s="1334"/>
      <c r="GN16" s="579"/>
      <c r="GO16" s="578"/>
      <c r="GP16" s="500"/>
      <c r="GQ16" s="500"/>
      <c r="GR16" s="500"/>
      <c r="GS16" s="409"/>
      <c r="GT16" s="689"/>
      <c r="GU16" s="1339"/>
      <c r="GV16" s="1339"/>
      <c r="GW16" s="1334"/>
      <c r="GX16" s="579"/>
      <c r="GY16" s="579"/>
      <c r="GZ16" s="578"/>
      <c r="HA16" s="500"/>
      <c r="HB16" s="500"/>
      <c r="HC16" s="690"/>
      <c r="HD16" s="415"/>
      <c r="HE16" s="415"/>
      <c r="HF16" s="415"/>
      <c r="HG16" s="415"/>
    </row>
    <row r="17" spans="1:218" ht="20.100000000000001" customHeight="1">
      <c r="A17" s="552"/>
      <c r="B17" s="582"/>
      <c r="C17" s="691"/>
      <c r="D17" s="583"/>
      <c r="E17" s="692"/>
      <c r="F17" s="693"/>
      <c r="G17" s="694"/>
      <c r="H17" s="587"/>
      <c r="I17" s="695"/>
      <c r="J17" s="587"/>
      <c r="K17" s="695"/>
      <c r="L17" s="587"/>
      <c r="M17" s="695"/>
      <c r="N17" s="587"/>
      <c r="O17" s="695"/>
      <c r="P17" s="587"/>
      <c r="Q17" s="695"/>
      <c r="R17" s="587"/>
      <c r="S17" s="695"/>
      <c r="T17" s="587"/>
      <c r="U17" s="695"/>
      <c r="V17" s="587"/>
      <c r="W17" s="695"/>
      <c r="X17" s="587"/>
      <c r="Y17" s="695"/>
      <c r="Z17" s="587"/>
      <c r="AA17" s="695"/>
      <c r="AB17" s="587"/>
      <c r="AC17" s="695"/>
      <c r="AD17" s="587"/>
      <c r="AE17" s="695"/>
      <c r="AF17" s="587"/>
      <c r="AG17" s="695"/>
      <c r="AH17" s="587"/>
      <c r="AI17" s="695"/>
      <c r="AJ17" s="587"/>
      <c r="AK17" s="695"/>
      <c r="AL17" s="587"/>
      <c r="AM17" s="695"/>
      <c r="AN17" s="587"/>
      <c r="AO17" s="695"/>
      <c r="AP17" s="587"/>
      <c r="AQ17" s="695"/>
      <c r="AR17" s="587"/>
      <c r="AS17" s="695"/>
      <c r="AT17" s="587"/>
      <c r="AU17" s="695"/>
      <c r="AV17" s="587"/>
      <c r="AW17" s="695"/>
      <c r="AX17" s="587"/>
      <c r="AY17" s="695"/>
      <c r="AZ17" s="587"/>
      <c r="BA17" s="695"/>
      <c r="BB17" s="589"/>
      <c r="BC17" s="562"/>
      <c r="BD17" s="552"/>
      <c r="BE17" s="582"/>
      <c r="BF17" s="691"/>
      <c r="BG17" s="583"/>
      <c r="BH17" s="692"/>
      <c r="BI17" s="693"/>
      <c r="BJ17" s="694"/>
      <c r="BK17" s="587"/>
      <c r="BL17" s="695"/>
      <c r="BM17" s="587"/>
      <c r="BN17" s="695"/>
      <c r="BO17" s="587"/>
      <c r="BP17" s="695"/>
      <c r="BQ17" s="587"/>
      <c r="BR17" s="695"/>
      <c r="BS17" s="587"/>
      <c r="BT17" s="695"/>
      <c r="BU17" s="587"/>
      <c r="BV17" s="695"/>
      <c r="BW17" s="587"/>
      <c r="BX17" s="695"/>
      <c r="BY17" s="587"/>
      <c r="BZ17" s="695"/>
      <c r="CA17" s="587"/>
      <c r="CB17" s="695"/>
      <c r="CC17" s="587"/>
      <c r="CD17" s="695"/>
      <c r="CE17" s="587"/>
      <c r="CF17" s="695"/>
      <c r="CG17" s="587"/>
      <c r="CH17" s="695"/>
      <c r="CI17" s="587"/>
      <c r="CJ17" s="695"/>
      <c r="CK17" s="587"/>
      <c r="CL17" s="695"/>
      <c r="CM17" s="587"/>
      <c r="CN17" s="695"/>
      <c r="CO17" s="587"/>
      <c r="CP17" s="695"/>
      <c r="CQ17" s="587"/>
      <c r="CR17" s="695"/>
      <c r="CS17" s="587"/>
      <c r="CT17" s="695"/>
      <c r="CU17" s="587"/>
      <c r="CV17" s="695"/>
      <c r="CW17" s="587"/>
      <c r="CX17" s="695"/>
      <c r="CY17" s="587"/>
      <c r="CZ17" s="695"/>
      <c r="DA17" s="587"/>
      <c r="DB17" s="695"/>
      <c r="DC17" s="587"/>
      <c r="DD17" s="695"/>
      <c r="DE17" s="589"/>
      <c r="DF17" s="562"/>
      <c r="DG17" s="552"/>
      <c r="DH17" s="582"/>
      <c r="DI17" s="691"/>
      <c r="DJ17" s="583"/>
      <c r="DK17" s="692"/>
      <c r="DL17" s="693"/>
      <c r="DM17" s="694"/>
      <c r="DN17" s="587"/>
      <c r="DO17" s="695"/>
      <c r="DP17" s="587"/>
      <c r="DQ17" s="695"/>
      <c r="DR17" s="587"/>
      <c r="DS17" s="695"/>
      <c r="DT17" s="587"/>
      <c r="DU17" s="695"/>
      <c r="DV17" s="587"/>
      <c r="DW17" s="695"/>
      <c r="DX17" s="587"/>
      <c r="DY17" s="695"/>
      <c r="DZ17" s="587"/>
      <c r="EA17" s="695"/>
      <c r="EB17" s="587"/>
      <c r="EC17" s="695"/>
      <c r="ED17" s="587"/>
      <c r="EE17" s="695"/>
      <c r="EF17" s="587"/>
      <c r="EG17" s="695"/>
      <c r="EH17" s="587"/>
      <c r="EI17" s="695"/>
      <c r="EJ17" s="587"/>
      <c r="EK17" s="695"/>
      <c r="EL17" s="587"/>
      <c r="EM17" s="695"/>
      <c r="EN17" s="587"/>
      <c r="EO17" s="695"/>
      <c r="EP17" s="587"/>
      <c r="EQ17" s="695"/>
      <c r="ER17" s="587"/>
      <c r="ES17" s="695"/>
      <c r="ET17" s="587"/>
      <c r="EU17" s="695"/>
      <c r="EV17" s="587"/>
      <c r="EW17" s="695"/>
      <c r="EX17" s="587"/>
      <c r="EY17" s="695"/>
      <c r="EZ17" s="587"/>
      <c r="FA17" s="695"/>
      <c r="FB17" s="587"/>
      <c r="FC17" s="695"/>
      <c r="FD17" s="587"/>
      <c r="FE17" s="695"/>
      <c r="FF17" s="587"/>
      <c r="FG17" s="695"/>
      <c r="FH17" s="589"/>
      <c r="FI17" s="563"/>
      <c r="FJ17" s="564"/>
      <c r="FK17" s="582"/>
      <c r="FL17" s="691"/>
      <c r="FM17" s="583"/>
      <c r="FN17" s="692"/>
      <c r="FO17" s="693"/>
      <c r="FP17" s="696"/>
      <c r="FQ17" s="697"/>
      <c r="FR17" s="587"/>
      <c r="FS17" s="698"/>
      <c r="FT17" s="697"/>
      <c r="FU17" s="592"/>
      <c r="FV17" s="593"/>
      <c r="FW17" s="594"/>
      <c r="FX17" s="595"/>
      <c r="FY17" s="596"/>
      <c r="FZ17" s="597"/>
      <c r="GA17" s="598"/>
      <c r="GB17" s="599"/>
      <c r="GC17" s="600"/>
      <c r="GD17" s="599"/>
      <c r="GE17" s="601"/>
      <c r="GF17" s="688"/>
      <c r="GG17" s="602"/>
      <c r="GH17" s="602"/>
      <c r="GI17" s="602"/>
      <c r="GJ17" s="578"/>
      <c r="GK17" s="1339"/>
      <c r="GL17" s="1339"/>
      <c r="GM17" s="1334"/>
      <c r="GN17" s="579"/>
      <c r="GO17" s="578"/>
      <c r="GP17" s="500"/>
      <c r="GQ17" s="500"/>
      <c r="GR17" s="500"/>
      <c r="GS17" s="699"/>
      <c r="GT17" s="689"/>
      <c r="GU17" s="1339"/>
      <c r="GV17" s="1339"/>
      <c r="GW17" s="1334"/>
      <c r="GX17" s="579"/>
      <c r="GY17" s="579"/>
      <c r="GZ17" s="578"/>
      <c r="HA17" s="500"/>
      <c r="HB17" s="500"/>
      <c r="HC17" s="530"/>
      <c r="HD17" s="415"/>
      <c r="HE17" s="415"/>
      <c r="HF17" s="415"/>
      <c r="HG17" s="415"/>
    </row>
    <row r="18" spans="1:218" ht="20.100000000000001" customHeight="1">
      <c r="A18" s="552"/>
      <c r="B18" s="700"/>
      <c r="C18" s="691"/>
      <c r="D18" s="583"/>
      <c r="E18" s="692"/>
      <c r="F18" s="693"/>
      <c r="G18" s="694"/>
      <c r="H18" s="587"/>
      <c r="I18" s="695"/>
      <c r="J18" s="587"/>
      <c r="K18" s="695"/>
      <c r="L18" s="587"/>
      <c r="M18" s="695"/>
      <c r="N18" s="587"/>
      <c r="O18" s="695"/>
      <c r="P18" s="587"/>
      <c r="Q18" s="695"/>
      <c r="R18" s="587"/>
      <c r="S18" s="695"/>
      <c r="T18" s="587"/>
      <c r="U18" s="695"/>
      <c r="V18" s="587"/>
      <c r="W18" s="695"/>
      <c r="X18" s="587"/>
      <c r="Y18" s="695"/>
      <c r="Z18" s="587"/>
      <c r="AA18" s="695"/>
      <c r="AB18" s="587"/>
      <c r="AC18" s="695"/>
      <c r="AD18" s="587"/>
      <c r="AE18" s="695"/>
      <c r="AF18" s="587"/>
      <c r="AG18" s="695"/>
      <c r="AH18" s="587"/>
      <c r="AI18" s="695"/>
      <c r="AJ18" s="587"/>
      <c r="AK18" s="695"/>
      <c r="AL18" s="587"/>
      <c r="AM18" s="695"/>
      <c r="AN18" s="587"/>
      <c r="AO18" s="695"/>
      <c r="AP18" s="587"/>
      <c r="AQ18" s="695"/>
      <c r="AR18" s="587"/>
      <c r="AS18" s="695"/>
      <c r="AT18" s="587"/>
      <c r="AU18" s="695"/>
      <c r="AV18" s="587"/>
      <c r="AW18" s="695"/>
      <c r="AX18" s="587"/>
      <c r="AY18" s="695"/>
      <c r="AZ18" s="587"/>
      <c r="BA18" s="695"/>
      <c r="BB18" s="589"/>
      <c r="BC18" s="562"/>
      <c r="BD18" s="552"/>
      <c r="BE18" s="700"/>
      <c r="BF18" s="691"/>
      <c r="BG18" s="583"/>
      <c r="BH18" s="692"/>
      <c r="BI18" s="693"/>
      <c r="BJ18" s="694"/>
      <c r="BK18" s="587"/>
      <c r="BL18" s="695"/>
      <c r="BM18" s="587"/>
      <c r="BN18" s="695"/>
      <c r="BO18" s="587"/>
      <c r="BP18" s="695"/>
      <c r="BQ18" s="587"/>
      <c r="BR18" s="695"/>
      <c r="BS18" s="587"/>
      <c r="BT18" s="695"/>
      <c r="BU18" s="587"/>
      <c r="BV18" s="695"/>
      <c r="BW18" s="587"/>
      <c r="BX18" s="695"/>
      <c r="BY18" s="587"/>
      <c r="BZ18" s="695"/>
      <c r="CA18" s="587"/>
      <c r="CB18" s="695"/>
      <c r="CC18" s="587"/>
      <c r="CD18" s="695"/>
      <c r="CE18" s="587"/>
      <c r="CF18" s="695"/>
      <c r="CG18" s="587"/>
      <c r="CH18" s="695"/>
      <c r="CI18" s="587"/>
      <c r="CJ18" s="695"/>
      <c r="CK18" s="587"/>
      <c r="CL18" s="695"/>
      <c r="CM18" s="587"/>
      <c r="CN18" s="695"/>
      <c r="CO18" s="587"/>
      <c r="CP18" s="695"/>
      <c r="CQ18" s="587"/>
      <c r="CR18" s="695"/>
      <c r="CS18" s="587"/>
      <c r="CT18" s="695"/>
      <c r="CU18" s="587"/>
      <c r="CV18" s="695"/>
      <c r="CW18" s="587"/>
      <c r="CX18" s="695"/>
      <c r="CY18" s="587"/>
      <c r="CZ18" s="695"/>
      <c r="DA18" s="587"/>
      <c r="DB18" s="695"/>
      <c r="DC18" s="587"/>
      <c r="DD18" s="695"/>
      <c r="DE18" s="589"/>
      <c r="DF18" s="562"/>
      <c r="DG18" s="552"/>
      <c r="DH18" s="700"/>
      <c r="DI18" s="691"/>
      <c r="DJ18" s="583"/>
      <c r="DK18" s="692"/>
      <c r="DL18" s="693"/>
      <c r="DM18" s="694"/>
      <c r="DN18" s="587"/>
      <c r="DO18" s="695"/>
      <c r="DP18" s="587"/>
      <c r="DQ18" s="695"/>
      <c r="DR18" s="587"/>
      <c r="DS18" s="695"/>
      <c r="DT18" s="587"/>
      <c r="DU18" s="695"/>
      <c r="DV18" s="587"/>
      <c r="DW18" s="695"/>
      <c r="DX18" s="587"/>
      <c r="DY18" s="695"/>
      <c r="DZ18" s="587"/>
      <c r="EA18" s="695"/>
      <c r="EB18" s="587"/>
      <c r="EC18" s="695"/>
      <c r="ED18" s="587"/>
      <c r="EE18" s="695"/>
      <c r="EF18" s="587"/>
      <c r="EG18" s="695"/>
      <c r="EH18" s="587"/>
      <c r="EI18" s="695"/>
      <c r="EJ18" s="587"/>
      <c r="EK18" s="695"/>
      <c r="EL18" s="587"/>
      <c r="EM18" s="695"/>
      <c r="EN18" s="587"/>
      <c r="EO18" s="695"/>
      <c r="EP18" s="587"/>
      <c r="EQ18" s="695"/>
      <c r="ER18" s="587"/>
      <c r="ES18" s="695"/>
      <c r="ET18" s="587"/>
      <c r="EU18" s="695"/>
      <c r="EV18" s="587"/>
      <c r="EW18" s="695"/>
      <c r="EX18" s="587"/>
      <c r="EY18" s="695"/>
      <c r="EZ18" s="587"/>
      <c r="FA18" s="695"/>
      <c r="FB18" s="587"/>
      <c r="FC18" s="695"/>
      <c r="FD18" s="587"/>
      <c r="FE18" s="695"/>
      <c r="FF18" s="587"/>
      <c r="FG18" s="695"/>
      <c r="FH18" s="589"/>
      <c r="FI18" s="563"/>
      <c r="FJ18" s="564"/>
      <c r="FK18" s="700"/>
      <c r="FL18" s="691"/>
      <c r="FM18" s="583"/>
      <c r="FN18" s="692"/>
      <c r="FO18" s="693"/>
      <c r="FP18" s="696"/>
      <c r="FQ18" s="697"/>
      <c r="FR18" s="587"/>
      <c r="FS18" s="698"/>
      <c r="FT18" s="697"/>
      <c r="FU18" s="592"/>
      <c r="FV18" s="593"/>
      <c r="FW18" s="594"/>
      <c r="FX18" s="595"/>
      <c r="FY18" s="596"/>
      <c r="FZ18" s="597"/>
      <c r="GA18" s="598"/>
      <c r="GB18" s="599"/>
      <c r="GC18" s="600"/>
      <c r="GD18" s="599"/>
      <c r="GE18" s="601"/>
      <c r="GF18" s="688"/>
      <c r="GG18" s="602"/>
      <c r="GH18" s="602"/>
      <c r="GI18" s="602"/>
      <c r="GJ18" s="500"/>
      <c r="GK18" s="1339"/>
      <c r="GL18" s="1339"/>
      <c r="GM18" s="1334"/>
      <c r="GN18" s="579"/>
      <c r="GO18" s="578"/>
      <c r="GP18" s="500"/>
      <c r="GQ18" s="500"/>
      <c r="GR18" s="500"/>
      <c r="GS18" s="409"/>
      <c r="GT18" s="500"/>
      <c r="GU18" s="1339"/>
      <c r="GV18" s="1339"/>
      <c r="GW18" s="1334"/>
      <c r="GX18" s="579"/>
      <c r="GY18" s="579"/>
      <c r="GZ18" s="578"/>
      <c r="HA18" s="500"/>
      <c r="HB18" s="500"/>
      <c r="HC18" s="579"/>
      <c r="HD18" s="562"/>
      <c r="HE18" s="415"/>
      <c r="HF18" s="415"/>
      <c r="HG18" s="415"/>
    </row>
    <row r="19" spans="1:218" ht="20.100000000000001" customHeight="1">
      <c r="A19" s="552"/>
      <c r="B19" s="700"/>
      <c r="C19" s="691"/>
      <c r="D19" s="583"/>
      <c r="E19" s="692"/>
      <c r="F19" s="693"/>
      <c r="G19" s="694"/>
      <c r="H19" s="587"/>
      <c r="I19" s="695"/>
      <c r="J19" s="587"/>
      <c r="K19" s="695"/>
      <c r="L19" s="587"/>
      <c r="M19" s="695"/>
      <c r="N19" s="587"/>
      <c r="O19" s="695"/>
      <c r="P19" s="587"/>
      <c r="Q19" s="695"/>
      <c r="R19" s="587"/>
      <c r="S19" s="695"/>
      <c r="T19" s="587"/>
      <c r="U19" s="695"/>
      <c r="V19" s="587"/>
      <c r="W19" s="695"/>
      <c r="X19" s="587"/>
      <c r="Y19" s="695"/>
      <c r="Z19" s="587"/>
      <c r="AA19" s="695"/>
      <c r="AB19" s="587"/>
      <c r="AC19" s="695"/>
      <c r="AD19" s="587"/>
      <c r="AE19" s="695"/>
      <c r="AF19" s="587"/>
      <c r="AG19" s="695"/>
      <c r="AH19" s="587"/>
      <c r="AI19" s="695"/>
      <c r="AJ19" s="587"/>
      <c r="AK19" s="695"/>
      <c r="AL19" s="587"/>
      <c r="AM19" s="695"/>
      <c r="AN19" s="587"/>
      <c r="AO19" s="695"/>
      <c r="AP19" s="587"/>
      <c r="AQ19" s="695"/>
      <c r="AR19" s="587"/>
      <c r="AS19" s="695"/>
      <c r="AT19" s="587"/>
      <c r="AU19" s="695"/>
      <c r="AV19" s="587"/>
      <c r="AW19" s="695"/>
      <c r="AX19" s="587"/>
      <c r="AY19" s="695"/>
      <c r="AZ19" s="587"/>
      <c r="BA19" s="695"/>
      <c r="BB19" s="589"/>
      <c r="BC19" s="562"/>
      <c r="BD19" s="552"/>
      <c r="BE19" s="700"/>
      <c r="BF19" s="691"/>
      <c r="BG19" s="583"/>
      <c r="BH19" s="692"/>
      <c r="BI19" s="693"/>
      <c r="BJ19" s="694"/>
      <c r="BK19" s="587"/>
      <c r="BL19" s="695"/>
      <c r="BM19" s="587"/>
      <c r="BN19" s="695"/>
      <c r="BO19" s="587"/>
      <c r="BP19" s="695"/>
      <c r="BQ19" s="587"/>
      <c r="BR19" s="695"/>
      <c r="BS19" s="587"/>
      <c r="BT19" s="695"/>
      <c r="BU19" s="587"/>
      <c r="BV19" s="695"/>
      <c r="BW19" s="587"/>
      <c r="BX19" s="695"/>
      <c r="BY19" s="587"/>
      <c r="BZ19" s="695"/>
      <c r="CA19" s="587"/>
      <c r="CB19" s="695"/>
      <c r="CC19" s="587"/>
      <c r="CD19" s="695"/>
      <c r="CE19" s="587"/>
      <c r="CF19" s="695"/>
      <c r="CG19" s="587"/>
      <c r="CH19" s="695"/>
      <c r="CI19" s="587"/>
      <c r="CJ19" s="695"/>
      <c r="CK19" s="587"/>
      <c r="CL19" s="695"/>
      <c r="CM19" s="587"/>
      <c r="CN19" s="695"/>
      <c r="CO19" s="587"/>
      <c r="CP19" s="695"/>
      <c r="CQ19" s="587"/>
      <c r="CR19" s="695"/>
      <c r="CS19" s="587"/>
      <c r="CT19" s="695"/>
      <c r="CU19" s="587"/>
      <c r="CV19" s="695"/>
      <c r="CW19" s="587"/>
      <c r="CX19" s="695"/>
      <c r="CY19" s="587"/>
      <c r="CZ19" s="695"/>
      <c r="DA19" s="587"/>
      <c r="DB19" s="695"/>
      <c r="DC19" s="587"/>
      <c r="DD19" s="695"/>
      <c r="DE19" s="589"/>
      <c r="DF19" s="562"/>
      <c r="DG19" s="552"/>
      <c r="DH19" s="700"/>
      <c r="DI19" s="691"/>
      <c r="DJ19" s="583"/>
      <c r="DK19" s="692"/>
      <c r="DL19" s="693"/>
      <c r="DM19" s="694"/>
      <c r="DN19" s="587"/>
      <c r="DO19" s="695"/>
      <c r="DP19" s="587"/>
      <c r="DQ19" s="695"/>
      <c r="DR19" s="587"/>
      <c r="DS19" s="695"/>
      <c r="DT19" s="587"/>
      <c r="DU19" s="695"/>
      <c r="DV19" s="587"/>
      <c r="DW19" s="695"/>
      <c r="DX19" s="587"/>
      <c r="DY19" s="695"/>
      <c r="DZ19" s="587"/>
      <c r="EA19" s="695"/>
      <c r="EB19" s="587"/>
      <c r="EC19" s="695"/>
      <c r="ED19" s="587"/>
      <c r="EE19" s="695"/>
      <c r="EF19" s="587"/>
      <c r="EG19" s="695"/>
      <c r="EH19" s="587"/>
      <c r="EI19" s="695"/>
      <c r="EJ19" s="587"/>
      <c r="EK19" s="695"/>
      <c r="EL19" s="587"/>
      <c r="EM19" s="695"/>
      <c r="EN19" s="587"/>
      <c r="EO19" s="695"/>
      <c r="EP19" s="587"/>
      <c r="EQ19" s="695"/>
      <c r="ER19" s="587"/>
      <c r="ES19" s="695"/>
      <c r="ET19" s="587"/>
      <c r="EU19" s="695"/>
      <c r="EV19" s="587"/>
      <c r="EW19" s="695"/>
      <c r="EX19" s="587"/>
      <c r="EY19" s="695"/>
      <c r="EZ19" s="587"/>
      <c r="FA19" s="695"/>
      <c r="FB19" s="587"/>
      <c r="FC19" s="695"/>
      <c r="FD19" s="587"/>
      <c r="FE19" s="695"/>
      <c r="FF19" s="587"/>
      <c r="FG19" s="695"/>
      <c r="FH19" s="589"/>
      <c r="FI19" s="563"/>
      <c r="FJ19" s="564"/>
      <c r="FK19" s="700"/>
      <c r="FL19" s="691"/>
      <c r="FM19" s="583"/>
      <c r="FN19" s="692"/>
      <c r="FO19" s="693"/>
      <c r="FP19" s="696"/>
      <c r="FQ19" s="697"/>
      <c r="FR19" s="587"/>
      <c r="FS19" s="698"/>
      <c r="FT19" s="697"/>
      <c r="FU19" s="592"/>
      <c r="FV19" s="593"/>
      <c r="FW19" s="594"/>
      <c r="FX19" s="595"/>
      <c r="FY19" s="596"/>
      <c r="FZ19" s="597"/>
      <c r="GA19" s="598"/>
      <c r="GB19" s="599"/>
      <c r="GC19" s="600"/>
      <c r="GD19" s="599"/>
      <c r="GE19" s="601"/>
      <c r="GF19" s="688"/>
      <c r="GG19" s="602"/>
      <c r="GH19" s="602"/>
      <c r="GI19" s="602"/>
      <c r="GJ19" s="500"/>
      <c r="GK19" s="1339"/>
      <c r="GL19" s="1339"/>
      <c r="GM19" s="1334"/>
      <c r="GN19" s="579"/>
      <c r="GO19" s="578"/>
      <c r="GP19" s="500"/>
      <c r="GQ19" s="500"/>
      <c r="GR19" s="500"/>
      <c r="GS19" s="409"/>
      <c r="GT19" s="1345"/>
      <c r="GU19" s="1339"/>
      <c r="GV19" s="1339"/>
      <c r="GW19" s="1334"/>
      <c r="GX19" s="579"/>
      <c r="GY19" s="579"/>
      <c r="GZ19" s="578"/>
      <c r="HA19" s="500"/>
      <c r="HB19" s="500"/>
      <c r="HC19" s="529"/>
      <c r="HD19" s="562"/>
      <c r="HE19" s="415"/>
      <c r="HF19" s="415"/>
      <c r="HG19" s="415"/>
    </row>
    <row r="20" spans="1:218" ht="20.100000000000001" customHeight="1">
      <c r="A20" s="552"/>
      <c r="B20" s="700"/>
      <c r="C20" s="691"/>
      <c r="D20" s="583"/>
      <c r="E20" s="692"/>
      <c r="F20" s="693"/>
      <c r="G20" s="694"/>
      <c r="H20" s="587"/>
      <c r="I20" s="695"/>
      <c r="J20" s="587"/>
      <c r="K20" s="695"/>
      <c r="L20" s="587"/>
      <c r="M20" s="695"/>
      <c r="N20" s="587"/>
      <c r="O20" s="695"/>
      <c r="P20" s="587"/>
      <c r="Q20" s="695"/>
      <c r="R20" s="587"/>
      <c r="S20" s="695"/>
      <c r="T20" s="587"/>
      <c r="U20" s="695"/>
      <c r="V20" s="587"/>
      <c r="W20" s="695"/>
      <c r="X20" s="587"/>
      <c r="Y20" s="695"/>
      <c r="Z20" s="587"/>
      <c r="AA20" s="695"/>
      <c r="AB20" s="587"/>
      <c r="AC20" s="695"/>
      <c r="AD20" s="587"/>
      <c r="AE20" s="695"/>
      <c r="AF20" s="587"/>
      <c r="AG20" s="695"/>
      <c r="AH20" s="587"/>
      <c r="AI20" s="695"/>
      <c r="AJ20" s="587"/>
      <c r="AK20" s="695"/>
      <c r="AL20" s="587"/>
      <c r="AM20" s="695"/>
      <c r="AN20" s="587"/>
      <c r="AO20" s="695"/>
      <c r="AP20" s="587"/>
      <c r="AQ20" s="695"/>
      <c r="AR20" s="587"/>
      <c r="AS20" s="695"/>
      <c r="AT20" s="587"/>
      <c r="AU20" s="695"/>
      <c r="AV20" s="587"/>
      <c r="AW20" s="695"/>
      <c r="AX20" s="587"/>
      <c r="AY20" s="695"/>
      <c r="AZ20" s="587"/>
      <c r="BA20" s="695"/>
      <c r="BB20" s="589"/>
      <c r="BC20" s="562"/>
      <c r="BD20" s="552"/>
      <c r="BE20" s="700"/>
      <c r="BF20" s="691"/>
      <c r="BG20" s="583"/>
      <c r="BH20" s="692"/>
      <c r="BI20" s="693"/>
      <c r="BJ20" s="694"/>
      <c r="BK20" s="587"/>
      <c r="BL20" s="695"/>
      <c r="BM20" s="587"/>
      <c r="BN20" s="695"/>
      <c r="BO20" s="587"/>
      <c r="BP20" s="695"/>
      <c r="BQ20" s="587"/>
      <c r="BR20" s="695"/>
      <c r="BS20" s="587"/>
      <c r="BT20" s="695"/>
      <c r="BU20" s="587"/>
      <c r="BV20" s="695"/>
      <c r="BW20" s="587"/>
      <c r="BX20" s="695"/>
      <c r="BY20" s="587"/>
      <c r="BZ20" s="695"/>
      <c r="CA20" s="587"/>
      <c r="CB20" s="695"/>
      <c r="CC20" s="587"/>
      <c r="CD20" s="695"/>
      <c r="CE20" s="587"/>
      <c r="CF20" s="695"/>
      <c r="CG20" s="587"/>
      <c r="CH20" s="695"/>
      <c r="CI20" s="587"/>
      <c r="CJ20" s="695"/>
      <c r="CK20" s="587"/>
      <c r="CL20" s="695"/>
      <c r="CM20" s="587"/>
      <c r="CN20" s="695"/>
      <c r="CO20" s="587"/>
      <c r="CP20" s="695"/>
      <c r="CQ20" s="587"/>
      <c r="CR20" s="695"/>
      <c r="CS20" s="587"/>
      <c r="CT20" s="695"/>
      <c r="CU20" s="587"/>
      <c r="CV20" s="695"/>
      <c r="CW20" s="587"/>
      <c r="CX20" s="695"/>
      <c r="CY20" s="587"/>
      <c r="CZ20" s="695"/>
      <c r="DA20" s="587"/>
      <c r="DB20" s="695"/>
      <c r="DC20" s="587"/>
      <c r="DD20" s="695"/>
      <c r="DE20" s="589"/>
      <c r="DF20" s="562"/>
      <c r="DG20" s="552"/>
      <c r="DH20" s="700"/>
      <c r="DI20" s="691"/>
      <c r="DJ20" s="583"/>
      <c r="DK20" s="692"/>
      <c r="DL20" s="693"/>
      <c r="DM20" s="694"/>
      <c r="DN20" s="587"/>
      <c r="DO20" s="695"/>
      <c r="DP20" s="587"/>
      <c r="DQ20" s="695"/>
      <c r="DR20" s="587"/>
      <c r="DS20" s="695"/>
      <c r="DT20" s="587"/>
      <c r="DU20" s="695"/>
      <c r="DV20" s="587"/>
      <c r="DW20" s="695"/>
      <c r="DX20" s="587"/>
      <c r="DY20" s="695"/>
      <c r="DZ20" s="587"/>
      <c r="EA20" s="695"/>
      <c r="EB20" s="587"/>
      <c r="EC20" s="695"/>
      <c r="ED20" s="587"/>
      <c r="EE20" s="695"/>
      <c r="EF20" s="587"/>
      <c r="EG20" s="695"/>
      <c r="EH20" s="587"/>
      <c r="EI20" s="695"/>
      <c r="EJ20" s="587"/>
      <c r="EK20" s="695"/>
      <c r="EL20" s="587"/>
      <c r="EM20" s="695"/>
      <c r="EN20" s="587"/>
      <c r="EO20" s="695"/>
      <c r="EP20" s="587"/>
      <c r="EQ20" s="695"/>
      <c r="ER20" s="587"/>
      <c r="ES20" s="695"/>
      <c r="ET20" s="587"/>
      <c r="EU20" s="695"/>
      <c r="EV20" s="587"/>
      <c r="EW20" s="695"/>
      <c r="EX20" s="587"/>
      <c r="EY20" s="695"/>
      <c r="EZ20" s="587"/>
      <c r="FA20" s="695"/>
      <c r="FB20" s="587"/>
      <c r="FC20" s="695"/>
      <c r="FD20" s="587"/>
      <c r="FE20" s="695"/>
      <c r="FF20" s="587"/>
      <c r="FG20" s="695"/>
      <c r="FH20" s="589"/>
      <c r="FI20" s="563"/>
      <c r="FJ20" s="564"/>
      <c r="FK20" s="700"/>
      <c r="FL20" s="691"/>
      <c r="FM20" s="583"/>
      <c r="FN20" s="692"/>
      <c r="FO20" s="693"/>
      <c r="FP20" s="696"/>
      <c r="FQ20" s="697"/>
      <c r="FR20" s="587"/>
      <c r="FS20" s="698"/>
      <c r="FT20" s="697"/>
      <c r="FU20" s="592"/>
      <c r="FV20" s="593"/>
      <c r="FW20" s="594"/>
      <c r="FX20" s="595"/>
      <c r="FY20" s="596"/>
      <c r="FZ20" s="597"/>
      <c r="GA20" s="598"/>
      <c r="GB20" s="599"/>
      <c r="GC20" s="600"/>
      <c r="GD20" s="599"/>
      <c r="GE20" s="601"/>
      <c r="GF20" s="688"/>
      <c r="GG20" s="602"/>
      <c r="GH20" s="602"/>
      <c r="GI20" s="602"/>
      <c r="GJ20" s="500"/>
      <c r="GK20" s="1339"/>
      <c r="GL20" s="1339"/>
      <c r="GM20" s="1334"/>
      <c r="GN20" s="579"/>
      <c r="GO20" s="578"/>
      <c r="GP20" s="500"/>
      <c r="GQ20" s="500"/>
      <c r="GR20" s="500"/>
      <c r="GS20" s="413"/>
      <c r="GT20" s="1345"/>
      <c r="GU20" s="1339"/>
      <c r="GV20" s="1339"/>
      <c r="GW20" s="1334"/>
      <c r="GX20" s="579"/>
      <c r="GY20" s="579"/>
      <c r="GZ20" s="578"/>
      <c r="HA20" s="500"/>
      <c r="HB20" s="500"/>
      <c r="HC20" s="409"/>
      <c r="HD20" s="562"/>
      <c r="HE20" s="415"/>
      <c r="HF20" s="415"/>
      <c r="HG20" s="415"/>
    </row>
    <row r="21" spans="1:218" ht="20.100000000000001" customHeight="1">
      <c r="A21" s="552"/>
      <c r="B21" s="700"/>
      <c r="C21" s="691"/>
      <c r="D21" s="583"/>
      <c r="E21" s="692"/>
      <c r="F21" s="693"/>
      <c r="G21" s="694"/>
      <c r="H21" s="587"/>
      <c r="I21" s="695"/>
      <c r="J21" s="587"/>
      <c r="K21" s="695"/>
      <c r="L21" s="587"/>
      <c r="M21" s="695"/>
      <c r="N21" s="587"/>
      <c r="O21" s="695"/>
      <c r="P21" s="587"/>
      <c r="Q21" s="695"/>
      <c r="R21" s="587"/>
      <c r="S21" s="695"/>
      <c r="T21" s="587"/>
      <c r="U21" s="695"/>
      <c r="V21" s="587"/>
      <c r="W21" s="695"/>
      <c r="X21" s="587"/>
      <c r="Y21" s="695"/>
      <c r="Z21" s="587"/>
      <c r="AA21" s="695"/>
      <c r="AB21" s="587"/>
      <c r="AC21" s="695"/>
      <c r="AD21" s="587"/>
      <c r="AE21" s="695"/>
      <c r="AF21" s="587"/>
      <c r="AG21" s="695"/>
      <c r="AH21" s="587"/>
      <c r="AI21" s="695"/>
      <c r="AJ21" s="587"/>
      <c r="AK21" s="695"/>
      <c r="AL21" s="587"/>
      <c r="AM21" s="695"/>
      <c r="AN21" s="587"/>
      <c r="AO21" s="695"/>
      <c r="AP21" s="587"/>
      <c r="AQ21" s="695"/>
      <c r="AR21" s="587"/>
      <c r="AS21" s="695"/>
      <c r="AT21" s="587"/>
      <c r="AU21" s="695"/>
      <c r="AV21" s="587"/>
      <c r="AW21" s="695"/>
      <c r="AX21" s="587"/>
      <c r="AY21" s="695"/>
      <c r="AZ21" s="587"/>
      <c r="BA21" s="695"/>
      <c r="BB21" s="589"/>
      <c r="BC21" s="562"/>
      <c r="BD21" s="552"/>
      <c r="BE21" s="700"/>
      <c r="BF21" s="691"/>
      <c r="BG21" s="583"/>
      <c r="BH21" s="692"/>
      <c r="BI21" s="693"/>
      <c r="BJ21" s="694"/>
      <c r="BK21" s="587"/>
      <c r="BL21" s="695"/>
      <c r="BM21" s="587"/>
      <c r="BN21" s="695"/>
      <c r="BO21" s="587"/>
      <c r="BP21" s="695"/>
      <c r="BQ21" s="587"/>
      <c r="BR21" s="695"/>
      <c r="BS21" s="587"/>
      <c r="BT21" s="695"/>
      <c r="BU21" s="587"/>
      <c r="BV21" s="695"/>
      <c r="BW21" s="587"/>
      <c r="BX21" s="695"/>
      <c r="BY21" s="587"/>
      <c r="BZ21" s="695"/>
      <c r="CA21" s="587"/>
      <c r="CB21" s="695"/>
      <c r="CC21" s="587"/>
      <c r="CD21" s="695"/>
      <c r="CE21" s="587"/>
      <c r="CF21" s="695"/>
      <c r="CG21" s="587"/>
      <c r="CH21" s="695"/>
      <c r="CI21" s="587"/>
      <c r="CJ21" s="695"/>
      <c r="CK21" s="587"/>
      <c r="CL21" s="695"/>
      <c r="CM21" s="587"/>
      <c r="CN21" s="695"/>
      <c r="CO21" s="587"/>
      <c r="CP21" s="695"/>
      <c r="CQ21" s="587"/>
      <c r="CR21" s="695"/>
      <c r="CS21" s="587"/>
      <c r="CT21" s="695"/>
      <c r="CU21" s="587"/>
      <c r="CV21" s="695"/>
      <c r="CW21" s="587"/>
      <c r="CX21" s="695"/>
      <c r="CY21" s="587"/>
      <c r="CZ21" s="695"/>
      <c r="DA21" s="587"/>
      <c r="DB21" s="695"/>
      <c r="DC21" s="587"/>
      <c r="DD21" s="695"/>
      <c r="DE21" s="589"/>
      <c r="DF21" s="562"/>
      <c r="DG21" s="552"/>
      <c r="DH21" s="700"/>
      <c r="DI21" s="691"/>
      <c r="DJ21" s="583"/>
      <c r="DK21" s="692"/>
      <c r="DL21" s="693"/>
      <c r="DM21" s="694"/>
      <c r="DN21" s="587"/>
      <c r="DO21" s="695"/>
      <c r="DP21" s="587"/>
      <c r="DQ21" s="695"/>
      <c r="DR21" s="587"/>
      <c r="DS21" s="695"/>
      <c r="DT21" s="587"/>
      <c r="DU21" s="695"/>
      <c r="DV21" s="587"/>
      <c r="DW21" s="695"/>
      <c r="DX21" s="587"/>
      <c r="DY21" s="695"/>
      <c r="DZ21" s="587"/>
      <c r="EA21" s="695"/>
      <c r="EB21" s="587"/>
      <c r="EC21" s="695"/>
      <c r="ED21" s="587"/>
      <c r="EE21" s="695"/>
      <c r="EF21" s="587"/>
      <c r="EG21" s="695"/>
      <c r="EH21" s="587"/>
      <c r="EI21" s="695"/>
      <c r="EJ21" s="587"/>
      <c r="EK21" s="695"/>
      <c r="EL21" s="587"/>
      <c r="EM21" s="695"/>
      <c r="EN21" s="587"/>
      <c r="EO21" s="695"/>
      <c r="EP21" s="587"/>
      <c r="EQ21" s="695"/>
      <c r="ER21" s="587"/>
      <c r="ES21" s="695"/>
      <c r="ET21" s="587"/>
      <c r="EU21" s="695"/>
      <c r="EV21" s="587"/>
      <c r="EW21" s="695"/>
      <c r="EX21" s="587"/>
      <c r="EY21" s="695"/>
      <c r="EZ21" s="587"/>
      <c r="FA21" s="695"/>
      <c r="FB21" s="587"/>
      <c r="FC21" s="695"/>
      <c r="FD21" s="587"/>
      <c r="FE21" s="695"/>
      <c r="FF21" s="587"/>
      <c r="FG21" s="695"/>
      <c r="FH21" s="589"/>
      <c r="FI21" s="563"/>
      <c r="FJ21" s="564"/>
      <c r="FK21" s="700"/>
      <c r="FL21" s="691"/>
      <c r="FM21" s="583"/>
      <c r="FN21" s="692"/>
      <c r="FO21" s="693"/>
      <c r="FP21" s="696"/>
      <c r="FQ21" s="697"/>
      <c r="FR21" s="587"/>
      <c r="FS21" s="698"/>
      <c r="FT21" s="697"/>
      <c r="FU21" s="592"/>
      <c r="FV21" s="593"/>
      <c r="FW21" s="594"/>
      <c r="FX21" s="595"/>
      <c r="FY21" s="596"/>
      <c r="FZ21" s="597"/>
      <c r="GA21" s="598"/>
      <c r="GB21" s="599"/>
      <c r="GC21" s="600"/>
      <c r="GD21" s="599"/>
      <c r="GE21" s="601"/>
      <c r="GF21" s="688"/>
      <c r="GG21" s="602"/>
      <c r="GH21" s="602"/>
      <c r="GI21" s="602"/>
      <c r="GJ21" s="500"/>
      <c r="GK21" s="1340"/>
      <c r="GL21" s="1340"/>
      <c r="GM21" s="1340"/>
      <c r="GN21" s="578"/>
      <c r="GO21" s="578"/>
      <c r="GP21" s="500"/>
      <c r="GQ21" s="500"/>
      <c r="GR21" s="500"/>
      <c r="GS21" s="578"/>
      <c r="GT21" s="1342"/>
      <c r="GU21" s="1340"/>
      <c r="GV21" s="1340"/>
      <c r="GW21" s="1340"/>
      <c r="GX21" s="578"/>
      <c r="GY21" s="578"/>
      <c r="GZ21" s="578"/>
      <c r="HA21" s="500"/>
      <c r="HB21" s="500"/>
      <c r="HC21" s="710"/>
      <c r="HD21" s="562"/>
      <c r="HE21" s="615"/>
      <c r="HF21" s="615"/>
      <c r="HG21" s="415"/>
    </row>
    <row r="22" spans="1:218" ht="20.100000000000001" customHeight="1">
      <c r="A22" s="552"/>
      <c r="B22" s="700"/>
      <c r="C22" s="691"/>
      <c r="D22" s="583"/>
      <c r="E22" s="692"/>
      <c r="F22" s="693"/>
      <c r="G22" s="694"/>
      <c r="H22" s="587"/>
      <c r="I22" s="695"/>
      <c r="J22" s="587"/>
      <c r="K22" s="695"/>
      <c r="L22" s="587"/>
      <c r="M22" s="695"/>
      <c r="N22" s="587"/>
      <c r="O22" s="695"/>
      <c r="P22" s="587"/>
      <c r="Q22" s="695"/>
      <c r="R22" s="587"/>
      <c r="S22" s="695"/>
      <c r="T22" s="587"/>
      <c r="U22" s="695"/>
      <c r="V22" s="587"/>
      <c r="W22" s="695"/>
      <c r="X22" s="587"/>
      <c r="Y22" s="695"/>
      <c r="Z22" s="587"/>
      <c r="AA22" s="695"/>
      <c r="AB22" s="587"/>
      <c r="AC22" s="695"/>
      <c r="AD22" s="587"/>
      <c r="AE22" s="695"/>
      <c r="AF22" s="587"/>
      <c r="AG22" s="695"/>
      <c r="AH22" s="587"/>
      <c r="AI22" s="695"/>
      <c r="AJ22" s="587"/>
      <c r="AK22" s="695"/>
      <c r="AL22" s="587"/>
      <c r="AM22" s="695"/>
      <c r="AN22" s="587"/>
      <c r="AO22" s="695"/>
      <c r="AP22" s="587"/>
      <c r="AQ22" s="695"/>
      <c r="AR22" s="587"/>
      <c r="AS22" s="695"/>
      <c r="AT22" s="587"/>
      <c r="AU22" s="695"/>
      <c r="AV22" s="587"/>
      <c r="AW22" s="695"/>
      <c r="AX22" s="587"/>
      <c r="AY22" s="695"/>
      <c r="AZ22" s="587"/>
      <c r="BA22" s="695"/>
      <c r="BB22" s="589"/>
      <c r="BC22" s="562"/>
      <c r="BD22" s="552"/>
      <c r="BE22" s="700"/>
      <c r="BF22" s="691"/>
      <c r="BG22" s="583"/>
      <c r="BH22" s="692"/>
      <c r="BI22" s="693"/>
      <c r="BJ22" s="694"/>
      <c r="BK22" s="587"/>
      <c r="BL22" s="695"/>
      <c r="BM22" s="587"/>
      <c r="BN22" s="695"/>
      <c r="BO22" s="587"/>
      <c r="BP22" s="695"/>
      <c r="BQ22" s="587"/>
      <c r="BR22" s="695"/>
      <c r="BS22" s="587"/>
      <c r="BT22" s="695"/>
      <c r="BU22" s="587"/>
      <c r="BV22" s="695"/>
      <c r="BW22" s="587"/>
      <c r="BX22" s="695"/>
      <c r="BY22" s="587"/>
      <c r="BZ22" s="695"/>
      <c r="CA22" s="587"/>
      <c r="CB22" s="695"/>
      <c r="CC22" s="587"/>
      <c r="CD22" s="695"/>
      <c r="CE22" s="587"/>
      <c r="CF22" s="695"/>
      <c r="CG22" s="587"/>
      <c r="CH22" s="695"/>
      <c r="CI22" s="587"/>
      <c r="CJ22" s="695"/>
      <c r="CK22" s="587"/>
      <c r="CL22" s="695"/>
      <c r="CM22" s="587"/>
      <c r="CN22" s="695"/>
      <c r="CO22" s="587"/>
      <c r="CP22" s="695"/>
      <c r="CQ22" s="587"/>
      <c r="CR22" s="695"/>
      <c r="CS22" s="587"/>
      <c r="CT22" s="695"/>
      <c r="CU22" s="587"/>
      <c r="CV22" s="695"/>
      <c r="CW22" s="587"/>
      <c r="CX22" s="695"/>
      <c r="CY22" s="587"/>
      <c r="CZ22" s="695"/>
      <c r="DA22" s="587"/>
      <c r="DB22" s="695"/>
      <c r="DC22" s="587"/>
      <c r="DD22" s="695"/>
      <c r="DE22" s="589"/>
      <c r="DF22" s="562"/>
      <c r="DG22" s="552"/>
      <c r="DH22" s="700"/>
      <c r="DI22" s="691"/>
      <c r="DJ22" s="583"/>
      <c r="DK22" s="692"/>
      <c r="DL22" s="693"/>
      <c r="DM22" s="694"/>
      <c r="DN22" s="587"/>
      <c r="DO22" s="695"/>
      <c r="DP22" s="587"/>
      <c r="DQ22" s="695"/>
      <c r="DR22" s="587"/>
      <c r="DS22" s="695"/>
      <c r="DT22" s="587"/>
      <c r="DU22" s="695"/>
      <c r="DV22" s="587"/>
      <c r="DW22" s="695"/>
      <c r="DX22" s="587"/>
      <c r="DY22" s="695"/>
      <c r="DZ22" s="587"/>
      <c r="EA22" s="695"/>
      <c r="EB22" s="587"/>
      <c r="EC22" s="695"/>
      <c r="ED22" s="587"/>
      <c r="EE22" s="695"/>
      <c r="EF22" s="587"/>
      <c r="EG22" s="695"/>
      <c r="EH22" s="587"/>
      <c r="EI22" s="695"/>
      <c r="EJ22" s="587"/>
      <c r="EK22" s="695"/>
      <c r="EL22" s="587"/>
      <c r="EM22" s="695"/>
      <c r="EN22" s="587"/>
      <c r="EO22" s="695"/>
      <c r="EP22" s="587"/>
      <c r="EQ22" s="695"/>
      <c r="ER22" s="587"/>
      <c r="ES22" s="695"/>
      <c r="ET22" s="587"/>
      <c r="EU22" s="695"/>
      <c r="EV22" s="587"/>
      <c r="EW22" s="695"/>
      <c r="EX22" s="587"/>
      <c r="EY22" s="695"/>
      <c r="EZ22" s="587"/>
      <c r="FA22" s="695"/>
      <c r="FB22" s="587"/>
      <c r="FC22" s="695"/>
      <c r="FD22" s="587"/>
      <c r="FE22" s="695"/>
      <c r="FF22" s="587"/>
      <c r="FG22" s="695"/>
      <c r="FH22" s="589"/>
      <c r="FI22" s="563"/>
      <c r="FJ22" s="564"/>
      <c r="FK22" s="700"/>
      <c r="FL22" s="691"/>
      <c r="FM22" s="583"/>
      <c r="FN22" s="692"/>
      <c r="FO22" s="693"/>
      <c r="FP22" s="696"/>
      <c r="FQ22" s="697"/>
      <c r="FR22" s="587"/>
      <c r="FS22" s="698"/>
      <c r="FT22" s="697"/>
      <c r="FU22" s="592"/>
      <c r="FV22" s="593"/>
      <c r="FW22" s="594"/>
      <c r="FX22" s="595"/>
      <c r="FY22" s="596"/>
      <c r="FZ22" s="597"/>
      <c r="GA22" s="598"/>
      <c r="GB22" s="599"/>
      <c r="GC22" s="600"/>
      <c r="GD22" s="599"/>
      <c r="GE22" s="601"/>
      <c r="GF22" s="688"/>
      <c r="GG22" s="602"/>
      <c r="GH22" s="602"/>
      <c r="GI22" s="602"/>
      <c r="GJ22" s="578"/>
      <c r="GK22" s="1337"/>
      <c r="GL22" s="1337"/>
      <c r="GM22" s="1337"/>
      <c r="GN22" s="1337"/>
      <c r="GO22" s="500"/>
      <c r="GP22" s="500"/>
      <c r="GQ22" s="1337"/>
      <c r="GR22" s="500"/>
      <c r="GS22" s="578"/>
      <c r="GT22" s="1342"/>
      <c r="GU22" s="1337"/>
      <c r="GV22" s="1337"/>
      <c r="GW22" s="1337"/>
      <c r="GX22" s="1337"/>
      <c r="GY22" s="1337"/>
      <c r="GZ22" s="500"/>
      <c r="HA22" s="1339"/>
      <c r="HB22" s="1339"/>
      <c r="HC22" s="413"/>
      <c r="HD22" s="562"/>
      <c r="HE22" s="415"/>
      <c r="HF22" s="415"/>
      <c r="HG22" s="415"/>
    </row>
    <row r="23" spans="1:218" ht="20.100000000000001" customHeight="1">
      <c r="A23" s="552"/>
      <c r="B23" s="700"/>
      <c r="C23" s="691"/>
      <c r="D23" s="583"/>
      <c r="E23" s="692"/>
      <c r="F23" s="693"/>
      <c r="G23" s="694"/>
      <c r="H23" s="587"/>
      <c r="I23" s="695"/>
      <c r="J23" s="587"/>
      <c r="K23" s="695"/>
      <c r="L23" s="587"/>
      <c r="M23" s="695"/>
      <c r="N23" s="587"/>
      <c r="O23" s="695"/>
      <c r="P23" s="587"/>
      <c r="Q23" s="695"/>
      <c r="R23" s="587"/>
      <c r="S23" s="695"/>
      <c r="T23" s="587"/>
      <c r="U23" s="695"/>
      <c r="V23" s="587"/>
      <c r="W23" s="695"/>
      <c r="X23" s="587"/>
      <c r="Y23" s="695"/>
      <c r="Z23" s="587"/>
      <c r="AA23" s="695"/>
      <c r="AB23" s="587"/>
      <c r="AC23" s="695"/>
      <c r="AD23" s="587"/>
      <c r="AE23" s="695"/>
      <c r="AF23" s="587"/>
      <c r="AG23" s="695"/>
      <c r="AH23" s="587"/>
      <c r="AI23" s="695"/>
      <c r="AJ23" s="587"/>
      <c r="AK23" s="695"/>
      <c r="AL23" s="587"/>
      <c r="AM23" s="695"/>
      <c r="AN23" s="587"/>
      <c r="AO23" s="695"/>
      <c r="AP23" s="587"/>
      <c r="AQ23" s="695"/>
      <c r="AR23" s="587"/>
      <c r="AS23" s="695"/>
      <c r="AT23" s="587"/>
      <c r="AU23" s="695"/>
      <c r="AV23" s="587"/>
      <c r="AW23" s="695"/>
      <c r="AX23" s="587"/>
      <c r="AY23" s="695"/>
      <c r="AZ23" s="587"/>
      <c r="BA23" s="695"/>
      <c r="BB23" s="589"/>
      <c r="BC23" s="562"/>
      <c r="BD23" s="552"/>
      <c r="BE23" s="700"/>
      <c r="BF23" s="691"/>
      <c r="BG23" s="583"/>
      <c r="BH23" s="692"/>
      <c r="BI23" s="693"/>
      <c r="BJ23" s="694"/>
      <c r="BK23" s="587"/>
      <c r="BL23" s="695"/>
      <c r="BM23" s="587"/>
      <c r="BN23" s="695"/>
      <c r="BO23" s="587"/>
      <c r="BP23" s="695"/>
      <c r="BQ23" s="587"/>
      <c r="BR23" s="695"/>
      <c r="BS23" s="587"/>
      <c r="BT23" s="695"/>
      <c r="BU23" s="587"/>
      <c r="BV23" s="695"/>
      <c r="BW23" s="587"/>
      <c r="BX23" s="695"/>
      <c r="BY23" s="587"/>
      <c r="BZ23" s="695"/>
      <c r="CA23" s="587"/>
      <c r="CB23" s="695"/>
      <c r="CC23" s="587"/>
      <c r="CD23" s="695"/>
      <c r="CE23" s="587"/>
      <c r="CF23" s="695"/>
      <c r="CG23" s="587"/>
      <c r="CH23" s="695"/>
      <c r="CI23" s="587"/>
      <c r="CJ23" s="695"/>
      <c r="CK23" s="587"/>
      <c r="CL23" s="695"/>
      <c r="CM23" s="587"/>
      <c r="CN23" s="695"/>
      <c r="CO23" s="587"/>
      <c r="CP23" s="695"/>
      <c r="CQ23" s="587"/>
      <c r="CR23" s="695"/>
      <c r="CS23" s="587"/>
      <c r="CT23" s="695"/>
      <c r="CU23" s="587"/>
      <c r="CV23" s="695"/>
      <c r="CW23" s="587"/>
      <c r="CX23" s="695"/>
      <c r="CY23" s="587"/>
      <c r="CZ23" s="695"/>
      <c r="DA23" s="587"/>
      <c r="DB23" s="695"/>
      <c r="DC23" s="587"/>
      <c r="DD23" s="695"/>
      <c r="DE23" s="589"/>
      <c r="DF23" s="562"/>
      <c r="DG23" s="552"/>
      <c r="DH23" s="700"/>
      <c r="DI23" s="691"/>
      <c r="DJ23" s="583"/>
      <c r="DK23" s="692"/>
      <c r="DL23" s="693"/>
      <c r="DM23" s="694"/>
      <c r="DN23" s="587"/>
      <c r="DO23" s="695"/>
      <c r="DP23" s="587"/>
      <c r="DQ23" s="695"/>
      <c r="DR23" s="587"/>
      <c r="DS23" s="695"/>
      <c r="DT23" s="587"/>
      <c r="DU23" s="695"/>
      <c r="DV23" s="587"/>
      <c r="DW23" s="695"/>
      <c r="DX23" s="587"/>
      <c r="DY23" s="695"/>
      <c r="DZ23" s="587"/>
      <c r="EA23" s="695"/>
      <c r="EB23" s="587"/>
      <c r="EC23" s="695"/>
      <c r="ED23" s="587"/>
      <c r="EE23" s="695"/>
      <c r="EF23" s="587"/>
      <c r="EG23" s="695"/>
      <c r="EH23" s="587"/>
      <c r="EI23" s="695"/>
      <c r="EJ23" s="587"/>
      <c r="EK23" s="695"/>
      <c r="EL23" s="587"/>
      <c r="EM23" s="695"/>
      <c r="EN23" s="587"/>
      <c r="EO23" s="695"/>
      <c r="EP23" s="587"/>
      <c r="EQ23" s="695"/>
      <c r="ER23" s="587"/>
      <c r="ES23" s="695"/>
      <c r="ET23" s="587"/>
      <c r="EU23" s="695"/>
      <c r="EV23" s="587"/>
      <c r="EW23" s="695"/>
      <c r="EX23" s="587"/>
      <c r="EY23" s="695"/>
      <c r="EZ23" s="587"/>
      <c r="FA23" s="695"/>
      <c r="FB23" s="587"/>
      <c r="FC23" s="695"/>
      <c r="FD23" s="587"/>
      <c r="FE23" s="695"/>
      <c r="FF23" s="587"/>
      <c r="FG23" s="695"/>
      <c r="FH23" s="589"/>
      <c r="FI23" s="563"/>
      <c r="FJ23" s="564"/>
      <c r="FK23" s="700"/>
      <c r="FL23" s="691"/>
      <c r="FM23" s="583"/>
      <c r="FN23" s="692"/>
      <c r="FO23" s="693"/>
      <c r="FP23" s="696"/>
      <c r="FQ23" s="697"/>
      <c r="FR23" s="587"/>
      <c r="FS23" s="698"/>
      <c r="FT23" s="697"/>
      <c r="FU23" s="592"/>
      <c r="FV23" s="593"/>
      <c r="FW23" s="594"/>
      <c r="FX23" s="595"/>
      <c r="FY23" s="596"/>
      <c r="FZ23" s="597"/>
      <c r="GA23" s="598"/>
      <c r="GB23" s="599"/>
      <c r="GC23" s="600"/>
      <c r="GD23" s="599"/>
      <c r="GE23" s="601"/>
      <c r="GF23" s="688"/>
      <c r="GG23" s="602"/>
      <c r="GH23" s="602"/>
      <c r="GI23" s="602"/>
      <c r="GJ23" s="579"/>
      <c r="GK23" s="578"/>
      <c r="GL23" s="1337"/>
      <c r="GM23" s="1337"/>
      <c r="GN23" s="500"/>
      <c r="GO23" s="500"/>
      <c r="GP23" s="500"/>
      <c r="GQ23" s="1337"/>
      <c r="GR23" s="579"/>
      <c r="GS23" s="578"/>
      <c r="GT23" s="1342"/>
      <c r="GU23" s="1337"/>
      <c r="GV23" s="578"/>
      <c r="GW23" s="1337"/>
      <c r="GX23" s="1337"/>
      <c r="GY23" s="500"/>
      <c r="GZ23" s="1346"/>
      <c r="HA23" s="500"/>
      <c r="HB23" s="1346"/>
      <c r="HC23" s="615"/>
      <c r="HD23" s="562"/>
      <c r="HE23" s="413"/>
      <c r="HF23" s="413"/>
      <c r="HG23" s="415"/>
    </row>
    <row r="24" spans="1:218" ht="20.100000000000001" customHeight="1">
      <c r="A24" s="552"/>
      <c r="B24" s="700"/>
      <c r="C24" s="691"/>
      <c r="D24" s="583"/>
      <c r="E24" s="692"/>
      <c r="F24" s="693"/>
      <c r="G24" s="694"/>
      <c r="H24" s="587"/>
      <c r="I24" s="695"/>
      <c r="J24" s="587"/>
      <c r="K24" s="695"/>
      <c r="L24" s="587"/>
      <c r="M24" s="695"/>
      <c r="N24" s="587"/>
      <c r="O24" s="695"/>
      <c r="P24" s="587"/>
      <c r="Q24" s="695"/>
      <c r="R24" s="587"/>
      <c r="S24" s="695"/>
      <c r="T24" s="587"/>
      <c r="U24" s="695"/>
      <c r="V24" s="587"/>
      <c r="W24" s="695"/>
      <c r="X24" s="587"/>
      <c r="Y24" s="695"/>
      <c r="Z24" s="587"/>
      <c r="AA24" s="695"/>
      <c r="AB24" s="587"/>
      <c r="AC24" s="695"/>
      <c r="AD24" s="587"/>
      <c r="AE24" s="695"/>
      <c r="AF24" s="587"/>
      <c r="AG24" s="695"/>
      <c r="AH24" s="587"/>
      <c r="AI24" s="695"/>
      <c r="AJ24" s="587"/>
      <c r="AK24" s="695"/>
      <c r="AL24" s="587"/>
      <c r="AM24" s="695"/>
      <c r="AN24" s="587"/>
      <c r="AO24" s="695"/>
      <c r="AP24" s="587"/>
      <c r="AQ24" s="695"/>
      <c r="AR24" s="587"/>
      <c r="AS24" s="695"/>
      <c r="AT24" s="587"/>
      <c r="AU24" s="695"/>
      <c r="AV24" s="587"/>
      <c r="AW24" s="695"/>
      <c r="AX24" s="587"/>
      <c r="AY24" s="695"/>
      <c r="AZ24" s="587"/>
      <c r="BA24" s="695"/>
      <c r="BB24" s="589"/>
      <c r="BC24" s="562"/>
      <c r="BD24" s="552"/>
      <c r="BE24" s="700"/>
      <c r="BF24" s="691"/>
      <c r="BG24" s="583"/>
      <c r="BH24" s="692"/>
      <c r="BI24" s="693"/>
      <c r="BJ24" s="694"/>
      <c r="BK24" s="587"/>
      <c r="BL24" s="695"/>
      <c r="BM24" s="587"/>
      <c r="BN24" s="695"/>
      <c r="BO24" s="587"/>
      <c r="BP24" s="695"/>
      <c r="BQ24" s="587"/>
      <c r="BR24" s="695"/>
      <c r="BS24" s="587"/>
      <c r="BT24" s="695"/>
      <c r="BU24" s="587"/>
      <c r="BV24" s="695"/>
      <c r="BW24" s="587"/>
      <c r="BX24" s="695"/>
      <c r="BY24" s="587"/>
      <c r="BZ24" s="695"/>
      <c r="CA24" s="587"/>
      <c r="CB24" s="695"/>
      <c r="CC24" s="587"/>
      <c r="CD24" s="695"/>
      <c r="CE24" s="587"/>
      <c r="CF24" s="695"/>
      <c r="CG24" s="587"/>
      <c r="CH24" s="695"/>
      <c r="CI24" s="587"/>
      <c r="CJ24" s="695"/>
      <c r="CK24" s="587"/>
      <c r="CL24" s="695"/>
      <c r="CM24" s="587"/>
      <c r="CN24" s="695"/>
      <c r="CO24" s="587"/>
      <c r="CP24" s="695"/>
      <c r="CQ24" s="587"/>
      <c r="CR24" s="695"/>
      <c r="CS24" s="587"/>
      <c r="CT24" s="695"/>
      <c r="CU24" s="587"/>
      <c r="CV24" s="695"/>
      <c r="CW24" s="587"/>
      <c r="CX24" s="695"/>
      <c r="CY24" s="587"/>
      <c r="CZ24" s="695"/>
      <c r="DA24" s="587"/>
      <c r="DB24" s="695"/>
      <c r="DC24" s="587"/>
      <c r="DD24" s="695"/>
      <c r="DE24" s="589"/>
      <c r="DF24" s="562"/>
      <c r="DG24" s="552"/>
      <c r="DH24" s="700"/>
      <c r="DI24" s="691"/>
      <c r="DJ24" s="583"/>
      <c r="DK24" s="692"/>
      <c r="DL24" s="693"/>
      <c r="DM24" s="694"/>
      <c r="DN24" s="587"/>
      <c r="DO24" s="695"/>
      <c r="DP24" s="587"/>
      <c r="DQ24" s="695"/>
      <c r="DR24" s="587"/>
      <c r="DS24" s="695"/>
      <c r="DT24" s="587"/>
      <c r="DU24" s="695"/>
      <c r="DV24" s="587"/>
      <c r="DW24" s="695"/>
      <c r="DX24" s="587"/>
      <c r="DY24" s="695"/>
      <c r="DZ24" s="587"/>
      <c r="EA24" s="695"/>
      <c r="EB24" s="587"/>
      <c r="EC24" s="695"/>
      <c r="ED24" s="587"/>
      <c r="EE24" s="695"/>
      <c r="EF24" s="587"/>
      <c r="EG24" s="695"/>
      <c r="EH24" s="587"/>
      <c r="EI24" s="695"/>
      <c r="EJ24" s="587"/>
      <c r="EK24" s="695"/>
      <c r="EL24" s="587"/>
      <c r="EM24" s="695"/>
      <c r="EN24" s="587"/>
      <c r="EO24" s="695"/>
      <c r="EP24" s="587"/>
      <c r="EQ24" s="695"/>
      <c r="ER24" s="587"/>
      <c r="ES24" s="695"/>
      <c r="ET24" s="587"/>
      <c r="EU24" s="695"/>
      <c r="EV24" s="587"/>
      <c r="EW24" s="695"/>
      <c r="EX24" s="587"/>
      <c r="EY24" s="695"/>
      <c r="EZ24" s="587"/>
      <c r="FA24" s="695"/>
      <c r="FB24" s="587"/>
      <c r="FC24" s="695"/>
      <c r="FD24" s="587"/>
      <c r="FE24" s="695"/>
      <c r="FF24" s="587"/>
      <c r="FG24" s="695"/>
      <c r="FH24" s="589"/>
      <c r="FI24" s="563"/>
      <c r="FJ24" s="564"/>
      <c r="FK24" s="700"/>
      <c r="FL24" s="691"/>
      <c r="FM24" s="583"/>
      <c r="FN24" s="692"/>
      <c r="FO24" s="693"/>
      <c r="FP24" s="696"/>
      <c r="FQ24" s="697"/>
      <c r="FR24" s="587"/>
      <c r="FS24" s="698"/>
      <c r="FT24" s="697"/>
      <c r="FU24" s="592"/>
      <c r="FV24" s="593"/>
      <c r="FW24" s="594"/>
      <c r="FX24" s="595"/>
      <c r="FY24" s="596"/>
      <c r="FZ24" s="597"/>
      <c r="GA24" s="598"/>
      <c r="GB24" s="599"/>
      <c r="GC24" s="600"/>
      <c r="GD24" s="599"/>
      <c r="GE24" s="601"/>
      <c r="GF24" s="688"/>
      <c r="GG24" s="602"/>
      <c r="GH24" s="602"/>
      <c r="GI24" s="602"/>
      <c r="GJ24" s="579"/>
      <c r="GK24" s="578"/>
      <c r="GL24" s="1337"/>
      <c r="GM24" s="1337"/>
      <c r="GN24" s="500"/>
      <c r="GO24" s="500"/>
      <c r="GP24" s="500"/>
      <c r="GQ24" s="1337"/>
      <c r="GR24" s="579"/>
      <c r="GS24" s="609"/>
      <c r="GT24" s="1342"/>
      <c r="GU24" s="578"/>
      <c r="GV24" s="1337"/>
      <c r="GW24" s="1337"/>
      <c r="GX24" s="500"/>
      <c r="GY24" s="500"/>
      <c r="GZ24" s="578"/>
      <c r="HA24" s="578"/>
      <c r="HB24" s="578"/>
      <c r="HC24" s="615"/>
      <c r="HD24" s="562"/>
      <c r="HE24" s="723"/>
      <c r="HF24" s="415"/>
      <c r="HG24" s="530"/>
      <c r="HH24" s="562"/>
      <c r="HI24" s="415"/>
      <c r="HJ24" s="415"/>
    </row>
    <row r="25" spans="1:218" ht="20.100000000000001" customHeight="1">
      <c r="A25" s="552"/>
      <c r="B25" s="724"/>
      <c r="C25" s="725"/>
      <c r="D25" s="618"/>
      <c r="E25" s="726"/>
      <c r="F25" s="727"/>
      <c r="G25" s="728"/>
      <c r="H25" s="622"/>
      <c r="I25" s="729"/>
      <c r="J25" s="622"/>
      <c r="K25" s="729"/>
      <c r="L25" s="622"/>
      <c r="M25" s="729"/>
      <c r="N25" s="622"/>
      <c r="O25" s="729"/>
      <c r="P25" s="622"/>
      <c r="Q25" s="729"/>
      <c r="R25" s="622"/>
      <c r="S25" s="729"/>
      <c r="T25" s="622"/>
      <c r="U25" s="729"/>
      <c r="V25" s="622"/>
      <c r="W25" s="729"/>
      <c r="X25" s="622"/>
      <c r="Y25" s="729"/>
      <c r="Z25" s="622"/>
      <c r="AA25" s="729"/>
      <c r="AB25" s="622"/>
      <c r="AC25" s="729"/>
      <c r="AD25" s="622"/>
      <c r="AE25" s="729"/>
      <c r="AF25" s="622"/>
      <c r="AG25" s="729"/>
      <c r="AH25" s="622"/>
      <c r="AI25" s="729"/>
      <c r="AJ25" s="622"/>
      <c r="AK25" s="729"/>
      <c r="AL25" s="622"/>
      <c r="AM25" s="729"/>
      <c r="AN25" s="622"/>
      <c r="AO25" s="729"/>
      <c r="AP25" s="622"/>
      <c r="AQ25" s="729"/>
      <c r="AR25" s="622"/>
      <c r="AS25" s="729"/>
      <c r="AT25" s="622"/>
      <c r="AU25" s="729"/>
      <c r="AV25" s="622"/>
      <c r="AW25" s="729"/>
      <c r="AX25" s="622"/>
      <c r="AY25" s="729"/>
      <c r="AZ25" s="622"/>
      <c r="BA25" s="729"/>
      <c r="BB25" s="624"/>
      <c r="BC25" s="562"/>
      <c r="BD25" s="552"/>
      <c r="BE25" s="724"/>
      <c r="BF25" s="725"/>
      <c r="BG25" s="618"/>
      <c r="BH25" s="726"/>
      <c r="BI25" s="727"/>
      <c r="BJ25" s="728"/>
      <c r="BK25" s="622"/>
      <c r="BL25" s="729"/>
      <c r="BM25" s="622"/>
      <c r="BN25" s="729"/>
      <c r="BO25" s="622"/>
      <c r="BP25" s="729"/>
      <c r="BQ25" s="622"/>
      <c r="BR25" s="729"/>
      <c r="BS25" s="622"/>
      <c r="BT25" s="729"/>
      <c r="BU25" s="622"/>
      <c r="BV25" s="729"/>
      <c r="BW25" s="622"/>
      <c r="BX25" s="729"/>
      <c r="BY25" s="622"/>
      <c r="BZ25" s="729"/>
      <c r="CA25" s="622"/>
      <c r="CB25" s="729"/>
      <c r="CC25" s="622"/>
      <c r="CD25" s="729"/>
      <c r="CE25" s="622"/>
      <c r="CF25" s="729"/>
      <c r="CG25" s="622"/>
      <c r="CH25" s="729"/>
      <c r="CI25" s="622"/>
      <c r="CJ25" s="729"/>
      <c r="CK25" s="622"/>
      <c r="CL25" s="729"/>
      <c r="CM25" s="622"/>
      <c r="CN25" s="729"/>
      <c r="CO25" s="622"/>
      <c r="CP25" s="729"/>
      <c r="CQ25" s="622"/>
      <c r="CR25" s="729"/>
      <c r="CS25" s="622"/>
      <c r="CT25" s="729"/>
      <c r="CU25" s="622"/>
      <c r="CV25" s="729"/>
      <c r="CW25" s="622"/>
      <c r="CX25" s="729"/>
      <c r="CY25" s="622"/>
      <c r="CZ25" s="729"/>
      <c r="DA25" s="622"/>
      <c r="DB25" s="729"/>
      <c r="DC25" s="622"/>
      <c r="DD25" s="729"/>
      <c r="DE25" s="624"/>
      <c r="DF25" s="562"/>
      <c r="DG25" s="552"/>
      <c r="DH25" s="724"/>
      <c r="DI25" s="725"/>
      <c r="DJ25" s="618"/>
      <c r="DK25" s="726"/>
      <c r="DL25" s="727"/>
      <c r="DM25" s="728"/>
      <c r="DN25" s="622"/>
      <c r="DO25" s="729"/>
      <c r="DP25" s="622"/>
      <c r="DQ25" s="729"/>
      <c r="DR25" s="622"/>
      <c r="DS25" s="729"/>
      <c r="DT25" s="622"/>
      <c r="DU25" s="729"/>
      <c r="DV25" s="622"/>
      <c r="DW25" s="729"/>
      <c r="DX25" s="622"/>
      <c r="DY25" s="729"/>
      <c r="DZ25" s="622"/>
      <c r="EA25" s="729"/>
      <c r="EB25" s="622"/>
      <c r="EC25" s="729"/>
      <c r="ED25" s="622"/>
      <c r="EE25" s="729"/>
      <c r="EF25" s="622"/>
      <c r="EG25" s="729"/>
      <c r="EH25" s="622"/>
      <c r="EI25" s="729"/>
      <c r="EJ25" s="622"/>
      <c r="EK25" s="729"/>
      <c r="EL25" s="622"/>
      <c r="EM25" s="729"/>
      <c r="EN25" s="622"/>
      <c r="EO25" s="729"/>
      <c r="EP25" s="622"/>
      <c r="EQ25" s="729"/>
      <c r="ER25" s="622"/>
      <c r="ES25" s="729"/>
      <c r="ET25" s="622"/>
      <c r="EU25" s="729"/>
      <c r="EV25" s="622"/>
      <c r="EW25" s="729"/>
      <c r="EX25" s="622"/>
      <c r="EY25" s="729"/>
      <c r="EZ25" s="622"/>
      <c r="FA25" s="729"/>
      <c r="FB25" s="622"/>
      <c r="FC25" s="729"/>
      <c r="FD25" s="622"/>
      <c r="FE25" s="729"/>
      <c r="FF25" s="622"/>
      <c r="FG25" s="729"/>
      <c r="FH25" s="624"/>
      <c r="FI25" s="563"/>
      <c r="FJ25" s="564"/>
      <c r="FK25" s="724"/>
      <c r="FL25" s="725"/>
      <c r="FM25" s="618"/>
      <c r="FN25" s="726"/>
      <c r="FO25" s="727"/>
      <c r="FP25" s="730"/>
      <c r="FQ25" s="731"/>
      <c r="FR25" s="622"/>
      <c r="FS25" s="732"/>
      <c r="FT25" s="731"/>
      <c r="FU25" s="627"/>
      <c r="FV25" s="593"/>
      <c r="FW25" s="594"/>
      <c r="FX25" s="595"/>
      <c r="FY25" s="596"/>
      <c r="FZ25" s="597"/>
      <c r="GA25" s="598"/>
      <c r="GB25" s="599"/>
      <c r="GC25" s="600"/>
      <c r="GD25" s="599"/>
      <c r="GE25" s="601"/>
      <c r="GF25" s="688"/>
      <c r="GG25" s="602"/>
      <c r="GH25" s="602"/>
      <c r="GI25" s="602"/>
      <c r="GJ25" s="500"/>
      <c r="GK25" s="1330"/>
      <c r="GL25" s="1330"/>
      <c r="GM25" s="1330"/>
      <c r="GN25" s="1330"/>
      <c r="GO25" s="1330"/>
      <c r="GP25" s="1330"/>
      <c r="GQ25" s="1330"/>
      <c r="GR25" s="1330"/>
      <c r="GS25" s="413"/>
      <c r="GT25" s="1342"/>
      <c r="GU25" s="578"/>
      <c r="GV25" s="1337"/>
      <c r="GW25" s="1337"/>
      <c r="GX25" s="500"/>
      <c r="GY25" s="500"/>
      <c r="GZ25" s="578"/>
      <c r="HA25" s="578"/>
      <c r="HB25" s="578"/>
      <c r="HC25" s="530"/>
      <c r="HD25" s="562"/>
      <c r="HE25" s="562"/>
      <c r="HF25" s="415"/>
      <c r="HG25" s="415"/>
    </row>
    <row r="26" spans="1:218" ht="20.100000000000001" customHeight="1">
      <c r="A26" s="641"/>
      <c r="B26" s="642"/>
      <c r="C26" s="642"/>
      <c r="D26" s="642" t="s">
        <v>1046</v>
      </c>
      <c r="E26" s="642"/>
      <c r="F26" s="642"/>
      <c r="G26" s="644"/>
      <c r="H26" s="645">
        <f>SUM(H16:H25)</f>
        <v>0</v>
      </c>
      <c r="I26" s="734"/>
      <c r="J26" s="645">
        <f>SUM(J16:J25)</f>
        <v>0</v>
      </c>
      <c r="K26" s="735"/>
      <c r="L26" s="645">
        <f>SUM(L16:L25)</f>
        <v>0</v>
      </c>
      <c r="M26" s="735"/>
      <c r="N26" s="645">
        <f>SUM(N16:N25)</f>
        <v>0</v>
      </c>
      <c r="O26" s="735"/>
      <c r="P26" s="645">
        <f>SUM(P16:P25)</f>
        <v>0</v>
      </c>
      <c r="Q26" s="735"/>
      <c r="R26" s="645">
        <f>SUM(R16:R25)</f>
        <v>0</v>
      </c>
      <c r="S26" s="735"/>
      <c r="T26" s="645">
        <f>SUM(T16:T25)</f>
        <v>0</v>
      </c>
      <c r="U26" s="735"/>
      <c r="V26" s="645">
        <f>SUM(V16:V25)</f>
        <v>0</v>
      </c>
      <c r="W26" s="735"/>
      <c r="X26" s="645">
        <f>SUM(X16:X25)</f>
        <v>0</v>
      </c>
      <c r="Y26" s="735"/>
      <c r="Z26" s="645">
        <f>SUM(Z16:Z25)</f>
        <v>0</v>
      </c>
      <c r="AA26" s="735"/>
      <c r="AB26" s="645">
        <f>SUM(AB16:AB25)</f>
        <v>0</v>
      </c>
      <c r="AC26" s="735"/>
      <c r="AD26" s="645">
        <f>SUM(AD16:AD25)</f>
        <v>0</v>
      </c>
      <c r="AE26" s="735"/>
      <c r="AF26" s="645">
        <f>SUM(AF16:AF25)</f>
        <v>0</v>
      </c>
      <c r="AG26" s="735"/>
      <c r="AH26" s="645">
        <f>SUM(AH16:AH25)</f>
        <v>0</v>
      </c>
      <c r="AI26" s="735"/>
      <c r="AJ26" s="645">
        <f>SUM(AJ16:AJ25)</f>
        <v>0</v>
      </c>
      <c r="AK26" s="735"/>
      <c r="AL26" s="645">
        <f>SUM(AL16:AL25)</f>
        <v>0</v>
      </c>
      <c r="AM26" s="735"/>
      <c r="AN26" s="645">
        <f>SUM(AN16:AN25)</f>
        <v>0</v>
      </c>
      <c r="AO26" s="735"/>
      <c r="AP26" s="645">
        <f>SUM(AP16:AP25)</f>
        <v>0</v>
      </c>
      <c r="AQ26" s="735"/>
      <c r="AR26" s="645">
        <f>SUM(AR16:AR25)</f>
        <v>0</v>
      </c>
      <c r="AS26" s="735"/>
      <c r="AT26" s="645">
        <f>SUM(AT16:AT25)</f>
        <v>0</v>
      </c>
      <c r="AU26" s="735"/>
      <c r="AV26" s="645">
        <f>SUM(AV16:AV25)</f>
        <v>0</v>
      </c>
      <c r="AW26" s="735"/>
      <c r="AX26" s="645">
        <f>SUM(AX16:AX25)</f>
        <v>0</v>
      </c>
      <c r="AY26" s="735"/>
      <c r="AZ26" s="645">
        <f>SUM(AZ16:AZ25)</f>
        <v>0</v>
      </c>
      <c r="BA26" s="735"/>
      <c r="BB26" s="647">
        <f>SUM(BB16:BB25)</f>
        <v>0</v>
      </c>
      <c r="BC26" s="648"/>
      <c r="BD26" s="641"/>
      <c r="BE26" s="642"/>
      <c r="BF26" s="642"/>
      <c r="BG26" s="642" t="s">
        <v>641</v>
      </c>
      <c r="BH26" s="642"/>
      <c r="BI26" s="642"/>
      <c r="BJ26" s="644"/>
      <c r="BK26" s="645">
        <f>SUM(BK16:BK25)</f>
        <v>0</v>
      </c>
      <c r="BL26" s="734"/>
      <c r="BM26" s="645">
        <f>SUM(BM16:BM25)</f>
        <v>0</v>
      </c>
      <c r="BN26" s="735"/>
      <c r="BO26" s="645">
        <f>SUM(BO16:BO25)</f>
        <v>0</v>
      </c>
      <c r="BP26" s="735"/>
      <c r="BQ26" s="645">
        <f>SUM(BQ16:BQ25)</f>
        <v>0</v>
      </c>
      <c r="BR26" s="735"/>
      <c r="BS26" s="645">
        <f>SUM(BS16:BS25)</f>
        <v>0</v>
      </c>
      <c r="BT26" s="735"/>
      <c r="BU26" s="645">
        <f>SUM(BU16:BU25)</f>
        <v>0</v>
      </c>
      <c r="BV26" s="735"/>
      <c r="BW26" s="645">
        <f>SUM(BW16:BW25)</f>
        <v>0</v>
      </c>
      <c r="BX26" s="735"/>
      <c r="BY26" s="645">
        <f>SUM(BY16:BY25)</f>
        <v>0</v>
      </c>
      <c r="BZ26" s="735"/>
      <c r="CA26" s="645">
        <f>SUM(CA16:CA25)</f>
        <v>0</v>
      </c>
      <c r="CB26" s="735"/>
      <c r="CC26" s="645">
        <f>SUM(CC16:CC25)</f>
        <v>0</v>
      </c>
      <c r="CD26" s="735"/>
      <c r="CE26" s="645">
        <f>SUM(CE16:CE25)</f>
        <v>0</v>
      </c>
      <c r="CF26" s="735"/>
      <c r="CG26" s="645">
        <f>SUM(CG16:CG25)</f>
        <v>0</v>
      </c>
      <c r="CH26" s="735"/>
      <c r="CI26" s="645">
        <f>SUM(CI16:CI25)</f>
        <v>0</v>
      </c>
      <c r="CJ26" s="735"/>
      <c r="CK26" s="645">
        <f>SUM(CK16:CK25)</f>
        <v>0</v>
      </c>
      <c r="CL26" s="735"/>
      <c r="CM26" s="645">
        <f>SUM(CM16:CM25)</f>
        <v>0</v>
      </c>
      <c r="CN26" s="735"/>
      <c r="CO26" s="645">
        <f>SUM(CO16:CO25)</f>
        <v>0</v>
      </c>
      <c r="CP26" s="735"/>
      <c r="CQ26" s="645">
        <f>SUM(CQ16:CQ25)</f>
        <v>0</v>
      </c>
      <c r="CR26" s="735"/>
      <c r="CS26" s="645">
        <f>SUM(CS16:CS25)</f>
        <v>0</v>
      </c>
      <c r="CT26" s="735"/>
      <c r="CU26" s="645">
        <f>SUM(CU16:CU25)</f>
        <v>0</v>
      </c>
      <c r="CV26" s="735"/>
      <c r="CW26" s="645">
        <f>SUM(CW16:CW25)</f>
        <v>0</v>
      </c>
      <c r="CX26" s="735"/>
      <c r="CY26" s="645">
        <f>SUM(CY16:CY25)</f>
        <v>0</v>
      </c>
      <c r="CZ26" s="735"/>
      <c r="DA26" s="645">
        <f>SUM(DA16:DA25)</f>
        <v>0</v>
      </c>
      <c r="DB26" s="735"/>
      <c r="DC26" s="645">
        <f>SUM(DC16:DC25)</f>
        <v>0</v>
      </c>
      <c r="DD26" s="735"/>
      <c r="DE26" s="647">
        <f>SUM(DE16:DE25)</f>
        <v>0</v>
      </c>
      <c r="DF26" s="648"/>
      <c r="DG26" s="641"/>
      <c r="DH26" s="642"/>
      <c r="DI26" s="642"/>
      <c r="DJ26" s="642" t="s">
        <v>865</v>
      </c>
      <c r="DK26" s="642"/>
      <c r="DL26" s="642"/>
      <c r="DM26" s="644"/>
      <c r="DN26" s="645">
        <f>SUM(DN16:DN25)</f>
        <v>0</v>
      </c>
      <c r="DO26" s="734"/>
      <c r="DP26" s="645">
        <f>SUM(DP16:DP25)</f>
        <v>0</v>
      </c>
      <c r="DQ26" s="735"/>
      <c r="DR26" s="645">
        <f>SUM(DR16:DR25)</f>
        <v>0</v>
      </c>
      <c r="DS26" s="735"/>
      <c r="DT26" s="645">
        <f>SUM(DT16:DT25)</f>
        <v>0</v>
      </c>
      <c r="DU26" s="735"/>
      <c r="DV26" s="645">
        <f>SUM(DV16:DV25)</f>
        <v>0</v>
      </c>
      <c r="DW26" s="735"/>
      <c r="DX26" s="645">
        <f>SUM(DX16:DX25)</f>
        <v>0</v>
      </c>
      <c r="DY26" s="735"/>
      <c r="DZ26" s="645">
        <f>SUM(DZ16:DZ25)</f>
        <v>0</v>
      </c>
      <c r="EA26" s="735"/>
      <c r="EB26" s="645">
        <f>SUM(EB16:EB25)</f>
        <v>0</v>
      </c>
      <c r="EC26" s="735"/>
      <c r="ED26" s="645">
        <f>SUM(ED16:ED25)</f>
        <v>0</v>
      </c>
      <c r="EE26" s="735"/>
      <c r="EF26" s="645">
        <f>SUM(EF16:EF25)</f>
        <v>0</v>
      </c>
      <c r="EG26" s="735"/>
      <c r="EH26" s="645">
        <f>SUM(EH16:EH25)</f>
        <v>0</v>
      </c>
      <c r="EI26" s="735"/>
      <c r="EJ26" s="645">
        <f>SUM(EJ16:EJ25)</f>
        <v>0</v>
      </c>
      <c r="EK26" s="735"/>
      <c r="EL26" s="645">
        <f>SUM(EL16:EL25)</f>
        <v>0</v>
      </c>
      <c r="EM26" s="735"/>
      <c r="EN26" s="645">
        <f>SUM(EN16:EN25)</f>
        <v>0</v>
      </c>
      <c r="EO26" s="735"/>
      <c r="EP26" s="645">
        <f>SUM(EP16:EP25)</f>
        <v>0</v>
      </c>
      <c r="EQ26" s="735"/>
      <c r="ER26" s="645">
        <f>SUM(ER16:ER25)</f>
        <v>0</v>
      </c>
      <c r="ES26" s="735"/>
      <c r="ET26" s="645">
        <f>SUM(ET16:ET25)</f>
        <v>0</v>
      </c>
      <c r="EU26" s="735"/>
      <c r="EV26" s="645">
        <f>SUM(EV16:EV25)</f>
        <v>0</v>
      </c>
      <c r="EW26" s="735"/>
      <c r="EX26" s="645">
        <f>SUM(EX16:EX25)</f>
        <v>0</v>
      </c>
      <c r="EY26" s="735"/>
      <c r="EZ26" s="645">
        <f>SUM(EZ16:EZ25)</f>
        <v>0</v>
      </c>
      <c r="FA26" s="735"/>
      <c r="FB26" s="645">
        <f>SUM(FB16:FB25)</f>
        <v>0</v>
      </c>
      <c r="FC26" s="735"/>
      <c r="FD26" s="645">
        <f>SUM(FD16:FD25)</f>
        <v>0</v>
      </c>
      <c r="FE26" s="735"/>
      <c r="FF26" s="645">
        <f>SUM(FF16:FF25)</f>
        <v>0</v>
      </c>
      <c r="FG26" s="735"/>
      <c r="FH26" s="647">
        <f>SUM(FH16:FH25)</f>
        <v>0</v>
      </c>
      <c r="FI26" s="649"/>
      <c r="FJ26" s="564"/>
      <c r="FK26" s="642"/>
      <c r="FL26" s="642"/>
      <c r="FM26" s="642" t="s">
        <v>865</v>
      </c>
      <c r="FN26" s="642"/>
      <c r="FO26" s="642"/>
      <c r="FP26" s="650"/>
      <c r="FQ26" s="651"/>
      <c r="FR26" s="645">
        <f>SUM(FR16:FR25)</f>
        <v>0</v>
      </c>
      <c r="FS26" s="736"/>
      <c r="FT26" s="651"/>
      <c r="FU26" s="653">
        <f>SUM(FU16:FU25)</f>
        <v>0</v>
      </c>
      <c r="FV26" s="593"/>
      <c r="FW26" s="594"/>
      <c r="FX26" s="595"/>
      <c r="FY26" s="596"/>
      <c r="FZ26" s="597"/>
      <c r="GA26" s="598"/>
      <c r="GB26" s="599"/>
      <c r="GC26" s="600"/>
      <c r="GD26" s="599"/>
      <c r="GE26" s="601"/>
      <c r="GF26" s="654"/>
      <c r="GG26" s="655"/>
      <c r="GH26" s="655"/>
      <c r="GI26" s="655"/>
      <c r="GJ26" s="579"/>
      <c r="GK26" s="578"/>
      <c r="GL26" s="579"/>
      <c r="GM26" s="578"/>
      <c r="GN26" s="579"/>
      <c r="GO26" s="578"/>
      <c r="GP26" s="579"/>
      <c r="GQ26" s="579"/>
      <c r="GR26" s="579"/>
      <c r="GS26" s="579"/>
      <c r="GT26" s="1342"/>
      <c r="GU26" s="578"/>
      <c r="GV26" s="1337"/>
      <c r="GW26" s="1337"/>
      <c r="GX26" s="500"/>
      <c r="GY26" s="500"/>
      <c r="GZ26" s="578"/>
      <c r="HA26" s="578"/>
      <c r="HB26" s="578"/>
      <c r="HC26" s="530"/>
      <c r="HD26" s="648"/>
      <c r="HE26" s="415"/>
      <c r="HF26" s="415"/>
      <c r="HG26" s="580"/>
      <c r="HH26" s="648"/>
      <c r="HI26" s="415"/>
      <c r="HJ26" s="415"/>
    </row>
    <row r="27" spans="1:218" ht="20.100000000000001" customHeight="1">
      <c r="A27" s="1311" t="s">
        <v>431</v>
      </c>
      <c r="B27" s="738"/>
      <c r="C27" s="739"/>
      <c r="D27" s="663"/>
      <c r="E27" s="739"/>
      <c r="F27" s="739"/>
      <c r="G27" s="740" t="s">
        <v>322</v>
      </c>
      <c r="H27" s="663" t="s">
        <v>430</v>
      </c>
      <c r="I27" s="741" t="s">
        <v>322</v>
      </c>
      <c r="J27" s="663" t="s">
        <v>430</v>
      </c>
      <c r="K27" s="742" t="s">
        <v>322</v>
      </c>
      <c r="L27" s="663" t="s">
        <v>430</v>
      </c>
      <c r="M27" s="742" t="s">
        <v>322</v>
      </c>
      <c r="N27" s="663" t="s">
        <v>430</v>
      </c>
      <c r="O27" s="742" t="s">
        <v>322</v>
      </c>
      <c r="P27" s="663" t="s">
        <v>430</v>
      </c>
      <c r="Q27" s="742" t="s">
        <v>322</v>
      </c>
      <c r="R27" s="663" t="s">
        <v>430</v>
      </c>
      <c r="S27" s="742" t="s">
        <v>322</v>
      </c>
      <c r="T27" s="663" t="s">
        <v>430</v>
      </c>
      <c r="U27" s="742" t="s">
        <v>322</v>
      </c>
      <c r="V27" s="663" t="s">
        <v>430</v>
      </c>
      <c r="W27" s="742" t="s">
        <v>429</v>
      </c>
      <c r="X27" s="663" t="s">
        <v>430</v>
      </c>
      <c r="Y27" s="742" t="s">
        <v>322</v>
      </c>
      <c r="Z27" s="663" t="s">
        <v>430</v>
      </c>
      <c r="AA27" s="742" t="s">
        <v>322</v>
      </c>
      <c r="AB27" s="663" t="s">
        <v>430</v>
      </c>
      <c r="AC27" s="742" t="s">
        <v>322</v>
      </c>
      <c r="AD27" s="663" t="s">
        <v>430</v>
      </c>
      <c r="AE27" s="742" t="s">
        <v>322</v>
      </c>
      <c r="AF27" s="663" t="s">
        <v>430</v>
      </c>
      <c r="AG27" s="742" t="s">
        <v>322</v>
      </c>
      <c r="AH27" s="663" t="s">
        <v>430</v>
      </c>
      <c r="AI27" s="742" t="s">
        <v>322</v>
      </c>
      <c r="AJ27" s="663" t="s">
        <v>430</v>
      </c>
      <c r="AK27" s="742" t="s">
        <v>322</v>
      </c>
      <c r="AL27" s="663" t="s">
        <v>430</v>
      </c>
      <c r="AM27" s="742" t="s">
        <v>322</v>
      </c>
      <c r="AN27" s="663" t="s">
        <v>430</v>
      </c>
      <c r="AO27" s="742" t="s">
        <v>322</v>
      </c>
      <c r="AP27" s="663" t="s">
        <v>430</v>
      </c>
      <c r="AQ27" s="742" t="s">
        <v>322</v>
      </c>
      <c r="AR27" s="663" t="s">
        <v>430</v>
      </c>
      <c r="AS27" s="742" t="s">
        <v>322</v>
      </c>
      <c r="AT27" s="663" t="s">
        <v>430</v>
      </c>
      <c r="AU27" s="742" t="s">
        <v>322</v>
      </c>
      <c r="AV27" s="663" t="s">
        <v>430</v>
      </c>
      <c r="AW27" s="742" t="s">
        <v>322</v>
      </c>
      <c r="AX27" s="663" t="s">
        <v>430</v>
      </c>
      <c r="AY27" s="742" t="s">
        <v>322</v>
      </c>
      <c r="AZ27" s="663" t="s">
        <v>430</v>
      </c>
      <c r="BA27" s="742" t="s">
        <v>322</v>
      </c>
      <c r="BB27" s="665" t="s">
        <v>428</v>
      </c>
      <c r="BC27" s="723"/>
      <c r="BD27" s="1311" t="s">
        <v>432</v>
      </c>
      <c r="BE27" s="738"/>
      <c r="BF27" s="739"/>
      <c r="BG27" s="663"/>
      <c r="BH27" s="739"/>
      <c r="BI27" s="739"/>
      <c r="BJ27" s="740" t="s">
        <v>322</v>
      </c>
      <c r="BK27" s="663" t="s">
        <v>430</v>
      </c>
      <c r="BL27" s="741" t="s">
        <v>322</v>
      </c>
      <c r="BM27" s="663" t="s">
        <v>430</v>
      </c>
      <c r="BN27" s="742" t="s">
        <v>322</v>
      </c>
      <c r="BO27" s="663" t="s">
        <v>430</v>
      </c>
      <c r="BP27" s="742" t="s">
        <v>429</v>
      </c>
      <c r="BQ27" s="663" t="s">
        <v>430</v>
      </c>
      <c r="BR27" s="742" t="s">
        <v>322</v>
      </c>
      <c r="BS27" s="663" t="s">
        <v>430</v>
      </c>
      <c r="BT27" s="742" t="s">
        <v>322</v>
      </c>
      <c r="BU27" s="663" t="s">
        <v>430</v>
      </c>
      <c r="BV27" s="742" t="s">
        <v>322</v>
      </c>
      <c r="BW27" s="663" t="s">
        <v>430</v>
      </c>
      <c r="BX27" s="742" t="s">
        <v>322</v>
      </c>
      <c r="BY27" s="663" t="s">
        <v>430</v>
      </c>
      <c r="BZ27" s="742" t="s">
        <v>322</v>
      </c>
      <c r="CA27" s="663" t="s">
        <v>430</v>
      </c>
      <c r="CB27" s="742" t="s">
        <v>322</v>
      </c>
      <c r="CC27" s="663" t="s">
        <v>430</v>
      </c>
      <c r="CD27" s="742" t="s">
        <v>322</v>
      </c>
      <c r="CE27" s="663" t="s">
        <v>428</v>
      </c>
      <c r="CF27" s="742" t="s">
        <v>429</v>
      </c>
      <c r="CG27" s="663" t="s">
        <v>428</v>
      </c>
      <c r="CH27" s="742" t="s">
        <v>429</v>
      </c>
      <c r="CI27" s="663" t="s">
        <v>428</v>
      </c>
      <c r="CJ27" s="742" t="s">
        <v>429</v>
      </c>
      <c r="CK27" s="663" t="s">
        <v>428</v>
      </c>
      <c r="CL27" s="742" t="s">
        <v>429</v>
      </c>
      <c r="CM27" s="663" t="s">
        <v>428</v>
      </c>
      <c r="CN27" s="742" t="s">
        <v>429</v>
      </c>
      <c r="CO27" s="663" t="s">
        <v>428</v>
      </c>
      <c r="CP27" s="742" t="s">
        <v>429</v>
      </c>
      <c r="CQ27" s="663" t="s">
        <v>428</v>
      </c>
      <c r="CR27" s="742" t="s">
        <v>429</v>
      </c>
      <c r="CS27" s="663" t="s">
        <v>428</v>
      </c>
      <c r="CT27" s="742" t="s">
        <v>429</v>
      </c>
      <c r="CU27" s="663" t="s">
        <v>428</v>
      </c>
      <c r="CV27" s="742" t="s">
        <v>429</v>
      </c>
      <c r="CW27" s="663" t="s">
        <v>428</v>
      </c>
      <c r="CX27" s="742" t="s">
        <v>429</v>
      </c>
      <c r="CY27" s="663" t="s">
        <v>428</v>
      </c>
      <c r="CZ27" s="742" t="s">
        <v>429</v>
      </c>
      <c r="DA27" s="663" t="s">
        <v>428</v>
      </c>
      <c r="DB27" s="742" t="s">
        <v>429</v>
      </c>
      <c r="DC27" s="663" t="s">
        <v>428</v>
      </c>
      <c r="DD27" s="742" t="s">
        <v>429</v>
      </c>
      <c r="DE27" s="665" t="s">
        <v>428</v>
      </c>
      <c r="DF27" s="723"/>
      <c r="DG27" s="1311" t="s">
        <v>431</v>
      </c>
      <c r="DH27" s="743"/>
      <c r="DI27" s="744"/>
      <c r="DJ27" s="745"/>
      <c r="DK27" s="744"/>
      <c r="DL27" s="744"/>
      <c r="DM27" s="740" t="s">
        <v>429</v>
      </c>
      <c r="DN27" s="663" t="s">
        <v>428</v>
      </c>
      <c r="DO27" s="741" t="s">
        <v>429</v>
      </c>
      <c r="DP27" s="663" t="s">
        <v>428</v>
      </c>
      <c r="DQ27" s="742" t="s">
        <v>429</v>
      </c>
      <c r="DR27" s="663" t="s">
        <v>428</v>
      </c>
      <c r="DS27" s="742" t="s">
        <v>429</v>
      </c>
      <c r="DT27" s="663" t="s">
        <v>428</v>
      </c>
      <c r="DU27" s="742" t="s">
        <v>429</v>
      </c>
      <c r="DV27" s="663" t="s">
        <v>428</v>
      </c>
      <c r="DW27" s="742" t="s">
        <v>429</v>
      </c>
      <c r="DX27" s="663" t="s">
        <v>428</v>
      </c>
      <c r="DY27" s="742" t="s">
        <v>429</v>
      </c>
      <c r="DZ27" s="663" t="s">
        <v>430</v>
      </c>
      <c r="EA27" s="742" t="s">
        <v>429</v>
      </c>
      <c r="EB27" s="663" t="s">
        <v>428</v>
      </c>
      <c r="EC27" s="742" t="s">
        <v>429</v>
      </c>
      <c r="ED27" s="663" t="s">
        <v>428</v>
      </c>
      <c r="EE27" s="742" t="s">
        <v>322</v>
      </c>
      <c r="EF27" s="663" t="s">
        <v>430</v>
      </c>
      <c r="EG27" s="742" t="s">
        <v>322</v>
      </c>
      <c r="EH27" s="663" t="s">
        <v>430</v>
      </c>
      <c r="EI27" s="742" t="s">
        <v>322</v>
      </c>
      <c r="EJ27" s="663" t="s">
        <v>430</v>
      </c>
      <c r="EK27" s="742" t="s">
        <v>322</v>
      </c>
      <c r="EL27" s="663" t="s">
        <v>430</v>
      </c>
      <c r="EM27" s="742" t="s">
        <v>322</v>
      </c>
      <c r="EN27" s="663" t="s">
        <v>430</v>
      </c>
      <c r="EO27" s="742" t="s">
        <v>322</v>
      </c>
      <c r="EP27" s="663" t="s">
        <v>428</v>
      </c>
      <c r="EQ27" s="742" t="s">
        <v>322</v>
      </c>
      <c r="ER27" s="663" t="s">
        <v>430</v>
      </c>
      <c r="ES27" s="742" t="s">
        <v>322</v>
      </c>
      <c r="ET27" s="663" t="s">
        <v>430</v>
      </c>
      <c r="EU27" s="742" t="s">
        <v>322</v>
      </c>
      <c r="EV27" s="663" t="s">
        <v>430</v>
      </c>
      <c r="EW27" s="742" t="s">
        <v>322</v>
      </c>
      <c r="EX27" s="663" t="s">
        <v>430</v>
      </c>
      <c r="EY27" s="742" t="s">
        <v>322</v>
      </c>
      <c r="EZ27" s="663" t="s">
        <v>430</v>
      </c>
      <c r="FA27" s="742" t="s">
        <v>322</v>
      </c>
      <c r="FB27" s="663" t="s">
        <v>430</v>
      </c>
      <c r="FC27" s="742" t="s">
        <v>322</v>
      </c>
      <c r="FD27" s="663" t="s">
        <v>430</v>
      </c>
      <c r="FE27" s="742" t="s">
        <v>429</v>
      </c>
      <c r="FF27" s="663" t="s">
        <v>428</v>
      </c>
      <c r="FG27" s="742" t="s">
        <v>429</v>
      </c>
      <c r="FH27" s="665" t="s">
        <v>428</v>
      </c>
      <c r="FI27" s="746"/>
      <c r="FJ27" s="542" t="s">
        <v>431</v>
      </c>
      <c r="FK27" s="743"/>
      <c r="FL27" s="744"/>
      <c r="FM27" s="745"/>
      <c r="FN27" s="744"/>
      <c r="FO27" s="744"/>
      <c r="FP27" s="747" t="s">
        <v>433</v>
      </c>
      <c r="FQ27" s="673" t="s">
        <v>429</v>
      </c>
      <c r="FR27" s="663" t="s">
        <v>434</v>
      </c>
      <c r="FS27" s="748" t="s">
        <v>433</v>
      </c>
      <c r="FT27" s="673" t="s">
        <v>429</v>
      </c>
      <c r="FU27" s="675" t="s">
        <v>434</v>
      </c>
      <c r="FV27" s="593"/>
      <c r="FW27" s="594"/>
      <c r="FX27" s="595"/>
      <c r="FY27" s="596"/>
      <c r="FZ27" s="597"/>
      <c r="GA27" s="598"/>
      <c r="GB27" s="599"/>
      <c r="GC27" s="600"/>
      <c r="GD27" s="599"/>
      <c r="GE27" s="601"/>
      <c r="GF27" s="749"/>
      <c r="GG27" s="750"/>
      <c r="GH27" s="750"/>
      <c r="GI27" s="750"/>
      <c r="GJ27" s="579"/>
      <c r="GK27" s="578"/>
      <c r="GL27" s="579"/>
      <c r="GM27" s="579"/>
      <c r="GN27" s="579"/>
      <c r="GO27" s="500"/>
      <c r="GP27" s="579"/>
      <c r="GQ27" s="500"/>
      <c r="GR27" s="500"/>
      <c r="GS27" s="579"/>
      <c r="GT27" s="500"/>
      <c r="GU27" s="500"/>
      <c r="GV27" s="500"/>
      <c r="GW27" s="579"/>
      <c r="GX27" s="579"/>
      <c r="GY27" s="579"/>
      <c r="GZ27" s="578"/>
      <c r="HA27" s="500"/>
      <c r="HB27" s="500"/>
      <c r="HC27" s="530"/>
      <c r="HD27" s="409"/>
      <c r="HE27" s="415"/>
      <c r="HF27" s="415"/>
      <c r="HG27" s="415"/>
      <c r="HH27" s="415"/>
    </row>
    <row r="28" spans="1:218" ht="20.100000000000001" customHeight="1">
      <c r="A28" s="552"/>
      <c r="B28" s="752" t="s">
        <v>435</v>
      </c>
      <c r="C28" s="753"/>
      <c r="D28" s="754"/>
      <c r="E28" s="755"/>
      <c r="F28" s="756"/>
      <c r="G28" s="757"/>
      <c r="H28" s="559"/>
      <c r="I28" s="758"/>
      <c r="J28" s="559"/>
      <c r="K28" s="758"/>
      <c r="L28" s="559"/>
      <c r="M28" s="758"/>
      <c r="N28" s="559"/>
      <c r="O28" s="758"/>
      <c r="P28" s="559"/>
      <c r="Q28" s="758"/>
      <c r="R28" s="559"/>
      <c r="S28" s="758"/>
      <c r="T28" s="559"/>
      <c r="U28" s="758"/>
      <c r="V28" s="559"/>
      <c r="W28" s="758"/>
      <c r="X28" s="559"/>
      <c r="Y28" s="758"/>
      <c r="Z28" s="559"/>
      <c r="AA28" s="758"/>
      <c r="AB28" s="559"/>
      <c r="AC28" s="758"/>
      <c r="AD28" s="559"/>
      <c r="AE28" s="758"/>
      <c r="AF28" s="559"/>
      <c r="AG28" s="758"/>
      <c r="AH28" s="559"/>
      <c r="AI28" s="758"/>
      <c r="AJ28" s="559"/>
      <c r="AK28" s="758"/>
      <c r="AL28" s="559"/>
      <c r="AM28" s="758"/>
      <c r="AN28" s="559"/>
      <c r="AO28" s="758"/>
      <c r="AP28" s="559"/>
      <c r="AQ28" s="758"/>
      <c r="AR28" s="559"/>
      <c r="AS28" s="758"/>
      <c r="AT28" s="559"/>
      <c r="AU28" s="758"/>
      <c r="AV28" s="559"/>
      <c r="AW28" s="758"/>
      <c r="AX28" s="559"/>
      <c r="AY28" s="758"/>
      <c r="AZ28" s="559"/>
      <c r="BA28" s="758"/>
      <c r="BB28" s="684"/>
      <c r="BC28" s="562"/>
      <c r="BD28" s="552"/>
      <c r="BE28" s="752" t="s">
        <v>435</v>
      </c>
      <c r="BF28" s="753"/>
      <c r="BG28" s="754">
        <v>0</v>
      </c>
      <c r="BH28" s="755">
        <v>0</v>
      </c>
      <c r="BI28" s="756"/>
      <c r="BJ28" s="757"/>
      <c r="BK28" s="559">
        <v>0</v>
      </c>
      <c r="BL28" s="758"/>
      <c r="BM28" s="559">
        <v>0</v>
      </c>
      <c r="BN28" s="758"/>
      <c r="BO28" s="559">
        <v>0</v>
      </c>
      <c r="BP28" s="758"/>
      <c r="BQ28" s="559">
        <v>0</v>
      </c>
      <c r="BR28" s="758"/>
      <c r="BS28" s="559">
        <v>0</v>
      </c>
      <c r="BT28" s="758"/>
      <c r="BU28" s="559">
        <v>0</v>
      </c>
      <c r="BV28" s="758"/>
      <c r="BW28" s="559">
        <v>0</v>
      </c>
      <c r="BX28" s="758"/>
      <c r="BY28" s="559">
        <v>0</v>
      </c>
      <c r="BZ28" s="758"/>
      <c r="CA28" s="559">
        <v>0</v>
      </c>
      <c r="CB28" s="758"/>
      <c r="CC28" s="559">
        <v>0</v>
      </c>
      <c r="CD28" s="758"/>
      <c r="CE28" s="559">
        <v>0</v>
      </c>
      <c r="CF28" s="758"/>
      <c r="CG28" s="559">
        <v>0</v>
      </c>
      <c r="CH28" s="758"/>
      <c r="CI28" s="559">
        <v>0</v>
      </c>
      <c r="CJ28" s="758"/>
      <c r="CK28" s="559">
        <v>0</v>
      </c>
      <c r="CL28" s="758"/>
      <c r="CM28" s="559">
        <v>0</v>
      </c>
      <c r="CN28" s="758"/>
      <c r="CO28" s="559">
        <v>0</v>
      </c>
      <c r="CP28" s="758"/>
      <c r="CQ28" s="559">
        <v>0</v>
      </c>
      <c r="CR28" s="758"/>
      <c r="CS28" s="559">
        <v>0</v>
      </c>
      <c r="CT28" s="758"/>
      <c r="CU28" s="559">
        <v>0</v>
      </c>
      <c r="CV28" s="758"/>
      <c r="CW28" s="559">
        <v>0</v>
      </c>
      <c r="CX28" s="758"/>
      <c r="CY28" s="559">
        <v>0</v>
      </c>
      <c r="CZ28" s="758"/>
      <c r="DA28" s="559">
        <v>0</v>
      </c>
      <c r="DB28" s="758"/>
      <c r="DC28" s="559">
        <v>0</v>
      </c>
      <c r="DD28" s="758"/>
      <c r="DE28" s="684">
        <v>0</v>
      </c>
      <c r="DF28" s="562"/>
      <c r="DG28" s="552"/>
      <c r="DH28" s="752" t="s">
        <v>435</v>
      </c>
      <c r="DI28" s="753"/>
      <c r="DJ28" s="754">
        <v>0</v>
      </c>
      <c r="DK28" s="755">
        <v>0</v>
      </c>
      <c r="DL28" s="756"/>
      <c r="DM28" s="757"/>
      <c r="DN28" s="559">
        <v>0</v>
      </c>
      <c r="DO28" s="758"/>
      <c r="DP28" s="559">
        <v>0</v>
      </c>
      <c r="DQ28" s="758"/>
      <c r="DR28" s="559">
        <v>0</v>
      </c>
      <c r="DS28" s="758"/>
      <c r="DT28" s="559">
        <v>0</v>
      </c>
      <c r="DU28" s="758"/>
      <c r="DV28" s="559">
        <v>0</v>
      </c>
      <c r="DW28" s="758"/>
      <c r="DX28" s="559">
        <v>0</v>
      </c>
      <c r="DY28" s="758"/>
      <c r="DZ28" s="559">
        <v>0</v>
      </c>
      <c r="EA28" s="758"/>
      <c r="EB28" s="559">
        <v>0</v>
      </c>
      <c r="EC28" s="758"/>
      <c r="ED28" s="559">
        <v>0</v>
      </c>
      <c r="EE28" s="758"/>
      <c r="EF28" s="559">
        <v>0</v>
      </c>
      <c r="EG28" s="758"/>
      <c r="EH28" s="559">
        <v>0</v>
      </c>
      <c r="EI28" s="758"/>
      <c r="EJ28" s="559">
        <v>0</v>
      </c>
      <c r="EK28" s="758"/>
      <c r="EL28" s="559">
        <v>0</v>
      </c>
      <c r="EM28" s="758"/>
      <c r="EN28" s="559">
        <v>0</v>
      </c>
      <c r="EO28" s="758"/>
      <c r="EP28" s="559">
        <v>0</v>
      </c>
      <c r="EQ28" s="758"/>
      <c r="ER28" s="559">
        <v>0</v>
      </c>
      <c r="ES28" s="758"/>
      <c r="ET28" s="559">
        <v>0</v>
      </c>
      <c r="EU28" s="758"/>
      <c r="EV28" s="559">
        <v>0</v>
      </c>
      <c r="EW28" s="758"/>
      <c r="EX28" s="559">
        <v>0</v>
      </c>
      <c r="EY28" s="758"/>
      <c r="EZ28" s="559">
        <v>0</v>
      </c>
      <c r="FA28" s="758"/>
      <c r="FB28" s="559">
        <v>0</v>
      </c>
      <c r="FC28" s="758"/>
      <c r="FD28" s="559">
        <v>0</v>
      </c>
      <c r="FE28" s="758"/>
      <c r="FF28" s="559">
        <v>0</v>
      </c>
      <c r="FG28" s="758"/>
      <c r="FH28" s="684">
        <v>0</v>
      </c>
      <c r="FI28" s="563"/>
      <c r="FJ28" s="564"/>
      <c r="FK28" s="752" t="s">
        <v>435</v>
      </c>
      <c r="FL28" s="753"/>
      <c r="FM28" s="759"/>
      <c r="FN28" s="755"/>
      <c r="FO28" s="756"/>
      <c r="FP28" s="685"/>
      <c r="FQ28" s="760"/>
      <c r="FR28" s="559"/>
      <c r="FS28" s="761"/>
      <c r="FT28" s="760"/>
      <c r="FU28" s="567"/>
      <c r="FV28" s="593"/>
      <c r="FW28" s="594"/>
      <c r="FX28" s="595"/>
      <c r="FY28" s="596"/>
      <c r="FZ28" s="597"/>
      <c r="GA28" s="598"/>
      <c r="GB28" s="599"/>
      <c r="GC28" s="600"/>
      <c r="GD28" s="599"/>
      <c r="GE28" s="601"/>
      <c r="GF28" s="762"/>
      <c r="GG28" s="602"/>
      <c r="GH28" s="602"/>
      <c r="GI28" s="602"/>
      <c r="GJ28" s="579"/>
      <c r="GK28" s="578"/>
      <c r="GL28" s="500"/>
      <c r="GM28" s="500"/>
      <c r="GN28" s="500"/>
      <c r="GO28" s="578"/>
      <c r="GP28" s="579"/>
      <c r="GQ28" s="500"/>
      <c r="GR28" s="500"/>
      <c r="GS28" s="530"/>
      <c r="GT28" s="689"/>
      <c r="GU28" s="578"/>
      <c r="GV28" s="1337"/>
      <c r="GW28" s="578"/>
      <c r="GX28" s="500"/>
      <c r="GY28" s="500"/>
      <c r="GZ28" s="579"/>
      <c r="HA28" s="578"/>
      <c r="HB28" s="578"/>
      <c r="HC28" s="530"/>
      <c r="HD28" s="530"/>
      <c r="HE28" s="415"/>
      <c r="HF28" s="415"/>
      <c r="HG28" s="415"/>
      <c r="HH28" s="415"/>
    </row>
    <row r="29" spans="1:218" ht="20.100000000000001" customHeight="1">
      <c r="A29" s="552"/>
      <c r="B29" s="764" t="s">
        <v>438</v>
      </c>
      <c r="C29" s="765"/>
      <c r="D29" s="766"/>
      <c r="E29" s="767">
        <v>0</v>
      </c>
      <c r="F29" s="768"/>
      <c r="G29" s="769"/>
      <c r="H29" s="587"/>
      <c r="I29" s="770"/>
      <c r="J29" s="587"/>
      <c r="K29" s="770"/>
      <c r="L29" s="587"/>
      <c r="M29" s="770"/>
      <c r="N29" s="587"/>
      <c r="O29" s="770"/>
      <c r="P29" s="587"/>
      <c r="Q29" s="770"/>
      <c r="R29" s="587"/>
      <c r="S29" s="770"/>
      <c r="T29" s="587"/>
      <c r="U29" s="770"/>
      <c r="V29" s="587"/>
      <c r="W29" s="770"/>
      <c r="X29" s="587"/>
      <c r="Y29" s="770"/>
      <c r="Z29" s="587"/>
      <c r="AA29" s="770"/>
      <c r="AB29" s="587"/>
      <c r="AC29" s="770"/>
      <c r="AD29" s="587"/>
      <c r="AE29" s="770"/>
      <c r="AF29" s="587"/>
      <c r="AG29" s="770"/>
      <c r="AH29" s="587"/>
      <c r="AI29" s="770"/>
      <c r="AJ29" s="587"/>
      <c r="AK29" s="770"/>
      <c r="AL29" s="587"/>
      <c r="AM29" s="770"/>
      <c r="AN29" s="587"/>
      <c r="AO29" s="770"/>
      <c r="AP29" s="587"/>
      <c r="AQ29" s="770"/>
      <c r="AR29" s="587"/>
      <c r="AS29" s="770"/>
      <c r="AT29" s="587"/>
      <c r="AU29" s="770"/>
      <c r="AV29" s="587"/>
      <c r="AW29" s="770"/>
      <c r="AX29" s="587"/>
      <c r="AY29" s="770"/>
      <c r="AZ29" s="587"/>
      <c r="BA29" s="770"/>
      <c r="BB29" s="589"/>
      <c r="BC29" s="562"/>
      <c r="BD29" s="552"/>
      <c r="BE29" s="764" t="s">
        <v>439</v>
      </c>
      <c r="BF29" s="765"/>
      <c r="BG29" s="766">
        <v>0</v>
      </c>
      <c r="BH29" s="767">
        <v>0</v>
      </c>
      <c r="BI29" s="768"/>
      <c r="BJ29" s="769"/>
      <c r="BK29" s="587">
        <v>0</v>
      </c>
      <c r="BL29" s="770"/>
      <c r="BM29" s="587">
        <v>0</v>
      </c>
      <c r="BN29" s="770"/>
      <c r="BO29" s="587">
        <v>0</v>
      </c>
      <c r="BP29" s="770"/>
      <c r="BQ29" s="587">
        <v>0</v>
      </c>
      <c r="BR29" s="770"/>
      <c r="BS29" s="587">
        <v>0</v>
      </c>
      <c r="BT29" s="770"/>
      <c r="BU29" s="587">
        <v>0</v>
      </c>
      <c r="BV29" s="770"/>
      <c r="BW29" s="587">
        <v>0</v>
      </c>
      <c r="BX29" s="770"/>
      <c r="BY29" s="587">
        <v>0</v>
      </c>
      <c r="BZ29" s="770"/>
      <c r="CA29" s="587">
        <v>0</v>
      </c>
      <c r="CB29" s="770"/>
      <c r="CC29" s="587">
        <v>0</v>
      </c>
      <c r="CD29" s="770"/>
      <c r="CE29" s="587">
        <v>0</v>
      </c>
      <c r="CF29" s="770"/>
      <c r="CG29" s="587">
        <v>0</v>
      </c>
      <c r="CH29" s="770"/>
      <c r="CI29" s="587">
        <v>0</v>
      </c>
      <c r="CJ29" s="770"/>
      <c r="CK29" s="587">
        <v>0</v>
      </c>
      <c r="CL29" s="770"/>
      <c r="CM29" s="587">
        <v>0</v>
      </c>
      <c r="CN29" s="770"/>
      <c r="CO29" s="587">
        <v>0</v>
      </c>
      <c r="CP29" s="770"/>
      <c r="CQ29" s="587">
        <v>0</v>
      </c>
      <c r="CR29" s="770"/>
      <c r="CS29" s="587">
        <v>0</v>
      </c>
      <c r="CT29" s="770"/>
      <c r="CU29" s="587">
        <v>0</v>
      </c>
      <c r="CV29" s="770"/>
      <c r="CW29" s="587">
        <v>0</v>
      </c>
      <c r="CX29" s="770"/>
      <c r="CY29" s="587">
        <v>0</v>
      </c>
      <c r="CZ29" s="770"/>
      <c r="DA29" s="587">
        <v>0</v>
      </c>
      <c r="DB29" s="770"/>
      <c r="DC29" s="587">
        <v>0</v>
      </c>
      <c r="DD29" s="770"/>
      <c r="DE29" s="589">
        <v>0</v>
      </c>
      <c r="DF29" s="562"/>
      <c r="DG29" s="552"/>
      <c r="DH29" s="764" t="s">
        <v>438</v>
      </c>
      <c r="DI29" s="765"/>
      <c r="DJ29" s="766">
        <v>0</v>
      </c>
      <c r="DK29" s="767">
        <v>0</v>
      </c>
      <c r="DL29" s="768"/>
      <c r="DM29" s="769"/>
      <c r="DN29" s="587">
        <v>0</v>
      </c>
      <c r="DO29" s="770"/>
      <c r="DP29" s="587">
        <v>0</v>
      </c>
      <c r="DQ29" s="770"/>
      <c r="DR29" s="587">
        <v>0</v>
      </c>
      <c r="DS29" s="770"/>
      <c r="DT29" s="587">
        <v>0</v>
      </c>
      <c r="DU29" s="770"/>
      <c r="DV29" s="587">
        <v>0</v>
      </c>
      <c r="DW29" s="770"/>
      <c r="DX29" s="587">
        <v>0</v>
      </c>
      <c r="DY29" s="770"/>
      <c r="DZ29" s="587">
        <v>0</v>
      </c>
      <c r="EA29" s="770"/>
      <c r="EB29" s="587">
        <v>0</v>
      </c>
      <c r="EC29" s="770"/>
      <c r="ED29" s="587">
        <v>0</v>
      </c>
      <c r="EE29" s="770"/>
      <c r="EF29" s="587">
        <v>0</v>
      </c>
      <c r="EG29" s="770"/>
      <c r="EH29" s="587">
        <v>0</v>
      </c>
      <c r="EI29" s="770"/>
      <c r="EJ29" s="587">
        <v>0</v>
      </c>
      <c r="EK29" s="770"/>
      <c r="EL29" s="587">
        <v>0</v>
      </c>
      <c r="EM29" s="770"/>
      <c r="EN29" s="587">
        <v>0</v>
      </c>
      <c r="EO29" s="770"/>
      <c r="EP29" s="587">
        <v>0</v>
      </c>
      <c r="EQ29" s="770"/>
      <c r="ER29" s="587">
        <v>0</v>
      </c>
      <c r="ES29" s="770"/>
      <c r="ET29" s="587">
        <v>0</v>
      </c>
      <c r="EU29" s="770"/>
      <c r="EV29" s="587">
        <v>0</v>
      </c>
      <c r="EW29" s="770"/>
      <c r="EX29" s="587">
        <v>0</v>
      </c>
      <c r="EY29" s="770"/>
      <c r="EZ29" s="587">
        <v>0</v>
      </c>
      <c r="FA29" s="770"/>
      <c r="FB29" s="587">
        <v>0</v>
      </c>
      <c r="FC29" s="770"/>
      <c r="FD29" s="587">
        <v>0</v>
      </c>
      <c r="FE29" s="770"/>
      <c r="FF29" s="587">
        <v>0</v>
      </c>
      <c r="FG29" s="770"/>
      <c r="FH29" s="589">
        <v>0</v>
      </c>
      <c r="FI29" s="563"/>
      <c r="FJ29" s="564"/>
      <c r="FK29" s="764" t="s">
        <v>438</v>
      </c>
      <c r="FL29" s="765"/>
      <c r="FM29" s="771"/>
      <c r="FN29" s="767"/>
      <c r="FO29" s="768"/>
      <c r="FP29" s="696"/>
      <c r="FQ29" s="772"/>
      <c r="FR29" s="587"/>
      <c r="FS29" s="773"/>
      <c r="FT29" s="772"/>
      <c r="FU29" s="592"/>
      <c r="FV29" s="593"/>
      <c r="FW29" s="594"/>
      <c r="FX29" s="595"/>
      <c r="FY29" s="596"/>
      <c r="FZ29" s="597"/>
      <c r="GA29" s="598"/>
      <c r="GB29" s="599"/>
      <c r="GC29" s="600"/>
      <c r="GD29" s="599"/>
      <c r="GE29" s="601"/>
      <c r="GF29" s="762"/>
      <c r="GG29" s="602"/>
      <c r="GH29" s="602"/>
      <c r="GI29" s="602"/>
      <c r="GJ29" s="579"/>
      <c r="GK29" s="1338"/>
      <c r="GL29" s="1338"/>
      <c r="GM29" s="1338"/>
      <c r="GN29" s="1338"/>
      <c r="GO29" s="579"/>
      <c r="GP29" s="579"/>
      <c r="GQ29" s="500"/>
      <c r="GR29" s="1304"/>
      <c r="GS29" s="530"/>
      <c r="GT29" s="689"/>
      <c r="GU29" s="578"/>
      <c r="GV29" s="1337"/>
      <c r="GW29" s="578"/>
      <c r="GX29" s="500"/>
      <c r="GY29" s="500"/>
      <c r="GZ29" s="578"/>
      <c r="HA29" s="578"/>
      <c r="HB29" s="578"/>
      <c r="HC29" s="579"/>
      <c r="HD29" s="530"/>
      <c r="HE29" s="415"/>
      <c r="HF29" s="415"/>
    </row>
    <row r="30" spans="1:218" ht="20.100000000000001" customHeight="1">
      <c r="A30" s="552"/>
      <c r="B30" s="764" t="s">
        <v>440</v>
      </c>
      <c r="C30" s="766"/>
      <c r="D30" s="767">
        <v>0</v>
      </c>
      <c r="E30" s="776"/>
      <c r="F30" s="777"/>
      <c r="G30" s="769"/>
      <c r="H30" s="587"/>
      <c r="I30" s="770"/>
      <c r="J30" s="587"/>
      <c r="K30" s="770"/>
      <c r="L30" s="587"/>
      <c r="M30" s="770"/>
      <c r="N30" s="587"/>
      <c r="O30" s="770"/>
      <c r="P30" s="587"/>
      <c r="Q30" s="770"/>
      <c r="R30" s="587"/>
      <c r="S30" s="770"/>
      <c r="T30" s="587"/>
      <c r="U30" s="770"/>
      <c r="V30" s="587"/>
      <c r="W30" s="770"/>
      <c r="X30" s="587"/>
      <c r="Y30" s="770"/>
      <c r="Z30" s="587"/>
      <c r="AA30" s="770"/>
      <c r="AB30" s="587"/>
      <c r="AC30" s="770"/>
      <c r="AD30" s="587"/>
      <c r="AE30" s="770"/>
      <c r="AF30" s="587"/>
      <c r="AG30" s="770"/>
      <c r="AH30" s="587"/>
      <c r="AI30" s="770"/>
      <c r="AJ30" s="587"/>
      <c r="AK30" s="770"/>
      <c r="AL30" s="587"/>
      <c r="AM30" s="770"/>
      <c r="AN30" s="587"/>
      <c r="AO30" s="770"/>
      <c r="AP30" s="587"/>
      <c r="AQ30" s="770"/>
      <c r="AR30" s="587"/>
      <c r="AS30" s="770"/>
      <c r="AT30" s="587"/>
      <c r="AU30" s="770"/>
      <c r="AV30" s="587"/>
      <c r="AW30" s="770"/>
      <c r="AX30" s="587"/>
      <c r="AY30" s="770"/>
      <c r="AZ30" s="587"/>
      <c r="BA30" s="770"/>
      <c r="BB30" s="589"/>
      <c r="BC30" s="562"/>
      <c r="BD30" s="552"/>
      <c r="BE30" s="764" t="s">
        <v>440</v>
      </c>
      <c r="BF30" s="766">
        <v>0</v>
      </c>
      <c r="BG30" s="767">
        <v>0</v>
      </c>
      <c r="BH30" s="776">
        <v>0</v>
      </c>
      <c r="BI30" s="777"/>
      <c r="BJ30" s="769"/>
      <c r="BK30" s="587">
        <v>0</v>
      </c>
      <c r="BL30" s="770"/>
      <c r="BM30" s="587">
        <v>0</v>
      </c>
      <c r="BN30" s="770"/>
      <c r="BO30" s="587">
        <v>0</v>
      </c>
      <c r="BP30" s="770"/>
      <c r="BQ30" s="587">
        <v>0</v>
      </c>
      <c r="BR30" s="770"/>
      <c r="BS30" s="587">
        <v>0</v>
      </c>
      <c r="BT30" s="770"/>
      <c r="BU30" s="587">
        <v>0</v>
      </c>
      <c r="BV30" s="770"/>
      <c r="BW30" s="587">
        <v>0</v>
      </c>
      <c r="BX30" s="770"/>
      <c r="BY30" s="587">
        <v>0</v>
      </c>
      <c r="BZ30" s="770"/>
      <c r="CA30" s="587">
        <v>0</v>
      </c>
      <c r="CB30" s="770"/>
      <c r="CC30" s="587">
        <v>0</v>
      </c>
      <c r="CD30" s="770"/>
      <c r="CE30" s="587">
        <v>0</v>
      </c>
      <c r="CF30" s="770"/>
      <c r="CG30" s="587">
        <v>0</v>
      </c>
      <c r="CH30" s="770"/>
      <c r="CI30" s="587">
        <v>0</v>
      </c>
      <c r="CJ30" s="770"/>
      <c r="CK30" s="587">
        <v>0</v>
      </c>
      <c r="CL30" s="770"/>
      <c r="CM30" s="587">
        <v>0</v>
      </c>
      <c r="CN30" s="770"/>
      <c r="CO30" s="587">
        <v>0</v>
      </c>
      <c r="CP30" s="770"/>
      <c r="CQ30" s="587">
        <v>0</v>
      </c>
      <c r="CR30" s="770"/>
      <c r="CS30" s="587">
        <v>0</v>
      </c>
      <c r="CT30" s="770"/>
      <c r="CU30" s="587">
        <v>0</v>
      </c>
      <c r="CV30" s="770"/>
      <c r="CW30" s="587">
        <v>0</v>
      </c>
      <c r="CX30" s="770"/>
      <c r="CY30" s="587">
        <v>0</v>
      </c>
      <c r="CZ30" s="770"/>
      <c r="DA30" s="587">
        <v>0</v>
      </c>
      <c r="DB30" s="770"/>
      <c r="DC30" s="587">
        <v>0</v>
      </c>
      <c r="DD30" s="770"/>
      <c r="DE30" s="589">
        <v>0</v>
      </c>
      <c r="DF30" s="562"/>
      <c r="DG30" s="552"/>
      <c r="DH30" s="764" t="s">
        <v>441</v>
      </c>
      <c r="DI30" s="766">
        <v>0</v>
      </c>
      <c r="DJ30" s="767">
        <v>0</v>
      </c>
      <c r="DK30" s="776">
        <v>0</v>
      </c>
      <c r="DL30" s="777"/>
      <c r="DM30" s="769"/>
      <c r="DN30" s="587">
        <v>0</v>
      </c>
      <c r="DO30" s="770"/>
      <c r="DP30" s="587">
        <v>0</v>
      </c>
      <c r="DQ30" s="770"/>
      <c r="DR30" s="587">
        <v>0</v>
      </c>
      <c r="DS30" s="770"/>
      <c r="DT30" s="587">
        <v>0</v>
      </c>
      <c r="DU30" s="770"/>
      <c r="DV30" s="587">
        <v>0</v>
      </c>
      <c r="DW30" s="770"/>
      <c r="DX30" s="587">
        <v>0</v>
      </c>
      <c r="DY30" s="770"/>
      <c r="DZ30" s="587">
        <v>0</v>
      </c>
      <c r="EA30" s="770"/>
      <c r="EB30" s="587">
        <v>0</v>
      </c>
      <c r="EC30" s="770"/>
      <c r="ED30" s="587">
        <v>0</v>
      </c>
      <c r="EE30" s="770"/>
      <c r="EF30" s="587">
        <v>0</v>
      </c>
      <c r="EG30" s="770"/>
      <c r="EH30" s="587">
        <v>0</v>
      </c>
      <c r="EI30" s="770"/>
      <c r="EJ30" s="587">
        <v>0</v>
      </c>
      <c r="EK30" s="770"/>
      <c r="EL30" s="587">
        <v>0</v>
      </c>
      <c r="EM30" s="770"/>
      <c r="EN30" s="587">
        <v>0</v>
      </c>
      <c r="EO30" s="770"/>
      <c r="EP30" s="587">
        <v>0</v>
      </c>
      <c r="EQ30" s="770"/>
      <c r="ER30" s="587">
        <v>0</v>
      </c>
      <c r="ES30" s="770"/>
      <c r="ET30" s="587">
        <v>0</v>
      </c>
      <c r="EU30" s="770"/>
      <c r="EV30" s="587">
        <v>0</v>
      </c>
      <c r="EW30" s="770"/>
      <c r="EX30" s="587">
        <v>0</v>
      </c>
      <c r="EY30" s="770"/>
      <c r="EZ30" s="587">
        <v>0</v>
      </c>
      <c r="FA30" s="770"/>
      <c r="FB30" s="587">
        <v>0</v>
      </c>
      <c r="FC30" s="770"/>
      <c r="FD30" s="587">
        <v>0</v>
      </c>
      <c r="FE30" s="770"/>
      <c r="FF30" s="587">
        <v>0</v>
      </c>
      <c r="FG30" s="770"/>
      <c r="FH30" s="589">
        <v>0</v>
      </c>
      <c r="FI30" s="563"/>
      <c r="FJ30" s="564"/>
      <c r="FK30" s="764" t="s">
        <v>440</v>
      </c>
      <c r="FL30" s="771"/>
      <c r="FM30" s="767"/>
      <c r="FN30" s="776"/>
      <c r="FO30" s="777"/>
      <c r="FP30" s="696"/>
      <c r="FQ30" s="772"/>
      <c r="FR30" s="587"/>
      <c r="FS30" s="773"/>
      <c r="FT30" s="772"/>
      <c r="FU30" s="592"/>
      <c r="FV30" s="593"/>
      <c r="FW30" s="594"/>
      <c r="FX30" s="595"/>
      <c r="FY30" s="596"/>
      <c r="FZ30" s="597"/>
      <c r="GA30" s="598"/>
      <c r="GB30" s="599"/>
      <c r="GC30" s="600"/>
      <c r="GD30" s="599"/>
      <c r="GE30" s="601"/>
      <c r="GF30" s="762"/>
      <c r="GG30" s="602"/>
      <c r="GH30" s="602"/>
      <c r="GI30" s="602"/>
      <c r="GJ30" s="579"/>
      <c r="GK30" s="1338"/>
      <c r="GL30" s="1338"/>
      <c r="GM30" s="1338"/>
      <c r="GN30" s="1338"/>
      <c r="GO30" s="578"/>
      <c r="GP30" s="579"/>
      <c r="GQ30" s="500"/>
      <c r="GR30" s="500"/>
      <c r="GS30" s="530"/>
      <c r="GT30" s="689"/>
      <c r="GU30" s="1343"/>
      <c r="GV30" s="1343"/>
      <c r="GW30" s="1337"/>
      <c r="GX30" s="1337"/>
      <c r="GY30" s="1337"/>
      <c r="GZ30" s="1337"/>
      <c r="HA30" s="1337"/>
      <c r="HB30" s="1344"/>
      <c r="HC30" s="579"/>
      <c r="HD30" s="562"/>
      <c r="HE30" s="415"/>
      <c r="HF30" s="415"/>
    </row>
    <row r="31" spans="1:218" ht="20.100000000000001" customHeight="1">
      <c r="A31" s="552"/>
      <c r="B31" s="784" t="s">
        <v>443</v>
      </c>
      <c r="C31" s="784"/>
      <c r="D31" s="785"/>
      <c r="E31" s="786"/>
      <c r="F31" s="787"/>
      <c r="G31" s="769"/>
      <c r="H31" s="587"/>
      <c r="I31" s="770"/>
      <c r="J31" s="587"/>
      <c r="K31" s="770"/>
      <c r="L31" s="587"/>
      <c r="M31" s="770"/>
      <c r="N31" s="587"/>
      <c r="O31" s="770"/>
      <c r="P31" s="587"/>
      <c r="Q31" s="770"/>
      <c r="R31" s="587"/>
      <c r="S31" s="770"/>
      <c r="T31" s="587"/>
      <c r="U31" s="770"/>
      <c r="V31" s="587"/>
      <c r="W31" s="770"/>
      <c r="X31" s="587"/>
      <c r="Y31" s="770"/>
      <c r="Z31" s="587"/>
      <c r="AA31" s="770"/>
      <c r="AB31" s="587"/>
      <c r="AC31" s="770"/>
      <c r="AD31" s="587"/>
      <c r="AE31" s="770"/>
      <c r="AF31" s="587"/>
      <c r="AG31" s="770"/>
      <c r="AH31" s="587"/>
      <c r="AI31" s="770"/>
      <c r="AJ31" s="587"/>
      <c r="AK31" s="770"/>
      <c r="AL31" s="587"/>
      <c r="AM31" s="770"/>
      <c r="AN31" s="587"/>
      <c r="AO31" s="770"/>
      <c r="AP31" s="587"/>
      <c r="AQ31" s="770"/>
      <c r="AR31" s="587"/>
      <c r="AS31" s="770"/>
      <c r="AT31" s="587"/>
      <c r="AU31" s="770"/>
      <c r="AV31" s="587"/>
      <c r="AW31" s="770"/>
      <c r="AX31" s="587"/>
      <c r="AY31" s="770"/>
      <c r="AZ31" s="587"/>
      <c r="BA31" s="770"/>
      <c r="BB31" s="589"/>
      <c r="BC31" s="562"/>
      <c r="BD31" s="552"/>
      <c r="BE31" s="784" t="s">
        <v>443</v>
      </c>
      <c r="BF31" s="784"/>
      <c r="BG31" s="785">
        <v>0</v>
      </c>
      <c r="BH31" s="786">
        <v>0</v>
      </c>
      <c r="BI31" s="787"/>
      <c r="BJ31" s="769"/>
      <c r="BK31" s="587">
        <v>0</v>
      </c>
      <c r="BL31" s="770"/>
      <c r="BM31" s="587">
        <v>0</v>
      </c>
      <c r="BN31" s="770"/>
      <c r="BO31" s="587">
        <v>0</v>
      </c>
      <c r="BP31" s="770"/>
      <c r="BQ31" s="587">
        <v>0</v>
      </c>
      <c r="BR31" s="770"/>
      <c r="BS31" s="587">
        <v>0</v>
      </c>
      <c r="BT31" s="770"/>
      <c r="BU31" s="587">
        <v>0</v>
      </c>
      <c r="BV31" s="770"/>
      <c r="BW31" s="587">
        <v>0</v>
      </c>
      <c r="BX31" s="770"/>
      <c r="BY31" s="587">
        <v>0</v>
      </c>
      <c r="BZ31" s="770"/>
      <c r="CA31" s="587">
        <v>0</v>
      </c>
      <c r="CB31" s="770"/>
      <c r="CC31" s="587">
        <v>0</v>
      </c>
      <c r="CD31" s="770"/>
      <c r="CE31" s="587">
        <v>0</v>
      </c>
      <c r="CF31" s="770"/>
      <c r="CG31" s="587">
        <v>0</v>
      </c>
      <c r="CH31" s="770"/>
      <c r="CI31" s="587">
        <v>0</v>
      </c>
      <c r="CJ31" s="770"/>
      <c r="CK31" s="587">
        <v>0</v>
      </c>
      <c r="CL31" s="770"/>
      <c r="CM31" s="587">
        <v>0</v>
      </c>
      <c r="CN31" s="770"/>
      <c r="CO31" s="587">
        <v>0</v>
      </c>
      <c r="CP31" s="770"/>
      <c r="CQ31" s="587">
        <v>0</v>
      </c>
      <c r="CR31" s="770"/>
      <c r="CS31" s="587">
        <v>0</v>
      </c>
      <c r="CT31" s="770"/>
      <c r="CU31" s="587">
        <v>0</v>
      </c>
      <c r="CV31" s="770"/>
      <c r="CW31" s="587">
        <v>0</v>
      </c>
      <c r="CX31" s="770"/>
      <c r="CY31" s="587">
        <v>0</v>
      </c>
      <c r="CZ31" s="770"/>
      <c r="DA31" s="587">
        <v>0</v>
      </c>
      <c r="DB31" s="770"/>
      <c r="DC31" s="587">
        <v>0</v>
      </c>
      <c r="DD31" s="770"/>
      <c r="DE31" s="589">
        <v>0</v>
      </c>
      <c r="DF31" s="562"/>
      <c r="DG31" s="552"/>
      <c r="DH31" s="784" t="s">
        <v>442</v>
      </c>
      <c r="DI31" s="784"/>
      <c r="DJ31" s="785">
        <v>0</v>
      </c>
      <c r="DK31" s="786">
        <v>0</v>
      </c>
      <c r="DL31" s="787"/>
      <c r="DM31" s="769"/>
      <c r="DN31" s="587">
        <v>0</v>
      </c>
      <c r="DO31" s="770"/>
      <c r="DP31" s="587">
        <v>0</v>
      </c>
      <c r="DQ31" s="770"/>
      <c r="DR31" s="587">
        <v>0</v>
      </c>
      <c r="DS31" s="770"/>
      <c r="DT31" s="587">
        <v>0</v>
      </c>
      <c r="DU31" s="770"/>
      <c r="DV31" s="587">
        <v>0</v>
      </c>
      <c r="DW31" s="770"/>
      <c r="DX31" s="587">
        <v>0</v>
      </c>
      <c r="DY31" s="770"/>
      <c r="DZ31" s="587">
        <v>0</v>
      </c>
      <c r="EA31" s="770"/>
      <c r="EB31" s="587">
        <v>0</v>
      </c>
      <c r="EC31" s="770"/>
      <c r="ED31" s="587">
        <v>0</v>
      </c>
      <c r="EE31" s="770"/>
      <c r="EF31" s="587">
        <v>0</v>
      </c>
      <c r="EG31" s="770"/>
      <c r="EH31" s="587">
        <v>0</v>
      </c>
      <c r="EI31" s="770"/>
      <c r="EJ31" s="587">
        <v>0</v>
      </c>
      <c r="EK31" s="770"/>
      <c r="EL31" s="587">
        <v>0</v>
      </c>
      <c r="EM31" s="770"/>
      <c r="EN31" s="587">
        <v>0</v>
      </c>
      <c r="EO31" s="770"/>
      <c r="EP31" s="587">
        <v>0</v>
      </c>
      <c r="EQ31" s="770"/>
      <c r="ER31" s="587">
        <v>0</v>
      </c>
      <c r="ES31" s="770"/>
      <c r="ET31" s="587">
        <v>0</v>
      </c>
      <c r="EU31" s="770"/>
      <c r="EV31" s="587">
        <v>0</v>
      </c>
      <c r="EW31" s="770"/>
      <c r="EX31" s="587">
        <v>0</v>
      </c>
      <c r="EY31" s="770"/>
      <c r="EZ31" s="587">
        <v>0</v>
      </c>
      <c r="FA31" s="770"/>
      <c r="FB31" s="587">
        <v>0</v>
      </c>
      <c r="FC31" s="770"/>
      <c r="FD31" s="587">
        <v>0</v>
      </c>
      <c r="FE31" s="770"/>
      <c r="FF31" s="587">
        <v>0</v>
      </c>
      <c r="FG31" s="770"/>
      <c r="FH31" s="589">
        <v>0</v>
      </c>
      <c r="FI31" s="563"/>
      <c r="FJ31" s="564"/>
      <c r="FK31" s="784" t="s">
        <v>443</v>
      </c>
      <c r="FL31" s="784"/>
      <c r="FM31" s="788"/>
      <c r="FN31" s="786"/>
      <c r="FO31" s="787"/>
      <c r="FP31" s="696"/>
      <c r="FQ31" s="772"/>
      <c r="FR31" s="587"/>
      <c r="FS31" s="773"/>
      <c r="FT31" s="772"/>
      <c r="FU31" s="592"/>
      <c r="FV31" s="593"/>
      <c r="FW31" s="594"/>
      <c r="FX31" s="595"/>
      <c r="FY31" s="596"/>
      <c r="FZ31" s="597"/>
      <c r="GA31" s="598"/>
      <c r="GB31" s="599"/>
      <c r="GC31" s="600"/>
      <c r="GD31" s="599"/>
      <c r="GE31" s="601"/>
      <c r="GF31" s="762"/>
      <c r="GG31" s="602"/>
      <c r="GH31" s="602"/>
      <c r="GI31" s="602"/>
      <c r="GJ31" s="500"/>
      <c r="GK31" s="578"/>
      <c r="GL31" s="500"/>
      <c r="GM31" s="578"/>
      <c r="GN31" s="500"/>
      <c r="GO31" s="578"/>
      <c r="GP31" s="579"/>
      <c r="GQ31" s="500"/>
      <c r="GR31" s="500"/>
      <c r="GS31" s="580"/>
      <c r="GT31" s="689"/>
      <c r="GU31" s="1343"/>
      <c r="GV31" s="1343"/>
      <c r="GW31" s="1348"/>
      <c r="GX31" s="1348"/>
      <c r="GY31" s="1349"/>
      <c r="GZ31" s="1342"/>
      <c r="HA31" s="1342"/>
      <c r="HB31" s="1344"/>
      <c r="HC31" s="579"/>
      <c r="HD31" s="562"/>
      <c r="HE31" s="415"/>
      <c r="HF31" s="415"/>
    </row>
    <row r="32" spans="1:218" ht="20.100000000000001" customHeight="1">
      <c r="A32" s="552"/>
      <c r="B32" s="794" t="s">
        <v>444</v>
      </c>
      <c r="C32" s="795"/>
      <c r="D32" s="785"/>
      <c r="E32" s="796"/>
      <c r="F32" s="797"/>
      <c r="G32" s="798"/>
      <c r="H32" s="799"/>
      <c r="I32" s="800"/>
      <c r="J32" s="799"/>
      <c r="K32" s="800"/>
      <c r="L32" s="799"/>
      <c r="M32" s="800"/>
      <c r="N32" s="799"/>
      <c r="O32" s="800"/>
      <c r="P32" s="799"/>
      <c r="Q32" s="800"/>
      <c r="R32" s="799"/>
      <c r="S32" s="800"/>
      <c r="T32" s="799"/>
      <c r="U32" s="800"/>
      <c r="V32" s="799"/>
      <c r="W32" s="800"/>
      <c r="X32" s="799"/>
      <c r="Y32" s="800"/>
      <c r="Z32" s="799"/>
      <c r="AA32" s="800"/>
      <c r="AB32" s="799"/>
      <c r="AC32" s="800"/>
      <c r="AD32" s="799"/>
      <c r="AE32" s="800"/>
      <c r="AF32" s="799"/>
      <c r="AG32" s="800"/>
      <c r="AH32" s="799"/>
      <c r="AI32" s="800"/>
      <c r="AJ32" s="799"/>
      <c r="AK32" s="800"/>
      <c r="AL32" s="799"/>
      <c r="AM32" s="800"/>
      <c r="AN32" s="799"/>
      <c r="AO32" s="800"/>
      <c r="AP32" s="799"/>
      <c r="AQ32" s="800"/>
      <c r="AR32" s="799"/>
      <c r="AS32" s="800"/>
      <c r="AT32" s="799"/>
      <c r="AU32" s="800"/>
      <c r="AV32" s="799"/>
      <c r="AW32" s="800"/>
      <c r="AX32" s="799"/>
      <c r="AY32" s="800"/>
      <c r="AZ32" s="799"/>
      <c r="BA32" s="800"/>
      <c r="BB32" s="801"/>
      <c r="BC32" s="562"/>
      <c r="BD32" s="552"/>
      <c r="BE32" s="794" t="s">
        <v>669</v>
      </c>
      <c r="BF32" s="795"/>
      <c r="BG32" s="785">
        <v>0</v>
      </c>
      <c r="BH32" s="796">
        <v>0</v>
      </c>
      <c r="BI32" s="797"/>
      <c r="BJ32" s="798"/>
      <c r="BK32" s="799">
        <v>0</v>
      </c>
      <c r="BL32" s="800"/>
      <c r="BM32" s="799">
        <v>0</v>
      </c>
      <c r="BN32" s="800"/>
      <c r="BO32" s="799">
        <v>0</v>
      </c>
      <c r="BP32" s="800"/>
      <c r="BQ32" s="799">
        <v>0</v>
      </c>
      <c r="BR32" s="800"/>
      <c r="BS32" s="799">
        <v>0</v>
      </c>
      <c r="BT32" s="800"/>
      <c r="BU32" s="799">
        <v>0</v>
      </c>
      <c r="BV32" s="800"/>
      <c r="BW32" s="799">
        <v>0</v>
      </c>
      <c r="BX32" s="800"/>
      <c r="BY32" s="799">
        <v>0</v>
      </c>
      <c r="BZ32" s="800"/>
      <c r="CA32" s="799">
        <v>0</v>
      </c>
      <c r="CB32" s="800"/>
      <c r="CC32" s="799">
        <v>0</v>
      </c>
      <c r="CD32" s="800"/>
      <c r="CE32" s="799">
        <v>0</v>
      </c>
      <c r="CF32" s="800"/>
      <c r="CG32" s="799">
        <v>0</v>
      </c>
      <c r="CH32" s="800"/>
      <c r="CI32" s="799">
        <v>0</v>
      </c>
      <c r="CJ32" s="800"/>
      <c r="CK32" s="799">
        <v>0</v>
      </c>
      <c r="CL32" s="800"/>
      <c r="CM32" s="799">
        <v>0</v>
      </c>
      <c r="CN32" s="800"/>
      <c r="CO32" s="799">
        <v>0</v>
      </c>
      <c r="CP32" s="800"/>
      <c r="CQ32" s="799">
        <v>0</v>
      </c>
      <c r="CR32" s="800"/>
      <c r="CS32" s="799">
        <v>0</v>
      </c>
      <c r="CT32" s="800"/>
      <c r="CU32" s="799">
        <v>0</v>
      </c>
      <c r="CV32" s="800"/>
      <c r="CW32" s="799">
        <v>0</v>
      </c>
      <c r="CX32" s="800"/>
      <c r="CY32" s="799">
        <v>0</v>
      </c>
      <c r="CZ32" s="800"/>
      <c r="DA32" s="799">
        <v>0</v>
      </c>
      <c r="DB32" s="800"/>
      <c r="DC32" s="799">
        <v>0</v>
      </c>
      <c r="DD32" s="800"/>
      <c r="DE32" s="801">
        <v>0</v>
      </c>
      <c r="DF32" s="562"/>
      <c r="DG32" s="552"/>
      <c r="DH32" s="794" t="s">
        <v>444</v>
      </c>
      <c r="DI32" s="795"/>
      <c r="DJ32" s="785">
        <v>0</v>
      </c>
      <c r="DK32" s="796">
        <v>0</v>
      </c>
      <c r="DL32" s="797"/>
      <c r="DM32" s="798"/>
      <c r="DN32" s="799">
        <v>0</v>
      </c>
      <c r="DO32" s="800"/>
      <c r="DP32" s="799">
        <v>0</v>
      </c>
      <c r="DQ32" s="800"/>
      <c r="DR32" s="799">
        <v>0</v>
      </c>
      <c r="DS32" s="800"/>
      <c r="DT32" s="799">
        <v>0</v>
      </c>
      <c r="DU32" s="800"/>
      <c r="DV32" s="799">
        <v>0</v>
      </c>
      <c r="DW32" s="800"/>
      <c r="DX32" s="799">
        <v>0</v>
      </c>
      <c r="DY32" s="800"/>
      <c r="DZ32" s="799">
        <v>0</v>
      </c>
      <c r="EA32" s="800"/>
      <c r="EB32" s="799">
        <v>0</v>
      </c>
      <c r="EC32" s="800"/>
      <c r="ED32" s="799">
        <v>0</v>
      </c>
      <c r="EE32" s="800"/>
      <c r="EF32" s="799">
        <v>0</v>
      </c>
      <c r="EG32" s="800"/>
      <c r="EH32" s="799">
        <v>0</v>
      </c>
      <c r="EI32" s="800"/>
      <c r="EJ32" s="799">
        <v>0</v>
      </c>
      <c r="EK32" s="800"/>
      <c r="EL32" s="799">
        <v>0</v>
      </c>
      <c r="EM32" s="800"/>
      <c r="EN32" s="799">
        <v>0</v>
      </c>
      <c r="EO32" s="800"/>
      <c r="EP32" s="799">
        <v>0</v>
      </c>
      <c r="EQ32" s="800"/>
      <c r="ER32" s="799">
        <v>0</v>
      </c>
      <c r="ES32" s="800"/>
      <c r="ET32" s="799">
        <v>0</v>
      </c>
      <c r="EU32" s="800"/>
      <c r="EV32" s="799">
        <v>0</v>
      </c>
      <c r="EW32" s="800"/>
      <c r="EX32" s="799">
        <v>0</v>
      </c>
      <c r="EY32" s="800"/>
      <c r="EZ32" s="799">
        <v>0</v>
      </c>
      <c r="FA32" s="800"/>
      <c r="FB32" s="799">
        <v>0</v>
      </c>
      <c r="FC32" s="800"/>
      <c r="FD32" s="799">
        <v>0</v>
      </c>
      <c r="FE32" s="800"/>
      <c r="FF32" s="799">
        <v>0</v>
      </c>
      <c r="FG32" s="800"/>
      <c r="FH32" s="801">
        <v>0</v>
      </c>
      <c r="FI32" s="563"/>
      <c r="FJ32" s="564"/>
      <c r="FK32" s="794" t="s">
        <v>444</v>
      </c>
      <c r="FL32" s="795"/>
      <c r="FM32" s="788"/>
      <c r="FN32" s="796"/>
      <c r="FO32" s="797"/>
      <c r="FP32" s="802"/>
      <c r="FQ32" s="803"/>
      <c r="FR32" s="799"/>
      <c r="FS32" s="804"/>
      <c r="FT32" s="803"/>
      <c r="FU32" s="805"/>
      <c r="FV32" s="593"/>
      <c r="FW32" s="594"/>
      <c r="FX32" s="806"/>
      <c r="FY32" s="596"/>
      <c r="FZ32" s="807"/>
      <c r="GA32" s="598"/>
      <c r="GB32" s="808"/>
      <c r="GC32" s="600"/>
      <c r="GD32" s="808"/>
      <c r="GE32" s="601"/>
      <c r="GF32" s="762"/>
      <c r="GG32" s="602"/>
      <c r="GH32" s="602"/>
      <c r="GI32" s="602"/>
      <c r="GJ32" s="500"/>
      <c r="GK32" s="1330"/>
      <c r="GL32" s="1330"/>
      <c r="GM32" s="1330"/>
      <c r="GN32" s="1330"/>
      <c r="GO32" s="1330"/>
      <c r="GP32" s="1330"/>
      <c r="GQ32" s="1330"/>
      <c r="GR32" s="1330"/>
      <c r="GS32" s="409"/>
      <c r="GT32" s="689"/>
      <c r="GU32" s="1343"/>
      <c r="GV32" s="1343"/>
      <c r="GW32" s="1348"/>
      <c r="GX32" s="1348"/>
      <c r="GY32" s="1349"/>
      <c r="GZ32" s="1342"/>
      <c r="HA32" s="1342"/>
      <c r="HB32" s="1344"/>
      <c r="HC32" s="413"/>
      <c r="HD32" s="562"/>
      <c r="HE32" s="415"/>
      <c r="HF32" s="415"/>
    </row>
    <row r="33" spans="1:219" ht="20.100000000000001" customHeight="1">
      <c r="A33" s="641"/>
      <c r="B33" s="642"/>
      <c r="C33" s="642"/>
      <c r="D33" s="643" t="s">
        <v>445</v>
      </c>
      <c r="E33" s="642"/>
      <c r="F33" s="642"/>
      <c r="G33" s="644"/>
      <c r="H33" s="645">
        <v>0</v>
      </c>
      <c r="I33" s="1310"/>
      <c r="J33" s="645">
        <v>0</v>
      </c>
      <c r="K33" s="1310"/>
      <c r="L33" s="645">
        <v>0</v>
      </c>
      <c r="M33" s="1310"/>
      <c r="N33" s="645">
        <v>0</v>
      </c>
      <c r="O33" s="1310"/>
      <c r="P33" s="645">
        <v>0</v>
      </c>
      <c r="Q33" s="1310"/>
      <c r="R33" s="645">
        <v>0</v>
      </c>
      <c r="S33" s="1310"/>
      <c r="T33" s="645">
        <v>0</v>
      </c>
      <c r="U33" s="1310"/>
      <c r="V33" s="645">
        <v>0</v>
      </c>
      <c r="W33" s="1310"/>
      <c r="X33" s="645">
        <v>0</v>
      </c>
      <c r="Y33" s="1310"/>
      <c r="Z33" s="645">
        <v>0</v>
      </c>
      <c r="AA33" s="1310"/>
      <c r="AB33" s="645">
        <v>0</v>
      </c>
      <c r="AC33" s="1310"/>
      <c r="AD33" s="645">
        <v>0</v>
      </c>
      <c r="AE33" s="1310"/>
      <c r="AF33" s="645">
        <v>0</v>
      </c>
      <c r="AG33" s="1310"/>
      <c r="AH33" s="645">
        <v>0</v>
      </c>
      <c r="AI33" s="1310"/>
      <c r="AJ33" s="645">
        <v>0</v>
      </c>
      <c r="AK33" s="1310"/>
      <c r="AL33" s="645">
        <v>0</v>
      </c>
      <c r="AM33" s="1310"/>
      <c r="AN33" s="645">
        <v>0</v>
      </c>
      <c r="AO33" s="1310"/>
      <c r="AP33" s="645">
        <v>0</v>
      </c>
      <c r="AQ33" s="1310"/>
      <c r="AR33" s="645">
        <v>0</v>
      </c>
      <c r="AS33" s="1310"/>
      <c r="AT33" s="645">
        <v>0</v>
      </c>
      <c r="AU33" s="1310"/>
      <c r="AV33" s="645">
        <v>0</v>
      </c>
      <c r="AW33" s="1310"/>
      <c r="AX33" s="645">
        <v>0</v>
      </c>
      <c r="AY33" s="1310"/>
      <c r="AZ33" s="645">
        <v>0</v>
      </c>
      <c r="BA33" s="1310"/>
      <c r="BB33" s="647">
        <v>0</v>
      </c>
      <c r="BC33" s="648"/>
      <c r="BD33" s="641"/>
      <c r="BE33" s="642"/>
      <c r="BF33" s="642"/>
      <c r="BG33" s="643" t="s">
        <v>445</v>
      </c>
      <c r="BH33" s="642"/>
      <c r="BI33" s="642"/>
      <c r="BJ33" s="644"/>
      <c r="BK33" s="645">
        <v>0</v>
      </c>
      <c r="BL33" s="1310"/>
      <c r="BM33" s="645">
        <v>0</v>
      </c>
      <c r="BN33" s="1310"/>
      <c r="BO33" s="645">
        <v>0</v>
      </c>
      <c r="BP33" s="1310"/>
      <c r="BQ33" s="645">
        <v>0</v>
      </c>
      <c r="BR33" s="1310"/>
      <c r="BS33" s="645">
        <v>0</v>
      </c>
      <c r="BT33" s="1310"/>
      <c r="BU33" s="645">
        <v>0</v>
      </c>
      <c r="BV33" s="1310"/>
      <c r="BW33" s="645">
        <v>0</v>
      </c>
      <c r="BX33" s="1310"/>
      <c r="BY33" s="645">
        <v>0</v>
      </c>
      <c r="BZ33" s="1310"/>
      <c r="CA33" s="645">
        <v>0</v>
      </c>
      <c r="CB33" s="1310"/>
      <c r="CC33" s="645">
        <v>0</v>
      </c>
      <c r="CD33" s="1310"/>
      <c r="CE33" s="645">
        <v>0</v>
      </c>
      <c r="CF33" s="1310"/>
      <c r="CG33" s="645">
        <v>0</v>
      </c>
      <c r="CH33" s="1310"/>
      <c r="CI33" s="645">
        <v>0</v>
      </c>
      <c r="CJ33" s="1310"/>
      <c r="CK33" s="645">
        <v>0</v>
      </c>
      <c r="CL33" s="1310"/>
      <c r="CM33" s="645">
        <v>0</v>
      </c>
      <c r="CN33" s="1310"/>
      <c r="CO33" s="645">
        <v>0</v>
      </c>
      <c r="CP33" s="1310"/>
      <c r="CQ33" s="645">
        <v>0</v>
      </c>
      <c r="CR33" s="1310"/>
      <c r="CS33" s="645">
        <v>0</v>
      </c>
      <c r="CT33" s="1310"/>
      <c r="CU33" s="645">
        <v>0</v>
      </c>
      <c r="CV33" s="1310"/>
      <c r="CW33" s="645">
        <v>0</v>
      </c>
      <c r="CX33" s="1310"/>
      <c r="CY33" s="645">
        <v>0</v>
      </c>
      <c r="CZ33" s="1310"/>
      <c r="DA33" s="645">
        <v>0</v>
      </c>
      <c r="DB33" s="1310"/>
      <c r="DC33" s="645">
        <v>0</v>
      </c>
      <c r="DD33" s="1310"/>
      <c r="DE33" s="647">
        <v>0</v>
      </c>
      <c r="DF33" s="648"/>
      <c r="DG33" s="641"/>
      <c r="DH33" s="642"/>
      <c r="DI33" s="642"/>
      <c r="DJ33" s="643" t="s">
        <v>325</v>
      </c>
      <c r="DK33" s="642"/>
      <c r="DL33" s="642"/>
      <c r="DM33" s="644"/>
      <c r="DN33" s="645">
        <v>0</v>
      </c>
      <c r="DO33" s="1310"/>
      <c r="DP33" s="645">
        <v>0</v>
      </c>
      <c r="DQ33" s="1310"/>
      <c r="DR33" s="645">
        <v>0</v>
      </c>
      <c r="DS33" s="1310"/>
      <c r="DT33" s="645">
        <v>0</v>
      </c>
      <c r="DU33" s="1310"/>
      <c r="DV33" s="645">
        <v>0</v>
      </c>
      <c r="DW33" s="1310"/>
      <c r="DX33" s="645">
        <v>0</v>
      </c>
      <c r="DY33" s="1310"/>
      <c r="DZ33" s="645">
        <v>0</v>
      </c>
      <c r="EA33" s="1310"/>
      <c r="EB33" s="645">
        <v>0</v>
      </c>
      <c r="EC33" s="1310"/>
      <c r="ED33" s="645">
        <v>0</v>
      </c>
      <c r="EE33" s="1310"/>
      <c r="EF33" s="645">
        <v>0</v>
      </c>
      <c r="EG33" s="1310"/>
      <c r="EH33" s="645">
        <v>0</v>
      </c>
      <c r="EI33" s="1310"/>
      <c r="EJ33" s="645">
        <v>0</v>
      </c>
      <c r="EK33" s="1310"/>
      <c r="EL33" s="645">
        <v>0</v>
      </c>
      <c r="EM33" s="1310"/>
      <c r="EN33" s="645">
        <v>0</v>
      </c>
      <c r="EO33" s="1310"/>
      <c r="EP33" s="645">
        <v>0</v>
      </c>
      <c r="EQ33" s="1310"/>
      <c r="ER33" s="645">
        <v>0</v>
      </c>
      <c r="ES33" s="1310"/>
      <c r="ET33" s="645">
        <v>0</v>
      </c>
      <c r="EU33" s="1310"/>
      <c r="EV33" s="645">
        <v>0</v>
      </c>
      <c r="EW33" s="1310"/>
      <c r="EX33" s="645">
        <v>0</v>
      </c>
      <c r="EY33" s="1310"/>
      <c r="EZ33" s="645">
        <v>0</v>
      </c>
      <c r="FA33" s="1310"/>
      <c r="FB33" s="645">
        <v>0</v>
      </c>
      <c r="FC33" s="1310"/>
      <c r="FD33" s="645">
        <v>0</v>
      </c>
      <c r="FE33" s="1310"/>
      <c r="FF33" s="645">
        <v>0</v>
      </c>
      <c r="FG33" s="1310"/>
      <c r="FH33" s="647">
        <v>0</v>
      </c>
      <c r="FI33" s="649"/>
      <c r="FJ33" s="564"/>
      <c r="FK33" s="642"/>
      <c r="FL33" s="642"/>
      <c r="FM33" s="643" t="s">
        <v>445</v>
      </c>
      <c r="FN33" s="642"/>
      <c r="FO33" s="642"/>
      <c r="FP33" s="650"/>
      <c r="FQ33" s="651"/>
      <c r="FR33" s="645">
        <v>0</v>
      </c>
      <c r="FS33" s="652"/>
      <c r="FT33" s="651"/>
      <c r="FU33" s="653">
        <v>0</v>
      </c>
      <c r="FV33" s="593"/>
      <c r="FW33" s="594"/>
      <c r="FX33" s="806"/>
      <c r="FY33" s="596"/>
      <c r="FZ33" s="807"/>
      <c r="GA33" s="598"/>
      <c r="GB33" s="808"/>
      <c r="GC33" s="600"/>
      <c r="GD33" s="808"/>
      <c r="GE33" s="601"/>
      <c r="GF33" s="654"/>
      <c r="GG33" s="655"/>
      <c r="GH33" s="655"/>
      <c r="GI33" s="655"/>
      <c r="GJ33" s="579"/>
      <c r="GK33" s="578"/>
      <c r="GL33" s="579"/>
      <c r="GM33" s="578"/>
      <c r="GN33" s="579"/>
      <c r="GO33" s="578"/>
      <c r="GP33" s="578"/>
      <c r="GQ33" s="578"/>
      <c r="GR33" s="579"/>
      <c r="GS33" s="530"/>
      <c r="GT33" s="689"/>
      <c r="GU33" s="1343"/>
      <c r="GV33" s="1343"/>
      <c r="GW33" s="500"/>
      <c r="GX33" s="500"/>
      <c r="GY33" s="500"/>
      <c r="GZ33" s="500"/>
      <c r="HA33" s="500"/>
      <c r="HB33" s="500"/>
      <c r="HC33" s="413"/>
      <c r="HD33" s="648"/>
      <c r="HE33" s="415"/>
      <c r="HF33" s="415"/>
    </row>
    <row r="34" spans="1:219" ht="20.100000000000001" customHeight="1">
      <c r="A34" s="1312" t="s">
        <v>446</v>
      </c>
      <c r="B34" s="743"/>
      <c r="C34" s="817"/>
      <c r="D34" s="818"/>
      <c r="E34" s="817"/>
      <c r="F34" s="819"/>
      <c r="G34" s="740" t="s">
        <v>447</v>
      </c>
      <c r="H34" s="663" t="s">
        <v>430</v>
      </c>
      <c r="I34" s="741" t="s">
        <v>447</v>
      </c>
      <c r="J34" s="663" t="s">
        <v>430</v>
      </c>
      <c r="K34" s="742" t="s">
        <v>447</v>
      </c>
      <c r="L34" s="663" t="s">
        <v>430</v>
      </c>
      <c r="M34" s="742" t="s">
        <v>447</v>
      </c>
      <c r="N34" s="663" t="s">
        <v>430</v>
      </c>
      <c r="O34" s="742" t="s">
        <v>447</v>
      </c>
      <c r="P34" s="663" t="s">
        <v>430</v>
      </c>
      <c r="Q34" s="742" t="s">
        <v>447</v>
      </c>
      <c r="R34" s="663" t="s">
        <v>430</v>
      </c>
      <c r="S34" s="742" t="s">
        <v>447</v>
      </c>
      <c r="T34" s="663" t="s">
        <v>430</v>
      </c>
      <c r="U34" s="742" t="s">
        <v>447</v>
      </c>
      <c r="V34" s="663" t="s">
        <v>428</v>
      </c>
      <c r="W34" s="742" t="s">
        <v>448</v>
      </c>
      <c r="X34" s="663" t="s">
        <v>428</v>
      </c>
      <c r="Y34" s="742" t="s">
        <v>448</v>
      </c>
      <c r="Z34" s="663" t="s">
        <v>428</v>
      </c>
      <c r="AA34" s="742" t="s">
        <v>447</v>
      </c>
      <c r="AB34" s="663" t="s">
        <v>428</v>
      </c>
      <c r="AC34" s="742" t="s">
        <v>448</v>
      </c>
      <c r="AD34" s="663" t="s">
        <v>428</v>
      </c>
      <c r="AE34" s="742" t="s">
        <v>448</v>
      </c>
      <c r="AF34" s="663" t="s">
        <v>428</v>
      </c>
      <c r="AG34" s="742" t="s">
        <v>448</v>
      </c>
      <c r="AH34" s="663" t="s">
        <v>430</v>
      </c>
      <c r="AI34" s="742" t="s">
        <v>448</v>
      </c>
      <c r="AJ34" s="663" t="s">
        <v>430</v>
      </c>
      <c r="AK34" s="742" t="s">
        <v>448</v>
      </c>
      <c r="AL34" s="663" t="s">
        <v>428</v>
      </c>
      <c r="AM34" s="742" t="s">
        <v>448</v>
      </c>
      <c r="AN34" s="663" t="s">
        <v>428</v>
      </c>
      <c r="AO34" s="742" t="s">
        <v>448</v>
      </c>
      <c r="AP34" s="663" t="s">
        <v>430</v>
      </c>
      <c r="AQ34" s="742" t="s">
        <v>447</v>
      </c>
      <c r="AR34" s="663" t="s">
        <v>430</v>
      </c>
      <c r="AS34" s="742" t="s">
        <v>447</v>
      </c>
      <c r="AT34" s="663" t="s">
        <v>430</v>
      </c>
      <c r="AU34" s="742" t="s">
        <v>447</v>
      </c>
      <c r="AV34" s="663" t="s">
        <v>430</v>
      </c>
      <c r="AW34" s="742" t="s">
        <v>447</v>
      </c>
      <c r="AX34" s="663" t="s">
        <v>430</v>
      </c>
      <c r="AY34" s="742" t="s">
        <v>447</v>
      </c>
      <c r="AZ34" s="663" t="s">
        <v>430</v>
      </c>
      <c r="BA34" s="742" t="s">
        <v>447</v>
      </c>
      <c r="BB34" s="665" t="s">
        <v>430</v>
      </c>
      <c r="BC34" s="723"/>
      <c r="BD34" s="1312" t="s">
        <v>449</v>
      </c>
      <c r="BE34" s="820"/>
      <c r="BF34" s="821"/>
      <c r="BG34" s="822"/>
      <c r="BH34" s="821"/>
      <c r="BI34" s="823"/>
      <c r="BJ34" s="740" t="s">
        <v>447</v>
      </c>
      <c r="BK34" s="663" t="s">
        <v>430</v>
      </c>
      <c r="BL34" s="741" t="s">
        <v>447</v>
      </c>
      <c r="BM34" s="663" t="s">
        <v>430</v>
      </c>
      <c r="BN34" s="742" t="s">
        <v>447</v>
      </c>
      <c r="BO34" s="663" t="s">
        <v>430</v>
      </c>
      <c r="BP34" s="742" t="s">
        <v>447</v>
      </c>
      <c r="BQ34" s="663" t="s">
        <v>430</v>
      </c>
      <c r="BR34" s="742" t="s">
        <v>448</v>
      </c>
      <c r="BS34" s="663" t="s">
        <v>428</v>
      </c>
      <c r="BT34" s="742" t="s">
        <v>448</v>
      </c>
      <c r="BU34" s="663" t="s">
        <v>428</v>
      </c>
      <c r="BV34" s="742" t="s">
        <v>448</v>
      </c>
      <c r="BW34" s="663" t="s">
        <v>428</v>
      </c>
      <c r="BX34" s="742" t="s">
        <v>448</v>
      </c>
      <c r="BY34" s="663" t="s">
        <v>428</v>
      </c>
      <c r="BZ34" s="742" t="s">
        <v>447</v>
      </c>
      <c r="CA34" s="663" t="s">
        <v>428</v>
      </c>
      <c r="CB34" s="742" t="s">
        <v>448</v>
      </c>
      <c r="CC34" s="663" t="s">
        <v>430</v>
      </c>
      <c r="CD34" s="742" t="s">
        <v>448</v>
      </c>
      <c r="CE34" s="663" t="s">
        <v>428</v>
      </c>
      <c r="CF34" s="742" t="s">
        <v>448</v>
      </c>
      <c r="CG34" s="663" t="s">
        <v>428</v>
      </c>
      <c r="CH34" s="742" t="s">
        <v>448</v>
      </c>
      <c r="CI34" s="663" t="s">
        <v>428</v>
      </c>
      <c r="CJ34" s="742" t="s">
        <v>448</v>
      </c>
      <c r="CK34" s="663" t="s">
        <v>428</v>
      </c>
      <c r="CL34" s="742" t="s">
        <v>448</v>
      </c>
      <c r="CM34" s="663" t="s">
        <v>428</v>
      </c>
      <c r="CN34" s="742" t="s">
        <v>448</v>
      </c>
      <c r="CO34" s="663" t="s">
        <v>430</v>
      </c>
      <c r="CP34" s="742" t="s">
        <v>448</v>
      </c>
      <c r="CQ34" s="663" t="s">
        <v>428</v>
      </c>
      <c r="CR34" s="742" t="s">
        <v>448</v>
      </c>
      <c r="CS34" s="663" t="s">
        <v>428</v>
      </c>
      <c r="CT34" s="742" t="s">
        <v>448</v>
      </c>
      <c r="CU34" s="663" t="s">
        <v>428</v>
      </c>
      <c r="CV34" s="742" t="s">
        <v>448</v>
      </c>
      <c r="CW34" s="663" t="s">
        <v>428</v>
      </c>
      <c r="CX34" s="742" t="s">
        <v>448</v>
      </c>
      <c r="CY34" s="663" t="s">
        <v>428</v>
      </c>
      <c r="CZ34" s="742" t="s">
        <v>448</v>
      </c>
      <c r="DA34" s="663" t="s">
        <v>430</v>
      </c>
      <c r="DB34" s="742" t="s">
        <v>448</v>
      </c>
      <c r="DC34" s="663" t="s">
        <v>428</v>
      </c>
      <c r="DD34" s="742" t="s">
        <v>448</v>
      </c>
      <c r="DE34" s="665" t="s">
        <v>428</v>
      </c>
      <c r="DF34" s="723"/>
      <c r="DG34" s="1312" t="s">
        <v>446</v>
      </c>
      <c r="DH34" s="738"/>
      <c r="DI34" s="824"/>
      <c r="DJ34" s="825"/>
      <c r="DK34" s="824"/>
      <c r="DL34" s="826"/>
      <c r="DM34" s="740" t="s">
        <v>447</v>
      </c>
      <c r="DN34" s="663" t="s">
        <v>430</v>
      </c>
      <c r="DO34" s="741" t="s">
        <v>448</v>
      </c>
      <c r="DP34" s="663" t="s">
        <v>430</v>
      </c>
      <c r="DQ34" s="742" t="s">
        <v>447</v>
      </c>
      <c r="DR34" s="663" t="s">
        <v>430</v>
      </c>
      <c r="DS34" s="742" t="s">
        <v>447</v>
      </c>
      <c r="DT34" s="663" t="s">
        <v>430</v>
      </c>
      <c r="DU34" s="742" t="s">
        <v>447</v>
      </c>
      <c r="DV34" s="663" t="s">
        <v>430</v>
      </c>
      <c r="DW34" s="742" t="s">
        <v>447</v>
      </c>
      <c r="DX34" s="663" t="s">
        <v>430</v>
      </c>
      <c r="DY34" s="742" t="s">
        <v>447</v>
      </c>
      <c r="DZ34" s="663" t="s">
        <v>430</v>
      </c>
      <c r="EA34" s="742" t="s">
        <v>447</v>
      </c>
      <c r="EB34" s="663" t="s">
        <v>430</v>
      </c>
      <c r="EC34" s="742" t="s">
        <v>447</v>
      </c>
      <c r="ED34" s="663" t="s">
        <v>430</v>
      </c>
      <c r="EE34" s="742" t="s">
        <v>447</v>
      </c>
      <c r="EF34" s="663" t="s">
        <v>430</v>
      </c>
      <c r="EG34" s="742" t="s">
        <v>447</v>
      </c>
      <c r="EH34" s="663" t="s">
        <v>430</v>
      </c>
      <c r="EI34" s="742" t="s">
        <v>447</v>
      </c>
      <c r="EJ34" s="663" t="s">
        <v>430</v>
      </c>
      <c r="EK34" s="742" t="s">
        <v>447</v>
      </c>
      <c r="EL34" s="663" t="s">
        <v>430</v>
      </c>
      <c r="EM34" s="742" t="s">
        <v>447</v>
      </c>
      <c r="EN34" s="663" t="s">
        <v>430</v>
      </c>
      <c r="EO34" s="742" t="s">
        <v>447</v>
      </c>
      <c r="EP34" s="663" t="s">
        <v>430</v>
      </c>
      <c r="EQ34" s="742" t="s">
        <v>447</v>
      </c>
      <c r="ER34" s="663" t="s">
        <v>428</v>
      </c>
      <c r="ES34" s="742" t="s">
        <v>448</v>
      </c>
      <c r="ET34" s="663" t="s">
        <v>428</v>
      </c>
      <c r="EU34" s="742" t="s">
        <v>448</v>
      </c>
      <c r="EV34" s="663" t="s">
        <v>428</v>
      </c>
      <c r="EW34" s="742" t="s">
        <v>448</v>
      </c>
      <c r="EX34" s="663" t="s">
        <v>428</v>
      </c>
      <c r="EY34" s="742" t="s">
        <v>448</v>
      </c>
      <c r="EZ34" s="663" t="s">
        <v>430</v>
      </c>
      <c r="FA34" s="742" t="s">
        <v>448</v>
      </c>
      <c r="FB34" s="663" t="s">
        <v>428</v>
      </c>
      <c r="FC34" s="742" t="s">
        <v>447</v>
      </c>
      <c r="FD34" s="663" t="s">
        <v>428</v>
      </c>
      <c r="FE34" s="742" t="s">
        <v>448</v>
      </c>
      <c r="FF34" s="663" t="s">
        <v>428</v>
      </c>
      <c r="FG34" s="742" t="s">
        <v>448</v>
      </c>
      <c r="FH34" s="665" t="s">
        <v>428</v>
      </c>
      <c r="FI34" s="746"/>
      <c r="FJ34" s="827" t="s">
        <v>449</v>
      </c>
      <c r="FK34" s="738"/>
      <c r="FL34" s="824"/>
      <c r="FM34" s="825"/>
      <c r="FN34" s="824"/>
      <c r="FO34" s="826"/>
      <c r="FP34" s="747" t="s">
        <v>450</v>
      </c>
      <c r="FQ34" s="673" t="s">
        <v>447</v>
      </c>
      <c r="FR34" s="663" t="s">
        <v>434</v>
      </c>
      <c r="FS34" s="748" t="s">
        <v>433</v>
      </c>
      <c r="FT34" s="673" t="s">
        <v>448</v>
      </c>
      <c r="FU34" s="675" t="s">
        <v>434</v>
      </c>
      <c r="FV34" s="593"/>
      <c r="FW34" s="594"/>
      <c r="FX34" s="806"/>
      <c r="FY34" s="596"/>
      <c r="FZ34" s="807"/>
      <c r="GA34" s="598"/>
      <c r="GB34" s="808"/>
      <c r="GC34" s="600"/>
      <c r="GD34" s="808"/>
      <c r="GE34" s="601"/>
      <c r="GF34" s="749"/>
      <c r="GG34" s="750"/>
      <c r="GH34" s="750"/>
      <c r="GI34" s="750"/>
      <c r="GJ34" s="579"/>
      <c r="GK34" s="1341"/>
      <c r="GL34" s="1341"/>
      <c r="GM34" s="1341"/>
      <c r="GN34" s="1341"/>
      <c r="GO34" s="1341"/>
      <c r="GP34" s="1341"/>
      <c r="GQ34" s="579"/>
      <c r="GR34" s="579"/>
      <c r="GS34" s="580"/>
      <c r="GT34" s="689"/>
      <c r="GU34" s="1343"/>
      <c r="GV34" s="1343"/>
      <c r="GW34" s="500"/>
      <c r="GX34" s="500"/>
      <c r="GY34" s="500"/>
      <c r="GZ34" s="500"/>
      <c r="HA34" s="500"/>
      <c r="HB34" s="500"/>
      <c r="HC34" s="530"/>
      <c r="HD34" s="723"/>
      <c r="HE34" s="415"/>
      <c r="HF34" s="415"/>
    </row>
    <row r="35" spans="1:219" ht="20.100000000000001" customHeight="1">
      <c r="A35" s="832"/>
      <c r="B35" s="466" t="s">
        <v>452</v>
      </c>
      <c r="C35" s="467"/>
      <c r="D35" s="833">
        <v>0</v>
      </c>
      <c r="E35" s="834">
        <v>0</v>
      </c>
      <c r="F35" s="835"/>
      <c r="G35" s="836"/>
      <c r="H35" s="837"/>
      <c r="I35" s="838"/>
      <c r="J35" s="799"/>
      <c r="K35" s="839"/>
      <c r="L35" s="799"/>
      <c r="M35" s="839"/>
      <c r="N35" s="799"/>
      <c r="O35" s="839"/>
      <c r="P35" s="799"/>
      <c r="Q35" s="839"/>
      <c r="R35" s="799"/>
      <c r="S35" s="839"/>
      <c r="T35" s="799"/>
      <c r="U35" s="839"/>
      <c r="V35" s="799"/>
      <c r="W35" s="839"/>
      <c r="X35" s="799"/>
      <c r="Y35" s="839"/>
      <c r="Z35" s="799"/>
      <c r="AA35" s="839"/>
      <c r="AB35" s="799"/>
      <c r="AC35" s="839"/>
      <c r="AD35" s="799"/>
      <c r="AE35" s="839"/>
      <c r="AF35" s="799"/>
      <c r="AG35" s="839"/>
      <c r="AH35" s="799"/>
      <c r="AI35" s="839"/>
      <c r="AJ35" s="799"/>
      <c r="AK35" s="839"/>
      <c r="AL35" s="799"/>
      <c r="AM35" s="839"/>
      <c r="AN35" s="799"/>
      <c r="AO35" s="839"/>
      <c r="AP35" s="799"/>
      <c r="AQ35" s="839"/>
      <c r="AR35" s="799"/>
      <c r="AS35" s="839"/>
      <c r="AT35" s="799"/>
      <c r="AU35" s="839"/>
      <c r="AV35" s="799"/>
      <c r="AW35" s="839"/>
      <c r="AX35" s="799"/>
      <c r="AY35" s="839"/>
      <c r="AZ35" s="799"/>
      <c r="BA35" s="839"/>
      <c r="BB35" s="840"/>
      <c r="BC35" s="562"/>
      <c r="BD35" s="832"/>
      <c r="BE35" s="466" t="s">
        <v>326</v>
      </c>
      <c r="BF35" s="467"/>
      <c r="BG35" s="833">
        <v>0</v>
      </c>
      <c r="BH35" s="834">
        <v>0</v>
      </c>
      <c r="BI35" s="835"/>
      <c r="BJ35" s="836"/>
      <c r="BK35" s="837">
        <v>0</v>
      </c>
      <c r="BL35" s="838"/>
      <c r="BM35" s="799">
        <v>0</v>
      </c>
      <c r="BN35" s="839"/>
      <c r="BO35" s="799">
        <v>0</v>
      </c>
      <c r="BP35" s="839"/>
      <c r="BQ35" s="799">
        <v>0</v>
      </c>
      <c r="BR35" s="839"/>
      <c r="BS35" s="799">
        <v>0</v>
      </c>
      <c r="BT35" s="839"/>
      <c r="BU35" s="799">
        <v>0</v>
      </c>
      <c r="BV35" s="839"/>
      <c r="BW35" s="799">
        <v>0</v>
      </c>
      <c r="BX35" s="839"/>
      <c r="BY35" s="799">
        <v>0</v>
      </c>
      <c r="BZ35" s="839"/>
      <c r="CA35" s="799">
        <v>0</v>
      </c>
      <c r="CB35" s="839"/>
      <c r="CC35" s="799">
        <v>0</v>
      </c>
      <c r="CD35" s="839"/>
      <c r="CE35" s="799">
        <v>0</v>
      </c>
      <c r="CF35" s="839"/>
      <c r="CG35" s="799">
        <v>0</v>
      </c>
      <c r="CH35" s="839"/>
      <c r="CI35" s="799">
        <v>0</v>
      </c>
      <c r="CJ35" s="839"/>
      <c r="CK35" s="799">
        <v>0</v>
      </c>
      <c r="CL35" s="839"/>
      <c r="CM35" s="799">
        <v>0</v>
      </c>
      <c r="CN35" s="839"/>
      <c r="CO35" s="799">
        <v>0</v>
      </c>
      <c r="CP35" s="839"/>
      <c r="CQ35" s="799">
        <v>0</v>
      </c>
      <c r="CR35" s="839"/>
      <c r="CS35" s="799">
        <v>0</v>
      </c>
      <c r="CT35" s="839"/>
      <c r="CU35" s="799">
        <v>0</v>
      </c>
      <c r="CV35" s="839"/>
      <c r="CW35" s="799">
        <v>0</v>
      </c>
      <c r="CX35" s="839"/>
      <c r="CY35" s="799">
        <v>0</v>
      </c>
      <c r="CZ35" s="839"/>
      <c r="DA35" s="799">
        <v>0</v>
      </c>
      <c r="DB35" s="839"/>
      <c r="DC35" s="799">
        <v>0</v>
      </c>
      <c r="DD35" s="839"/>
      <c r="DE35" s="840">
        <v>0</v>
      </c>
      <c r="DF35" s="562"/>
      <c r="DG35" s="832"/>
      <c r="DH35" s="466" t="s">
        <v>326</v>
      </c>
      <c r="DI35" s="467"/>
      <c r="DJ35" s="833">
        <v>0</v>
      </c>
      <c r="DK35" s="834">
        <v>0</v>
      </c>
      <c r="DL35" s="835"/>
      <c r="DM35" s="836"/>
      <c r="DN35" s="837">
        <v>0</v>
      </c>
      <c r="DO35" s="838"/>
      <c r="DP35" s="799">
        <v>0</v>
      </c>
      <c r="DQ35" s="839"/>
      <c r="DR35" s="799">
        <v>0</v>
      </c>
      <c r="DS35" s="839"/>
      <c r="DT35" s="799">
        <v>0</v>
      </c>
      <c r="DU35" s="839"/>
      <c r="DV35" s="799">
        <v>0</v>
      </c>
      <c r="DW35" s="839"/>
      <c r="DX35" s="799">
        <v>0</v>
      </c>
      <c r="DY35" s="839"/>
      <c r="DZ35" s="799">
        <v>0</v>
      </c>
      <c r="EA35" s="839"/>
      <c r="EB35" s="799">
        <v>0</v>
      </c>
      <c r="EC35" s="839"/>
      <c r="ED35" s="799">
        <v>0</v>
      </c>
      <c r="EE35" s="839"/>
      <c r="EF35" s="799">
        <v>0</v>
      </c>
      <c r="EG35" s="839"/>
      <c r="EH35" s="799">
        <v>0</v>
      </c>
      <c r="EI35" s="839"/>
      <c r="EJ35" s="799">
        <v>0</v>
      </c>
      <c r="EK35" s="839"/>
      <c r="EL35" s="799">
        <v>0</v>
      </c>
      <c r="EM35" s="839"/>
      <c r="EN35" s="799">
        <v>0</v>
      </c>
      <c r="EO35" s="839"/>
      <c r="EP35" s="799">
        <v>0</v>
      </c>
      <c r="EQ35" s="839"/>
      <c r="ER35" s="799">
        <v>0</v>
      </c>
      <c r="ES35" s="839"/>
      <c r="ET35" s="799">
        <v>0</v>
      </c>
      <c r="EU35" s="839"/>
      <c r="EV35" s="799">
        <v>0</v>
      </c>
      <c r="EW35" s="839"/>
      <c r="EX35" s="799">
        <v>0</v>
      </c>
      <c r="EY35" s="839"/>
      <c r="EZ35" s="799">
        <v>0</v>
      </c>
      <c r="FA35" s="839"/>
      <c r="FB35" s="799">
        <v>0</v>
      </c>
      <c r="FC35" s="839"/>
      <c r="FD35" s="799">
        <v>0</v>
      </c>
      <c r="FE35" s="839"/>
      <c r="FF35" s="799">
        <v>0</v>
      </c>
      <c r="FG35" s="839"/>
      <c r="FH35" s="840">
        <v>0</v>
      </c>
      <c r="FI35" s="563"/>
      <c r="FJ35" s="841"/>
      <c r="FK35" s="466" t="s">
        <v>326</v>
      </c>
      <c r="FL35" s="467"/>
      <c r="FM35" s="833">
        <v>0</v>
      </c>
      <c r="FN35" s="834">
        <v>0</v>
      </c>
      <c r="FO35" s="835"/>
      <c r="FP35" s="842"/>
      <c r="FQ35" s="838"/>
      <c r="FR35" s="837"/>
      <c r="FS35" s="843"/>
      <c r="FT35" s="838"/>
      <c r="FU35" s="805"/>
      <c r="FV35" s="593"/>
      <c r="FW35" s="594"/>
      <c r="FX35" s="806"/>
      <c r="FY35" s="596"/>
      <c r="FZ35" s="807"/>
      <c r="GA35" s="598"/>
      <c r="GB35" s="808"/>
      <c r="GC35" s="600"/>
      <c r="GD35" s="808"/>
      <c r="GE35" s="601"/>
      <c r="GF35" s="844"/>
      <c r="GG35" s="602"/>
      <c r="GH35" s="602"/>
      <c r="GI35" s="602"/>
      <c r="GJ35" s="578"/>
      <c r="GK35" s="578"/>
      <c r="GL35" s="578"/>
      <c r="GM35" s="579"/>
      <c r="GN35" s="578"/>
      <c r="GO35" s="579"/>
      <c r="GP35" s="579"/>
      <c r="GQ35" s="579"/>
      <c r="GR35" s="579"/>
      <c r="GS35" s="409"/>
      <c r="GT35" s="689"/>
      <c r="GU35" s="1343"/>
      <c r="GV35" s="1343"/>
      <c r="GW35" s="500"/>
      <c r="GX35" s="500"/>
      <c r="GY35" s="500"/>
      <c r="GZ35" s="500"/>
      <c r="HA35" s="500"/>
      <c r="HB35" s="500"/>
      <c r="HC35" s="530"/>
      <c r="HD35" s="562"/>
      <c r="HE35" s="415"/>
      <c r="HF35" s="415"/>
    </row>
    <row r="36" spans="1:219" ht="20.100000000000001" customHeight="1">
      <c r="A36" s="832"/>
      <c r="B36" s="642"/>
      <c r="C36" s="642"/>
      <c r="D36" s="643" t="s">
        <v>327</v>
      </c>
      <c r="E36" s="642"/>
      <c r="F36" s="642"/>
      <c r="G36" s="845"/>
      <c r="H36" s="1313">
        <v>0</v>
      </c>
      <c r="I36" s="1314"/>
      <c r="J36" s="848">
        <v>0</v>
      </c>
      <c r="K36" s="849"/>
      <c r="L36" s="848">
        <v>0</v>
      </c>
      <c r="M36" s="849"/>
      <c r="N36" s="848">
        <v>0</v>
      </c>
      <c r="O36" s="849"/>
      <c r="P36" s="848">
        <v>0</v>
      </c>
      <c r="Q36" s="849"/>
      <c r="R36" s="848">
        <v>0</v>
      </c>
      <c r="S36" s="849"/>
      <c r="T36" s="848">
        <v>0</v>
      </c>
      <c r="U36" s="849"/>
      <c r="V36" s="848">
        <v>0</v>
      </c>
      <c r="W36" s="849"/>
      <c r="X36" s="848">
        <v>0</v>
      </c>
      <c r="Y36" s="849"/>
      <c r="Z36" s="848">
        <v>0</v>
      </c>
      <c r="AA36" s="849"/>
      <c r="AB36" s="848">
        <v>0</v>
      </c>
      <c r="AC36" s="849"/>
      <c r="AD36" s="848">
        <v>0</v>
      </c>
      <c r="AE36" s="849"/>
      <c r="AF36" s="848">
        <v>0</v>
      </c>
      <c r="AG36" s="849"/>
      <c r="AH36" s="848">
        <v>0</v>
      </c>
      <c r="AI36" s="849"/>
      <c r="AJ36" s="848">
        <v>0</v>
      </c>
      <c r="AK36" s="849"/>
      <c r="AL36" s="848">
        <v>0</v>
      </c>
      <c r="AM36" s="849"/>
      <c r="AN36" s="848">
        <v>0</v>
      </c>
      <c r="AO36" s="849"/>
      <c r="AP36" s="848">
        <v>0</v>
      </c>
      <c r="AQ36" s="849"/>
      <c r="AR36" s="848">
        <v>0</v>
      </c>
      <c r="AS36" s="849"/>
      <c r="AT36" s="848">
        <v>0</v>
      </c>
      <c r="AU36" s="849"/>
      <c r="AV36" s="848">
        <v>0</v>
      </c>
      <c r="AW36" s="849"/>
      <c r="AX36" s="848">
        <v>0</v>
      </c>
      <c r="AY36" s="849"/>
      <c r="AZ36" s="848">
        <v>0</v>
      </c>
      <c r="BA36" s="849"/>
      <c r="BB36" s="1315">
        <v>0</v>
      </c>
      <c r="BC36" s="648"/>
      <c r="BD36" s="832"/>
      <c r="BE36" s="642"/>
      <c r="BF36" s="642"/>
      <c r="BG36" s="643" t="s">
        <v>327</v>
      </c>
      <c r="BH36" s="642"/>
      <c r="BI36" s="642"/>
      <c r="BJ36" s="845"/>
      <c r="BK36" s="1313">
        <v>0</v>
      </c>
      <c r="BL36" s="1314"/>
      <c r="BM36" s="848">
        <v>0</v>
      </c>
      <c r="BN36" s="849"/>
      <c r="BO36" s="848">
        <v>0</v>
      </c>
      <c r="BP36" s="849"/>
      <c r="BQ36" s="848">
        <v>0</v>
      </c>
      <c r="BR36" s="849"/>
      <c r="BS36" s="848">
        <v>0</v>
      </c>
      <c r="BT36" s="849"/>
      <c r="BU36" s="848">
        <v>0</v>
      </c>
      <c r="BV36" s="849"/>
      <c r="BW36" s="848">
        <v>0</v>
      </c>
      <c r="BX36" s="849"/>
      <c r="BY36" s="848">
        <v>0</v>
      </c>
      <c r="BZ36" s="849"/>
      <c r="CA36" s="848">
        <v>0</v>
      </c>
      <c r="CB36" s="849"/>
      <c r="CC36" s="848">
        <v>0</v>
      </c>
      <c r="CD36" s="849"/>
      <c r="CE36" s="848">
        <v>0</v>
      </c>
      <c r="CF36" s="849"/>
      <c r="CG36" s="848">
        <v>0</v>
      </c>
      <c r="CH36" s="849"/>
      <c r="CI36" s="848">
        <v>0</v>
      </c>
      <c r="CJ36" s="849"/>
      <c r="CK36" s="848">
        <v>0</v>
      </c>
      <c r="CL36" s="849"/>
      <c r="CM36" s="848">
        <v>0</v>
      </c>
      <c r="CN36" s="849"/>
      <c r="CO36" s="848">
        <v>0</v>
      </c>
      <c r="CP36" s="849"/>
      <c r="CQ36" s="848">
        <v>0</v>
      </c>
      <c r="CR36" s="849"/>
      <c r="CS36" s="848">
        <v>0</v>
      </c>
      <c r="CT36" s="849"/>
      <c r="CU36" s="848">
        <v>0</v>
      </c>
      <c r="CV36" s="849"/>
      <c r="CW36" s="848">
        <v>0</v>
      </c>
      <c r="CX36" s="849"/>
      <c r="CY36" s="848">
        <v>0</v>
      </c>
      <c r="CZ36" s="849"/>
      <c r="DA36" s="848">
        <v>0</v>
      </c>
      <c r="DB36" s="849"/>
      <c r="DC36" s="848">
        <v>0</v>
      </c>
      <c r="DD36" s="849"/>
      <c r="DE36" s="1315">
        <v>0</v>
      </c>
      <c r="DF36" s="648"/>
      <c r="DG36" s="832"/>
      <c r="DH36" s="642"/>
      <c r="DI36" s="642"/>
      <c r="DJ36" s="643" t="s">
        <v>453</v>
      </c>
      <c r="DK36" s="642"/>
      <c r="DL36" s="642"/>
      <c r="DM36" s="845"/>
      <c r="DN36" s="1313">
        <v>0</v>
      </c>
      <c r="DO36" s="1314"/>
      <c r="DP36" s="848">
        <v>0</v>
      </c>
      <c r="DQ36" s="849"/>
      <c r="DR36" s="848">
        <v>0</v>
      </c>
      <c r="DS36" s="849"/>
      <c r="DT36" s="848">
        <v>0</v>
      </c>
      <c r="DU36" s="849"/>
      <c r="DV36" s="848">
        <v>0</v>
      </c>
      <c r="DW36" s="849"/>
      <c r="DX36" s="848">
        <v>0</v>
      </c>
      <c r="DY36" s="849"/>
      <c r="DZ36" s="848">
        <v>0</v>
      </c>
      <c r="EA36" s="849"/>
      <c r="EB36" s="848">
        <v>0</v>
      </c>
      <c r="EC36" s="849"/>
      <c r="ED36" s="848">
        <v>0</v>
      </c>
      <c r="EE36" s="849"/>
      <c r="EF36" s="848">
        <v>0</v>
      </c>
      <c r="EG36" s="849"/>
      <c r="EH36" s="848">
        <v>0</v>
      </c>
      <c r="EI36" s="849"/>
      <c r="EJ36" s="848">
        <v>0</v>
      </c>
      <c r="EK36" s="849"/>
      <c r="EL36" s="848">
        <v>0</v>
      </c>
      <c r="EM36" s="849"/>
      <c r="EN36" s="848">
        <v>0</v>
      </c>
      <c r="EO36" s="849"/>
      <c r="EP36" s="848">
        <v>0</v>
      </c>
      <c r="EQ36" s="849"/>
      <c r="ER36" s="848">
        <v>0</v>
      </c>
      <c r="ES36" s="849"/>
      <c r="ET36" s="848">
        <v>0</v>
      </c>
      <c r="EU36" s="849"/>
      <c r="EV36" s="848">
        <v>0</v>
      </c>
      <c r="EW36" s="849"/>
      <c r="EX36" s="848">
        <v>0</v>
      </c>
      <c r="EY36" s="849"/>
      <c r="EZ36" s="848">
        <v>0</v>
      </c>
      <c r="FA36" s="849"/>
      <c r="FB36" s="848">
        <v>0</v>
      </c>
      <c r="FC36" s="849"/>
      <c r="FD36" s="848">
        <v>0</v>
      </c>
      <c r="FE36" s="849"/>
      <c r="FF36" s="848">
        <v>0</v>
      </c>
      <c r="FG36" s="849"/>
      <c r="FH36" s="1315">
        <v>0</v>
      </c>
      <c r="FI36" s="649"/>
      <c r="FJ36" s="841"/>
      <c r="FK36" s="642"/>
      <c r="FL36" s="642"/>
      <c r="FM36" s="643" t="s">
        <v>453</v>
      </c>
      <c r="FN36" s="642"/>
      <c r="FO36" s="642"/>
      <c r="FP36" s="650"/>
      <c r="FQ36" s="1314"/>
      <c r="FR36" s="1313">
        <v>0</v>
      </c>
      <c r="FS36" s="1316"/>
      <c r="FT36" s="1314"/>
      <c r="FU36" s="1317">
        <v>0</v>
      </c>
      <c r="FV36" s="593"/>
      <c r="FW36" s="594"/>
      <c r="FX36" s="806"/>
      <c r="FY36" s="596"/>
      <c r="FZ36" s="807"/>
      <c r="GA36" s="598"/>
      <c r="GB36" s="808"/>
      <c r="GC36" s="600"/>
      <c r="GD36" s="808"/>
      <c r="GE36" s="601"/>
      <c r="GF36" s="654"/>
      <c r="GG36" s="655"/>
      <c r="GH36" s="655"/>
      <c r="GI36" s="655"/>
      <c r="GJ36" s="578"/>
      <c r="GK36" s="1341"/>
      <c r="GL36" s="1341"/>
      <c r="GM36" s="1341"/>
      <c r="GN36" s="1341"/>
      <c r="GO36" s="1341"/>
      <c r="GP36" s="1341"/>
      <c r="GQ36" s="579"/>
      <c r="GR36" s="579"/>
      <c r="GS36" s="530"/>
      <c r="GT36" s="689"/>
      <c r="GU36" s="1343"/>
      <c r="GV36" s="1343"/>
      <c r="GW36" s="500"/>
      <c r="GX36" s="500"/>
      <c r="GY36" s="500"/>
      <c r="GZ36" s="500"/>
      <c r="HA36" s="500"/>
      <c r="HB36" s="500"/>
      <c r="HC36" s="530"/>
      <c r="HD36" s="648"/>
      <c r="HE36" s="415"/>
      <c r="HF36" s="415"/>
    </row>
    <row r="37" spans="1:219" ht="24" customHeight="1">
      <c r="A37" s="853" t="s">
        <v>454</v>
      </c>
      <c r="B37" s="854"/>
      <c r="C37" s="855" t="s">
        <v>460</v>
      </c>
      <c r="D37" s="856"/>
      <c r="E37" s="857" t="s">
        <v>461</v>
      </c>
      <c r="F37" s="858"/>
      <c r="G37" s="662" t="s">
        <v>448</v>
      </c>
      <c r="H37" s="663" t="s">
        <v>457</v>
      </c>
      <c r="I37" s="664" t="s">
        <v>448</v>
      </c>
      <c r="J37" s="663" t="s">
        <v>459</v>
      </c>
      <c r="K37" s="664" t="s">
        <v>448</v>
      </c>
      <c r="L37" s="663" t="s">
        <v>459</v>
      </c>
      <c r="M37" s="664" t="s">
        <v>448</v>
      </c>
      <c r="N37" s="663" t="s">
        <v>458</v>
      </c>
      <c r="O37" s="664" t="s">
        <v>447</v>
      </c>
      <c r="P37" s="663" t="s">
        <v>459</v>
      </c>
      <c r="Q37" s="664" t="s">
        <v>447</v>
      </c>
      <c r="R37" s="663" t="s">
        <v>459</v>
      </c>
      <c r="S37" s="664" t="s">
        <v>447</v>
      </c>
      <c r="T37" s="663" t="s">
        <v>459</v>
      </c>
      <c r="U37" s="664" t="s">
        <v>447</v>
      </c>
      <c r="V37" s="663" t="s">
        <v>458</v>
      </c>
      <c r="W37" s="664" t="s">
        <v>447</v>
      </c>
      <c r="X37" s="663" t="s">
        <v>459</v>
      </c>
      <c r="Y37" s="664" t="s">
        <v>448</v>
      </c>
      <c r="Z37" s="663" t="s">
        <v>459</v>
      </c>
      <c r="AA37" s="664" t="s">
        <v>448</v>
      </c>
      <c r="AB37" s="663" t="s">
        <v>458</v>
      </c>
      <c r="AC37" s="664" t="s">
        <v>448</v>
      </c>
      <c r="AD37" s="663" t="s">
        <v>458</v>
      </c>
      <c r="AE37" s="664" t="s">
        <v>448</v>
      </c>
      <c r="AF37" s="663" t="s">
        <v>458</v>
      </c>
      <c r="AG37" s="664" t="s">
        <v>447</v>
      </c>
      <c r="AH37" s="663" t="s">
        <v>458</v>
      </c>
      <c r="AI37" s="664" t="s">
        <v>448</v>
      </c>
      <c r="AJ37" s="663" t="s">
        <v>458</v>
      </c>
      <c r="AK37" s="664" t="s">
        <v>448</v>
      </c>
      <c r="AL37" s="663" t="s">
        <v>458</v>
      </c>
      <c r="AM37" s="664" t="s">
        <v>447</v>
      </c>
      <c r="AN37" s="663" t="s">
        <v>458</v>
      </c>
      <c r="AO37" s="664" t="s">
        <v>448</v>
      </c>
      <c r="AP37" s="663" t="s">
        <v>458</v>
      </c>
      <c r="AQ37" s="664" t="s">
        <v>448</v>
      </c>
      <c r="AR37" s="663" t="s">
        <v>458</v>
      </c>
      <c r="AS37" s="664" t="s">
        <v>448</v>
      </c>
      <c r="AT37" s="663" t="s">
        <v>458</v>
      </c>
      <c r="AU37" s="664" t="s">
        <v>448</v>
      </c>
      <c r="AV37" s="663" t="s">
        <v>459</v>
      </c>
      <c r="AW37" s="664" t="s">
        <v>448</v>
      </c>
      <c r="AX37" s="663" t="s">
        <v>458</v>
      </c>
      <c r="AY37" s="664" t="s">
        <v>448</v>
      </c>
      <c r="AZ37" s="663" t="s">
        <v>458</v>
      </c>
      <c r="BA37" s="664" t="s">
        <v>447</v>
      </c>
      <c r="BB37" s="665" t="s">
        <v>459</v>
      </c>
      <c r="BC37" s="723"/>
      <c r="BD37" s="853" t="s">
        <v>462</v>
      </c>
      <c r="BE37" s="854"/>
      <c r="BF37" s="855" t="s">
        <v>455</v>
      </c>
      <c r="BG37" s="856"/>
      <c r="BH37" s="857" t="s">
        <v>456</v>
      </c>
      <c r="BI37" s="858"/>
      <c r="BJ37" s="662" t="s">
        <v>447</v>
      </c>
      <c r="BK37" s="663" t="s">
        <v>328</v>
      </c>
      <c r="BL37" s="664" t="s">
        <v>447</v>
      </c>
      <c r="BM37" s="663" t="s">
        <v>459</v>
      </c>
      <c r="BN37" s="664" t="s">
        <v>448</v>
      </c>
      <c r="BO37" s="663" t="s">
        <v>459</v>
      </c>
      <c r="BP37" s="664" t="s">
        <v>447</v>
      </c>
      <c r="BQ37" s="663" t="s">
        <v>459</v>
      </c>
      <c r="BR37" s="664" t="s">
        <v>447</v>
      </c>
      <c r="BS37" s="663" t="s">
        <v>459</v>
      </c>
      <c r="BT37" s="664" t="s">
        <v>447</v>
      </c>
      <c r="BU37" s="663" t="s">
        <v>459</v>
      </c>
      <c r="BV37" s="664" t="s">
        <v>448</v>
      </c>
      <c r="BW37" s="663" t="s">
        <v>459</v>
      </c>
      <c r="BX37" s="664" t="s">
        <v>447</v>
      </c>
      <c r="BY37" s="663" t="s">
        <v>458</v>
      </c>
      <c r="BZ37" s="664" t="s">
        <v>447</v>
      </c>
      <c r="CA37" s="663" t="s">
        <v>458</v>
      </c>
      <c r="CB37" s="664" t="s">
        <v>448</v>
      </c>
      <c r="CC37" s="663" t="s">
        <v>458</v>
      </c>
      <c r="CD37" s="664" t="s">
        <v>448</v>
      </c>
      <c r="CE37" s="663" t="s">
        <v>458</v>
      </c>
      <c r="CF37" s="664" t="s">
        <v>448</v>
      </c>
      <c r="CG37" s="663" t="s">
        <v>459</v>
      </c>
      <c r="CH37" s="664" t="s">
        <v>448</v>
      </c>
      <c r="CI37" s="663" t="s">
        <v>458</v>
      </c>
      <c r="CJ37" s="664" t="s">
        <v>448</v>
      </c>
      <c r="CK37" s="663" t="s">
        <v>458</v>
      </c>
      <c r="CL37" s="664" t="s">
        <v>448</v>
      </c>
      <c r="CM37" s="663" t="s">
        <v>459</v>
      </c>
      <c r="CN37" s="664" t="s">
        <v>448</v>
      </c>
      <c r="CO37" s="663" t="s">
        <v>458</v>
      </c>
      <c r="CP37" s="664" t="s">
        <v>448</v>
      </c>
      <c r="CQ37" s="663" t="s">
        <v>458</v>
      </c>
      <c r="CR37" s="664" t="s">
        <v>448</v>
      </c>
      <c r="CS37" s="663" t="s">
        <v>458</v>
      </c>
      <c r="CT37" s="664" t="s">
        <v>448</v>
      </c>
      <c r="CU37" s="663" t="s">
        <v>458</v>
      </c>
      <c r="CV37" s="664" t="s">
        <v>447</v>
      </c>
      <c r="CW37" s="663" t="s">
        <v>458</v>
      </c>
      <c r="CX37" s="664" t="s">
        <v>448</v>
      </c>
      <c r="CY37" s="663" t="s">
        <v>458</v>
      </c>
      <c r="CZ37" s="664" t="s">
        <v>448</v>
      </c>
      <c r="DA37" s="663" t="s">
        <v>459</v>
      </c>
      <c r="DB37" s="664" t="s">
        <v>447</v>
      </c>
      <c r="DC37" s="663" t="s">
        <v>459</v>
      </c>
      <c r="DD37" s="664" t="s">
        <v>447</v>
      </c>
      <c r="DE37" s="665" t="s">
        <v>459</v>
      </c>
      <c r="DF37" s="723"/>
      <c r="DG37" s="853" t="s">
        <v>462</v>
      </c>
      <c r="DH37" s="854"/>
      <c r="DI37" s="855" t="s">
        <v>455</v>
      </c>
      <c r="DJ37" s="856"/>
      <c r="DK37" s="857" t="s">
        <v>456</v>
      </c>
      <c r="DL37" s="858"/>
      <c r="DM37" s="662" t="s">
        <v>447</v>
      </c>
      <c r="DN37" s="663" t="s">
        <v>457</v>
      </c>
      <c r="DO37" s="664" t="s">
        <v>447</v>
      </c>
      <c r="DP37" s="663" t="s">
        <v>459</v>
      </c>
      <c r="DQ37" s="664" t="s">
        <v>447</v>
      </c>
      <c r="DR37" s="663" t="s">
        <v>459</v>
      </c>
      <c r="DS37" s="664" t="s">
        <v>447</v>
      </c>
      <c r="DT37" s="663" t="s">
        <v>459</v>
      </c>
      <c r="DU37" s="664" t="s">
        <v>447</v>
      </c>
      <c r="DV37" s="663" t="s">
        <v>458</v>
      </c>
      <c r="DW37" s="664" t="s">
        <v>447</v>
      </c>
      <c r="DX37" s="663" t="s">
        <v>459</v>
      </c>
      <c r="DY37" s="664" t="s">
        <v>448</v>
      </c>
      <c r="DZ37" s="663" t="s">
        <v>459</v>
      </c>
      <c r="EA37" s="664" t="s">
        <v>448</v>
      </c>
      <c r="EB37" s="663" t="s">
        <v>458</v>
      </c>
      <c r="EC37" s="664" t="s">
        <v>448</v>
      </c>
      <c r="ED37" s="663" t="s">
        <v>458</v>
      </c>
      <c r="EE37" s="664" t="s">
        <v>448</v>
      </c>
      <c r="EF37" s="663" t="s">
        <v>458</v>
      </c>
      <c r="EG37" s="664" t="s">
        <v>447</v>
      </c>
      <c r="EH37" s="663" t="s">
        <v>458</v>
      </c>
      <c r="EI37" s="664" t="s">
        <v>448</v>
      </c>
      <c r="EJ37" s="663" t="s">
        <v>458</v>
      </c>
      <c r="EK37" s="664" t="s">
        <v>448</v>
      </c>
      <c r="EL37" s="663" t="s">
        <v>458</v>
      </c>
      <c r="EM37" s="664" t="s">
        <v>447</v>
      </c>
      <c r="EN37" s="663" t="s">
        <v>458</v>
      </c>
      <c r="EO37" s="664" t="s">
        <v>448</v>
      </c>
      <c r="EP37" s="663" t="s">
        <v>458</v>
      </c>
      <c r="EQ37" s="664" t="s">
        <v>448</v>
      </c>
      <c r="ER37" s="663" t="s">
        <v>458</v>
      </c>
      <c r="ES37" s="664" t="s">
        <v>448</v>
      </c>
      <c r="ET37" s="663" t="s">
        <v>458</v>
      </c>
      <c r="EU37" s="664" t="s">
        <v>448</v>
      </c>
      <c r="EV37" s="663" t="s">
        <v>459</v>
      </c>
      <c r="EW37" s="664" t="s">
        <v>448</v>
      </c>
      <c r="EX37" s="663" t="s">
        <v>458</v>
      </c>
      <c r="EY37" s="664" t="s">
        <v>448</v>
      </c>
      <c r="EZ37" s="663" t="s">
        <v>458</v>
      </c>
      <c r="FA37" s="664" t="s">
        <v>447</v>
      </c>
      <c r="FB37" s="663" t="s">
        <v>459</v>
      </c>
      <c r="FC37" s="664" t="s">
        <v>447</v>
      </c>
      <c r="FD37" s="663" t="s">
        <v>459</v>
      </c>
      <c r="FE37" s="664" t="s">
        <v>447</v>
      </c>
      <c r="FF37" s="663" t="s">
        <v>459</v>
      </c>
      <c r="FG37" s="664" t="s">
        <v>447</v>
      </c>
      <c r="FH37" s="665" t="s">
        <v>459</v>
      </c>
      <c r="FI37" s="746"/>
      <c r="FJ37" s="827" t="s">
        <v>462</v>
      </c>
      <c r="FK37" s="854"/>
      <c r="FL37" s="855" t="s">
        <v>455</v>
      </c>
      <c r="FM37" s="856"/>
      <c r="FN37" s="857" t="s">
        <v>461</v>
      </c>
      <c r="FO37" s="858"/>
      <c r="FP37" s="672"/>
      <c r="FQ37" s="859" t="s">
        <v>463</v>
      </c>
      <c r="FR37" s="663" t="s">
        <v>458</v>
      </c>
      <c r="FS37" s="674"/>
      <c r="FT37" s="859" t="s">
        <v>463</v>
      </c>
      <c r="FU37" s="675" t="s">
        <v>458</v>
      </c>
      <c r="FV37" s="593"/>
      <c r="FW37" s="594"/>
      <c r="FX37" s="806"/>
      <c r="FY37" s="596"/>
      <c r="FZ37" s="807"/>
      <c r="GA37" s="598"/>
      <c r="GB37" s="808"/>
      <c r="GC37" s="600"/>
      <c r="GD37" s="808"/>
      <c r="GE37" s="601"/>
      <c r="GF37" s="860"/>
      <c r="GG37" s="750"/>
      <c r="GH37" s="750"/>
      <c r="GI37" s="750"/>
      <c r="GJ37" s="578"/>
      <c r="GK37" s="500"/>
      <c r="GL37" s="578"/>
      <c r="GM37" s="500"/>
      <c r="GN37" s="578"/>
      <c r="GO37" s="500"/>
      <c r="GP37" s="500"/>
      <c r="GQ37" s="500"/>
      <c r="GR37" s="500"/>
      <c r="GS37" s="530"/>
      <c r="GT37" s="1305"/>
      <c r="GU37" s="1343"/>
      <c r="GV37" s="1343"/>
      <c r="GW37" s="500"/>
      <c r="GX37" s="500"/>
      <c r="GY37" s="500"/>
      <c r="GZ37" s="500"/>
      <c r="HA37" s="500"/>
      <c r="HB37" s="500"/>
      <c r="HC37" s="530"/>
      <c r="HD37" s="723"/>
      <c r="HE37" s="415"/>
      <c r="HF37" s="415"/>
    </row>
    <row r="38" spans="1:219" ht="20.100000000000001" customHeight="1">
      <c r="A38" s="862"/>
      <c r="B38" s="863" t="s">
        <v>670</v>
      </c>
      <c r="C38" s="864"/>
      <c r="D38" s="865"/>
      <c r="E38" s="866"/>
      <c r="F38" s="867"/>
      <c r="G38" s="682"/>
      <c r="H38" s="868">
        <v>0</v>
      </c>
      <c r="I38" s="683"/>
      <c r="J38" s="868">
        <v>0</v>
      </c>
      <c r="K38" s="683"/>
      <c r="L38" s="868">
        <v>0</v>
      </c>
      <c r="M38" s="683"/>
      <c r="N38" s="868">
        <v>0</v>
      </c>
      <c r="O38" s="683"/>
      <c r="P38" s="868">
        <v>0</v>
      </c>
      <c r="Q38" s="683"/>
      <c r="R38" s="868">
        <v>0</v>
      </c>
      <c r="S38" s="683"/>
      <c r="T38" s="868">
        <v>0</v>
      </c>
      <c r="U38" s="683"/>
      <c r="V38" s="868">
        <v>0</v>
      </c>
      <c r="W38" s="683"/>
      <c r="X38" s="868">
        <v>0</v>
      </c>
      <c r="Y38" s="683"/>
      <c r="Z38" s="868">
        <v>0</v>
      </c>
      <c r="AA38" s="683"/>
      <c r="AB38" s="868">
        <v>0</v>
      </c>
      <c r="AC38" s="683"/>
      <c r="AD38" s="868">
        <v>0</v>
      </c>
      <c r="AE38" s="683"/>
      <c r="AF38" s="868">
        <v>0</v>
      </c>
      <c r="AG38" s="683"/>
      <c r="AH38" s="868">
        <v>0</v>
      </c>
      <c r="AI38" s="683"/>
      <c r="AJ38" s="868">
        <v>0</v>
      </c>
      <c r="AK38" s="683"/>
      <c r="AL38" s="868">
        <v>0</v>
      </c>
      <c r="AM38" s="683"/>
      <c r="AN38" s="868">
        <v>0</v>
      </c>
      <c r="AO38" s="683"/>
      <c r="AP38" s="868">
        <v>0</v>
      </c>
      <c r="AQ38" s="683"/>
      <c r="AR38" s="868">
        <v>0</v>
      </c>
      <c r="AS38" s="683"/>
      <c r="AT38" s="868">
        <v>0</v>
      </c>
      <c r="AU38" s="683"/>
      <c r="AV38" s="868">
        <v>0</v>
      </c>
      <c r="AW38" s="683"/>
      <c r="AX38" s="868">
        <v>0</v>
      </c>
      <c r="AY38" s="683"/>
      <c r="AZ38" s="868">
        <v>0</v>
      </c>
      <c r="BA38" s="683"/>
      <c r="BB38" s="869">
        <v>0</v>
      </c>
      <c r="BC38" s="562"/>
      <c r="BD38" s="862"/>
      <c r="BE38" s="863" t="s">
        <v>263</v>
      </c>
      <c r="BF38" s="870"/>
      <c r="BG38" s="871"/>
      <c r="BH38" s="866"/>
      <c r="BI38" s="867"/>
      <c r="BJ38" s="682"/>
      <c r="BK38" s="868">
        <v>0</v>
      </c>
      <c r="BL38" s="683"/>
      <c r="BM38" s="868">
        <v>0</v>
      </c>
      <c r="BN38" s="683"/>
      <c r="BO38" s="868">
        <v>0</v>
      </c>
      <c r="BP38" s="683"/>
      <c r="BQ38" s="868">
        <v>0</v>
      </c>
      <c r="BR38" s="683"/>
      <c r="BS38" s="868">
        <v>0</v>
      </c>
      <c r="BT38" s="683"/>
      <c r="BU38" s="868">
        <v>0</v>
      </c>
      <c r="BV38" s="683"/>
      <c r="BW38" s="868">
        <v>0</v>
      </c>
      <c r="BX38" s="683"/>
      <c r="BY38" s="868">
        <v>0</v>
      </c>
      <c r="BZ38" s="683"/>
      <c r="CA38" s="868">
        <v>0</v>
      </c>
      <c r="CB38" s="683"/>
      <c r="CC38" s="868">
        <v>0</v>
      </c>
      <c r="CD38" s="683"/>
      <c r="CE38" s="868">
        <v>0</v>
      </c>
      <c r="CF38" s="683"/>
      <c r="CG38" s="868">
        <v>0</v>
      </c>
      <c r="CH38" s="683"/>
      <c r="CI38" s="868">
        <v>0</v>
      </c>
      <c r="CJ38" s="683"/>
      <c r="CK38" s="868">
        <v>0</v>
      </c>
      <c r="CL38" s="683"/>
      <c r="CM38" s="868">
        <v>0</v>
      </c>
      <c r="CN38" s="683"/>
      <c r="CO38" s="868">
        <v>0</v>
      </c>
      <c r="CP38" s="683"/>
      <c r="CQ38" s="868">
        <v>0</v>
      </c>
      <c r="CR38" s="683"/>
      <c r="CS38" s="868">
        <v>0</v>
      </c>
      <c r="CT38" s="683"/>
      <c r="CU38" s="868">
        <v>0</v>
      </c>
      <c r="CV38" s="683"/>
      <c r="CW38" s="868">
        <v>0</v>
      </c>
      <c r="CX38" s="683"/>
      <c r="CY38" s="868">
        <v>0</v>
      </c>
      <c r="CZ38" s="683"/>
      <c r="DA38" s="868">
        <v>0</v>
      </c>
      <c r="DB38" s="683"/>
      <c r="DC38" s="868">
        <v>0</v>
      </c>
      <c r="DD38" s="683"/>
      <c r="DE38" s="869">
        <v>0</v>
      </c>
      <c r="DF38" s="562"/>
      <c r="DG38" s="862"/>
      <c r="DH38" s="863" t="s">
        <v>263</v>
      </c>
      <c r="DI38" s="870"/>
      <c r="DJ38" s="871"/>
      <c r="DK38" s="866"/>
      <c r="DL38" s="867"/>
      <c r="DM38" s="682"/>
      <c r="DN38" s="868">
        <v>0</v>
      </c>
      <c r="DO38" s="683"/>
      <c r="DP38" s="868">
        <v>0</v>
      </c>
      <c r="DQ38" s="683"/>
      <c r="DR38" s="868">
        <v>0</v>
      </c>
      <c r="DS38" s="683"/>
      <c r="DT38" s="868">
        <v>0</v>
      </c>
      <c r="DU38" s="683"/>
      <c r="DV38" s="868">
        <v>0</v>
      </c>
      <c r="DW38" s="683"/>
      <c r="DX38" s="868">
        <v>0</v>
      </c>
      <c r="DY38" s="683"/>
      <c r="DZ38" s="868">
        <v>0</v>
      </c>
      <c r="EA38" s="683"/>
      <c r="EB38" s="868">
        <v>0</v>
      </c>
      <c r="EC38" s="683"/>
      <c r="ED38" s="868">
        <v>0</v>
      </c>
      <c r="EE38" s="683"/>
      <c r="EF38" s="868">
        <v>0</v>
      </c>
      <c r="EG38" s="683"/>
      <c r="EH38" s="868">
        <v>0</v>
      </c>
      <c r="EI38" s="683"/>
      <c r="EJ38" s="868">
        <v>0</v>
      </c>
      <c r="EK38" s="683"/>
      <c r="EL38" s="868">
        <v>0</v>
      </c>
      <c r="EM38" s="683"/>
      <c r="EN38" s="868">
        <v>0</v>
      </c>
      <c r="EO38" s="683"/>
      <c r="EP38" s="868">
        <v>0</v>
      </c>
      <c r="EQ38" s="683"/>
      <c r="ER38" s="868">
        <v>0</v>
      </c>
      <c r="ES38" s="683"/>
      <c r="ET38" s="868">
        <v>0</v>
      </c>
      <c r="EU38" s="683"/>
      <c r="EV38" s="868">
        <v>0</v>
      </c>
      <c r="EW38" s="683"/>
      <c r="EX38" s="868">
        <v>0</v>
      </c>
      <c r="EY38" s="683"/>
      <c r="EZ38" s="868">
        <v>0</v>
      </c>
      <c r="FA38" s="683"/>
      <c r="FB38" s="868">
        <v>0</v>
      </c>
      <c r="FC38" s="683"/>
      <c r="FD38" s="868">
        <v>0</v>
      </c>
      <c r="FE38" s="683"/>
      <c r="FF38" s="868">
        <v>0</v>
      </c>
      <c r="FG38" s="683"/>
      <c r="FH38" s="869">
        <v>0</v>
      </c>
      <c r="FI38" s="563"/>
      <c r="FJ38" s="827"/>
      <c r="FK38" s="863" t="s">
        <v>263</v>
      </c>
      <c r="FL38" s="864"/>
      <c r="FM38" s="865"/>
      <c r="FN38" s="866">
        <v>0</v>
      </c>
      <c r="FO38" s="867"/>
      <c r="FP38" s="685"/>
      <c r="FQ38" s="686"/>
      <c r="FR38" s="559">
        <v>0</v>
      </c>
      <c r="FS38" s="687"/>
      <c r="FT38" s="686"/>
      <c r="FU38" s="567">
        <v>0</v>
      </c>
      <c r="FV38" s="593"/>
      <c r="FW38" s="594"/>
      <c r="FX38" s="806"/>
      <c r="FY38" s="596"/>
      <c r="FZ38" s="807"/>
      <c r="GA38" s="598"/>
      <c r="GB38" s="808"/>
      <c r="GC38" s="600"/>
      <c r="GD38" s="808"/>
      <c r="GE38" s="601"/>
      <c r="GF38" s="688"/>
      <c r="GG38" s="602"/>
      <c r="GH38" s="602"/>
      <c r="GI38" s="602"/>
      <c r="GJ38" s="578"/>
      <c r="GK38" s="500"/>
      <c r="GL38" s="500"/>
      <c r="GM38" s="500"/>
      <c r="GN38" s="500"/>
      <c r="GO38" s="500"/>
      <c r="GP38" s="500"/>
      <c r="GQ38" s="500"/>
      <c r="GR38" s="500"/>
      <c r="GS38" s="580"/>
      <c r="GT38" s="1305"/>
      <c r="GU38" s="1340"/>
      <c r="GV38" s="1340"/>
      <c r="GW38" s="1340"/>
      <c r="GX38" s="1340"/>
      <c r="GY38" s="1340"/>
      <c r="GZ38" s="1340"/>
      <c r="HA38" s="500"/>
      <c r="HB38" s="579"/>
      <c r="HC38" s="530"/>
      <c r="HD38" s="530"/>
      <c r="HE38" s="387"/>
      <c r="HF38" s="387"/>
      <c r="HK38" s="415"/>
    </row>
    <row r="39" spans="1:219" ht="20.100000000000001" customHeight="1">
      <c r="A39" s="832"/>
      <c r="B39" s="876" t="s">
        <v>671</v>
      </c>
      <c r="C39" s="877"/>
      <c r="D39" s="878"/>
      <c r="E39" s="879"/>
      <c r="F39" s="880"/>
      <c r="G39" s="694"/>
      <c r="H39" s="881">
        <v>0</v>
      </c>
      <c r="I39" s="695"/>
      <c r="J39" s="881">
        <v>0</v>
      </c>
      <c r="K39" s="695"/>
      <c r="L39" s="881">
        <v>0</v>
      </c>
      <c r="M39" s="695"/>
      <c r="N39" s="881">
        <v>0</v>
      </c>
      <c r="O39" s="695"/>
      <c r="P39" s="881">
        <v>0</v>
      </c>
      <c r="Q39" s="695"/>
      <c r="R39" s="881">
        <v>0</v>
      </c>
      <c r="S39" s="695"/>
      <c r="T39" s="881">
        <v>0</v>
      </c>
      <c r="U39" s="695"/>
      <c r="V39" s="881">
        <v>0</v>
      </c>
      <c r="W39" s="695"/>
      <c r="X39" s="881">
        <v>0</v>
      </c>
      <c r="Y39" s="695"/>
      <c r="Z39" s="881">
        <v>0</v>
      </c>
      <c r="AA39" s="695"/>
      <c r="AB39" s="881">
        <v>0</v>
      </c>
      <c r="AC39" s="695"/>
      <c r="AD39" s="881">
        <v>0</v>
      </c>
      <c r="AE39" s="695"/>
      <c r="AF39" s="881">
        <v>0</v>
      </c>
      <c r="AG39" s="695"/>
      <c r="AH39" s="881">
        <v>0</v>
      </c>
      <c r="AI39" s="695"/>
      <c r="AJ39" s="881">
        <v>0</v>
      </c>
      <c r="AK39" s="695"/>
      <c r="AL39" s="881">
        <v>0</v>
      </c>
      <c r="AM39" s="695"/>
      <c r="AN39" s="881">
        <v>0</v>
      </c>
      <c r="AO39" s="695"/>
      <c r="AP39" s="881">
        <v>0</v>
      </c>
      <c r="AQ39" s="695"/>
      <c r="AR39" s="881">
        <v>0</v>
      </c>
      <c r="AS39" s="695"/>
      <c r="AT39" s="881">
        <v>0</v>
      </c>
      <c r="AU39" s="695"/>
      <c r="AV39" s="881">
        <v>0</v>
      </c>
      <c r="AW39" s="695"/>
      <c r="AX39" s="881">
        <v>0</v>
      </c>
      <c r="AY39" s="695"/>
      <c r="AZ39" s="881">
        <v>0</v>
      </c>
      <c r="BA39" s="695"/>
      <c r="BB39" s="882">
        <v>0</v>
      </c>
      <c r="BC39" s="562"/>
      <c r="BD39" s="832"/>
      <c r="BE39" s="876" t="s">
        <v>270</v>
      </c>
      <c r="BF39" s="883"/>
      <c r="BG39" s="884"/>
      <c r="BH39" s="879"/>
      <c r="BI39" s="880"/>
      <c r="BJ39" s="694"/>
      <c r="BK39" s="881">
        <v>0</v>
      </c>
      <c r="BL39" s="695"/>
      <c r="BM39" s="881">
        <v>0</v>
      </c>
      <c r="BN39" s="695"/>
      <c r="BO39" s="881">
        <v>0</v>
      </c>
      <c r="BP39" s="695"/>
      <c r="BQ39" s="881">
        <v>0</v>
      </c>
      <c r="BR39" s="695"/>
      <c r="BS39" s="881">
        <v>0</v>
      </c>
      <c r="BT39" s="695"/>
      <c r="BU39" s="881">
        <v>0</v>
      </c>
      <c r="BV39" s="695"/>
      <c r="BW39" s="881">
        <v>0</v>
      </c>
      <c r="BX39" s="695"/>
      <c r="BY39" s="881">
        <v>0</v>
      </c>
      <c r="BZ39" s="695"/>
      <c r="CA39" s="881">
        <v>0</v>
      </c>
      <c r="CB39" s="695"/>
      <c r="CC39" s="881">
        <v>0</v>
      </c>
      <c r="CD39" s="695"/>
      <c r="CE39" s="881">
        <v>0</v>
      </c>
      <c r="CF39" s="695"/>
      <c r="CG39" s="881">
        <v>0</v>
      </c>
      <c r="CH39" s="695"/>
      <c r="CI39" s="881">
        <v>0</v>
      </c>
      <c r="CJ39" s="695"/>
      <c r="CK39" s="881">
        <v>0</v>
      </c>
      <c r="CL39" s="695"/>
      <c r="CM39" s="881">
        <v>0</v>
      </c>
      <c r="CN39" s="695"/>
      <c r="CO39" s="881">
        <v>0</v>
      </c>
      <c r="CP39" s="695"/>
      <c r="CQ39" s="881">
        <v>0</v>
      </c>
      <c r="CR39" s="695"/>
      <c r="CS39" s="881">
        <v>0</v>
      </c>
      <c r="CT39" s="695"/>
      <c r="CU39" s="881">
        <v>0</v>
      </c>
      <c r="CV39" s="695"/>
      <c r="CW39" s="881">
        <v>0</v>
      </c>
      <c r="CX39" s="695"/>
      <c r="CY39" s="881">
        <v>0</v>
      </c>
      <c r="CZ39" s="695"/>
      <c r="DA39" s="881">
        <v>0</v>
      </c>
      <c r="DB39" s="695"/>
      <c r="DC39" s="881">
        <v>0</v>
      </c>
      <c r="DD39" s="695"/>
      <c r="DE39" s="882">
        <v>0</v>
      </c>
      <c r="DF39" s="562"/>
      <c r="DG39" s="832"/>
      <c r="DH39" s="876" t="s">
        <v>270</v>
      </c>
      <c r="DI39" s="883"/>
      <c r="DJ39" s="884"/>
      <c r="DK39" s="879"/>
      <c r="DL39" s="880"/>
      <c r="DM39" s="694"/>
      <c r="DN39" s="881">
        <v>0</v>
      </c>
      <c r="DO39" s="695"/>
      <c r="DP39" s="881">
        <v>0</v>
      </c>
      <c r="DQ39" s="695"/>
      <c r="DR39" s="881">
        <v>0</v>
      </c>
      <c r="DS39" s="695"/>
      <c r="DT39" s="881">
        <v>0</v>
      </c>
      <c r="DU39" s="695"/>
      <c r="DV39" s="881">
        <v>0</v>
      </c>
      <c r="DW39" s="695"/>
      <c r="DX39" s="881">
        <v>0</v>
      </c>
      <c r="DY39" s="695"/>
      <c r="DZ39" s="881">
        <v>0</v>
      </c>
      <c r="EA39" s="695"/>
      <c r="EB39" s="881">
        <v>0</v>
      </c>
      <c r="EC39" s="695"/>
      <c r="ED39" s="881">
        <v>0</v>
      </c>
      <c r="EE39" s="695"/>
      <c r="EF39" s="881">
        <v>0</v>
      </c>
      <c r="EG39" s="695"/>
      <c r="EH39" s="881">
        <v>0</v>
      </c>
      <c r="EI39" s="695"/>
      <c r="EJ39" s="881">
        <v>0</v>
      </c>
      <c r="EK39" s="695"/>
      <c r="EL39" s="881">
        <v>0</v>
      </c>
      <c r="EM39" s="695"/>
      <c r="EN39" s="881">
        <v>0</v>
      </c>
      <c r="EO39" s="695"/>
      <c r="EP39" s="881">
        <v>0</v>
      </c>
      <c r="EQ39" s="695"/>
      <c r="ER39" s="881">
        <v>0</v>
      </c>
      <c r="ES39" s="695"/>
      <c r="ET39" s="881">
        <v>0</v>
      </c>
      <c r="EU39" s="695"/>
      <c r="EV39" s="881">
        <v>0</v>
      </c>
      <c r="EW39" s="695"/>
      <c r="EX39" s="881">
        <v>0</v>
      </c>
      <c r="EY39" s="695"/>
      <c r="EZ39" s="881">
        <v>0</v>
      </c>
      <c r="FA39" s="695"/>
      <c r="FB39" s="881">
        <v>0</v>
      </c>
      <c r="FC39" s="695"/>
      <c r="FD39" s="881">
        <v>0</v>
      </c>
      <c r="FE39" s="695"/>
      <c r="FF39" s="881">
        <v>0</v>
      </c>
      <c r="FG39" s="695"/>
      <c r="FH39" s="882">
        <v>0</v>
      </c>
      <c r="FI39" s="563"/>
      <c r="FJ39" s="841"/>
      <c r="FK39" s="876" t="s">
        <v>270</v>
      </c>
      <c r="FL39" s="877"/>
      <c r="FM39" s="878"/>
      <c r="FN39" s="879">
        <v>0</v>
      </c>
      <c r="FO39" s="880"/>
      <c r="FP39" s="696"/>
      <c r="FQ39" s="697"/>
      <c r="FR39" s="587">
        <v>0</v>
      </c>
      <c r="FS39" s="698"/>
      <c r="FT39" s="697"/>
      <c r="FU39" s="592">
        <v>0</v>
      </c>
      <c r="FV39" s="593"/>
      <c r="FW39" s="594"/>
      <c r="FX39" s="806"/>
      <c r="FY39" s="596"/>
      <c r="FZ39" s="807"/>
      <c r="GA39" s="598"/>
      <c r="GB39" s="808"/>
      <c r="GC39" s="600"/>
      <c r="GD39" s="808"/>
      <c r="GE39" s="601"/>
      <c r="GF39" s="688"/>
      <c r="GG39" s="602"/>
      <c r="GH39" s="602"/>
      <c r="GI39" s="602"/>
      <c r="GJ39" s="500"/>
      <c r="GK39" s="1339"/>
      <c r="GL39" s="1339"/>
      <c r="GM39" s="1342"/>
      <c r="GN39" s="1339"/>
      <c r="GO39" s="1342"/>
      <c r="GP39" s="1339"/>
      <c r="GQ39" s="1342"/>
      <c r="GR39" s="1339"/>
      <c r="GS39" s="413"/>
      <c r="GT39" s="689"/>
      <c r="GU39" s="578"/>
      <c r="GV39" s="578"/>
      <c r="GW39" s="578"/>
      <c r="GX39" s="578"/>
      <c r="GY39" s="578"/>
      <c r="GZ39" s="578"/>
      <c r="HA39" s="578"/>
      <c r="HB39" s="579"/>
      <c r="HC39" s="530"/>
      <c r="HD39" s="562"/>
    </row>
    <row r="40" spans="1:219" ht="20.100000000000001" customHeight="1">
      <c r="A40" s="889"/>
      <c r="B40" s="642"/>
      <c r="C40" s="642"/>
      <c r="D40" s="643" t="s">
        <v>466</v>
      </c>
      <c r="E40" s="642"/>
      <c r="F40" s="642"/>
      <c r="G40" s="845"/>
      <c r="H40" s="1313">
        <v>0</v>
      </c>
      <c r="I40" s="1314"/>
      <c r="J40" s="848">
        <v>0</v>
      </c>
      <c r="K40" s="849"/>
      <c r="L40" s="848">
        <v>0</v>
      </c>
      <c r="M40" s="849"/>
      <c r="N40" s="848">
        <v>0</v>
      </c>
      <c r="O40" s="849"/>
      <c r="P40" s="848">
        <v>0</v>
      </c>
      <c r="Q40" s="849"/>
      <c r="R40" s="848">
        <v>0</v>
      </c>
      <c r="S40" s="849"/>
      <c r="T40" s="848">
        <v>0</v>
      </c>
      <c r="U40" s="849"/>
      <c r="V40" s="848">
        <v>0</v>
      </c>
      <c r="W40" s="849"/>
      <c r="X40" s="848">
        <v>0</v>
      </c>
      <c r="Y40" s="849"/>
      <c r="Z40" s="848">
        <v>0</v>
      </c>
      <c r="AA40" s="849"/>
      <c r="AB40" s="848">
        <v>0</v>
      </c>
      <c r="AC40" s="849"/>
      <c r="AD40" s="848">
        <v>0</v>
      </c>
      <c r="AE40" s="849"/>
      <c r="AF40" s="848">
        <v>0</v>
      </c>
      <c r="AG40" s="849"/>
      <c r="AH40" s="848">
        <v>0</v>
      </c>
      <c r="AI40" s="849"/>
      <c r="AJ40" s="848">
        <v>0</v>
      </c>
      <c r="AK40" s="849"/>
      <c r="AL40" s="848">
        <v>0</v>
      </c>
      <c r="AM40" s="849"/>
      <c r="AN40" s="848">
        <v>0</v>
      </c>
      <c r="AO40" s="849"/>
      <c r="AP40" s="848">
        <v>0</v>
      </c>
      <c r="AQ40" s="849"/>
      <c r="AR40" s="848">
        <v>0</v>
      </c>
      <c r="AS40" s="849"/>
      <c r="AT40" s="848">
        <v>0</v>
      </c>
      <c r="AU40" s="849"/>
      <c r="AV40" s="848">
        <v>0</v>
      </c>
      <c r="AW40" s="849"/>
      <c r="AX40" s="848">
        <v>0</v>
      </c>
      <c r="AY40" s="849"/>
      <c r="AZ40" s="848">
        <v>0</v>
      </c>
      <c r="BA40" s="849"/>
      <c r="BB40" s="1315">
        <v>0</v>
      </c>
      <c r="BC40" s="648"/>
      <c r="BD40" s="889"/>
      <c r="BE40" s="642"/>
      <c r="BF40" s="642"/>
      <c r="BG40" s="643" t="s">
        <v>329</v>
      </c>
      <c r="BH40" s="642"/>
      <c r="BI40" s="642"/>
      <c r="BJ40" s="845"/>
      <c r="BK40" s="1313">
        <v>0</v>
      </c>
      <c r="BL40" s="1314"/>
      <c r="BM40" s="848">
        <v>0</v>
      </c>
      <c r="BN40" s="849"/>
      <c r="BO40" s="848">
        <v>0</v>
      </c>
      <c r="BP40" s="849"/>
      <c r="BQ40" s="848">
        <v>0</v>
      </c>
      <c r="BR40" s="849"/>
      <c r="BS40" s="848">
        <v>0</v>
      </c>
      <c r="BT40" s="849"/>
      <c r="BU40" s="848">
        <v>0</v>
      </c>
      <c r="BV40" s="849"/>
      <c r="BW40" s="848">
        <v>0</v>
      </c>
      <c r="BX40" s="849"/>
      <c r="BY40" s="848">
        <v>0</v>
      </c>
      <c r="BZ40" s="849"/>
      <c r="CA40" s="848">
        <v>0</v>
      </c>
      <c r="CB40" s="849"/>
      <c r="CC40" s="848">
        <v>0</v>
      </c>
      <c r="CD40" s="849"/>
      <c r="CE40" s="848">
        <v>0</v>
      </c>
      <c r="CF40" s="849"/>
      <c r="CG40" s="848">
        <v>0</v>
      </c>
      <c r="CH40" s="849"/>
      <c r="CI40" s="848">
        <v>0</v>
      </c>
      <c r="CJ40" s="849"/>
      <c r="CK40" s="848">
        <v>0</v>
      </c>
      <c r="CL40" s="849"/>
      <c r="CM40" s="848">
        <v>0</v>
      </c>
      <c r="CN40" s="849"/>
      <c r="CO40" s="848">
        <v>0</v>
      </c>
      <c r="CP40" s="849"/>
      <c r="CQ40" s="848">
        <v>0</v>
      </c>
      <c r="CR40" s="849"/>
      <c r="CS40" s="848">
        <v>0</v>
      </c>
      <c r="CT40" s="849"/>
      <c r="CU40" s="848">
        <v>0</v>
      </c>
      <c r="CV40" s="849"/>
      <c r="CW40" s="848">
        <v>0</v>
      </c>
      <c r="CX40" s="849"/>
      <c r="CY40" s="848">
        <v>0</v>
      </c>
      <c r="CZ40" s="849"/>
      <c r="DA40" s="848">
        <v>0</v>
      </c>
      <c r="DB40" s="849"/>
      <c r="DC40" s="848">
        <v>0</v>
      </c>
      <c r="DD40" s="849"/>
      <c r="DE40" s="1315">
        <v>0</v>
      </c>
      <c r="DF40" s="648"/>
      <c r="DG40" s="889"/>
      <c r="DH40" s="642"/>
      <c r="DI40" s="642"/>
      <c r="DJ40" s="643" t="s">
        <v>329</v>
      </c>
      <c r="DK40" s="642"/>
      <c r="DL40" s="642"/>
      <c r="DM40" s="845"/>
      <c r="DN40" s="1313">
        <v>0</v>
      </c>
      <c r="DO40" s="1314"/>
      <c r="DP40" s="848">
        <v>0</v>
      </c>
      <c r="DQ40" s="849"/>
      <c r="DR40" s="848">
        <v>0</v>
      </c>
      <c r="DS40" s="849"/>
      <c r="DT40" s="848">
        <v>0</v>
      </c>
      <c r="DU40" s="849"/>
      <c r="DV40" s="848">
        <v>0</v>
      </c>
      <c r="DW40" s="849"/>
      <c r="DX40" s="848">
        <v>0</v>
      </c>
      <c r="DY40" s="849"/>
      <c r="DZ40" s="848">
        <v>0</v>
      </c>
      <c r="EA40" s="849"/>
      <c r="EB40" s="848">
        <v>0</v>
      </c>
      <c r="EC40" s="849"/>
      <c r="ED40" s="848">
        <v>0</v>
      </c>
      <c r="EE40" s="849"/>
      <c r="EF40" s="848">
        <v>0</v>
      </c>
      <c r="EG40" s="849"/>
      <c r="EH40" s="848">
        <v>0</v>
      </c>
      <c r="EI40" s="849"/>
      <c r="EJ40" s="848">
        <v>0</v>
      </c>
      <c r="EK40" s="849"/>
      <c r="EL40" s="848">
        <v>0</v>
      </c>
      <c r="EM40" s="849"/>
      <c r="EN40" s="848">
        <v>0</v>
      </c>
      <c r="EO40" s="849"/>
      <c r="EP40" s="848">
        <v>0</v>
      </c>
      <c r="EQ40" s="849"/>
      <c r="ER40" s="848">
        <v>0</v>
      </c>
      <c r="ES40" s="849"/>
      <c r="ET40" s="848">
        <v>0</v>
      </c>
      <c r="EU40" s="849"/>
      <c r="EV40" s="848">
        <v>0</v>
      </c>
      <c r="EW40" s="849"/>
      <c r="EX40" s="848">
        <v>0</v>
      </c>
      <c r="EY40" s="849"/>
      <c r="EZ40" s="848">
        <v>0</v>
      </c>
      <c r="FA40" s="849"/>
      <c r="FB40" s="848">
        <v>0</v>
      </c>
      <c r="FC40" s="849"/>
      <c r="FD40" s="848">
        <v>0</v>
      </c>
      <c r="FE40" s="849"/>
      <c r="FF40" s="848">
        <v>0</v>
      </c>
      <c r="FG40" s="849"/>
      <c r="FH40" s="1315">
        <v>0</v>
      </c>
      <c r="FI40" s="649"/>
      <c r="FJ40" s="841"/>
      <c r="FK40" s="642"/>
      <c r="FL40" s="642"/>
      <c r="FM40" s="643" t="s">
        <v>466</v>
      </c>
      <c r="FN40" s="642"/>
      <c r="FO40" s="642"/>
      <c r="FP40" s="650"/>
      <c r="FQ40" s="1314"/>
      <c r="FR40" s="1313">
        <v>0</v>
      </c>
      <c r="FS40" s="1316"/>
      <c r="FT40" s="1314"/>
      <c r="FU40" s="1317">
        <v>0</v>
      </c>
      <c r="FV40" s="593"/>
      <c r="FW40" s="594"/>
      <c r="FX40" s="806"/>
      <c r="FY40" s="596"/>
      <c r="FZ40" s="807"/>
      <c r="GA40" s="598"/>
      <c r="GB40" s="808"/>
      <c r="GC40" s="600"/>
      <c r="GD40" s="808"/>
      <c r="GE40" s="601"/>
      <c r="GF40" s="654"/>
      <c r="GG40" s="655"/>
      <c r="GH40" s="655"/>
      <c r="GI40" s="655"/>
      <c r="GJ40" s="578"/>
      <c r="GK40" s="1339"/>
      <c r="GL40" s="1339"/>
      <c r="GM40" s="1339"/>
      <c r="GN40" s="1339"/>
      <c r="GO40" s="1339"/>
      <c r="GP40" s="1339"/>
      <c r="GQ40" s="1339"/>
      <c r="GR40" s="1339"/>
      <c r="GS40" s="893"/>
      <c r="GT40" s="689"/>
      <c r="GU40" s="578"/>
      <c r="GV40" s="578"/>
      <c r="GW40" s="578"/>
      <c r="GX40" s="578"/>
      <c r="GY40" s="578"/>
      <c r="GZ40" s="578"/>
      <c r="HA40" s="578"/>
      <c r="HB40" s="500"/>
      <c r="HC40" s="530"/>
      <c r="HD40" s="580"/>
      <c r="HK40" s="415"/>
    </row>
    <row r="41" spans="1:219" ht="20.100000000000001" customHeight="1">
      <c r="A41" s="862" t="s">
        <v>467</v>
      </c>
      <c r="B41" s="738"/>
      <c r="C41" s="895"/>
      <c r="D41" s="895"/>
      <c r="E41" s="895"/>
      <c r="F41" s="896"/>
      <c r="G41" s="740"/>
      <c r="H41" s="663" t="s">
        <v>428</v>
      </c>
      <c r="I41" s="741"/>
      <c r="J41" s="663" t="s">
        <v>428</v>
      </c>
      <c r="K41" s="742"/>
      <c r="L41" s="663" t="s">
        <v>428</v>
      </c>
      <c r="M41" s="742"/>
      <c r="N41" s="663" t="s">
        <v>428</v>
      </c>
      <c r="O41" s="742"/>
      <c r="P41" s="663" t="s">
        <v>430</v>
      </c>
      <c r="Q41" s="742"/>
      <c r="R41" s="663" t="s">
        <v>430</v>
      </c>
      <c r="S41" s="742"/>
      <c r="T41" s="663" t="s">
        <v>430</v>
      </c>
      <c r="U41" s="742"/>
      <c r="V41" s="663" t="s">
        <v>430</v>
      </c>
      <c r="W41" s="742"/>
      <c r="X41" s="663" t="s">
        <v>430</v>
      </c>
      <c r="Y41" s="742" t="s">
        <v>447</v>
      </c>
      <c r="Z41" s="663" t="s">
        <v>430</v>
      </c>
      <c r="AA41" s="742" t="s">
        <v>447</v>
      </c>
      <c r="AB41" s="663" t="s">
        <v>430</v>
      </c>
      <c r="AC41" s="742"/>
      <c r="AD41" s="663" t="s">
        <v>430</v>
      </c>
      <c r="AE41" s="742"/>
      <c r="AF41" s="663" t="s">
        <v>428</v>
      </c>
      <c r="AG41" s="742"/>
      <c r="AH41" s="663" t="s">
        <v>428</v>
      </c>
      <c r="AI41" s="742"/>
      <c r="AJ41" s="663" t="s">
        <v>428</v>
      </c>
      <c r="AK41" s="742"/>
      <c r="AL41" s="663" t="s">
        <v>428</v>
      </c>
      <c r="AM41" s="742"/>
      <c r="AN41" s="663" t="s">
        <v>428</v>
      </c>
      <c r="AO41" s="742"/>
      <c r="AP41" s="663" t="s">
        <v>428</v>
      </c>
      <c r="AQ41" s="742"/>
      <c r="AR41" s="663" t="s">
        <v>430</v>
      </c>
      <c r="AS41" s="742"/>
      <c r="AT41" s="663" t="s">
        <v>430</v>
      </c>
      <c r="AU41" s="742"/>
      <c r="AV41" s="663" t="s">
        <v>430</v>
      </c>
      <c r="AW41" s="742"/>
      <c r="AX41" s="663" t="s">
        <v>430</v>
      </c>
      <c r="AY41" s="742"/>
      <c r="AZ41" s="663" t="s">
        <v>430</v>
      </c>
      <c r="BA41" s="742"/>
      <c r="BB41" s="665" t="s">
        <v>430</v>
      </c>
      <c r="BC41" s="723"/>
      <c r="BD41" s="862" t="s">
        <v>468</v>
      </c>
      <c r="BE41" s="738"/>
      <c r="BF41" s="895"/>
      <c r="BG41" s="895"/>
      <c r="BH41" s="895"/>
      <c r="BI41" s="896"/>
      <c r="BJ41" s="740"/>
      <c r="BK41" s="663" t="s">
        <v>430</v>
      </c>
      <c r="BL41" s="741"/>
      <c r="BM41" s="663" t="s">
        <v>428</v>
      </c>
      <c r="BN41" s="742"/>
      <c r="BO41" s="663" t="s">
        <v>428</v>
      </c>
      <c r="BP41" s="742"/>
      <c r="BQ41" s="663" t="s">
        <v>428</v>
      </c>
      <c r="BR41" s="742"/>
      <c r="BS41" s="663" t="s">
        <v>428</v>
      </c>
      <c r="BT41" s="742"/>
      <c r="BU41" s="663" t="s">
        <v>430</v>
      </c>
      <c r="BV41" s="742"/>
      <c r="BW41" s="663" t="s">
        <v>430</v>
      </c>
      <c r="BX41" s="742"/>
      <c r="BY41" s="663" t="s">
        <v>430</v>
      </c>
      <c r="BZ41" s="742"/>
      <c r="CA41" s="663" t="s">
        <v>430</v>
      </c>
      <c r="CB41" s="742" t="s">
        <v>448</v>
      </c>
      <c r="CC41" s="663" t="s">
        <v>430</v>
      </c>
      <c r="CD41" s="742" t="s">
        <v>447</v>
      </c>
      <c r="CE41" s="663" t="s">
        <v>430</v>
      </c>
      <c r="CF41" s="742"/>
      <c r="CG41" s="663" t="s">
        <v>430</v>
      </c>
      <c r="CH41" s="742"/>
      <c r="CI41" s="663" t="s">
        <v>430</v>
      </c>
      <c r="CJ41" s="742"/>
      <c r="CK41" s="663" t="s">
        <v>428</v>
      </c>
      <c r="CL41" s="742"/>
      <c r="CM41" s="663" t="s">
        <v>428</v>
      </c>
      <c r="CN41" s="742"/>
      <c r="CO41" s="663" t="s">
        <v>428</v>
      </c>
      <c r="CP41" s="742"/>
      <c r="CQ41" s="663" t="s">
        <v>428</v>
      </c>
      <c r="CR41" s="742"/>
      <c r="CS41" s="663" t="s">
        <v>428</v>
      </c>
      <c r="CT41" s="742"/>
      <c r="CU41" s="663" t="s">
        <v>428</v>
      </c>
      <c r="CV41" s="742"/>
      <c r="CW41" s="663" t="s">
        <v>430</v>
      </c>
      <c r="CX41" s="742"/>
      <c r="CY41" s="663" t="s">
        <v>430</v>
      </c>
      <c r="CZ41" s="742"/>
      <c r="DA41" s="663" t="s">
        <v>430</v>
      </c>
      <c r="DB41" s="742"/>
      <c r="DC41" s="663" t="s">
        <v>430</v>
      </c>
      <c r="DD41" s="742"/>
      <c r="DE41" s="665" t="s">
        <v>430</v>
      </c>
      <c r="DF41" s="723"/>
      <c r="DG41" s="862" t="s">
        <v>468</v>
      </c>
      <c r="DH41" s="738"/>
      <c r="DI41" s="895"/>
      <c r="DJ41" s="895"/>
      <c r="DK41" s="895"/>
      <c r="DL41" s="896"/>
      <c r="DM41" s="740"/>
      <c r="DN41" s="663" t="s">
        <v>428</v>
      </c>
      <c r="DO41" s="741"/>
      <c r="DP41" s="663" t="s">
        <v>428</v>
      </c>
      <c r="DQ41" s="742"/>
      <c r="DR41" s="663" t="s">
        <v>428</v>
      </c>
      <c r="DS41" s="742"/>
      <c r="DT41" s="663" t="s">
        <v>428</v>
      </c>
      <c r="DU41" s="742"/>
      <c r="DV41" s="663" t="s">
        <v>428</v>
      </c>
      <c r="DW41" s="742"/>
      <c r="DX41" s="663" t="s">
        <v>428</v>
      </c>
      <c r="DY41" s="742"/>
      <c r="DZ41" s="663" t="s">
        <v>430</v>
      </c>
      <c r="EA41" s="742"/>
      <c r="EB41" s="663" t="s">
        <v>430</v>
      </c>
      <c r="EC41" s="742"/>
      <c r="ED41" s="663" t="s">
        <v>430</v>
      </c>
      <c r="EE41" s="742" t="s">
        <v>447</v>
      </c>
      <c r="EF41" s="663" t="s">
        <v>428</v>
      </c>
      <c r="EG41" s="742" t="s">
        <v>448</v>
      </c>
      <c r="EH41" s="663" t="s">
        <v>428</v>
      </c>
      <c r="EI41" s="742"/>
      <c r="EJ41" s="663" t="s">
        <v>428</v>
      </c>
      <c r="EK41" s="742"/>
      <c r="EL41" s="663" t="s">
        <v>428</v>
      </c>
      <c r="EM41" s="742"/>
      <c r="EN41" s="663" t="s">
        <v>428</v>
      </c>
      <c r="EO41" s="742"/>
      <c r="EP41" s="663" t="s">
        <v>428</v>
      </c>
      <c r="EQ41" s="742"/>
      <c r="ER41" s="663" t="s">
        <v>428</v>
      </c>
      <c r="ES41" s="742"/>
      <c r="ET41" s="663" t="s">
        <v>428</v>
      </c>
      <c r="EU41" s="742"/>
      <c r="EV41" s="663" t="s">
        <v>428</v>
      </c>
      <c r="EW41" s="742"/>
      <c r="EX41" s="663" t="s">
        <v>428</v>
      </c>
      <c r="EY41" s="742"/>
      <c r="EZ41" s="663" t="s">
        <v>428</v>
      </c>
      <c r="FA41" s="742"/>
      <c r="FB41" s="663" t="s">
        <v>430</v>
      </c>
      <c r="FC41" s="742"/>
      <c r="FD41" s="663" t="s">
        <v>430</v>
      </c>
      <c r="FE41" s="742"/>
      <c r="FF41" s="663" t="s">
        <v>430</v>
      </c>
      <c r="FG41" s="742"/>
      <c r="FH41" s="665" t="s">
        <v>430</v>
      </c>
      <c r="FI41" s="746"/>
      <c r="FJ41" s="827" t="s">
        <v>468</v>
      </c>
      <c r="FK41" s="743"/>
      <c r="FL41" s="897"/>
      <c r="FM41" s="897"/>
      <c r="FN41" s="897"/>
      <c r="FO41" s="898"/>
      <c r="FP41" s="747"/>
      <c r="FQ41" s="673"/>
      <c r="FR41" s="663" t="s">
        <v>451</v>
      </c>
      <c r="FS41" s="748"/>
      <c r="FT41" s="673"/>
      <c r="FU41" s="675" t="s">
        <v>451</v>
      </c>
      <c r="FV41" s="593"/>
      <c r="FW41" s="594"/>
      <c r="FX41" s="806"/>
      <c r="FY41" s="596"/>
      <c r="FZ41" s="807"/>
      <c r="GA41" s="598"/>
      <c r="GB41" s="808"/>
      <c r="GC41" s="600"/>
      <c r="GD41" s="808"/>
      <c r="GE41" s="601"/>
      <c r="GF41" s="749"/>
      <c r="GG41" s="750"/>
      <c r="GH41" s="750"/>
      <c r="GI41" s="750"/>
      <c r="GJ41" s="578"/>
      <c r="GK41" s="1339"/>
      <c r="GL41" s="1339"/>
      <c r="GM41" s="1305"/>
      <c r="GN41" s="1305"/>
      <c r="GO41" s="1305"/>
      <c r="GP41" s="1305"/>
      <c r="GQ41" s="1305"/>
      <c r="GR41" s="1305"/>
      <c r="GS41" s="861"/>
      <c r="GT41" s="689"/>
      <c r="GU41" s="578"/>
      <c r="GV41" s="578"/>
      <c r="GW41" s="578"/>
      <c r="GX41" s="578"/>
      <c r="GY41" s="578"/>
      <c r="GZ41" s="578"/>
      <c r="HA41" s="578"/>
      <c r="HB41" s="500"/>
      <c r="HC41" s="530"/>
      <c r="HD41" s="409"/>
    </row>
    <row r="42" spans="1:219" ht="20.100000000000001" customHeight="1">
      <c r="A42" s="832"/>
      <c r="B42" s="903" t="s">
        <v>470</v>
      </c>
      <c r="C42" s="904"/>
      <c r="D42" s="904"/>
      <c r="E42" s="905"/>
      <c r="F42" s="906"/>
      <c r="G42" s="836"/>
      <c r="H42" s="837"/>
      <c r="I42" s="838"/>
      <c r="J42" s="799"/>
      <c r="K42" s="839"/>
      <c r="L42" s="799"/>
      <c r="M42" s="839"/>
      <c r="N42" s="799"/>
      <c r="O42" s="839"/>
      <c r="P42" s="799"/>
      <c r="Q42" s="839"/>
      <c r="R42" s="799"/>
      <c r="S42" s="839"/>
      <c r="T42" s="799"/>
      <c r="U42" s="839"/>
      <c r="V42" s="799"/>
      <c r="W42" s="839"/>
      <c r="X42" s="799">
        <v>0</v>
      </c>
      <c r="Y42" s="839"/>
      <c r="Z42" s="799">
        <v>0</v>
      </c>
      <c r="AA42" s="839"/>
      <c r="AB42" s="799">
        <v>0</v>
      </c>
      <c r="AC42" s="839"/>
      <c r="AD42" s="799">
        <v>0</v>
      </c>
      <c r="AE42" s="839"/>
      <c r="AF42" s="799">
        <v>0</v>
      </c>
      <c r="AG42" s="839"/>
      <c r="AH42" s="799">
        <v>0</v>
      </c>
      <c r="AI42" s="839"/>
      <c r="AJ42" s="799">
        <v>0</v>
      </c>
      <c r="AK42" s="839"/>
      <c r="AL42" s="799">
        <v>0</v>
      </c>
      <c r="AM42" s="839"/>
      <c r="AN42" s="799">
        <v>0</v>
      </c>
      <c r="AO42" s="839"/>
      <c r="AP42" s="799">
        <v>0</v>
      </c>
      <c r="AQ42" s="839"/>
      <c r="AR42" s="799"/>
      <c r="AS42" s="839"/>
      <c r="AT42" s="799"/>
      <c r="AU42" s="839"/>
      <c r="AV42" s="799"/>
      <c r="AW42" s="839"/>
      <c r="AX42" s="799"/>
      <c r="AY42" s="839"/>
      <c r="AZ42" s="799"/>
      <c r="BA42" s="839"/>
      <c r="BB42" s="840"/>
      <c r="BC42" s="562"/>
      <c r="BD42" s="832"/>
      <c r="BE42" s="907" t="s">
        <v>469</v>
      </c>
      <c r="BF42" s="904"/>
      <c r="BG42" s="904"/>
      <c r="BH42" s="905"/>
      <c r="BI42" s="906"/>
      <c r="BJ42" s="836"/>
      <c r="BK42" s="837"/>
      <c r="BL42" s="838"/>
      <c r="BM42" s="799"/>
      <c r="BN42" s="839"/>
      <c r="BO42" s="799"/>
      <c r="BP42" s="839"/>
      <c r="BQ42" s="799"/>
      <c r="BR42" s="839"/>
      <c r="BS42" s="799"/>
      <c r="BT42" s="839"/>
      <c r="BU42" s="799"/>
      <c r="BV42" s="839"/>
      <c r="BW42" s="799"/>
      <c r="BX42" s="839"/>
      <c r="BY42" s="799"/>
      <c r="BZ42" s="839"/>
      <c r="CA42" s="799">
        <v>0</v>
      </c>
      <c r="CB42" s="839"/>
      <c r="CC42" s="799">
        <v>0</v>
      </c>
      <c r="CD42" s="839"/>
      <c r="CE42" s="799">
        <v>0</v>
      </c>
      <c r="CF42" s="839"/>
      <c r="CG42" s="799">
        <v>0</v>
      </c>
      <c r="CH42" s="839"/>
      <c r="CI42" s="799">
        <v>0</v>
      </c>
      <c r="CJ42" s="839"/>
      <c r="CK42" s="799">
        <v>0</v>
      </c>
      <c r="CL42" s="839"/>
      <c r="CM42" s="799">
        <v>0</v>
      </c>
      <c r="CN42" s="839"/>
      <c r="CO42" s="799">
        <v>0</v>
      </c>
      <c r="CP42" s="839"/>
      <c r="CQ42" s="799">
        <v>0</v>
      </c>
      <c r="CR42" s="839"/>
      <c r="CS42" s="799">
        <v>0</v>
      </c>
      <c r="CT42" s="839"/>
      <c r="CU42" s="799"/>
      <c r="CV42" s="839"/>
      <c r="CW42" s="799"/>
      <c r="CX42" s="839"/>
      <c r="CY42" s="799"/>
      <c r="CZ42" s="839"/>
      <c r="DA42" s="799"/>
      <c r="DB42" s="839"/>
      <c r="DC42" s="799"/>
      <c r="DD42" s="839"/>
      <c r="DE42" s="840"/>
      <c r="DF42" s="562"/>
      <c r="DG42" s="832"/>
      <c r="DH42" s="907" t="s">
        <v>470</v>
      </c>
      <c r="DI42" s="904"/>
      <c r="DJ42" s="904"/>
      <c r="DK42" s="905"/>
      <c r="DL42" s="906"/>
      <c r="DM42" s="836"/>
      <c r="DN42" s="837"/>
      <c r="DO42" s="838"/>
      <c r="DP42" s="799"/>
      <c r="DQ42" s="839"/>
      <c r="DR42" s="799"/>
      <c r="DS42" s="839"/>
      <c r="DT42" s="799"/>
      <c r="DU42" s="839"/>
      <c r="DV42" s="799"/>
      <c r="DW42" s="839"/>
      <c r="DX42" s="799"/>
      <c r="DY42" s="839"/>
      <c r="DZ42" s="799"/>
      <c r="EA42" s="839"/>
      <c r="EB42" s="799"/>
      <c r="EC42" s="839"/>
      <c r="ED42" s="799">
        <v>0</v>
      </c>
      <c r="EE42" s="839"/>
      <c r="EF42" s="799">
        <v>0</v>
      </c>
      <c r="EG42" s="839"/>
      <c r="EH42" s="799">
        <v>0</v>
      </c>
      <c r="EI42" s="839"/>
      <c r="EJ42" s="799">
        <v>0</v>
      </c>
      <c r="EK42" s="839"/>
      <c r="EL42" s="799">
        <v>0</v>
      </c>
      <c r="EM42" s="839"/>
      <c r="EN42" s="799">
        <v>0</v>
      </c>
      <c r="EO42" s="839"/>
      <c r="EP42" s="799">
        <v>0</v>
      </c>
      <c r="EQ42" s="839"/>
      <c r="ER42" s="799">
        <v>0</v>
      </c>
      <c r="ES42" s="839"/>
      <c r="ET42" s="799">
        <v>0</v>
      </c>
      <c r="EU42" s="839"/>
      <c r="EV42" s="799">
        <v>0</v>
      </c>
      <c r="EW42" s="839"/>
      <c r="EX42" s="799"/>
      <c r="EY42" s="839"/>
      <c r="EZ42" s="799"/>
      <c r="FA42" s="839"/>
      <c r="FB42" s="799"/>
      <c r="FC42" s="839"/>
      <c r="FD42" s="799"/>
      <c r="FE42" s="839"/>
      <c r="FF42" s="799"/>
      <c r="FG42" s="839"/>
      <c r="FH42" s="840"/>
      <c r="FI42" s="563"/>
      <c r="FJ42" s="841"/>
      <c r="FK42" s="907" t="s">
        <v>469</v>
      </c>
      <c r="FL42" s="904"/>
      <c r="FM42" s="904"/>
      <c r="FN42" s="905"/>
      <c r="FO42" s="906"/>
      <c r="FP42" s="842"/>
      <c r="FQ42" s="838"/>
      <c r="FR42" s="837">
        <v>0</v>
      </c>
      <c r="FS42" s="843"/>
      <c r="FT42" s="838"/>
      <c r="FU42" s="805">
        <v>0</v>
      </c>
      <c r="FV42" s="593"/>
      <c r="FW42" s="594"/>
      <c r="FX42" s="806"/>
      <c r="FY42" s="596"/>
      <c r="FZ42" s="807"/>
      <c r="GA42" s="598"/>
      <c r="GB42" s="808"/>
      <c r="GC42" s="600"/>
      <c r="GD42" s="808"/>
      <c r="GE42" s="601"/>
      <c r="GF42" s="844"/>
      <c r="GG42" s="602"/>
      <c r="GH42" s="602"/>
      <c r="GI42" s="602"/>
      <c r="GJ42" s="500"/>
      <c r="GK42" s="1339"/>
      <c r="GL42" s="1339"/>
      <c r="GM42" s="1305"/>
      <c r="GN42" s="1305"/>
      <c r="GO42" s="1305"/>
      <c r="GP42" s="1305"/>
      <c r="GQ42" s="1305"/>
      <c r="GR42" s="1305"/>
      <c r="GS42" s="580"/>
      <c r="GT42" s="500"/>
      <c r="GU42" s="500"/>
      <c r="GV42" s="500"/>
      <c r="GW42" s="579"/>
      <c r="GX42" s="579"/>
      <c r="GY42" s="579"/>
      <c r="GZ42" s="578"/>
      <c r="HA42" s="500"/>
      <c r="HB42" s="500"/>
      <c r="HC42" s="530"/>
      <c r="HD42" s="530"/>
    </row>
    <row r="43" spans="1:219" ht="20.100000000000001" customHeight="1">
      <c r="A43" s="832"/>
      <c r="B43" s="912" t="s">
        <v>472</v>
      </c>
      <c r="C43" s="913"/>
      <c r="D43" s="913"/>
      <c r="E43" s="913"/>
      <c r="F43" s="914"/>
      <c r="G43" s="694"/>
      <c r="H43" s="915">
        <v>0</v>
      </c>
      <c r="I43" s="695"/>
      <c r="J43" s="915">
        <v>0</v>
      </c>
      <c r="K43" s="695"/>
      <c r="L43" s="915">
        <v>0</v>
      </c>
      <c r="M43" s="695"/>
      <c r="N43" s="915">
        <v>0</v>
      </c>
      <c r="O43" s="695"/>
      <c r="P43" s="915">
        <v>0</v>
      </c>
      <c r="Q43" s="695"/>
      <c r="R43" s="915">
        <v>0</v>
      </c>
      <c r="S43" s="695"/>
      <c r="T43" s="915">
        <v>0</v>
      </c>
      <c r="U43" s="695"/>
      <c r="V43" s="915">
        <v>0</v>
      </c>
      <c r="W43" s="916"/>
      <c r="X43" s="915">
        <v>0</v>
      </c>
      <c r="Y43" s="695"/>
      <c r="Z43" s="915">
        <v>0</v>
      </c>
      <c r="AA43" s="695"/>
      <c r="AB43" s="915">
        <v>0</v>
      </c>
      <c r="AC43" s="695"/>
      <c r="AD43" s="915">
        <v>0</v>
      </c>
      <c r="AE43" s="695"/>
      <c r="AF43" s="915">
        <v>0</v>
      </c>
      <c r="AG43" s="695"/>
      <c r="AH43" s="915">
        <v>0</v>
      </c>
      <c r="AI43" s="695"/>
      <c r="AJ43" s="915">
        <v>0</v>
      </c>
      <c r="AK43" s="695"/>
      <c r="AL43" s="915">
        <v>0</v>
      </c>
      <c r="AM43" s="695"/>
      <c r="AN43" s="915">
        <v>0</v>
      </c>
      <c r="AO43" s="695"/>
      <c r="AP43" s="915">
        <v>0</v>
      </c>
      <c r="AQ43" s="695"/>
      <c r="AR43" s="915">
        <v>0</v>
      </c>
      <c r="AS43" s="695"/>
      <c r="AT43" s="915">
        <v>0</v>
      </c>
      <c r="AU43" s="695"/>
      <c r="AV43" s="915">
        <v>0</v>
      </c>
      <c r="AW43" s="695"/>
      <c r="AX43" s="915">
        <v>0</v>
      </c>
      <c r="AY43" s="695"/>
      <c r="AZ43" s="915">
        <v>0</v>
      </c>
      <c r="BA43" s="695"/>
      <c r="BB43" s="882">
        <v>0</v>
      </c>
      <c r="BC43" s="562"/>
      <c r="BD43" s="832"/>
      <c r="BE43" s="917" t="s">
        <v>472</v>
      </c>
      <c r="BF43" s="913"/>
      <c r="BG43" s="913"/>
      <c r="BH43" s="913"/>
      <c r="BI43" s="914"/>
      <c r="BJ43" s="694"/>
      <c r="BK43" s="915">
        <v>0</v>
      </c>
      <c r="BL43" s="695"/>
      <c r="BM43" s="915">
        <v>0</v>
      </c>
      <c r="BN43" s="695"/>
      <c r="BO43" s="915">
        <v>0</v>
      </c>
      <c r="BP43" s="695"/>
      <c r="BQ43" s="915">
        <v>0</v>
      </c>
      <c r="BR43" s="695"/>
      <c r="BS43" s="915">
        <v>0</v>
      </c>
      <c r="BT43" s="695"/>
      <c r="BU43" s="915">
        <v>0</v>
      </c>
      <c r="BV43" s="695"/>
      <c r="BW43" s="915">
        <v>0</v>
      </c>
      <c r="BX43" s="695"/>
      <c r="BY43" s="915">
        <v>0</v>
      </c>
      <c r="BZ43" s="916"/>
      <c r="CA43" s="915">
        <v>0</v>
      </c>
      <c r="CB43" s="695"/>
      <c r="CC43" s="915">
        <v>0</v>
      </c>
      <c r="CD43" s="695"/>
      <c r="CE43" s="915">
        <v>0</v>
      </c>
      <c r="CF43" s="695"/>
      <c r="CG43" s="915">
        <v>0</v>
      </c>
      <c r="CH43" s="695"/>
      <c r="CI43" s="915">
        <v>0</v>
      </c>
      <c r="CJ43" s="695"/>
      <c r="CK43" s="915">
        <v>0</v>
      </c>
      <c r="CL43" s="695"/>
      <c r="CM43" s="915">
        <v>0</v>
      </c>
      <c r="CN43" s="695"/>
      <c r="CO43" s="915">
        <v>0</v>
      </c>
      <c r="CP43" s="695"/>
      <c r="CQ43" s="915">
        <v>0</v>
      </c>
      <c r="CR43" s="695"/>
      <c r="CS43" s="915">
        <v>0</v>
      </c>
      <c r="CT43" s="695"/>
      <c r="CU43" s="915">
        <v>0</v>
      </c>
      <c r="CV43" s="695"/>
      <c r="CW43" s="915">
        <v>0</v>
      </c>
      <c r="CX43" s="695"/>
      <c r="CY43" s="915">
        <v>0</v>
      </c>
      <c r="CZ43" s="695"/>
      <c r="DA43" s="915">
        <v>0</v>
      </c>
      <c r="DB43" s="695"/>
      <c r="DC43" s="915">
        <v>0</v>
      </c>
      <c r="DD43" s="695"/>
      <c r="DE43" s="882">
        <v>0</v>
      </c>
      <c r="DF43" s="562"/>
      <c r="DG43" s="832"/>
      <c r="DH43" s="917" t="s">
        <v>471</v>
      </c>
      <c r="DI43" s="913"/>
      <c r="DJ43" s="913"/>
      <c r="DK43" s="913"/>
      <c r="DL43" s="914"/>
      <c r="DM43" s="694"/>
      <c r="DN43" s="915">
        <v>0</v>
      </c>
      <c r="DO43" s="695"/>
      <c r="DP43" s="915">
        <v>0</v>
      </c>
      <c r="DQ43" s="695"/>
      <c r="DR43" s="915">
        <v>0</v>
      </c>
      <c r="DS43" s="695"/>
      <c r="DT43" s="915">
        <v>0</v>
      </c>
      <c r="DU43" s="695"/>
      <c r="DV43" s="915">
        <v>0</v>
      </c>
      <c r="DW43" s="695"/>
      <c r="DX43" s="915">
        <v>0</v>
      </c>
      <c r="DY43" s="695"/>
      <c r="DZ43" s="915">
        <v>0</v>
      </c>
      <c r="EA43" s="695"/>
      <c r="EB43" s="915">
        <v>0</v>
      </c>
      <c r="EC43" s="916"/>
      <c r="ED43" s="915">
        <v>0</v>
      </c>
      <c r="EE43" s="695"/>
      <c r="EF43" s="915">
        <v>0</v>
      </c>
      <c r="EG43" s="695"/>
      <c r="EH43" s="915">
        <v>0</v>
      </c>
      <c r="EI43" s="695"/>
      <c r="EJ43" s="915">
        <v>0</v>
      </c>
      <c r="EK43" s="695"/>
      <c r="EL43" s="915">
        <v>0</v>
      </c>
      <c r="EM43" s="695"/>
      <c r="EN43" s="915">
        <v>0</v>
      </c>
      <c r="EO43" s="695"/>
      <c r="EP43" s="915">
        <v>0</v>
      </c>
      <c r="EQ43" s="695"/>
      <c r="ER43" s="915">
        <v>0</v>
      </c>
      <c r="ES43" s="695"/>
      <c r="ET43" s="915">
        <v>0</v>
      </c>
      <c r="EU43" s="695"/>
      <c r="EV43" s="915">
        <v>0</v>
      </c>
      <c r="EW43" s="695"/>
      <c r="EX43" s="915">
        <v>0</v>
      </c>
      <c r="EY43" s="695"/>
      <c r="EZ43" s="915">
        <v>0</v>
      </c>
      <c r="FA43" s="695"/>
      <c r="FB43" s="915">
        <v>0</v>
      </c>
      <c r="FC43" s="695"/>
      <c r="FD43" s="915">
        <v>0</v>
      </c>
      <c r="FE43" s="695"/>
      <c r="FF43" s="915">
        <v>0</v>
      </c>
      <c r="FG43" s="695"/>
      <c r="FH43" s="882">
        <v>0</v>
      </c>
      <c r="FI43" s="563"/>
      <c r="FJ43" s="841"/>
      <c r="FK43" s="917" t="s">
        <v>471</v>
      </c>
      <c r="FL43" s="913"/>
      <c r="FM43" s="913"/>
      <c r="FN43" s="913"/>
      <c r="FO43" s="914"/>
      <c r="FP43" s="696"/>
      <c r="FQ43" s="697"/>
      <c r="FR43" s="587">
        <v>0</v>
      </c>
      <c r="FS43" s="698"/>
      <c r="FT43" s="697"/>
      <c r="FU43" s="592">
        <v>0</v>
      </c>
      <c r="FV43" s="918"/>
      <c r="FW43" s="919"/>
      <c r="FX43" s="920"/>
      <c r="FY43" s="921"/>
      <c r="FZ43" s="922"/>
      <c r="GA43" s="923"/>
      <c r="GB43" s="924"/>
      <c r="GC43" s="925"/>
      <c r="GD43" s="924"/>
      <c r="GE43" s="926"/>
      <c r="GF43" s="688"/>
      <c r="GG43" s="602"/>
      <c r="GH43" s="602"/>
      <c r="GI43" s="602"/>
      <c r="GJ43" s="579"/>
      <c r="GK43" s="1339"/>
      <c r="GL43" s="1339"/>
      <c r="GM43" s="1305"/>
      <c r="GN43" s="1305"/>
      <c r="GO43" s="1305"/>
      <c r="GP43" s="1305"/>
      <c r="GQ43" s="1305"/>
      <c r="GR43" s="1305"/>
      <c r="GS43" s="580"/>
      <c r="GT43" s="1337"/>
      <c r="GU43" s="578"/>
      <c r="GV43" s="500"/>
      <c r="GW43" s="500"/>
      <c r="GX43" s="500"/>
      <c r="GY43" s="500"/>
      <c r="GZ43" s="500"/>
      <c r="HA43" s="500"/>
      <c r="HB43" s="500"/>
      <c r="HC43" s="932"/>
      <c r="HD43" s="415"/>
    </row>
    <row r="44" spans="1:219" ht="20.100000000000001" customHeight="1" thickBot="1">
      <c r="A44" s="933"/>
      <c r="B44" s="642"/>
      <c r="C44" s="642"/>
      <c r="D44" s="643" t="s">
        <v>672</v>
      </c>
      <c r="E44" s="642"/>
      <c r="F44" s="642"/>
      <c r="G44" s="845"/>
      <c r="H44" s="1313">
        <v>0</v>
      </c>
      <c r="I44" s="1314"/>
      <c r="J44" s="848">
        <v>0</v>
      </c>
      <c r="K44" s="849"/>
      <c r="L44" s="848">
        <v>0</v>
      </c>
      <c r="M44" s="849"/>
      <c r="N44" s="848">
        <v>0</v>
      </c>
      <c r="O44" s="849"/>
      <c r="P44" s="848">
        <v>0</v>
      </c>
      <c r="Q44" s="849"/>
      <c r="R44" s="848">
        <v>0</v>
      </c>
      <c r="S44" s="849"/>
      <c r="T44" s="848">
        <v>0</v>
      </c>
      <c r="U44" s="849"/>
      <c r="V44" s="848">
        <v>0</v>
      </c>
      <c r="W44" s="849"/>
      <c r="X44" s="848">
        <v>0</v>
      </c>
      <c r="Y44" s="849"/>
      <c r="Z44" s="848">
        <v>0</v>
      </c>
      <c r="AA44" s="849"/>
      <c r="AB44" s="848">
        <v>0</v>
      </c>
      <c r="AC44" s="849"/>
      <c r="AD44" s="848">
        <v>0</v>
      </c>
      <c r="AE44" s="849"/>
      <c r="AF44" s="848">
        <v>0</v>
      </c>
      <c r="AG44" s="849"/>
      <c r="AH44" s="848">
        <v>0</v>
      </c>
      <c r="AI44" s="849"/>
      <c r="AJ44" s="848">
        <v>0</v>
      </c>
      <c r="AK44" s="849"/>
      <c r="AL44" s="848">
        <v>0</v>
      </c>
      <c r="AM44" s="849"/>
      <c r="AN44" s="848">
        <v>0</v>
      </c>
      <c r="AO44" s="849"/>
      <c r="AP44" s="848">
        <v>0</v>
      </c>
      <c r="AQ44" s="849"/>
      <c r="AR44" s="848">
        <v>0</v>
      </c>
      <c r="AS44" s="849"/>
      <c r="AT44" s="848">
        <v>0</v>
      </c>
      <c r="AU44" s="849"/>
      <c r="AV44" s="848">
        <v>0</v>
      </c>
      <c r="AW44" s="849"/>
      <c r="AX44" s="848">
        <v>0</v>
      </c>
      <c r="AY44" s="849"/>
      <c r="AZ44" s="848">
        <v>0</v>
      </c>
      <c r="BA44" s="849"/>
      <c r="BB44" s="1315">
        <v>0</v>
      </c>
      <c r="BC44" s="648"/>
      <c r="BD44" s="933"/>
      <c r="BE44" s="642"/>
      <c r="BF44" s="642"/>
      <c r="BG44" s="643" t="s">
        <v>330</v>
      </c>
      <c r="BH44" s="642"/>
      <c r="BI44" s="642"/>
      <c r="BJ44" s="845"/>
      <c r="BK44" s="1313">
        <v>0</v>
      </c>
      <c r="BL44" s="1314"/>
      <c r="BM44" s="848">
        <v>0</v>
      </c>
      <c r="BN44" s="849"/>
      <c r="BO44" s="848">
        <v>0</v>
      </c>
      <c r="BP44" s="849"/>
      <c r="BQ44" s="848">
        <v>0</v>
      </c>
      <c r="BR44" s="849"/>
      <c r="BS44" s="848">
        <v>0</v>
      </c>
      <c r="BT44" s="849"/>
      <c r="BU44" s="848">
        <v>0</v>
      </c>
      <c r="BV44" s="849"/>
      <c r="BW44" s="848">
        <v>0</v>
      </c>
      <c r="BX44" s="849"/>
      <c r="BY44" s="848">
        <v>0</v>
      </c>
      <c r="BZ44" s="849"/>
      <c r="CA44" s="848">
        <v>0</v>
      </c>
      <c r="CB44" s="849"/>
      <c r="CC44" s="848">
        <v>0</v>
      </c>
      <c r="CD44" s="849"/>
      <c r="CE44" s="848">
        <v>0</v>
      </c>
      <c r="CF44" s="849"/>
      <c r="CG44" s="848">
        <v>0</v>
      </c>
      <c r="CH44" s="849"/>
      <c r="CI44" s="848">
        <v>0</v>
      </c>
      <c r="CJ44" s="849"/>
      <c r="CK44" s="848">
        <v>0</v>
      </c>
      <c r="CL44" s="849"/>
      <c r="CM44" s="848">
        <v>0</v>
      </c>
      <c r="CN44" s="849"/>
      <c r="CO44" s="848">
        <v>0</v>
      </c>
      <c r="CP44" s="849"/>
      <c r="CQ44" s="848">
        <v>0</v>
      </c>
      <c r="CR44" s="849"/>
      <c r="CS44" s="848">
        <v>0</v>
      </c>
      <c r="CT44" s="849"/>
      <c r="CU44" s="848">
        <v>0</v>
      </c>
      <c r="CV44" s="849"/>
      <c r="CW44" s="848">
        <v>0</v>
      </c>
      <c r="CX44" s="849"/>
      <c r="CY44" s="848">
        <v>0</v>
      </c>
      <c r="CZ44" s="849"/>
      <c r="DA44" s="848">
        <v>0</v>
      </c>
      <c r="DB44" s="849"/>
      <c r="DC44" s="848">
        <v>0</v>
      </c>
      <c r="DD44" s="849"/>
      <c r="DE44" s="1315">
        <v>0</v>
      </c>
      <c r="DF44" s="648"/>
      <c r="DG44" s="933"/>
      <c r="DH44" s="642"/>
      <c r="DI44" s="642"/>
      <c r="DJ44" s="643" t="s">
        <v>672</v>
      </c>
      <c r="DK44" s="642"/>
      <c r="DL44" s="642"/>
      <c r="DM44" s="845"/>
      <c r="DN44" s="1313">
        <v>0</v>
      </c>
      <c r="DO44" s="1314"/>
      <c r="DP44" s="848">
        <v>0</v>
      </c>
      <c r="DQ44" s="849"/>
      <c r="DR44" s="848">
        <v>0</v>
      </c>
      <c r="DS44" s="849"/>
      <c r="DT44" s="848">
        <v>0</v>
      </c>
      <c r="DU44" s="849"/>
      <c r="DV44" s="848">
        <v>0</v>
      </c>
      <c r="DW44" s="849"/>
      <c r="DX44" s="848">
        <v>0</v>
      </c>
      <c r="DY44" s="849"/>
      <c r="DZ44" s="848">
        <v>0</v>
      </c>
      <c r="EA44" s="849"/>
      <c r="EB44" s="848">
        <v>0</v>
      </c>
      <c r="EC44" s="849"/>
      <c r="ED44" s="848">
        <v>0</v>
      </c>
      <c r="EE44" s="849"/>
      <c r="EF44" s="848">
        <v>0</v>
      </c>
      <c r="EG44" s="849"/>
      <c r="EH44" s="848">
        <v>0</v>
      </c>
      <c r="EI44" s="849"/>
      <c r="EJ44" s="848">
        <v>0</v>
      </c>
      <c r="EK44" s="849"/>
      <c r="EL44" s="848">
        <v>0</v>
      </c>
      <c r="EM44" s="849"/>
      <c r="EN44" s="848">
        <v>0</v>
      </c>
      <c r="EO44" s="849"/>
      <c r="EP44" s="848">
        <v>0</v>
      </c>
      <c r="EQ44" s="849"/>
      <c r="ER44" s="848">
        <v>0</v>
      </c>
      <c r="ES44" s="849"/>
      <c r="ET44" s="848">
        <v>0</v>
      </c>
      <c r="EU44" s="849"/>
      <c r="EV44" s="848">
        <v>0</v>
      </c>
      <c r="EW44" s="849"/>
      <c r="EX44" s="848">
        <v>0</v>
      </c>
      <c r="EY44" s="849"/>
      <c r="EZ44" s="848">
        <v>0</v>
      </c>
      <c r="FA44" s="849"/>
      <c r="FB44" s="848">
        <v>0</v>
      </c>
      <c r="FC44" s="849"/>
      <c r="FD44" s="848">
        <v>0</v>
      </c>
      <c r="FE44" s="849"/>
      <c r="FF44" s="848">
        <v>0</v>
      </c>
      <c r="FG44" s="849"/>
      <c r="FH44" s="1315">
        <v>0</v>
      </c>
      <c r="FI44" s="649"/>
      <c r="FJ44" s="934"/>
      <c r="FK44" s="642"/>
      <c r="FL44" s="642"/>
      <c r="FM44" s="643" t="s">
        <v>672</v>
      </c>
      <c r="FN44" s="642"/>
      <c r="FO44" s="642"/>
      <c r="FP44" s="650"/>
      <c r="FQ44" s="1314"/>
      <c r="FR44" s="1313">
        <v>0</v>
      </c>
      <c r="FS44" s="1316"/>
      <c r="FT44" s="1314"/>
      <c r="FU44" s="1317">
        <v>0</v>
      </c>
      <c r="FV44" s="593" t="s">
        <v>331</v>
      </c>
      <c r="FW44" s="594"/>
      <c r="FX44" s="806" t="s">
        <v>332</v>
      </c>
      <c r="FY44" s="596"/>
      <c r="FZ44" s="807" t="s">
        <v>333</v>
      </c>
      <c r="GA44" s="598"/>
      <c r="GB44" s="808" t="s">
        <v>334</v>
      </c>
      <c r="GC44" s="600"/>
      <c r="GD44" s="808" t="s">
        <v>335</v>
      </c>
      <c r="GE44" s="601"/>
      <c r="GF44" s="654"/>
      <c r="GG44" s="655"/>
      <c r="GH44" s="655"/>
      <c r="GI44" s="655"/>
      <c r="GJ44" s="578"/>
      <c r="GK44" s="1339"/>
      <c r="GL44" s="1339"/>
      <c r="GM44" s="689"/>
      <c r="GN44" s="689"/>
      <c r="GO44" s="689"/>
      <c r="GP44" s="689"/>
      <c r="GQ44" s="1305"/>
      <c r="GR44" s="1305"/>
      <c r="GS44" s="936"/>
      <c r="GT44" s="1305"/>
      <c r="GU44" s="578"/>
      <c r="GV44" s="579"/>
      <c r="GW44" s="579"/>
      <c r="GX44" s="579"/>
      <c r="GY44" s="500"/>
      <c r="GZ44" s="500"/>
      <c r="HA44" s="579"/>
      <c r="HB44" s="500"/>
      <c r="HC44" s="938"/>
      <c r="HD44" s="415"/>
    </row>
    <row r="45" spans="1:219" ht="20.100000000000001" customHeight="1" thickTop="1">
      <c r="A45" s="939" t="s">
        <v>476</v>
      </c>
      <c r="B45" s="940"/>
      <c r="C45" s="940"/>
      <c r="D45" s="940"/>
      <c r="E45" s="940"/>
      <c r="F45" s="941"/>
      <c r="G45" s="942"/>
      <c r="H45" s="943">
        <v>0</v>
      </c>
      <c r="I45" s="944"/>
      <c r="J45" s="943">
        <v>0</v>
      </c>
      <c r="K45" s="944"/>
      <c r="L45" s="943">
        <v>0</v>
      </c>
      <c r="M45" s="944"/>
      <c r="N45" s="943">
        <v>0</v>
      </c>
      <c r="O45" s="944"/>
      <c r="P45" s="943">
        <v>0</v>
      </c>
      <c r="Q45" s="944"/>
      <c r="R45" s="943">
        <v>0</v>
      </c>
      <c r="S45" s="944"/>
      <c r="T45" s="943">
        <v>0</v>
      </c>
      <c r="U45" s="944"/>
      <c r="V45" s="943">
        <v>0</v>
      </c>
      <c r="W45" s="944"/>
      <c r="X45" s="943">
        <v>0</v>
      </c>
      <c r="Y45" s="944"/>
      <c r="Z45" s="943">
        <v>0</v>
      </c>
      <c r="AA45" s="944"/>
      <c r="AB45" s="943">
        <v>0</v>
      </c>
      <c r="AC45" s="944"/>
      <c r="AD45" s="943">
        <v>0</v>
      </c>
      <c r="AE45" s="944"/>
      <c r="AF45" s="943">
        <v>0</v>
      </c>
      <c r="AG45" s="944"/>
      <c r="AH45" s="943">
        <v>0</v>
      </c>
      <c r="AI45" s="944"/>
      <c r="AJ45" s="943">
        <v>0</v>
      </c>
      <c r="AK45" s="944"/>
      <c r="AL45" s="943">
        <v>0</v>
      </c>
      <c r="AM45" s="944"/>
      <c r="AN45" s="943">
        <v>0</v>
      </c>
      <c r="AO45" s="944"/>
      <c r="AP45" s="943">
        <v>0</v>
      </c>
      <c r="AQ45" s="944"/>
      <c r="AR45" s="943">
        <v>0</v>
      </c>
      <c r="AS45" s="944"/>
      <c r="AT45" s="943">
        <v>0</v>
      </c>
      <c r="AU45" s="944"/>
      <c r="AV45" s="943">
        <v>0</v>
      </c>
      <c r="AW45" s="944"/>
      <c r="AX45" s="943">
        <v>0</v>
      </c>
      <c r="AY45" s="944"/>
      <c r="AZ45" s="943">
        <v>0</v>
      </c>
      <c r="BA45" s="944"/>
      <c r="BB45" s="945">
        <v>0</v>
      </c>
      <c r="BC45" s="648"/>
      <c r="BD45" s="939" t="s">
        <v>476</v>
      </c>
      <c r="BE45" s="940"/>
      <c r="BF45" s="940"/>
      <c r="BG45" s="940"/>
      <c r="BH45" s="940"/>
      <c r="BI45" s="941"/>
      <c r="BJ45" s="942"/>
      <c r="BK45" s="943">
        <v>0</v>
      </c>
      <c r="BL45" s="944"/>
      <c r="BM45" s="943">
        <v>0</v>
      </c>
      <c r="BN45" s="944"/>
      <c r="BO45" s="943">
        <v>0</v>
      </c>
      <c r="BP45" s="944"/>
      <c r="BQ45" s="943">
        <v>0</v>
      </c>
      <c r="BR45" s="944"/>
      <c r="BS45" s="943">
        <v>0</v>
      </c>
      <c r="BT45" s="944"/>
      <c r="BU45" s="943">
        <v>0</v>
      </c>
      <c r="BV45" s="944"/>
      <c r="BW45" s="943">
        <v>0</v>
      </c>
      <c r="BX45" s="944"/>
      <c r="BY45" s="943">
        <v>0</v>
      </c>
      <c r="BZ45" s="944"/>
      <c r="CA45" s="943">
        <v>0</v>
      </c>
      <c r="CB45" s="944"/>
      <c r="CC45" s="943">
        <v>0</v>
      </c>
      <c r="CD45" s="944"/>
      <c r="CE45" s="943">
        <v>0</v>
      </c>
      <c r="CF45" s="944"/>
      <c r="CG45" s="943">
        <v>0</v>
      </c>
      <c r="CH45" s="944"/>
      <c r="CI45" s="943">
        <v>0</v>
      </c>
      <c r="CJ45" s="944"/>
      <c r="CK45" s="943">
        <v>0</v>
      </c>
      <c r="CL45" s="944"/>
      <c r="CM45" s="943">
        <v>0</v>
      </c>
      <c r="CN45" s="944"/>
      <c r="CO45" s="943">
        <v>0</v>
      </c>
      <c r="CP45" s="944"/>
      <c r="CQ45" s="943">
        <v>0</v>
      </c>
      <c r="CR45" s="944"/>
      <c r="CS45" s="943">
        <v>0</v>
      </c>
      <c r="CT45" s="944"/>
      <c r="CU45" s="943">
        <v>0</v>
      </c>
      <c r="CV45" s="944"/>
      <c r="CW45" s="943">
        <v>0</v>
      </c>
      <c r="CX45" s="944"/>
      <c r="CY45" s="943">
        <v>0</v>
      </c>
      <c r="CZ45" s="944"/>
      <c r="DA45" s="943">
        <v>0</v>
      </c>
      <c r="DB45" s="944"/>
      <c r="DC45" s="943">
        <v>0</v>
      </c>
      <c r="DD45" s="944"/>
      <c r="DE45" s="945">
        <v>0</v>
      </c>
      <c r="DF45" s="648"/>
      <c r="DG45" s="939" t="s">
        <v>476</v>
      </c>
      <c r="DH45" s="940"/>
      <c r="DI45" s="940"/>
      <c r="DJ45" s="940"/>
      <c r="DK45" s="940"/>
      <c r="DL45" s="941"/>
      <c r="DM45" s="942"/>
      <c r="DN45" s="943">
        <v>0</v>
      </c>
      <c r="DO45" s="944"/>
      <c r="DP45" s="943">
        <v>0</v>
      </c>
      <c r="DQ45" s="944"/>
      <c r="DR45" s="943">
        <v>0</v>
      </c>
      <c r="DS45" s="944"/>
      <c r="DT45" s="943">
        <v>0</v>
      </c>
      <c r="DU45" s="944"/>
      <c r="DV45" s="943">
        <v>0</v>
      </c>
      <c r="DW45" s="944"/>
      <c r="DX45" s="943">
        <v>0</v>
      </c>
      <c r="DY45" s="944"/>
      <c r="DZ45" s="943">
        <v>0</v>
      </c>
      <c r="EA45" s="944"/>
      <c r="EB45" s="943">
        <v>0</v>
      </c>
      <c r="EC45" s="944"/>
      <c r="ED45" s="943">
        <v>0</v>
      </c>
      <c r="EE45" s="944"/>
      <c r="EF45" s="943">
        <v>0</v>
      </c>
      <c r="EG45" s="944"/>
      <c r="EH45" s="943">
        <v>0</v>
      </c>
      <c r="EI45" s="944"/>
      <c r="EJ45" s="943">
        <v>0</v>
      </c>
      <c r="EK45" s="944"/>
      <c r="EL45" s="943">
        <v>0</v>
      </c>
      <c r="EM45" s="944"/>
      <c r="EN45" s="943">
        <v>0</v>
      </c>
      <c r="EO45" s="944"/>
      <c r="EP45" s="943">
        <v>0</v>
      </c>
      <c r="EQ45" s="944"/>
      <c r="ER45" s="943">
        <v>0</v>
      </c>
      <c r="ES45" s="944"/>
      <c r="ET45" s="943">
        <v>0</v>
      </c>
      <c r="EU45" s="944"/>
      <c r="EV45" s="943">
        <v>0</v>
      </c>
      <c r="EW45" s="944"/>
      <c r="EX45" s="943">
        <v>0</v>
      </c>
      <c r="EY45" s="944"/>
      <c r="EZ45" s="943">
        <v>0</v>
      </c>
      <c r="FA45" s="944"/>
      <c r="FB45" s="943">
        <v>0</v>
      </c>
      <c r="FC45" s="944"/>
      <c r="FD45" s="943">
        <v>0</v>
      </c>
      <c r="FE45" s="944"/>
      <c r="FF45" s="943">
        <v>0</v>
      </c>
      <c r="FG45" s="944"/>
      <c r="FH45" s="945">
        <v>0</v>
      </c>
      <c r="FI45" s="648"/>
      <c r="FJ45" s="939" t="s">
        <v>476</v>
      </c>
      <c r="FK45" s="940"/>
      <c r="FL45" s="940"/>
      <c r="FM45" s="940"/>
      <c r="FN45" s="940"/>
      <c r="FO45" s="941"/>
      <c r="FP45" s="946"/>
      <c r="FQ45" s="947"/>
      <c r="FR45" s="943">
        <v>0</v>
      </c>
      <c r="FS45" s="948"/>
      <c r="FT45" s="947"/>
      <c r="FU45" s="949">
        <v>0</v>
      </c>
      <c r="FV45" s="593"/>
      <c r="FW45" s="594"/>
      <c r="FX45" s="806"/>
      <c r="FY45" s="596"/>
      <c r="FZ45" s="807"/>
      <c r="GA45" s="598"/>
      <c r="GB45" s="808"/>
      <c r="GC45" s="600"/>
      <c r="GD45" s="808"/>
      <c r="GE45" s="601"/>
      <c r="GF45" s="654"/>
      <c r="GG45" s="655"/>
      <c r="GH45" s="655"/>
      <c r="GI45" s="655"/>
      <c r="GJ45" s="500"/>
      <c r="GK45" s="500"/>
      <c r="GL45" s="500"/>
      <c r="GM45" s="579"/>
      <c r="GN45" s="579"/>
      <c r="GO45" s="578"/>
      <c r="GP45" s="500"/>
      <c r="GQ45" s="500"/>
      <c r="GR45" s="500"/>
      <c r="GS45" s="953"/>
      <c r="GT45" s="1305"/>
      <c r="GU45" s="578"/>
      <c r="GV45" s="500"/>
      <c r="GW45" s="500"/>
      <c r="GX45" s="500"/>
      <c r="GY45" s="578"/>
      <c r="GZ45" s="500"/>
      <c r="HA45" s="579"/>
      <c r="HB45" s="500"/>
      <c r="HC45" s="938"/>
      <c r="HD45" s="415"/>
    </row>
    <row r="46" spans="1:219" ht="20.100000000000001" customHeight="1">
      <c r="A46" s="954" t="s">
        <v>336</v>
      </c>
      <c r="B46" s="955"/>
      <c r="C46" s="955"/>
      <c r="D46" s="955"/>
      <c r="E46" s="955"/>
      <c r="F46" s="956"/>
      <c r="G46" s="957" t="s">
        <v>1028</v>
      </c>
      <c r="H46" s="958"/>
      <c r="I46" s="1287" t="s">
        <v>1028</v>
      </c>
      <c r="J46" s="958"/>
      <c r="K46" s="1287" t="s">
        <v>1028</v>
      </c>
      <c r="L46" s="958"/>
      <c r="M46" s="1287" t="s">
        <v>1028</v>
      </c>
      <c r="N46" s="958"/>
      <c r="O46" s="1287" t="s">
        <v>1028</v>
      </c>
      <c r="P46" s="958"/>
      <c r="Q46" s="1287" t="s">
        <v>1028</v>
      </c>
      <c r="R46" s="958"/>
      <c r="S46" s="1287" t="s">
        <v>1028</v>
      </c>
      <c r="T46" s="958"/>
      <c r="U46" s="1287" t="s">
        <v>1028</v>
      </c>
      <c r="V46" s="958"/>
      <c r="W46" s="1287" t="s">
        <v>1028</v>
      </c>
      <c r="X46" s="958"/>
      <c r="Y46" s="1287" t="s">
        <v>1028</v>
      </c>
      <c r="Z46" s="958"/>
      <c r="AA46" s="1287" t="s">
        <v>1028</v>
      </c>
      <c r="AB46" s="958"/>
      <c r="AC46" s="1287" t="s">
        <v>1028</v>
      </c>
      <c r="AD46" s="958"/>
      <c r="AE46" s="1287" t="s">
        <v>1028</v>
      </c>
      <c r="AF46" s="958"/>
      <c r="AG46" s="1287" t="s">
        <v>1028</v>
      </c>
      <c r="AH46" s="958"/>
      <c r="AI46" s="1287" t="s">
        <v>1028</v>
      </c>
      <c r="AJ46" s="958"/>
      <c r="AK46" s="1287" t="s">
        <v>1028</v>
      </c>
      <c r="AL46" s="958"/>
      <c r="AM46" s="1287" t="s">
        <v>1028</v>
      </c>
      <c r="AN46" s="958"/>
      <c r="AO46" s="1287" t="s">
        <v>1028</v>
      </c>
      <c r="AP46" s="958"/>
      <c r="AQ46" s="1287" t="s">
        <v>1028</v>
      </c>
      <c r="AR46" s="958"/>
      <c r="AS46" s="1287" t="s">
        <v>1028</v>
      </c>
      <c r="AT46" s="958"/>
      <c r="AU46" s="1287" t="s">
        <v>1028</v>
      </c>
      <c r="AV46" s="958"/>
      <c r="AW46" s="1287" t="s">
        <v>1028</v>
      </c>
      <c r="AX46" s="958"/>
      <c r="AY46" s="1287" t="s">
        <v>1028</v>
      </c>
      <c r="AZ46" s="960"/>
      <c r="BA46" s="961" t="s">
        <v>1028</v>
      </c>
      <c r="BB46" s="962"/>
      <c r="BC46" s="963"/>
      <c r="BD46" s="954" t="s">
        <v>336</v>
      </c>
      <c r="BE46" s="955"/>
      <c r="BF46" s="955"/>
      <c r="BG46" s="955"/>
      <c r="BH46" s="955"/>
      <c r="BI46" s="956"/>
      <c r="BJ46" s="957" t="s">
        <v>1028</v>
      </c>
      <c r="BK46" s="958"/>
      <c r="BL46" s="1287" t="s">
        <v>1028</v>
      </c>
      <c r="BM46" s="958"/>
      <c r="BN46" s="1287" t="s">
        <v>1028</v>
      </c>
      <c r="BO46" s="958"/>
      <c r="BP46" s="1287" t="s">
        <v>1028</v>
      </c>
      <c r="BQ46" s="958"/>
      <c r="BR46" s="1287" t="s">
        <v>1028</v>
      </c>
      <c r="BS46" s="958"/>
      <c r="BT46" s="1287" t="s">
        <v>1028</v>
      </c>
      <c r="BU46" s="958"/>
      <c r="BV46" s="1287" t="s">
        <v>1028</v>
      </c>
      <c r="BW46" s="958"/>
      <c r="BX46" s="1287" t="s">
        <v>1028</v>
      </c>
      <c r="BY46" s="958"/>
      <c r="BZ46" s="1287" t="s">
        <v>1028</v>
      </c>
      <c r="CA46" s="958"/>
      <c r="CB46" s="1287" t="s">
        <v>1028</v>
      </c>
      <c r="CC46" s="958"/>
      <c r="CD46" s="1287" t="s">
        <v>1028</v>
      </c>
      <c r="CE46" s="958"/>
      <c r="CF46" s="1287" t="s">
        <v>1028</v>
      </c>
      <c r="CG46" s="958"/>
      <c r="CH46" s="1287" t="s">
        <v>1028</v>
      </c>
      <c r="CI46" s="958"/>
      <c r="CJ46" s="1287" t="s">
        <v>1028</v>
      </c>
      <c r="CK46" s="958"/>
      <c r="CL46" s="1287" t="s">
        <v>1028</v>
      </c>
      <c r="CM46" s="958"/>
      <c r="CN46" s="1287" t="s">
        <v>1028</v>
      </c>
      <c r="CO46" s="958"/>
      <c r="CP46" s="1287" t="s">
        <v>1028</v>
      </c>
      <c r="CQ46" s="958"/>
      <c r="CR46" s="1287" t="s">
        <v>1028</v>
      </c>
      <c r="CS46" s="958"/>
      <c r="CT46" s="1287" t="s">
        <v>1028</v>
      </c>
      <c r="CU46" s="958"/>
      <c r="CV46" s="1287" t="s">
        <v>1028</v>
      </c>
      <c r="CW46" s="958"/>
      <c r="CX46" s="1287" t="s">
        <v>1028</v>
      </c>
      <c r="CY46" s="958"/>
      <c r="CZ46" s="1287" t="s">
        <v>1028</v>
      </c>
      <c r="DA46" s="958"/>
      <c r="DB46" s="1287" t="s">
        <v>1028</v>
      </c>
      <c r="DC46" s="960"/>
      <c r="DD46" s="961" t="s">
        <v>1028</v>
      </c>
      <c r="DE46" s="962"/>
      <c r="DF46" s="963"/>
      <c r="DG46" s="954" t="s">
        <v>674</v>
      </c>
      <c r="DH46" s="955"/>
      <c r="DI46" s="955"/>
      <c r="DJ46" s="955"/>
      <c r="DK46" s="955"/>
      <c r="DL46" s="956"/>
      <c r="DM46" s="957" t="s">
        <v>1028</v>
      </c>
      <c r="DN46" s="958"/>
      <c r="DO46" s="1287" t="s">
        <v>1028</v>
      </c>
      <c r="DP46" s="958"/>
      <c r="DQ46" s="1287" t="s">
        <v>1028</v>
      </c>
      <c r="DR46" s="958"/>
      <c r="DS46" s="1287" t="s">
        <v>1028</v>
      </c>
      <c r="DT46" s="958"/>
      <c r="DU46" s="1287" t="s">
        <v>1028</v>
      </c>
      <c r="DV46" s="958"/>
      <c r="DW46" s="1287" t="s">
        <v>1028</v>
      </c>
      <c r="DX46" s="958"/>
      <c r="DY46" s="1287" t="s">
        <v>1028</v>
      </c>
      <c r="DZ46" s="958"/>
      <c r="EA46" s="1287" t="s">
        <v>1028</v>
      </c>
      <c r="EB46" s="958"/>
      <c r="EC46" s="1287" t="s">
        <v>1028</v>
      </c>
      <c r="ED46" s="958"/>
      <c r="EE46" s="1287" t="s">
        <v>1028</v>
      </c>
      <c r="EF46" s="958"/>
      <c r="EG46" s="1287" t="s">
        <v>1028</v>
      </c>
      <c r="EH46" s="958"/>
      <c r="EI46" s="1287" t="s">
        <v>1028</v>
      </c>
      <c r="EJ46" s="958"/>
      <c r="EK46" s="1287" t="s">
        <v>1028</v>
      </c>
      <c r="EL46" s="958"/>
      <c r="EM46" s="1287" t="s">
        <v>1028</v>
      </c>
      <c r="EN46" s="958"/>
      <c r="EO46" s="1287" t="s">
        <v>1028</v>
      </c>
      <c r="EP46" s="958"/>
      <c r="EQ46" s="1287" t="s">
        <v>1028</v>
      </c>
      <c r="ER46" s="958"/>
      <c r="ES46" s="1287" t="s">
        <v>1028</v>
      </c>
      <c r="ET46" s="958"/>
      <c r="EU46" s="1287" t="s">
        <v>1028</v>
      </c>
      <c r="EV46" s="958"/>
      <c r="EW46" s="1287" t="s">
        <v>1028</v>
      </c>
      <c r="EX46" s="958"/>
      <c r="EY46" s="1287" t="s">
        <v>1028</v>
      </c>
      <c r="EZ46" s="958"/>
      <c r="FA46" s="1287" t="s">
        <v>1028</v>
      </c>
      <c r="FB46" s="958"/>
      <c r="FC46" s="1287" t="s">
        <v>1028</v>
      </c>
      <c r="FD46" s="958"/>
      <c r="FE46" s="1287" t="s">
        <v>1028</v>
      </c>
      <c r="FF46" s="960"/>
      <c r="FG46" s="961" t="s">
        <v>1028</v>
      </c>
      <c r="FH46" s="962"/>
      <c r="FI46" s="963"/>
      <c r="FJ46" s="954" t="s">
        <v>675</v>
      </c>
      <c r="FK46" s="955"/>
      <c r="FL46" s="955"/>
      <c r="FM46" s="955"/>
      <c r="FN46" s="955"/>
      <c r="FO46" s="956"/>
      <c r="FP46" s="964"/>
      <c r="FQ46" s="965">
        <v>1</v>
      </c>
      <c r="FR46" s="958"/>
      <c r="FS46" s="966"/>
      <c r="FT46" s="967">
        <v>1</v>
      </c>
      <c r="FU46" s="968"/>
      <c r="FV46" s="918"/>
      <c r="FW46" s="919"/>
      <c r="FX46" s="920"/>
      <c r="FY46" s="921"/>
      <c r="FZ46" s="922"/>
      <c r="GA46" s="923"/>
      <c r="GB46" s="924"/>
      <c r="GC46" s="925"/>
      <c r="GD46" s="924"/>
      <c r="GE46" s="926"/>
      <c r="GF46" s="688"/>
      <c r="GG46" s="969"/>
      <c r="GH46" s="969"/>
      <c r="GI46" s="969"/>
      <c r="GJ46" s="500"/>
      <c r="GK46" s="500"/>
      <c r="GL46" s="500"/>
      <c r="GM46" s="1305"/>
      <c r="GN46" s="1305"/>
      <c r="GO46" s="1305"/>
      <c r="GP46" s="1305"/>
      <c r="GQ46" s="1305"/>
      <c r="GR46" s="1305"/>
      <c r="GS46" s="580"/>
      <c r="GT46" s="689"/>
      <c r="GU46" s="1338"/>
      <c r="GV46" s="1338"/>
      <c r="GW46" s="1338"/>
      <c r="GX46" s="1338"/>
      <c r="GY46" s="579"/>
      <c r="GZ46" s="1304"/>
      <c r="HA46" s="579"/>
      <c r="HB46" s="500"/>
      <c r="HC46" s="938"/>
      <c r="HD46" s="415"/>
    </row>
    <row r="47" spans="1:219" ht="20.100000000000001" customHeight="1" thickBot="1">
      <c r="A47" s="970" t="s">
        <v>337</v>
      </c>
      <c r="B47" s="971"/>
      <c r="C47" s="971"/>
      <c r="D47" s="972"/>
      <c r="E47" s="973"/>
      <c r="F47" s="973"/>
      <c r="G47" s="974"/>
      <c r="H47" s="975">
        <v>0</v>
      </c>
      <c r="I47" s="976"/>
      <c r="J47" s="975">
        <v>0</v>
      </c>
      <c r="K47" s="976"/>
      <c r="L47" s="975">
        <v>0</v>
      </c>
      <c r="M47" s="976"/>
      <c r="N47" s="975">
        <v>0</v>
      </c>
      <c r="O47" s="976"/>
      <c r="P47" s="975">
        <v>0</v>
      </c>
      <c r="Q47" s="976"/>
      <c r="R47" s="975">
        <v>0</v>
      </c>
      <c r="S47" s="976"/>
      <c r="T47" s="975">
        <v>0</v>
      </c>
      <c r="U47" s="976"/>
      <c r="V47" s="975">
        <v>0</v>
      </c>
      <c r="W47" s="976"/>
      <c r="X47" s="975">
        <v>0</v>
      </c>
      <c r="Y47" s="976"/>
      <c r="Z47" s="975">
        <v>0</v>
      </c>
      <c r="AA47" s="976"/>
      <c r="AB47" s="975">
        <v>0</v>
      </c>
      <c r="AC47" s="976"/>
      <c r="AD47" s="975">
        <v>0</v>
      </c>
      <c r="AE47" s="976"/>
      <c r="AF47" s="975">
        <v>0</v>
      </c>
      <c r="AG47" s="976"/>
      <c r="AH47" s="975">
        <v>0</v>
      </c>
      <c r="AI47" s="976"/>
      <c r="AJ47" s="975">
        <v>0</v>
      </c>
      <c r="AK47" s="976"/>
      <c r="AL47" s="975">
        <v>0</v>
      </c>
      <c r="AM47" s="976"/>
      <c r="AN47" s="975">
        <v>0</v>
      </c>
      <c r="AO47" s="976"/>
      <c r="AP47" s="975">
        <v>0</v>
      </c>
      <c r="AQ47" s="976"/>
      <c r="AR47" s="975">
        <v>0</v>
      </c>
      <c r="AS47" s="976"/>
      <c r="AT47" s="975">
        <v>0</v>
      </c>
      <c r="AU47" s="976"/>
      <c r="AV47" s="975">
        <v>0</v>
      </c>
      <c r="AW47" s="976"/>
      <c r="AX47" s="975">
        <v>0</v>
      </c>
      <c r="AY47" s="977"/>
      <c r="AZ47" s="978">
        <v>0</v>
      </c>
      <c r="BA47" s="979"/>
      <c r="BB47" s="980">
        <v>0</v>
      </c>
      <c r="BC47" s="981"/>
      <c r="BD47" s="970" t="s">
        <v>337</v>
      </c>
      <c r="BE47" s="971"/>
      <c r="BF47" s="971"/>
      <c r="BG47" s="972"/>
      <c r="BH47" s="973"/>
      <c r="BI47" s="973"/>
      <c r="BJ47" s="974"/>
      <c r="BK47" s="975">
        <v>0</v>
      </c>
      <c r="BL47" s="976"/>
      <c r="BM47" s="975">
        <v>0</v>
      </c>
      <c r="BN47" s="976"/>
      <c r="BO47" s="975">
        <v>0</v>
      </c>
      <c r="BP47" s="976"/>
      <c r="BQ47" s="975">
        <v>0</v>
      </c>
      <c r="BR47" s="976"/>
      <c r="BS47" s="975">
        <v>0</v>
      </c>
      <c r="BT47" s="976"/>
      <c r="BU47" s="975">
        <v>0</v>
      </c>
      <c r="BV47" s="976"/>
      <c r="BW47" s="975">
        <v>0</v>
      </c>
      <c r="BX47" s="976"/>
      <c r="BY47" s="975">
        <v>0</v>
      </c>
      <c r="BZ47" s="976"/>
      <c r="CA47" s="975">
        <v>0</v>
      </c>
      <c r="CB47" s="976"/>
      <c r="CC47" s="975">
        <v>0</v>
      </c>
      <c r="CD47" s="976"/>
      <c r="CE47" s="975">
        <v>0</v>
      </c>
      <c r="CF47" s="976"/>
      <c r="CG47" s="975">
        <v>0</v>
      </c>
      <c r="CH47" s="976"/>
      <c r="CI47" s="975">
        <v>0</v>
      </c>
      <c r="CJ47" s="976"/>
      <c r="CK47" s="975">
        <v>0</v>
      </c>
      <c r="CL47" s="976"/>
      <c r="CM47" s="975">
        <v>0</v>
      </c>
      <c r="CN47" s="976"/>
      <c r="CO47" s="975">
        <v>0</v>
      </c>
      <c r="CP47" s="976"/>
      <c r="CQ47" s="975">
        <v>0</v>
      </c>
      <c r="CR47" s="976"/>
      <c r="CS47" s="975">
        <v>0</v>
      </c>
      <c r="CT47" s="976"/>
      <c r="CU47" s="975">
        <v>0</v>
      </c>
      <c r="CV47" s="976"/>
      <c r="CW47" s="975">
        <v>0</v>
      </c>
      <c r="CX47" s="976"/>
      <c r="CY47" s="975">
        <v>0</v>
      </c>
      <c r="CZ47" s="976"/>
      <c r="DA47" s="975">
        <v>0</v>
      </c>
      <c r="DB47" s="977"/>
      <c r="DC47" s="978">
        <v>0</v>
      </c>
      <c r="DD47" s="979"/>
      <c r="DE47" s="980">
        <v>0</v>
      </c>
      <c r="DF47" s="981"/>
      <c r="DG47" s="970" t="s">
        <v>337</v>
      </c>
      <c r="DH47" s="971"/>
      <c r="DI47" s="971"/>
      <c r="DJ47" s="972"/>
      <c r="DK47" s="973"/>
      <c r="DL47" s="973"/>
      <c r="DM47" s="974"/>
      <c r="DN47" s="975">
        <v>0</v>
      </c>
      <c r="DO47" s="976"/>
      <c r="DP47" s="975">
        <v>0</v>
      </c>
      <c r="DQ47" s="976"/>
      <c r="DR47" s="975">
        <v>0</v>
      </c>
      <c r="DS47" s="976"/>
      <c r="DT47" s="975">
        <v>0</v>
      </c>
      <c r="DU47" s="976"/>
      <c r="DV47" s="975">
        <v>0</v>
      </c>
      <c r="DW47" s="976"/>
      <c r="DX47" s="975">
        <v>0</v>
      </c>
      <c r="DY47" s="976"/>
      <c r="DZ47" s="975">
        <v>0</v>
      </c>
      <c r="EA47" s="976"/>
      <c r="EB47" s="975">
        <v>0</v>
      </c>
      <c r="EC47" s="976"/>
      <c r="ED47" s="975">
        <v>0</v>
      </c>
      <c r="EE47" s="976"/>
      <c r="EF47" s="975">
        <v>0</v>
      </c>
      <c r="EG47" s="976"/>
      <c r="EH47" s="975">
        <v>0</v>
      </c>
      <c r="EI47" s="976"/>
      <c r="EJ47" s="975">
        <v>0</v>
      </c>
      <c r="EK47" s="976"/>
      <c r="EL47" s="975">
        <v>0</v>
      </c>
      <c r="EM47" s="976"/>
      <c r="EN47" s="975">
        <v>0</v>
      </c>
      <c r="EO47" s="976"/>
      <c r="EP47" s="975">
        <v>0</v>
      </c>
      <c r="EQ47" s="976"/>
      <c r="ER47" s="975">
        <v>0</v>
      </c>
      <c r="ES47" s="976"/>
      <c r="ET47" s="975">
        <v>0</v>
      </c>
      <c r="EU47" s="976"/>
      <c r="EV47" s="975">
        <v>0</v>
      </c>
      <c r="EW47" s="976"/>
      <c r="EX47" s="975">
        <v>0</v>
      </c>
      <c r="EY47" s="976"/>
      <c r="EZ47" s="975">
        <v>0</v>
      </c>
      <c r="FA47" s="976"/>
      <c r="FB47" s="975">
        <v>0</v>
      </c>
      <c r="FC47" s="976"/>
      <c r="FD47" s="975">
        <v>0</v>
      </c>
      <c r="FE47" s="977"/>
      <c r="FF47" s="978">
        <v>0</v>
      </c>
      <c r="FG47" s="979"/>
      <c r="FH47" s="980">
        <v>0</v>
      </c>
      <c r="FI47" s="981"/>
      <c r="FJ47" s="970" t="s">
        <v>768</v>
      </c>
      <c r="FK47" s="971"/>
      <c r="FL47" s="971"/>
      <c r="FM47" s="972"/>
      <c r="FN47" s="973"/>
      <c r="FO47" s="973"/>
      <c r="FP47" s="982"/>
      <c r="FQ47" s="983"/>
      <c r="FR47" s="975">
        <v>0</v>
      </c>
      <c r="FS47" s="984"/>
      <c r="FT47" s="983"/>
      <c r="FU47" s="985">
        <v>0</v>
      </c>
      <c r="FV47" s="986">
        <v>0</v>
      </c>
      <c r="FW47" s="975">
        <v>0</v>
      </c>
      <c r="FX47" s="987">
        <v>0</v>
      </c>
      <c r="FY47" s="975">
        <v>0</v>
      </c>
      <c r="FZ47" s="987">
        <v>0</v>
      </c>
      <c r="GA47" s="975">
        <v>0</v>
      </c>
      <c r="GB47" s="988" t="s">
        <v>366</v>
      </c>
      <c r="GC47" s="975">
        <v>0</v>
      </c>
      <c r="GD47" s="988" t="s">
        <v>368</v>
      </c>
      <c r="GE47" s="989">
        <v>0</v>
      </c>
      <c r="GF47" s="688"/>
      <c r="GG47" s="990"/>
      <c r="GH47" s="990"/>
      <c r="GI47" s="990"/>
      <c r="GJ47" s="500"/>
      <c r="GK47" s="500"/>
      <c r="GL47" s="500"/>
      <c r="GM47" s="578"/>
      <c r="GN47" s="500"/>
      <c r="GO47" s="578"/>
      <c r="GP47" s="578"/>
      <c r="GQ47" s="578"/>
      <c r="GR47" s="500"/>
      <c r="GS47" s="530"/>
      <c r="GT47" s="689"/>
      <c r="GU47" s="1338"/>
      <c r="GV47" s="1338"/>
      <c r="GW47" s="1338"/>
      <c r="GX47" s="1338"/>
      <c r="GY47" s="578"/>
      <c r="GZ47" s="500"/>
      <c r="HA47" s="579"/>
      <c r="HB47" s="500"/>
      <c r="HC47" s="981"/>
      <c r="HD47" s="415"/>
    </row>
    <row r="48" spans="1:219" ht="20.100000000000001" customHeight="1">
      <c r="A48" s="991" t="s">
        <v>676</v>
      </c>
      <c r="B48" s="992" t="s">
        <v>483</v>
      </c>
      <c r="C48" s="895"/>
      <c r="D48" s="825"/>
      <c r="E48" s="825"/>
      <c r="F48" s="826"/>
      <c r="G48" s="740" t="s">
        <v>484</v>
      </c>
      <c r="H48" s="663" t="s">
        <v>430</v>
      </c>
      <c r="I48" s="742" t="s">
        <v>484</v>
      </c>
      <c r="J48" s="993" t="s">
        <v>430</v>
      </c>
      <c r="K48" s="742" t="s">
        <v>484</v>
      </c>
      <c r="L48" s="993" t="s">
        <v>430</v>
      </c>
      <c r="M48" s="742" t="s">
        <v>678</v>
      </c>
      <c r="N48" s="993" t="s">
        <v>428</v>
      </c>
      <c r="O48" s="742" t="s">
        <v>678</v>
      </c>
      <c r="P48" s="993" t="s">
        <v>428</v>
      </c>
      <c r="Q48" s="742" t="s">
        <v>678</v>
      </c>
      <c r="R48" s="993" t="s">
        <v>428</v>
      </c>
      <c r="S48" s="742" t="s">
        <v>678</v>
      </c>
      <c r="T48" s="993" t="s">
        <v>428</v>
      </c>
      <c r="U48" s="742" t="s">
        <v>678</v>
      </c>
      <c r="V48" s="993" t="s">
        <v>428</v>
      </c>
      <c r="W48" s="742" t="s">
        <v>678</v>
      </c>
      <c r="X48" s="993" t="s">
        <v>428</v>
      </c>
      <c r="Y48" s="742" t="s">
        <v>678</v>
      </c>
      <c r="Z48" s="993" t="s">
        <v>430</v>
      </c>
      <c r="AA48" s="742" t="s">
        <v>678</v>
      </c>
      <c r="AB48" s="993" t="s">
        <v>428</v>
      </c>
      <c r="AC48" s="742" t="s">
        <v>678</v>
      </c>
      <c r="AD48" s="993" t="s">
        <v>428</v>
      </c>
      <c r="AE48" s="742" t="s">
        <v>678</v>
      </c>
      <c r="AF48" s="993" t="s">
        <v>428</v>
      </c>
      <c r="AG48" s="742" t="s">
        <v>678</v>
      </c>
      <c r="AH48" s="993" t="s">
        <v>428</v>
      </c>
      <c r="AI48" s="742" t="s">
        <v>678</v>
      </c>
      <c r="AJ48" s="993" t="s">
        <v>428</v>
      </c>
      <c r="AK48" s="742" t="s">
        <v>678</v>
      </c>
      <c r="AL48" s="993" t="s">
        <v>428</v>
      </c>
      <c r="AM48" s="742" t="s">
        <v>484</v>
      </c>
      <c r="AN48" s="993" t="s">
        <v>428</v>
      </c>
      <c r="AO48" s="742" t="s">
        <v>678</v>
      </c>
      <c r="AP48" s="993" t="s">
        <v>428</v>
      </c>
      <c r="AQ48" s="742" t="s">
        <v>678</v>
      </c>
      <c r="AR48" s="993" t="s">
        <v>428</v>
      </c>
      <c r="AS48" s="742" t="s">
        <v>678</v>
      </c>
      <c r="AT48" s="993" t="s">
        <v>428</v>
      </c>
      <c r="AU48" s="742" t="s">
        <v>678</v>
      </c>
      <c r="AV48" s="993" t="s">
        <v>428</v>
      </c>
      <c r="AW48" s="742" t="s">
        <v>484</v>
      </c>
      <c r="AX48" s="993" t="s">
        <v>428</v>
      </c>
      <c r="AY48" s="742" t="s">
        <v>484</v>
      </c>
      <c r="AZ48" s="994" t="s">
        <v>430</v>
      </c>
      <c r="BA48" s="995" t="s">
        <v>484</v>
      </c>
      <c r="BB48" s="996" t="s">
        <v>430</v>
      </c>
      <c r="BC48" s="932"/>
      <c r="BD48" s="991" t="s">
        <v>482</v>
      </c>
      <c r="BE48" s="992" t="s">
        <v>483</v>
      </c>
      <c r="BF48" s="895"/>
      <c r="BG48" s="825"/>
      <c r="BH48" s="825"/>
      <c r="BI48" s="826"/>
      <c r="BJ48" s="740" t="s">
        <v>484</v>
      </c>
      <c r="BK48" s="663" t="s">
        <v>430</v>
      </c>
      <c r="BL48" s="742" t="s">
        <v>484</v>
      </c>
      <c r="BM48" s="993" t="s">
        <v>430</v>
      </c>
      <c r="BN48" s="742" t="s">
        <v>678</v>
      </c>
      <c r="BO48" s="993" t="s">
        <v>430</v>
      </c>
      <c r="BP48" s="742" t="s">
        <v>484</v>
      </c>
      <c r="BQ48" s="993" t="s">
        <v>430</v>
      </c>
      <c r="BR48" s="742" t="s">
        <v>484</v>
      </c>
      <c r="BS48" s="993" t="s">
        <v>430</v>
      </c>
      <c r="BT48" s="742" t="s">
        <v>484</v>
      </c>
      <c r="BU48" s="993" t="s">
        <v>430</v>
      </c>
      <c r="BV48" s="742" t="s">
        <v>484</v>
      </c>
      <c r="BW48" s="993" t="s">
        <v>430</v>
      </c>
      <c r="BX48" s="742" t="s">
        <v>484</v>
      </c>
      <c r="BY48" s="993" t="s">
        <v>430</v>
      </c>
      <c r="BZ48" s="742" t="s">
        <v>678</v>
      </c>
      <c r="CA48" s="993" t="s">
        <v>428</v>
      </c>
      <c r="CB48" s="742" t="s">
        <v>678</v>
      </c>
      <c r="CC48" s="993" t="s">
        <v>428</v>
      </c>
      <c r="CD48" s="742" t="s">
        <v>678</v>
      </c>
      <c r="CE48" s="993" t="s">
        <v>428</v>
      </c>
      <c r="CF48" s="742" t="s">
        <v>678</v>
      </c>
      <c r="CG48" s="993" t="s">
        <v>428</v>
      </c>
      <c r="CH48" s="742" t="s">
        <v>678</v>
      </c>
      <c r="CI48" s="993" t="s">
        <v>428</v>
      </c>
      <c r="CJ48" s="742" t="s">
        <v>678</v>
      </c>
      <c r="CK48" s="993" t="s">
        <v>428</v>
      </c>
      <c r="CL48" s="742" t="s">
        <v>678</v>
      </c>
      <c r="CM48" s="993" t="s">
        <v>430</v>
      </c>
      <c r="CN48" s="742" t="s">
        <v>678</v>
      </c>
      <c r="CO48" s="993" t="s">
        <v>428</v>
      </c>
      <c r="CP48" s="742" t="s">
        <v>678</v>
      </c>
      <c r="CQ48" s="993" t="s">
        <v>428</v>
      </c>
      <c r="CR48" s="742" t="s">
        <v>678</v>
      </c>
      <c r="CS48" s="993" t="s">
        <v>428</v>
      </c>
      <c r="CT48" s="742" t="s">
        <v>678</v>
      </c>
      <c r="CU48" s="993" t="s">
        <v>428</v>
      </c>
      <c r="CV48" s="742" t="s">
        <v>678</v>
      </c>
      <c r="CW48" s="993" t="s">
        <v>428</v>
      </c>
      <c r="CX48" s="742" t="s">
        <v>678</v>
      </c>
      <c r="CY48" s="993" t="s">
        <v>428</v>
      </c>
      <c r="CZ48" s="742" t="s">
        <v>484</v>
      </c>
      <c r="DA48" s="993" t="s">
        <v>428</v>
      </c>
      <c r="DB48" s="742" t="s">
        <v>678</v>
      </c>
      <c r="DC48" s="994" t="s">
        <v>428</v>
      </c>
      <c r="DD48" s="995" t="s">
        <v>678</v>
      </c>
      <c r="DE48" s="996" t="s">
        <v>428</v>
      </c>
      <c r="DF48" s="932"/>
      <c r="DG48" s="991" t="s">
        <v>676</v>
      </c>
      <c r="DH48" s="992" t="s">
        <v>677</v>
      </c>
      <c r="DI48" s="895"/>
      <c r="DJ48" s="825"/>
      <c r="DK48" s="825"/>
      <c r="DL48" s="826"/>
      <c r="DM48" s="740" t="s">
        <v>484</v>
      </c>
      <c r="DN48" s="663" t="s">
        <v>430</v>
      </c>
      <c r="DO48" s="742" t="s">
        <v>484</v>
      </c>
      <c r="DP48" s="993" t="s">
        <v>430</v>
      </c>
      <c r="DQ48" s="742" t="s">
        <v>484</v>
      </c>
      <c r="DR48" s="993" t="s">
        <v>430</v>
      </c>
      <c r="DS48" s="742" t="s">
        <v>484</v>
      </c>
      <c r="DT48" s="993" t="s">
        <v>430</v>
      </c>
      <c r="DU48" s="742" t="s">
        <v>484</v>
      </c>
      <c r="DV48" s="993" t="s">
        <v>430</v>
      </c>
      <c r="DW48" s="742" t="s">
        <v>484</v>
      </c>
      <c r="DX48" s="993" t="s">
        <v>430</v>
      </c>
      <c r="DY48" s="742" t="s">
        <v>484</v>
      </c>
      <c r="DZ48" s="993" t="s">
        <v>430</v>
      </c>
      <c r="EA48" s="742" t="s">
        <v>678</v>
      </c>
      <c r="EB48" s="993" t="s">
        <v>430</v>
      </c>
      <c r="EC48" s="742" t="s">
        <v>484</v>
      </c>
      <c r="ED48" s="993" t="s">
        <v>430</v>
      </c>
      <c r="EE48" s="742" t="s">
        <v>484</v>
      </c>
      <c r="EF48" s="993" t="s">
        <v>430</v>
      </c>
      <c r="EG48" s="742" t="s">
        <v>484</v>
      </c>
      <c r="EH48" s="993" t="s">
        <v>430</v>
      </c>
      <c r="EI48" s="742" t="s">
        <v>484</v>
      </c>
      <c r="EJ48" s="993" t="s">
        <v>430</v>
      </c>
      <c r="EK48" s="742" t="s">
        <v>484</v>
      </c>
      <c r="EL48" s="993" t="s">
        <v>430</v>
      </c>
      <c r="EM48" s="742" t="s">
        <v>678</v>
      </c>
      <c r="EN48" s="993" t="s">
        <v>428</v>
      </c>
      <c r="EO48" s="742" t="s">
        <v>678</v>
      </c>
      <c r="EP48" s="993" t="s">
        <v>428</v>
      </c>
      <c r="EQ48" s="742" t="s">
        <v>678</v>
      </c>
      <c r="ER48" s="993" t="s">
        <v>428</v>
      </c>
      <c r="ES48" s="742" t="s">
        <v>678</v>
      </c>
      <c r="ET48" s="993" t="s">
        <v>428</v>
      </c>
      <c r="EU48" s="742" t="s">
        <v>678</v>
      </c>
      <c r="EV48" s="993" t="s">
        <v>428</v>
      </c>
      <c r="EW48" s="742" t="s">
        <v>678</v>
      </c>
      <c r="EX48" s="993" t="s">
        <v>428</v>
      </c>
      <c r="EY48" s="742" t="s">
        <v>678</v>
      </c>
      <c r="EZ48" s="993" t="s">
        <v>430</v>
      </c>
      <c r="FA48" s="742" t="s">
        <v>678</v>
      </c>
      <c r="FB48" s="993" t="s">
        <v>428</v>
      </c>
      <c r="FC48" s="742" t="s">
        <v>678</v>
      </c>
      <c r="FD48" s="993" t="s">
        <v>428</v>
      </c>
      <c r="FE48" s="742" t="s">
        <v>678</v>
      </c>
      <c r="FF48" s="994" t="s">
        <v>428</v>
      </c>
      <c r="FG48" s="995" t="s">
        <v>678</v>
      </c>
      <c r="FH48" s="996" t="s">
        <v>428</v>
      </c>
      <c r="FI48" s="932"/>
      <c r="FJ48" s="991" t="s">
        <v>676</v>
      </c>
      <c r="FK48" s="738" t="s">
        <v>677</v>
      </c>
      <c r="FL48" s="895"/>
      <c r="FM48" s="825"/>
      <c r="FN48" s="825"/>
      <c r="FO48" s="826"/>
      <c r="FP48" s="747" t="s">
        <v>433</v>
      </c>
      <c r="FQ48" s="673" t="s">
        <v>678</v>
      </c>
      <c r="FR48" s="663" t="s">
        <v>434</v>
      </c>
      <c r="FS48" s="997" t="s">
        <v>433</v>
      </c>
      <c r="FT48" s="673" t="s">
        <v>678</v>
      </c>
      <c r="FU48" s="998" t="s">
        <v>434</v>
      </c>
      <c r="FV48" s="999"/>
      <c r="FW48" s="993" t="s">
        <v>323</v>
      </c>
      <c r="FX48" s="997"/>
      <c r="FY48" s="993" t="s">
        <v>323</v>
      </c>
      <c r="FZ48" s="997"/>
      <c r="GA48" s="993" t="s">
        <v>323</v>
      </c>
      <c r="GB48" s="997"/>
      <c r="GC48" s="993" t="s">
        <v>323</v>
      </c>
      <c r="GD48" s="997"/>
      <c r="GE48" s="1000" t="s">
        <v>324</v>
      </c>
      <c r="GF48" s="688"/>
      <c r="GG48" s="655"/>
      <c r="GH48" s="655"/>
      <c r="GI48" s="655"/>
      <c r="GJ48" s="578"/>
      <c r="GK48" s="579"/>
      <c r="GL48" s="578"/>
      <c r="GM48" s="579"/>
      <c r="GN48" s="578"/>
      <c r="GO48" s="579"/>
      <c r="GP48" s="579"/>
      <c r="GQ48" s="579"/>
      <c r="GR48" s="578"/>
      <c r="GS48" s="530"/>
      <c r="GT48" s="500"/>
      <c r="GU48" s="500"/>
      <c r="GV48" s="500"/>
      <c r="GW48" s="579"/>
      <c r="GX48" s="579"/>
      <c r="GY48" s="579"/>
      <c r="GZ48" s="578"/>
      <c r="HA48" s="500"/>
      <c r="HB48" s="500"/>
      <c r="HC48" s="981"/>
      <c r="HD48" s="415"/>
    </row>
    <row r="49" spans="1:212" ht="20.100000000000001" customHeight="1">
      <c r="A49" s="1001"/>
      <c r="B49" s="752" t="s">
        <v>437</v>
      </c>
      <c r="C49" s="1002"/>
      <c r="D49" s="754"/>
      <c r="E49" s="755">
        <v>0</v>
      </c>
      <c r="F49" s="1003"/>
      <c r="G49" s="757"/>
      <c r="H49" s="559"/>
      <c r="I49" s="758"/>
      <c r="J49" s="559"/>
      <c r="K49" s="758"/>
      <c r="L49" s="559"/>
      <c r="M49" s="758"/>
      <c r="N49" s="559"/>
      <c r="O49" s="758"/>
      <c r="P49" s="559"/>
      <c r="Q49" s="758"/>
      <c r="R49" s="559"/>
      <c r="S49" s="758"/>
      <c r="T49" s="559"/>
      <c r="U49" s="758"/>
      <c r="V49" s="559"/>
      <c r="W49" s="758"/>
      <c r="X49" s="559"/>
      <c r="Y49" s="758"/>
      <c r="Z49" s="559"/>
      <c r="AA49" s="758"/>
      <c r="AB49" s="559"/>
      <c r="AC49" s="758"/>
      <c r="AD49" s="559"/>
      <c r="AE49" s="758"/>
      <c r="AF49" s="559"/>
      <c r="AG49" s="758"/>
      <c r="AH49" s="559"/>
      <c r="AI49" s="758"/>
      <c r="AJ49" s="559"/>
      <c r="AK49" s="758"/>
      <c r="AL49" s="559"/>
      <c r="AM49" s="758"/>
      <c r="AN49" s="559"/>
      <c r="AO49" s="758"/>
      <c r="AP49" s="559"/>
      <c r="AQ49" s="758"/>
      <c r="AR49" s="559"/>
      <c r="AS49" s="758"/>
      <c r="AT49" s="559"/>
      <c r="AU49" s="758"/>
      <c r="AV49" s="559"/>
      <c r="AW49" s="758"/>
      <c r="AX49" s="559"/>
      <c r="AY49" s="1004"/>
      <c r="AZ49" s="1005"/>
      <c r="BA49" s="1006"/>
      <c r="BB49" s="1007"/>
      <c r="BC49" s="938"/>
      <c r="BD49" s="1001"/>
      <c r="BE49" s="752" t="s">
        <v>437</v>
      </c>
      <c r="BF49" s="1002"/>
      <c r="BG49" s="754"/>
      <c r="BH49" s="755">
        <v>0</v>
      </c>
      <c r="BI49" s="1003"/>
      <c r="BJ49" s="757"/>
      <c r="BK49" s="559">
        <v>0</v>
      </c>
      <c r="BL49" s="758"/>
      <c r="BM49" s="559">
        <v>0</v>
      </c>
      <c r="BN49" s="758"/>
      <c r="BO49" s="559">
        <v>0</v>
      </c>
      <c r="BP49" s="758"/>
      <c r="BQ49" s="559">
        <v>0</v>
      </c>
      <c r="BR49" s="758"/>
      <c r="BS49" s="559">
        <v>0</v>
      </c>
      <c r="BT49" s="758"/>
      <c r="BU49" s="559">
        <v>0</v>
      </c>
      <c r="BV49" s="758"/>
      <c r="BW49" s="559">
        <v>0</v>
      </c>
      <c r="BX49" s="758"/>
      <c r="BY49" s="559">
        <v>0</v>
      </c>
      <c r="BZ49" s="758"/>
      <c r="CA49" s="559">
        <v>0</v>
      </c>
      <c r="CB49" s="758"/>
      <c r="CC49" s="559">
        <v>0</v>
      </c>
      <c r="CD49" s="758"/>
      <c r="CE49" s="559">
        <v>0</v>
      </c>
      <c r="CF49" s="758"/>
      <c r="CG49" s="559">
        <v>0</v>
      </c>
      <c r="CH49" s="758"/>
      <c r="CI49" s="559">
        <v>0</v>
      </c>
      <c r="CJ49" s="758"/>
      <c r="CK49" s="559">
        <v>0</v>
      </c>
      <c r="CL49" s="758"/>
      <c r="CM49" s="559">
        <v>0</v>
      </c>
      <c r="CN49" s="758"/>
      <c r="CO49" s="559">
        <v>0</v>
      </c>
      <c r="CP49" s="758"/>
      <c r="CQ49" s="559">
        <v>0</v>
      </c>
      <c r="CR49" s="758"/>
      <c r="CS49" s="559">
        <v>0</v>
      </c>
      <c r="CT49" s="758"/>
      <c r="CU49" s="559">
        <v>0</v>
      </c>
      <c r="CV49" s="758"/>
      <c r="CW49" s="559">
        <v>0</v>
      </c>
      <c r="CX49" s="758"/>
      <c r="CY49" s="559">
        <v>0</v>
      </c>
      <c r="CZ49" s="758"/>
      <c r="DA49" s="559">
        <v>0</v>
      </c>
      <c r="DB49" s="1004"/>
      <c r="DC49" s="1005">
        <v>0</v>
      </c>
      <c r="DD49" s="1006"/>
      <c r="DE49" s="1007">
        <v>0</v>
      </c>
      <c r="DF49" s="938"/>
      <c r="DG49" s="1001"/>
      <c r="DH49" s="752" t="s">
        <v>437</v>
      </c>
      <c r="DI49" s="1002"/>
      <c r="DJ49" s="754"/>
      <c r="DK49" s="755">
        <v>0</v>
      </c>
      <c r="DL49" s="1003"/>
      <c r="DM49" s="757"/>
      <c r="DN49" s="559">
        <v>0</v>
      </c>
      <c r="DO49" s="758"/>
      <c r="DP49" s="559">
        <v>0</v>
      </c>
      <c r="DQ49" s="758"/>
      <c r="DR49" s="559">
        <v>0</v>
      </c>
      <c r="DS49" s="758"/>
      <c r="DT49" s="559">
        <v>0</v>
      </c>
      <c r="DU49" s="758"/>
      <c r="DV49" s="559">
        <v>0</v>
      </c>
      <c r="DW49" s="758"/>
      <c r="DX49" s="559">
        <v>0</v>
      </c>
      <c r="DY49" s="758"/>
      <c r="DZ49" s="559">
        <v>0</v>
      </c>
      <c r="EA49" s="758"/>
      <c r="EB49" s="559">
        <v>0</v>
      </c>
      <c r="EC49" s="758"/>
      <c r="ED49" s="559">
        <v>0</v>
      </c>
      <c r="EE49" s="758"/>
      <c r="EF49" s="559">
        <v>0</v>
      </c>
      <c r="EG49" s="758"/>
      <c r="EH49" s="559">
        <v>0</v>
      </c>
      <c r="EI49" s="758"/>
      <c r="EJ49" s="559">
        <v>0</v>
      </c>
      <c r="EK49" s="758"/>
      <c r="EL49" s="559">
        <v>0</v>
      </c>
      <c r="EM49" s="758"/>
      <c r="EN49" s="559">
        <v>0</v>
      </c>
      <c r="EO49" s="758"/>
      <c r="EP49" s="559">
        <v>0</v>
      </c>
      <c r="EQ49" s="758"/>
      <c r="ER49" s="559">
        <v>0</v>
      </c>
      <c r="ES49" s="758"/>
      <c r="ET49" s="559">
        <v>0</v>
      </c>
      <c r="EU49" s="758"/>
      <c r="EV49" s="559">
        <v>0</v>
      </c>
      <c r="EW49" s="758"/>
      <c r="EX49" s="559">
        <v>0</v>
      </c>
      <c r="EY49" s="758"/>
      <c r="EZ49" s="559">
        <v>0</v>
      </c>
      <c r="FA49" s="758"/>
      <c r="FB49" s="559">
        <v>0</v>
      </c>
      <c r="FC49" s="758"/>
      <c r="FD49" s="559">
        <v>0</v>
      </c>
      <c r="FE49" s="1004"/>
      <c r="FF49" s="1005">
        <v>0</v>
      </c>
      <c r="FG49" s="1006"/>
      <c r="FH49" s="1007">
        <v>0</v>
      </c>
      <c r="FI49" s="938"/>
      <c r="FJ49" s="1001"/>
      <c r="FK49" s="752" t="s">
        <v>435</v>
      </c>
      <c r="FL49" s="1002"/>
      <c r="FM49" s="759"/>
      <c r="FN49" s="755">
        <v>0</v>
      </c>
      <c r="FO49" s="1003"/>
      <c r="FP49" s="685"/>
      <c r="FQ49" s="760"/>
      <c r="FR49" s="587"/>
      <c r="FS49" s="761"/>
      <c r="FT49" s="760"/>
      <c r="FU49" s="567"/>
      <c r="FV49" s="1008" t="s">
        <v>338</v>
      </c>
      <c r="FW49" s="1009"/>
      <c r="FX49" s="1010" t="s">
        <v>339</v>
      </c>
      <c r="FY49" s="1011"/>
      <c r="FZ49" s="1012" t="s">
        <v>340</v>
      </c>
      <c r="GA49" s="1013"/>
      <c r="GB49" s="1014" t="s">
        <v>341</v>
      </c>
      <c r="GC49" s="1015"/>
      <c r="GD49" s="1014" t="s">
        <v>342</v>
      </c>
      <c r="GE49" s="1016"/>
      <c r="GF49" s="688"/>
      <c r="GG49" s="602"/>
      <c r="GH49" s="602"/>
      <c r="GI49" s="602"/>
      <c r="GJ49" s="578"/>
      <c r="GK49" s="500"/>
      <c r="GL49" s="578"/>
      <c r="GM49" s="500"/>
      <c r="GN49" s="578"/>
      <c r="GO49" s="500"/>
      <c r="GP49" s="500"/>
      <c r="GQ49" s="500"/>
      <c r="GR49" s="578"/>
      <c r="GS49" s="530"/>
      <c r="GT49" s="1305"/>
      <c r="GU49" s="578"/>
      <c r="GV49" s="579"/>
      <c r="GW49" s="578"/>
      <c r="GX49" s="579"/>
      <c r="GY49" s="578"/>
      <c r="GZ49" s="579"/>
      <c r="HA49" s="578"/>
      <c r="HB49" s="579"/>
      <c r="HC49" s="1017"/>
      <c r="HD49" s="415"/>
    </row>
    <row r="50" spans="1:212" ht="20.100000000000001" customHeight="1">
      <c r="A50" s="1001"/>
      <c r="B50" s="764" t="s">
        <v>449</v>
      </c>
      <c r="C50" s="1018"/>
      <c r="D50" s="1019">
        <v>0</v>
      </c>
      <c r="E50" s="1020">
        <v>0</v>
      </c>
      <c r="F50" s="1021"/>
      <c r="G50" s="1022"/>
      <c r="H50" s="587"/>
      <c r="I50" s="1023"/>
      <c r="J50" s="587"/>
      <c r="K50" s="1023"/>
      <c r="L50" s="587"/>
      <c r="M50" s="1023"/>
      <c r="N50" s="587"/>
      <c r="O50" s="1023"/>
      <c r="P50" s="587"/>
      <c r="Q50" s="1023"/>
      <c r="R50" s="587"/>
      <c r="S50" s="1023"/>
      <c r="T50" s="587"/>
      <c r="U50" s="1023"/>
      <c r="V50" s="587"/>
      <c r="W50" s="1023"/>
      <c r="X50" s="587"/>
      <c r="Y50" s="1023"/>
      <c r="Z50" s="587"/>
      <c r="AA50" s="1023"/>
      <c r="AB50" s="587"/>
      <c r="AC50" s="1023"/>
      <c r="AD50" s="587"/>
      <c r="AE50" s="1023"/>
      <c r="AF50" s="587"/>
      <c r="AG50" s="1023"/>
      <c r="AH50" s="587"/>
      <c r="AI50" s="1023"/>
      <c r="AJ50" s="587"/>
      <c r="AK50" s="1023"/>
      <c r="AL50" s="587"/>
      <c r="AM50" s="1023"/>
      <c r="AN50" s="587"/>
      <c r="AO50" s="1023"/>
      <c r="AP50" s="587"/>
      <c r="AQ50" s="1023"/>
      <c r="AR50" s="587"/>
      <c r="AS50" s="1023"/>
      <c r="AT50" s="587"/>
      <c r="AU50" s="1023"/>
      <c r="AV50" s="587"/>
      <c r="AW50" s="1023"/>
      <c r="AX50" s="587"/>
      <c r="AY50" s="1024"/>
      <c r="AZ50" s="1025"/>
      <c r="BA50" s="1026"/>
      <c r="BB50" s="1027"/>
      <c r="BC50" s="938"/>
      <c r="BD50" s="1001"/>
      <c r="BE50" s="764" t="s">
        <v>449</v>
      </c>
      <c r="BF50" s="1018"/>
      <c r="BG50" s="1019">
        <v>0</v>
      </c>
      <c r="BH50" s="1020">
        <v>0</v>
      </c>
      <c r="BI50" s="1021"/>
      <c r="BJ50" s="1022"/>
      <c r="BK50" s="587">
        <v>0</v>
      </c>
      <c r="BL50" s="1023"/>
      <c r="BM50" s="587">
        <v>0</v>
      </c>
      <c r="BN50" s="1023"/>
      <c r="BO50" s="587">
        <v>0</v>
      </c>
      <c r="BP50" s="1023"/>
      <c r="BQ50" s="587">
        <v>0</v>
      </c>
      <c r="BR50" s="1023"/>
      <c r="BS50" s="587">
        <v>0</v>
      </c>
      <c r="BT50" s="1023"/>
      <c r="BU50" s="587">
        <v>0</v>
      </c>
      <c r="BV50" s="1023"/>
      <c r="BW50" s="587">
        <v>0</v>
      </c>
      <c r="BX50" s="1023"/>
      <c r="BY50" s="587">
        <v>0</v>
      </c>
      <c r="BZ50" s="1023"/>
      <c r="CA50" s="587">
        <v>0</v>
      </c>
      <c r="CB50" s="1023"/>
      <c r="CC50" s="587">
        <v>0</v>
      </c>
      <c r="CD50" s="1023"/>
      <c r="CE50" s="587">
        <v>0</v>
      </c>
      <c r="CF50" s="1023"/>
      <c r="CG50" s="587">
        <v>0</v>
      </c>
      <c r="CH50" s="1023"/>
      <c r="CI50" s="587">
        <v>0</v>
      </c>
      <c r="CJ50" s="1023"/>
      <c r="CK50" s="587">
        <v>0</v>
      </c>
      <c r="CL50" s="1023"/>
      <c r="CM50" s="587">
        <v>0</v>
      </c>
      <c r="CN50" s="1023"/>
      <c r="CO50" s="587">
        <v>0</v>
      </c>
      <c r="CP50" s="1023"/>
      <c r="CQ50" s="587">
        <v>0</v>
      </c>
      <c r="CR50" s="1023"/>
      <c r="CS50" s="587">
        <v>0</v>
      </c>
      <c r="CT50" s="1023"/>
      <c r="CU50" s="587">
        <v>0</v>
      </c>
      <c r="CV50" s="1023"/>
      <c r="CW50" s="587">
        <v>0</v>
      </c>
      <c r="CX50" s="1023"/>
      <c r="CY50" s="587">
        <v>0</v>
      </c>
      <c r="CZ50" s="1023"/>
      <c r="DA50" s="587">
        <v>0</v>
      </c>
      <c r="DB50" s="1024"/>
      <c r="DC50" s="1025">
        <v>0</v>
      </c>
      <c r="DD50" s="1026"/>
      <c r="DE50" s="1027">
        <v>0</v>
      </c>
      <c r="DF50" s="938"/>
      <c r="DG50" s="1001"/>
      <c r="DH50" s="764" t="s">
        <v>446</v>
      </c>
      <c r="DI50" s="1018"/>
      <c r="DJ50" s="1019">
        <v>0</v>
      </c>
      <c r="DK50" s="1020">
        <v>0</v>
      </c>
      <c r="DL50" s="1021"/>
      <c r="DM50" s="1022"/>
      <c r="DN50" s="587">
        <v>0</v>
      </c>
      <c r="DO50" s="1023"/>
      <c r="DP50" s="587">
        <v>0</v>
      </c>
      <c r="DQ50" s="1023"/>
      <c r="DR50" s="587">
        <v>0</v>
      </c>
      <c r="DS50" s="1023"/>
      <c r="DT50" s="587">
        <v>0</v>
      </c>
      <c r="DU50" s="1023"/>
      <c r="DV50" s="587">
        <v>0</v>
      </c>
      <c r="DW50" s="1023"/>
      <c r="DX50" s="587">
        <v>0</v>
      </c>
      <c r="DY50" s="1023"/>
      <c r="DZ50" s="587">
        <v>0</v>
      </c>
      <c r="EA50" s="1023"/>
      <c r="EB50" s="587">
        <v>0</v>
      </c>
      <c r="EC50" s="1023"/>
      <c r="ED50" s="587">
        <v>0</v>
      </c>
      <c r="EE50" s="1023"/>
      <c r="EF50" s="587">
        <v>0</v>
      </c>
      <c r="EG50" s="1023"/>
      <c r="EH50" s="587">
        <v>0</v>
      </c>
      <c r="EI50" s="1023"/>
      <c r="EJ50" s="587">
        <v>0</v>
      </c>
      <c r="EK50" s="1023"/>
      <c r="EL50" s="587">
        <v>0</v>
      </c>
      <c r="EM50" s="1023"/>
      <c r="EN50" s="587">
        <v>0</v>
      </c>
      <c r="EO50" s="1023"/>
      <c r="EP50" s="587">
        <v>0</v>
      </c>
      <c r="EQ50" s="1023"/>
      <c r="ER50" s="587">
        <v>0</v>
      </c>
      <c r="ES50" s="1023"/>
      <c r="ET50" s="587">
        <v>0</v>
      </c>
      <c r="EU50" s="1023"/>
      <c r="EV50" s="587">
        <v>0</v>
      </c>
      <c r="EW50" s="1023"/>
      <c r="EX50" s="587">
        <v>0</v>
      </c>
      <c r="EY50" s="1023"/>
      <c r="EZ50" s="587">
        <v>0</v>
      </c>
      <c r="FA50" s="1023"/>
      <c r="FB50" s="587">
        <v>0</v>
      </c>
      <c r="FC50" s="1023"/>
      <c r="FD50" s="587">
        <v>0</v>
      </c>
      <c r="FE50" s="1024"/>
      <c r="FF50" s="1025">
        <v>0</v>
      </c>
      <c r="FG50" s="1026"/>
      <c r="FH50" s="1027">
        <v>0</v>
      </c>
      <c r="FI50" s="938"/>
      <c r="FJ50" s="1001"/>
      <c r="FK50" s="764" t="s">
        <v>449</v>
      </c>
      <c r="FL50" s="1018"/>
      <c r="FM50" s="1019">
        <v>0</v>
      </c>
      <c r="FN50" s="1020">
        <v>0</v>
      </c>
      <c r="FO50" s="1021"/>
      <c r="FP50" s="696"/>
      <c r="FQ50" s="1028"/>
      <c r="FR50" s="587"/>
      <c r="FS50" s="773"/>
      <c r="FT50" s="1028"/>
      <c r="FU50" s="592"/>
      <c r="FV50" s="1029"/>
      <c r="FW50" s="1030"/>
      <c r="FX50" s="1031"/>
      <c r="FY50" s="1032"/>
      <c r="FZ50" s="1033"/>
      <c r="GA50" s="1034"/>
      <c r="GB50" s="1035"/>
      <c r="GC50" s="1036"/>
      <c r="GD50" s="1035"/>
      <c r="GE50" s="1037"/>
      <c r="GF50" s="688"/>
      <c r="GG50" s="602"/>
      <c r="GH50" s="602"/>
      <c r="GI50" s="602"/>
      <c r="GJ50" s="578"/>
      <c r="GK50" s="500"/>
      <c r="GL50" s="578"/>
      <c r="GM50" s="500"/>
      <c r="GN50" s="578"/>
      <c r="GO50" s="500"/>
      <c r="GP50" s="500"/>
      <c r="GQ50" s="500"/>
      <c r="GR50" s="578"/>
      <c r="GS50" s="953"/>
      <c r="GT50" s="1305"/>
      <c r="GU50" s="578"/>
      <c r="GV50" s="578"/>
      <c r="GW50" s="578"/>
      <c r="GX50" s="578"/>
      <c r="GY50" s="579"/>
      <c r="GZ50" s="579"/>
      <c r="HA50" s="579"/>
      <c r="HB50" s="579"/>
      <c r="HC50" s="1038"/>
      <c r="HD50" s="415"/>
    </row>
    <row r="51" spans="1:212" ht="20.100000000000001" customHeight="1" thickBot="1">
      <c r="A51" s="1039"/>
      <c r="B51" s="466" t="s">
        <v>506</v>
      </c>
      <c r="C51" s="1040"/>
      <c r="D51" s="785"/>
      <c r="E51" s="796"/>
      <c r="F51" s="1041"/>
      <c r="G51" s="798"/>
      <c r="H51" s="799"/>
      <c r="I51" s="800"/>
      <c r="J51" s="799"/>
      <c r="K51" s="800"/>
      <c r="L51" s="799"/>
      <c r="M51" s="800"/>
      <c r="N51" s="799"/>
      <c r="O51" s="800"/>
      <c r="P51" s="799"/>
      <c r="Q51" s="800"/>
      <c r="R51" s="799"/>
      <c r="S51" s="800"/>
      <c r="T51" s="799"/>
      <c r="U51" s="800"/>
      <c r="V51" s="799"/>
      <c r="W51" s="800"/>
      <c r="X51" s="799"/>
      <c r="Y51" s="800"/>
      <c r="Z51" s="799"/>
      <c r="AA51" s="800"/>
      <c r="AB51" s="799"/>
      <c r="AC51" s="800"/>
      <c r="AD51" s="799"/>
      <c r="AE51" s="800"/>
      <c r="AF51" s="799"/>
      <c r="AG51" s="800"/>
      <c r="AH51" s="799"/>
      <c r="AI51" s="800"/>
      <c r="AJ51" s="799"/>
      <c r="AK51" s="800"/>
      <c r="AL51" s="799"/>
      <c r="AM51" s="800"/>
      <c r="AN51" s="799"/>
      <c r="AO51" s="800"/>
      <c r="AP51" s="799"/>
      <c r="AQ51" s="800"/>
      <c r="AR51" s="799"/>
      <c r="AS51" s="800"/>
      <c r="AT51" s="799"/>
      <c r="AU51" s="800"/>
      <c r="AV51" s="799"/>
      <c r="AW51" s="800"/>
      <c r="AX51" s="799"/>
      <c r="AY51" s="1042"/>
      <c r="AZ51" s="1043"/>
      <c r="BA51" s="1044"/>
      <c r="BB51" s="1045"/>
      <c r="BC51" s="938"/>
      <c r="BD51" s="1039"/>
      <c r="BE51" s="466" t="s">
        <v>506</v>
      </c>
      <c r="BF51" s="1040"/>
      <c r="BG51" s="785"/>
      <c r="BH51" s="796"/>
      <c r="BI51" s="1041"/>
      <c r="BJ51" s="798"/>
      <c r="BK51" s="799">
        <v>0</v>
      </c>
      <c r="BL51" s="800"/>
      <c r="BM51" s="799">
        <v>0</v>
      </c>
      <c r="BN51" s="800"/>
      <c r="BO51" s="799">
        <v>0</v>
      </c>
      <c r="BP51" s="800"/>
      <c r="BQ51" s="799">
        <v>0</v>
      </c>
      <c r="BR51" s="800"/>
      <c r="BS51" s="799">
        <v>0</v>
      </c>
      <c r="BT51" s="800"/>
      <c r="BU51" s="799">
        <v>0</v>
      </c>
      <c r="BV51" s="800"/>
      <c r="BW51" s="799">
        <v>0</v>
      </c>
      <c r="BX51" s="800"/>
      <c r="BY51" s="799">
        <v>0</v>
      </c>
      <c r="BZ51" s="800"/>
      <c r="CA51" s="799">
        <v>0</v>
      </c>
      <c r="CB51" s="800"/>
      <c r="CC51" s="799">
        <v>0</v>
      </c>
      <c r="CD51" s="800"/>
      <c r="CE51" s="799">
        <v>0</v>
      </c>
      <c r="CF51" s="800"/>
      <c r="CG51" s="799">
        <v>0</v>
      </c>
      <c r="CH51" s="800"/>
      <c r="CI51" s="799">
        <v>0</v>
      </c>
      <c r="CJ51" s="800"/>
      <c r="CK51" s="799">
        <v>0</v>
      </c>
      <c r="CL51" s="800"/>
      <c r="CM51" s="799">
        <v>0</v>
      </c>
      <c r="CN51" s="800"/>
      <c r="CO51" s="799">
        <v>0</v>
      </c>
      <c r="CP51" s="800"/>
      <c r="CQ51" s="799">
        <v>0</v>
      </c>
      <c r="CR51" s="800"/>
      <c r="CS51" s="799">
        <v>0</v>
      </c>
      <c r="CT51" s="800"/>
      <c r="CU51" s="799">
        <v>0</v>
      </c>
      <c r="CV51" s="800"/>
      <c r="CW51" s="799">
        <v>0</v>
      </c>
      <c r="CX51" s="800"/>
      <c r="CY51" s="799">
        <v>0</v>
      </c>
      <c r="CZ51" s="800"/>
      <c r="DA51" s="799">
        <v>0</v>
      </c>
      <c r="DB51" s="1042"/>
      <c r="DC51" s="1043">
        <v>0</v>
      </c>
      <c r="DD51" s="1044"/>
      <c r="DE51" s="1045">
        <v>0</v>
      </c>
      <c r="DF51" s="938"/>
      <c r="DG51" s="1039"/>
      <c r="DH51" s="466" t="s">
        <v>506</v>
      </c>
      <c r="DI51" s="1040"/>
      <c r="DJ51" s="785"/>
      <c r="DK51" s="796"/>
      <c r="DL51" s="1041"/>
      <c r="DM51" s="798"/>
      <c r="DN51" s="799">
        <v>0</v>
      </c>
      <c r="DO51" s="800"/>
      <c r="DP51" s="799">
        <v>0</v>
      </c>
      <c r="DQ51" s="800"/>
      <c r="DR51" s="799">
        <v>0</v>
      </c>
      <c r="DS51" s="800"/>
      <c r="DT51" s="799">
        <v>0</v>
      </c>
      <c r="DU51" s="800"/>
      <c r="DV51" s="799">
        <v>0</v>
      </c>
      <c r="DW51" s="800"/>
      <c r="DX51" s="799">
        <v>0</v>
      </c>
      <c r="DY51" s="800"/>
      <c r="DZ51" s="799">
        <v>0</v>
      </c>
      <c r="EA51" s="800"/>
      <c r="EB51" s="799">
        <v>0</v>
      </c>
      <c r="EC51" s="800"/>
      <c r="ED51" s="799">
        <v>0</v>
      </c>
      <c r="EE51" s="800"/>
      <c r="EF51" s="799">
        <v>0</v>
      </c>
      <c r="EG51" s="800"/>
      <c r="EH51" s="799">
        <v>0</v>
      </c>
      <c r="EI51" s="800"/>
      <c r="EJ51" s="799">
        <v>0</v>
      </c>
      <c r="EK51" s="800"/>
      <c r="EL51" s="799">
        <v>0</v>
      </c>
      <c r="EM51" s="800"/>
      <c r="EN51" s="799">
        <v>0</v>
      </c>
      <c r="EO51" s="800"/>
      <c r="EP51" s="799">
        <v>0</v>
      </c>
      <c r="EQ51" s="800"/>
      <c r="ER51" s="799">
        <v>0</v>
      </c>
      <c r="ES51" s="800"/>
      <c r="ET51" s="799">
        <v>0</v>
      </c>
      <c r="EU51" s="800"/>
      <c r="EV51" s="799">
        <v>0</v>
      </c>
      <c r="EW51" s="800"/>
      <c r="EX51" s="799">
        <v>0</v>
      </c>
      <c r="EY51" s="800"/>
      <c r="EZ51" s="799">
        <v>0</v>
      </c>
      <c r="FA51" s="800"/>
      <c r="FB51" s="799">
        <v>0</v>
      </c>
      <c r="FC51" s="800"/>
      <c r="FD51" s="799">
        <v>0</v>
      </c>
      <c r="FE51" s="1042"/>
      <c r="FF51" s="1043">
        <v>0</v>
      </c>
      <c r="FG51" s="1044"/>
      <c r="FH51" s="1045">
        <v>0</v>
      </c>
      <c r="FI51" s="938"/>
      <c r="FJ51" s="1039"/>
      <c r="FK51" s="466" t="s">
        <v>506</v>
      </c>
      <c r="FL51" s="1040"/>
      <c r="FM51" s="788"/>
      <c r="FN51" s="796">
        <v>0</v>
      </c>
      <c r="FO51" s="1041"/>
      <c r="FP51" s="802"/>
      <c r="FQ51" s="803"/>
      <c r="FR51" s="799"/>
      <c r="FS51" s="804"/>
      <c r="FT51" s="803"/>
      <c r="FU51" s="805"/>
      <c r="FV51" s="1029"/>
      <c r="FW51" s="1030"/>
      <c r="FX51" s="1031"/>
      <c r="FY51" s="1032"/>
      <c r="FZ51" s="1033"/>
      <c r="GA51" s="1034"/>
      <c r="GB51" s="1035"/>
      <c r="GC51" s="1036"/>
      <c r="GD51" s="1035"/>
      <c r="GE51" s="1037"/>
      <c r="GF51" s="688"/>
      <c r="GG51" s="602"/>
      <c r="GH51" s="602"/>
      <c r="GI51" s="602"/>
      <c r="GJ51" s="578"/>
      <c r="GK51" s="500"/>
      <c r="GL51" s="1339"/>
      <c r="GM51" s="1342"/>
      <c r="GN51" s="1339"/>
      <c r="GO51" s="1342"/>
      <c r="GP51" s="1342"/>
      <c r="GQ51" s="1342"/>
      <c r="GR51" s="500"/>
      <c r="GS51" s="953"/>
      <c r="GT51" s="689"/>
      <c r="GU51" s="578"/>
      <c r="GV51" s="578"/>
      <c r="GW51" s="578"/>
      <c r="GX51" s="578"/>
      <c r="GY51" s="500"/>
      <c r="GZ51" s="1304"/>
      <c r="HA51" s="579"/>
      <c r="HB51" s="579"/>
      <c r="HC51" s="1052"/>
      <c r="HD51" s="415"/>
    </row>
    <row r="52" spans="1:212" ht="20.100000000000001" customHeight="1" thickBot="1">
      <c r="A52" s="1053" t="s">
        <v>508</v>
      </c>
      <c r="B52" s="1054"/>
      <c r="C52" s="1055"/>
      <c r="D52" s="1055"/>
      <c r="E52" s="1056"/>
      <c r="F52" s="1055"/>
      <c r="G52" s="1057"/>
      <c r="H52" s="1058">
        <v>0</v>
      </c>
      <c r="I52" s="1059"/>
      <c r="J52" s="1058">
        <v>0</v>
      </c>
      <c r="K52" s="1059"/>
      <c r="L52" s="1058">
        <v>0</v>
      </c>
      <c r="M52" s="1059"/>
      <c r="N52" s="1058">
        <v>0</v>
      </c>
      <c r="O52" s="1059"/>
      <c r="P52" s="1058">
        <v>0</v>
      </c>
      <c r="Q52" s="1059"/>
      <c r="R52" s="1058">
        <v>0</v>
      </c>
      <c r="S52" s="1059"/>
      <c r="T52" s="1058">
        <v>0</v>
      </c>
      <c r="U52" s="1059"/>
      <c r="V52" s="1058">
        <v>0</v>
      </c>
      <c r="W52" s="1059"/>
      <c r="X52" s="1058">
        <v>0</v>
      </c>
      <c r="Y52" s="1059"/>
      <c r="Z52" s="1058">
        <v>0</v>
      </c>
      <c r="AA52" s="1059"/>
      <c r="AB52" s="1058">
        <v>0</v>
      </c>
      <c r="AC52" s="1059"/>
      <c r="AD52" s="1058">
        <v>0</v>
      </c>
      <c r="AE52" s="1059"/>
      <c r="AF52" s="1058">
        <v>0</v>
      </c>
      <c r="AG52" s="1059"/>
      <c r="AH52" s="1058">
        <v>0</v>
      </c>
      <c r="AI52" s="1059"/>
      <c r="AJ52" s="1058">
        <v>0</v>
      </c>
      <c r="AK52" s="1059"/>
      <c r="AL52" s="1058">
        <v>0</v>
      </c>
      <c r="AM52" s="1059"/>
      <c r="AN52" s="1058">
        <v>0</v>
      </c>
      <c r="AO52" s="1059"/>
      <c r="AP52" s="1058">
        <v>0</v>
      </c>
      <c r="AQ52" s="1059"/>
      <c r="AR52" s="1058">
        <v>0</v>
      </c>
      <c r="AS52" s="1059"/>
      <c r="AT52" s="1058">
        <v>0</v>
      </c>
      <c r="AU52" s="1059"/>
      <c r="AV52" s="1058">
        <v>0</v>
      </c>
      <c r="AW52" s="1059"/>
      <c r="AX52" s="1058">
        <v>0</v>
      </c>
      <c r="AY52" s="1060"/>
      <c r="AZ52" s="1061">
        <v>0</v>
      </c>
      <c r="BA52" s="1062"/>
      <c r="BB52" s="1063">
        <v>0</v>
      </c>
      <c r="BC52" s="981"/>
      <c r="BD52" s="1053" t="s">
        <v>508</v>
      </c>
      <c r="BE52" s="1054"/>
      <c r="BF52" s="1055"/>
      <c r="BG52" s="1055"/>
      <c r="BH52" s="1056"/>
      <c r="BI52" s="1055"/>
      <c r="BJ52" s="1057"/>
      <c r="BK52" s="1058">
        <v>0</v>
      </c>
      <c r="BL52" s="1059"/>
      <c r="BM52" s="1058">
        <v>0</v>
      </c>
      <c r="BN52" s="1059"/>
      <c r="BO52" s="1058">
        <v>0</v>
      </c>
      <c r="BP52" s="1059"/>
      <c r="BQ52" s="1058">
        <v>0</v>
      </c>
      <c r="BR52" s="1059"/>
      <c r="BS52" s="1058">
        <v>0</v>
      </c>
      <c r="BT52" s="1059"/>
      <c r="BU52" s="1058">
        <v>0</v>
      </c>
      <c r="BV52" s="1059"/>
      <c r="BW52" s="1058">
        <v>0</v>
      </c>
      <c r="BX52" s="1059"/>
      <c r="BY52" s="1058">
        <v>0</v>
      </c>
      <c r="BZ52" s="1059"/>
      <c r="CA52" s="1058">
        <v>0</v>
      </c>
      <c r="CB52" s="1059"/>
      <c r="CC52" s="1058">
        <v>0</v>
      </c>
      <c r="CD52" s="1059"/>
      <c r="CE52" s="1058">
        <v>0</v>
      </c>
      <c r="CF52" s="1059"/>
      <c r="CG52" s="1058">
        <v>0</v>
      </c>
      <c r="CH52" s="1059"/>
      <c r="CI52" s="1058">
        <v>0</v>
      </c>
      <c r="CJ52" s="1059"/>
      <c r="CK52" s="1058">
        <v>0</v>
      </c>
      <c r="CL52" s="1059"/>
      <c r="CM52" s="1058">
        <v>0</v>
      </c>
      <c r="CN52" s="1059"/>
      <c r="CO52" s="1058">
        <v>0</v>
      </c>
      <c r="CP52" s="1059"/>
      <c r="CQ52" s="1058">
        <v>0</v>
      </c>
      <c r="CR52" s="1059"/>
      <c r="CS52" s="1058">
        <v>0</v>
      </c>
      <c r="CT52" s="1059"/>
      <c r="CU52" s="1058">
        <v>0</v>
      </c>
      <c r="CV52" s="1059"/>
      <c r="CW52" s="1058">
        <v>0</v>
      </c>
      <c r="CX52" s="1059"/>
      <c r="CY52" s="1058">
        <v>0</v>
      </c>
      <c r="CZ52" s="1059"/>
      <c r="DA52" s="1058">
        <v>0</v>
      </c>
      <c r="DB52" s="1060"/>
      <c r="DC52" s="1061">
        <v>0</v>
      </c>
      <c r="DD52" s="1062"/>
      <c r="DE52" s="1063">
        <v>0</v>
      </c>
      <c r="DF52" s="981"/>
      <c r="DG52" s="1053" t="s">
        <v>508</v>
      </c>
      <c r="DH52" s="1054"/>
      <c r="DI52" s="1055"/>
      <c r="DJ52" s="1055"/>
      <c r="DK52" s="1056"/>
      <c r="DL52" s="1055"/>
      <c r="DM52" s="1057"/>
      <c r="DN52" s="1058">
        <v>0</v>
      </c>
      <c r="DO52" s="1059"/>
      <c r="DP52" s="1058">
        <v>0</v>
      </c>
      <c r="DQ52" s="1059"/>
      <c r="DR52" s="1058">
        <v>0</v>
      </c>
      <c r="DS52" s="1059"/>
      <c r="DT52" s="1058">
        <v>0</v>
      </c>
      <c r="DU52" s="1059"/>
      <c r="DV52" s="1058">
        <v>0</v>
      </c>
      <c r="DW52" s="1059"/>
      <c r="DX52" s="1058">
        <v>0</v>
      </c>
      <c r="DY52" s="1059"/>
      <c r="DZ52" s="1058">
        <v>0</v>
      </c>
      <c r="EA52" s="1059"/>
      <c r="EB52" s="1058">
        <v>0</v>
      </c>
      <c r="EC52" s="1059"/>
      <c r="ED52" s="1058">
        <v>0</v>
      </c>
      <c r="EE52" s="1059"/>
      <c r="EF52" s="1058">
        <v>0</v>
      </c>
      <c r="EG52" s="1059"/>
      <c r="EH52" s="1058">
        <v>0</v>
      </c>
      <c r="EI52" s="1059"/>
      <c r="EJ52" s="1058">
        <v>0</v>
      </c>
      <c r="EK52" s="1059"/>
      <c r="EL52" s="1058">
        <v>0</v>
      </c>
      <c r="EM52" s="1059"/>
      <c r="EN52" s="1058">
        <v>0</v>
      </c>
      <c r="EO52" s="1059"/>
      <c r="EP52" s="1058">
        <v>0</v>
      </c>
      <c r="EQ52" s="1059"/>
      <c r="ER52" s="1058">
        <v>0</v>
      </c>
      <c r="ES52" s="1059"/>
      <c r="ET52" s="1058">
        <v>0</v>
      </c>
      <c r="EU52" s="1059"/>
      <c r="EV52" s="1058">
        <v>0</v>
      </c>
      <c r="EW52" s="1059"/>
      <c r="EX52" s="1058">
        <v>0</v>
      </c>
      <c r="EY52" s="1059"/>
      <c r="EZ52" s="1058">
        <v>0</v>
      </c>
      <c r="FA52" s="1059"/>
      <c r="FB52" s="1058">
        <v>0</v>
      </c>
      <c r="FC52" s="1059"/>
      <c r="FD52" s="1058">
        <v>0</v>
      </c>
      <c r="FE52" s="1060"/>
      <c r="FF52" s="1061">
        <v>0</v>
      </c>
      <c r="FG52" s="1062"/>
      <c r="FH52" s="1063">
        <v>0</v>
      </c>
      <c r="FI52" s="981"/>
      <c r="FJ52" s="1053" t="s">
        <v>680</v>
      </c>
      <c r="FK52" s="1054"/>
      <c r="FL52" s="1055"/>
      <c r="FM52" s="1055"/>
      <c r="FN52" s="1056"/>
      <c r="FO52" s="1055"/>
      <c r="FP52" s="1064"/>
      <c r="FQ52" s="1065"/>
      <c r="FR52" s="1058">
        <v>0</v>
      </c>
      <c r="FS52" s="1066"/>
      <c r="FT52" s="1065"/>
      <c r="FU52" s="1067">
        <v>0</v>
      </c>
      <c r="FV52" s="1068">
        <v>0</v>
      </c>
      <c r="FW52" s="1069">
        <v>0</v>
      </c>
      <c r="FX52" s="1070">
        <v>0</v>
      </c>
      <c r="FY52" s="1069">
        <v>0</v>
      </c>
      <c r="FZ52" s="1070">
        <v>0</v>
      </c>
      <c r="GA52" s="1069">
        <v>0</v>
      </c>
      <c r="GB52" s="1071" t="s">
        <v>366</v>
      </c>
      <c r="GC52" s="1072">
        <v>0</v>
      </c>
      <c r="GD52" s="1071" t="s">
        <v>368</v>
      </c>
      <c r="GE52" s="1073">
        <v>0</v>
      </c>
      <c r="GF52" s="688"/>
      <c r="GG52" s="990"/>
      <c r="GH52" s="990"/>
      <c r="GI52" s="990"/>
      <c r="GJ52" s="578"/>
      <c r="GK52" s="500"/>
      <c r="GL52" s="1339"/>
      <c r="GM52" s="1339"/>
      <c r="GN52" s="1339"/>
      <c r="GO52" s="1342"/>
      <c r="GP52" s="1342"/>
      <c r="GQ52" s="1342"/>
      <c r="GR52" s="1303"/>
      <c r="GS52" s="893"/>
      <c r="GT52" s="1305"/>
      <c r="GU52" s="578"/>
      <c r="GV52" s="500"/>
      <c r="GW52" s="578"/>
      <c r="GX52" s="500"/>
      <c r="GY52" s="500"/>
      <c r="GZ52" s="1304"/>
      <c r="HA52" s="1303"/>
      <c r="HB52" s="1304"/>
      <c r="HC52" s="562"/>
      <c r="HD52" s="415"/>
    </row>
    <row r="53" spans="1:212" ht="20.100000000000001" customHeight="1" thickTop="1">
      <c r="A53" s="1079" t="s">
        <v>681</v>
      </c>
      <c r="B53" s="1080"/>
      <c r="C53" s="1081"/>
      <c r="D53" s="1081"/>
      <c r="E53" s="1082"/>
      <c r="F53" s="1083"/>
      <c r="G53" s="1084"/>
      <c r="H53" s="1085">
        <v>0</v>
      </c>
      <c r="I53" s="1086"/>
      <c r="J53" s="1085">
        <v>0</v>
      </c>
      <c r="K53" s="1086"/>
      <c r="L53" s="1085">
        <v>0</v>
      </c>
      <c r="M53" s="1086"/>
      <c r="N53" s="1085">
        <v>0</v>
      </c>
      <c r="O53" s="1086"/>
      <c r="P53" s="1085">
        <v>0</v>
      </c>
      <c r="Q53" s="1086"/>
      <c r="R53" s="1085">
        <v>0</v>
      </c>
      <c r="S53" s="1086"/>
      <c r="T53" s="1085">
        <v>0</v>
      </c>
      <c r="U53" s="1086"/>
      <c r="V53" s="1085">
        <v>0</v>
      </c>
      <c r="W53" s="1086"/>
      <c r="X53" s="1085">
        <v>0</v>
      </c>
      <c r="Y53" s="1086"/>
      <c r="Z53" s="1085">
        <v>0</v>
      </c>
      <c r="AA53" s="1086"/>
      <c r="AB53" s="1085">
        <v>0</v>
      </c>
      <c r="AC53" s="1086"/>
      <c r="AD53" s="1085">
        <v>0</v>
      </c>
      <c r="AE53" s="1086"/>
      <c r="AF53" s="1085">
        <v>0</v>
      </c>
      <c r="AG53" s="1086"/>
      <c r="AH53" s="1085">
        <v>0</v>
      </c>
      <c r="AI53" s="1086"/>
      <c r="AJ53" s="1085">
        <v>0</v>
      </c>
      <c r="AK53" s="1086"/>
      <c r="AL53" s="1085">
        <v>0</v>
      </c>
      <c r="AM53" s="1086"/>
      <c r="AN53" s="1085">
        <v>0</v>
      </c>
      <c r="AO53" s="1086"/>
      <c r="AP53" s="1085">
        <v>0</v>
      </c>
      <c r="AQ53" s="1086"/>
      <c r="AR53" s="1085">
        <v>0</v>
      </c>
      <c r="AS53" s="1086"/>
      <c r="AT53" s="1085">
        <v>0</v>
      </c>
      <c r="AU53" s="1086"/>
      <c r="AV53" s="1085">
        <v>0</v>
      </c>
      <c r="AW53" s="1086"/>
      <c r="AX53" s="1085">
        <v>0</v>
      </c>
      <c r="AY53" s="1087"/>
      <c r="AZ53" s="1088">
        <v>0</v>
      </c>
      <c r="BA53" s="1089"/>
      <c r="BB53" s="1090">
        <v>0</v>
      </c>
      <c r="BC53" s="981"/>
      <c r="BD53" s="1079" t="s">
        <v>681</v>
      </c>
      <c r="BE53" s="1080"/>
      <c r="BF53" s="1081"/>
      <c r="BG53" s="1081"/>
      <c r="BH53" s="1082"/>
      <c r="BI53" s="1083"/>
      <c r="BJ53" s="1084"/>
      <c r="BK53" s="1085">
        <v>0</v>
      </c>
      <c r="BL53" s="1086"/>
      <c r="BM53" s="1085">
        <v>0</v>
      </c>
      <c r="BN53" s="1086"/>
      <c r="BO53" s="1085">
        <v>0</v>
      </c>
      <c r="BP53" s="1086"/>
      <c r="BQ53" s="1085">
        <v>0</v>
      </c>
      <c r="BR53" s="1086"/>
      <c r="BS53" s="1085">
        <v>0</v>
      </c>
      <c r="BT53" s="1086"/>
      <c r="BU53" s="1085">
        <v>0</v>
      </c>
      <c r="BV53" s="1086"/>
      <c r="BW53" s="1085">
        <v>0</v>
      </c>
      <c r="BX53" s="1086"/>
      <c r="BY53" s="1085">
        <v>0</v>
      </c>
      <c r="BZ53" s="1086"/>
      <c r="CA53" s="1085">
        <v>0</v>
      </c>
      <c r="CB53" s="1086"/>
      <c r="CC53" s="1085">
        <v>0</v>
      </c>
      <c r="CD53" s="1086"/>
      <c r="CE53" s="1085">
        <v>0</v>
      </c>
      <c r="CF53" s="1086"/>
      <c r="CG53" s="1085">
        <v>0</v>
      </c>
      <c r="CH53" s="1086"/>
      <c r="CI53" s="1085">
        <v>0</v>
      </c>
      <c r="CJ53" s="1086"/>
      <c r="CK53" s="1085">
        <v>0</v>
      </c>
      <c r="CL53" s="1086"/>
      <c r="CM53" s="1085">
        <v>0</v>
      </c>
      <c r="CN53" s="1086"/>
      <c r="CO53" s="1085">
        <v>0</v>
      </c>
      <c r="CP53" s="1086"/>
      <c r="CQ53" s="1085">
        <v>0</v>
      </c>
      <c r="CR53" s="1086"/>
      <c r="CS53" s="1085">
        <v>0</v>
      </c>
      <c r="CT53" s="1086"/>
      <c r="CU53" s="1085">
        <v>0</v>
      </c>
      <c r="CV53" s="1086"/>
      <c r="CW53" s="1085">
        <v>0</v>
      </c>
      <c r="CX53" s="1086"/>
      <c r="CY53" s="1085">
        <v>0</v>
      </c>
      <c r="CZ53" s="1086"/>
      <c r="DA53" s="1085">
        <v>0</v>
      </c>
      <c r="DB53" s="1087"/>
      <c r="DC53" s="1088">
        <v>0</v>
      </c>
      <c r="DD53" s="1089"/>
      <c r="DE53" s="1090">
        <v>0</v>
      </c>
      <c r="DF53" s="981"/>
      <c r="DG53" s="1079" t="s">
        <v>344</v>
      </c>
      <c r="DH53" s="1080"/>
      <c r="DI53" s="1081"/>
      <c r="DJ53" s="1081"/>
      <c r="DK53" s="1082"/>
      <c r="DL53" s="1083"/>
      <c r="DM53" s="1084"/>
      <c r="DN53" s="1085">
        <v>0</v>
      </c>
      <c r="DO53" s="1086"/>
      <c r="DP53" s="1085">
        <v>0</v>
      </c>
      <c r="DQ53" s="1086"/>
      <c r="DR53" s="1085">
        <v>0</v>
      </c>
      <c r="DS53" s="1086"/>
      <c r="DT53" s="1085">
        <v>0</v>
      </c>
      <c r="DU53" s="1086"/>
      <c r="DV53" s="1085">
        <v>0</v>
      </c>
      <c r="DW53" s="1086"/>
      <c r="DX53" s="1085">
        <v>0</v>
      </c>
      <c r="DY53" s="1086"/>
      <c r="DZ53" s="1085">
        <v>0</v>
      </c>
      <c r="EA53" s="1086"/>
      <c r="EB53" s="1085">
        <v>0</v>
      </c>
      <c r="EC53" s="1086"/>
      <c r="ED53" s="1085">
        <v>0</v>
      </c>
      <c r="EE53" s="1086"/>
      <c r="EF53" s="1085">
        <v>0</v>
      </c>
      <c r="EG53" s="1086"/>
      <c r="EH53" s="1085">
        <v>0</v>
      </c>
      <c r="EI53" s="1086"/>
      <c r="EJ53" s="1085">
        <v>0</v>
      </c>
      <c r="EK53" s="1086"/>
      <c r="EL53" s="1085">
        <v>0</v>
      </c>
      <c r="EM53" s="1086"/>
      <c r="EN53" s="1085">
        <v>0</v>
      </c>
      <c r="EO53" s="1086"/>
      <c r="EP53" s="1085">
        <v>0</v>
      </c>
      <c r="EQ53" s="1086"/>
      <c r="ER53" s="1085">
        <v>0</v>
      </c>
      <c r="ES53" s="1086"/>
      <c r="ET53" s="1085">
        <v>0</v>
      </c>
      <c r="EU53" s="1086"/>
      <c r="EV53" s="1085">
        <v>0</v>
      </c>
      <c r="EW53" s="1086"/>
      <c r="EX53" s="1085">
        <v>0</v>
      </c>
      <c r="EY53" s="1086"/>
      <c r="EZ53" s="1085">
        <v>0</v>
      </c>
      <c r="FA53" s="1086"/>
      <c r="FB53" s="1085">
        <v>0</v>
      </c>
      <c r="FC53" s="1086"/>
      <c r="FD53" s="1085">
        <v>0</v>
      </c>
      <c r="FE53" s="1087"/>
      <c r="FF53" s="1088">
        <v>0</v>
      </c>
      <c r="FG53" s="1089"/>
      <c r="FH53" s="1090">
        <v>0</v>
      </c>
      <c r="FI53" s="981"/>
      <c r="FJ53" s="1079" t="s">
        <v>681</v>
      </c>
      <c r="FK53" s="1080"/>
      <c r="FL53" s="1081"/>
      <c r="FM53" s="1081"/>
      <c r="FN53" s="1082"/>
      <c r="FO53" s="1083"/>
      <c r="FP53" s="1091"/>
      <c r="FQ53" s="1092"/>
      <c r="FR53" s="1085">
        <v>0</v>
      </c>
      <c r="FS53" s="1093"/>
      <c r="FT53" s="1092"/>
      <c r="FU53" s="1094">
        <v>0</v>
      </c>
      <c r="FV53" s="1095">
        <v>0</v>
      </c>
      <c r="FW53" s="1096">
        <v>0</v>
      </c>
      <c r="FX53" s="1097">
        <v>0</v>
      </c>
      <c r="FY53" s="1096">
        <v>0</v>
      </c>
      <c r="FZ53" s="1097">
        <v>0</v>
      </c>
      <c r="GA53" s="1096">
        <v>0</v>
      </c>
      <c r="GB53" s="1098" t="s">
        <v>366</v>
      </c>
      <c r="GC53" s="1096">
        <v>0</v>
      </c>
      <c r="GD53" s="1098" t="s">
        <v>368</v>
      </c>
      <c r="GE53" s="1099">
        <v>0</v>
      </c>
      <c r="GF53" s="688"/>
      <c r="GG53" s="990"/>
      <c r="GH53" s="990"/>
      <c r="GI53" s="990"/>
      <c r="GJ53" s="1303"/>
      <c r="GK53" s="500"/>
      <c r="GL53" s="500"/>
      <c r="GM53" s="579"/>
      <c r="GN53" s="578"/>
      <c r="GO53" s="578"/>
      <c r="GP53" s="578"/>
      <c r="GQ53" s="500"/>
      <c r="GR53" s="578"/>
      <c r="GS53" s="483"/>
      <c r="GT53" s="1305"/>
      <c r="GU53" s="578"/>
      <c r="GV53" s="578"/>
      <c r="GW53" s="578"/>
      <c r="GX53" s="578"/>
      <c r="GY53" s="500"/>
      <c r="GZ53" s="500"/>
      <c r="HA53" s="579"/>
      <c r="HB53" s="579"/>
      <c r="HC53" s="799"/>
      <c r="HD53" s="415"/>
    </row>
    <row r="54" spans="1:212" ht="20.100000000000001" customHeight="1">
      <c r="A54" s="1105" t="s">
        <v>345</v>
      </c>
      <c r="B54" s="1106"/>
      <c r="C54" s="1107"/>
      <c r="D54" s="1108"/>
      <c r="E54" s="1109"/>
      <c r="F54" s="1110"/>
      <c r="G54" s="1111"/>
      <c r="H54" s="1112">
        <v>0</v>
      </c>
      <c r="I54" s="1113"/>
      <c r="J54" s="1112">
        <v>0</v>
      </c>
      <c r="K54" s="1113"/>
      <c r="L54" s="1112">
        <v>0</v>
      </c>
      <c r="M54" s="1113"/>
      <c r="N54" s="1112">
        <v>0</v>
      </c>
      <c r="O54" s="1113"/>
      <c r="P54" s="1112">
        <v>0</v>
      </c>
      <c r="Q54" s="1113"/>
      <c r="R54" s="1112">
        <v>0</v>
      </c>
      <c r="S54" s="1113"/>
      <c r="T54" s="1112">
        <v>0</v>
      </c>
      <c r="U54" s="1113"/>
      <c r="V54" s="1112">
        <v>0</v>
      </c>
      <c r="W54" s="1113"/>
      <c r="X54" s="1112">
        <v>0</v>
      </c>
      <c r="Y54" s="1113"/>
      <c r="Z54" s="1112">
        <v>0</v>
      </c>
      <c r="AA54" s="1113"/>
      <c r="AB54" s="1112">
        <v>0</v>
      </c>
      <c r="AC54" s="1113"/>
      <c r="AD54" s="1112">
        <v>0</v>
      </c>
      <c r="AE54" s="1113"/>
      <c r="AF54" s="1112">
        <v>0</v>
      </c>
      <c r="AG54" s="1113"/>
      <c r="AH54" s="1112">
        <v>0</v>
      </c>
      <c r="AI54" s="1113"/>
      <c r="AJ54" s="1112">
        <v>0</v>
      </c>
      <c r="AK54" s="1113"/>
      <c r="AL54" s="1112">
        <v>0</v>
      </c>
      <c r="AM54" s="1113"/>
      <c r="AN54" s="1112">
        <v>0</v>
      </c>
      <c r="AO54" s="1113"/>
      <c r="AP54" s="1112">
        <v>0</v>
      </c>
      <c r="AQ54" s="1113"/>
      <c r="AR54" s="1112">
        <v>0</v>
      </c>
      <c r="AS54" s="1113"/>
      <c r="AT54" s="1112">
        <v>0</v>
      </c>
      <c r="AU54" s="1113"/>
      <c r="AV54" s="1112">
        <v>0</v>
      </c>
      <c r="AW54" s="1113"/>
      <c r="AX54" s="1112">
        <v>0</v>
      </c>
      <c r="AY54" s="1113"/>
      <c r="AZ54" s="1112">
        <v>0</v>
      </c>
      <c r="BA54" s="1113"/>
      <c r="BB54" s="1114">
        <v>0</v>
      </c>
      <c r="BC54" s="1017"/>
      <c r="BD54" s="1105" t="s">
        <v>682</v>
      </c>
      <c r="BE54" s="1106"/>
      <c r="BF54" s="1107"/>
      <c r="BG54" s="1108"/>
      <c r="BH54" s="1109"/>
      <c r="BI54" s="1110"/>
      <c r="BJ54" s="1111"/>
      <c r="BK54" s="1112">
        <v>0</v>
      </c>
      <c r="BL54" s="1113"/>
      <c r="BM54" s="1112">
        <v>0</v>
      </c>
      <c r="BN54" s="1113"/>
      <c r="BO54" s="1112">
        <v>0</v>
      </c>
      <c r="BP54" s="1113"/>
      <c r="BQ54" s="1112">
        <v>0</v>
      </c>
      <c r="BR54" s="1113"/>
      <c r="BS54" s="1112">
        <v>0</v>
      </c>
      <c r="BT54" s="1113"/>
      <c r="BU54" s="1112">
        <v>0</v>
      </c>
      <c r="BV54" s="1113"/>
      <c r="BW54" s="1112">
        <v>0</v>
      </c>
      <c r="BX54" s="1113"/>
      <c r="BY54" s="1112">
        <v>0</v>
      </c>
      <c r="BZ54" s="1113"/>
      <c r="CA54" s="1112">
        <v>0</v>
      </c>
      <c r="CB54" s="1113"/>
      <c r="CC54" s="1112">
        <v>0</v>
      </c>
      <c r="CD54" s="1113"/>
      <c r="CE54" s="1112">
        <v>0</v>
      </c>
      <c r="CF54" s="1113"/>
      <c r="CG54" s="1112">
        <v>0</v>
      </c>
      <c r="CH54" s="1113"/>
      <c r="CI54" s="1112">
        <v>0</v>
      </c>
      <c r="CJ54" s="1113"/>
      <c r="CK54" s="1112">
        <v>0</v>
      </c>
      <c r="CL54" s="1113"/>
      <c r="CM54" s="1112">
        <v>0</v>
      </c>
      <c r="CN54" s="1113"/>
      <c r="CO54" s="1112">
        <v>0</v>
      </c>
      <c r="CP54" s="1113"/>
      <c r="CQ54" s="1112">
        <v>0</v>
      </c>
      <c r="CR54" s="1113"/>
      <c r="CS54" s="1112">
        <v>0</v>
      </c>
      <c r="CT54" s="1113"/>
      <c r="CU54" s="1112">
        <v>0</v>
      </c>
      <c r="CV54" s="1113"/>
      <c r="CW54" s="1112">
        <v>0</v>
      </c>
      <c r="CX54" s="1113"/>
      <c r="CY54" s="1112">
        <v>0</v>
      </c>
      <c r="CZ54" s="1113"/>
      <c r="DA54" s="1112">
        <v>0</v>
      </c>
      <c r="DB54" s="1113"/>
      <c r="DC54" s="1112">
        <v>0</v>
      </c>
      <c r="DD54" s="1113"/>
      <c r="DE54" s="1114">
        <v>0</v>
      </c>
      <c r="DF54" s="1017"/>
      <c r="DG54" s="1105" t="s">
        <v>682</v>
      </c>
      <c r="DH54" s="1106"/>
      <c r="DI54" s="1107"/>
      <c r="DJ54" s="1108"/>
      <c r="DK54" s="1109"/>
      <c r="DL54" s="1110"/>
      <c r="DM54" s="1111"/>
      <c r="DN54" s="1112">
        <v>0</v>
      </c>
      <c r="DO54" s="1113"/>
      <c r="DP54" s="1112">
        <v>0</v>
      </c>
      <c r="DQ54" s="1113"/>
      <c r="DR54" s="1112">
        <v>0</v>
      </c>
      <c r="DS54" s="1113"/>
      <c r="DT54" s="1112">
        <v>0</v>
      </c>
      <c r="DU54" s="1113"/>
      <c r="DV54" s="1112">
        <v>0</v>
      </c>
      <c r="DW54" s="1113"/>
      <c r="DX54" s="1112">
        <v>0</v>
      </c>
      <c r="DY54" s="1113"/>
      <c r="DZ54" s="1112">
        <v>0</v>
      </c>
      <c r="EA54" s="1113"/>
      <c r="EB54" s="1112">
        <v>0</v>
      </c>
      <c r="EC54" s="1113"/>
      <c r="ED54" s="1112">
        <v>0</v>
      </c>
      <c r="EE54" s="1113"/>
      <c r="EF54" s="1112">
        <v>0</v>
      </c>
      <c r="EG54" s="1113"/>
      <c r="EH54" s="1112">
        <v>0</v>
      </c>
      <c r="EI54" s="1113"/>
      <c r="EJ54" s="1112">
        <v>0</v>
      </c>
      <c r="EK54" s="1113"/>
      <c r="EL54" s="1112">
        <v>0</v>
      </c>
      <c r="EM54" s="1113"/>
      <c r="EN54" s="1112">
        <v>0</v>
      </c>
      <c r="EO54" s="1113"/>
      <c r="EP54" s="1112">
        <v>0</v>
      </c>
      <c r="EQ54" s="1113"/>
      <c r="ER54" s="1112">
        <v>0</v>
      </c>
      <c r="ES54" s="1113"/>
      <c r="ET54" s="1112">
        <v>0</v>
      </c>
      <c r="EU54" s="1113"/>
      <c r="EV54" s="1112">
        <v>0</v>
      </c>
      <c r="EW54" s="1113"/>
      <c r="EX54" s="1112">
        <v>0</v>
      </c>
      <c r="EY54" s="1113"/>
      <c r="EZ54" s="1112">
        <v>0</v>
      </c>
      <c r="FA54" s="1113"/>
      <c r="FB54" s="1112">
        <v>0</v>
      </c>
      <c r="FC54" s="1113"/>
      <c r="FD54" s="1112">
        <v>0</v>
      </c>
      <c r="FE54" s="1113"/>
      <c r="FF54" s="1112">
        <v>0</v>
      </c>
      <c r="FG54" s="1113"/>
      <c r="FH54" s="1114">
        <v>0</v>
      </c>
      <c r="FI54" s="1017"/>
      <c r="FJ54" s="1105" t="s">
        <v>682</v>
      </c>
      <c r="FK54" s="1106"/>
      <c r="FL54" s="1107"/>
      <c r="FM54" s="1108"/>
      <c r="FN54" s="1109"/>
      <c r="FO54" s="1110"/>
      <c r="FP54" s="1115"/>
      <c r="FQ54" s="1113"/>
      <c r="FR54" s="1112">
        <v>0</v>
      </c>
      <c r="FS54" s="1116"/>
      <c r="FT54" s="1113"/>
      <c r="FU54" s="1117">
        <v>0</v>
      </c>
      <c r="FV54" s="1116"/>
      <c r="FW54" s="1112">
        <f>IF(面積=0,0,ROUND(FW53/面積,1))</f>
        <v>0</v>
      </c>
      <c r="FX54" s="1116"/>
      <c r="FY54" s="1112">
        <f>IF(面積=0,0,ROUND(FY53/面積,1))</f>
        <v>0</v>
      </c>
      <c r="FZ54" s="1116"/>
      <c r="GA54" s="1112">
        <f>IF(面積=0,0,ROUND(GA53/面積,1))</f>
        <v>0</v>
      </c>
      <c r="GB54" s="1116"/>
      <c r="GC54" s="1112">
        <f>IF(面積=0,0,ROUND(GC53/面積,1))</f>
        <v>0</v>
      </c>
      <c r="GD54" s="1116"/>
      <c r="GE54" s="1114">
        <f>IF(面積=0,0,ROUND(GE53/面積,1))</f>
        <v>0</v>
      </c>
      <c r="GF54" s="688"/>
      <c r="GG54" s="937"/>
      <c r="GH54" s="937"/>
      <c r="GI54" s="937"/>
      <c r="GJ54" s="578"/>
      <c r="GK54" s="579"/>
      <c r="GL54" s="500"/>
      <c r="GM54" s="579"/>
      <c r="GN54" s="578"/>
      <c r="GO54" s="578"/>
      <c r="GP54" s="578"/>
      <c r="GQ54" s="500"/>
      <c r="GR54" s="578"/>
      <c r="GS54" s="580"/>
      <c r="GT54" s="1305"/>
      <c r="GU54" s="1303"/>
      <c r="GV54" s="1303"/>
      <c r="GW54" s="1303"/>
      <c r="GX54" s="1303"/>
      <c r="GY54" s="1304"/>
      <c r="GZ54" s="1121"/>
      <c r="HA54" s="1121"/>
      <c r="HB54" s="1121"/>
      <c r="HC54" s="529"/>
      <c r="HD54" s="415"/>
    </row>
    <row r="55" spans="1:212" ht="20.100000000000001" customHeight="1" thickBot="1">
      <c r="A55" s="386"/>
      <c r="B55" s="386"/>
      <c r="C55" s="386"/>
      <c r="D55" s="386"/>
      <c r="E55" s="387"/>
      <c r="F55" s="387"/>
      <c r="G55" s="387"/>
      <c r="H55" s="1122"/>
      <c r="I55" s="415"/>
      <c r="J55" s="415"/>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9"/>
      <c r="BD55" s="386"/>
      <c r="BE55" s="386"/>
      <c r="BF55" s="386"/>
      <c r="BG55" s="386"/>
      <c r="BH55" s="387"/>
      <c r="BI55" s="387"/>
      <c r="BJ55" s="387"/>
      <c r="BK55" s="1122"/>
      <c r="BL55" s="415"/>
      <c r="BM55" s="415"/>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9"/>
      <c r="DG55" s="386"/>
      <c r="DH55" s="386"/>
      <c r="DI55" s="386"/>
      <c r="DJ55" s="386"/>
      <c r="DK55" s="387"/>
      <c r="DL55" s="387"/>
      <c r="DM55" s="387"/>
      <c r="DN55" s="1122"/>
      <c r="DO55" s="415"/>
      <c r="DP55" s="415"/>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9"/>
      <c r="FJ55" s="386"/>
      <c r="FK55" s="386"/>
      <c r="FL55" s="386"/>
      <c r="FM55" s="386"/>
      <c r="FN55" s="387"/>
      <c r="FO55" s="387"/>
      <c r="FP55" s="387"/>
      <c r="FQ55" s="415"/>
      <c r="FR55" s="1122"/>
      <c r="FS55" s="415"/>
      <c r="FT55" s="415"/>
      <c r="FU55" s="415"/>
      <c r="FV55" s="386"/>
      <c r="FW55" s="386"/>
      <c r="FX55" s="386"/>
      <c r="FY55" s="386"/>
      <c r="FZ55" s="386"/>
      <c r="GA55" s="386"/>
      <c r="GB55" s="386"/>
      <c r="GC55" s="386"/>
      <c r="GD55" s="386"/>
      <c r="GE55" s="1123"/>
      <c r="GF55" s="688"/>
      <c r="GG55" s="391"/>
      <c r="GH55" s="391"/>
      <c r="GI55" s="391"/>
      <c r="GJ55" s="578"/>
      <c r="GK55" s="500"/>
      <c r="GL55" s="579"/>
      <c r="GM55" s="579"/>
      <c r="GN55" s="578"/>
      <c r="GO55" s="578"/>
      <c r="GP55" s="578"/>
      <c r="GQ55" s="500"/>
      <c r="GR55" s="578"/>
      <c r="GS55" s="530"/>
      <c r="GT55" s="1347"/>
      <c r="GU55" s="1303"/>
      <c r="GV55" s="579"/>
      <c r="GW55" s="578"/>
      <c r="GX55" s="579"/>
      <c r="GY55" s="579"/>
      <c r="GZ55" s="500"/>
      <c r="HA55" s="578"/>
      <c r="HB55" s="500"/>
      <c r="HC55" s="391"/>
      <c r="HD55" s="387"/>
    </row>
    <row r="56" spans="1:212" ht="20.100000000000001" customHeight="1">
      <c r="A56" s="1128" t="s">
        <v>346</v>
      </c>
      <c r="B56" s="1129"/>
      <c r="C56" s="1129"/>
      <c r="D56" s="1129"/>
      <c r="E56" s="1130"/>
      <c r="F56" s="1131"/>
      <c r="G56" s="1132">
        <v>1</v>
      </c>
      <c r="H56" s="1133"/>
      <c r="I56" s="1134">
        <v>2</v>
      </c>
      <c r="J56" s="1133"/>
      <c r="K56" s="1134">
        <v>3</v>
      </c>
      <c r="L56" s="1133"/>
      <c r="M56" s="1134">
        <v>4</v>
      </c>
      <c r="N56" s="1133"/>
      <c r="O56" s="1134">
        <v>5</v>
      </c>
      <c r="P56" s="1133"/>
      <c r="Q56" s="1134">
        <v>6</v>
      </c>
      <c r="R56" s="1133"/>
      <c r="S56" s="1134">
        <v>7</v>
      </c>
      <c r="T56" s="1133"/>
      <c r="U56" s="1134">
        <v>8</v>
      </c>
      <c r="V56" s="1133"/>
      <c r="W56" s="1134">
        <v>9</v>
      </c>
      <c r="X56" s="1133"/>
      <c r="Y56" s="1134">
        <v>10</v>
      </c>
      <c r="Z56" s="1133"/>
      <c r="AA56" s="1134">
        <v>11</v>
      </c>
      <c r="AB56" s="1133"/>
      <c r="AC56" s="1134">
        <v>12</v>
      </c>
      <c r="AD56" s="1133"/>
      <c r="AE56" s="1134">
        <v>13</v>
      </c>
      <c r="AF56" s="1133"/>
      <c r="AG56" s="1134">
        <v>14</v>
      </c>
      <c r="AH56" s="1133"/>
      <c r="AI56" s="1134">
        <v>15</v>
      </c>
      <c r="AJ56" s="1133"/>
      <c r="AK56" s="1134">
        <v>16</v>
      </c>
      <c r="AL56" s="1133"/>
      <c r="AM56" s="1134">
        <v>17</v>
      </c>
      <c r="AN56" s="1133"/>
      <c r="AO56" s="1134">
        <v>18</v>
      </c>
      <c r="AP56" s="1133"/>
      <c r="AQ56" s="1134">
        <v>19</v>
      </c>
      <c r="AR56" s="1133"/>
      <c r="AS56" s="1134">
        <v>20</v>
      </c>
      <c r="AT56" s="1133"/>
      <c r="AU56" s="1134">
        <v>21</v>
      </c>
      <c r="AV56" s="1133"/>
      <c r="AW56" s="1134">
        <v>22</v>
      </c>
      <c r="AX56" s="1133"/>
      <c r="AY56" s="1134">
        <v>23</v>
      </c>
      <c r="AZ56" s="1133"/>
      <c r="BA56" s="1134">
        <v>24</v>
      </c>
      <c r="BB56" s="1135"/>
      <c r="BC56" s="1038"/>
      <c r="BD56" s="1128" t="s">
        <v>346</v>
      </c>
      <c r="BE56" s="1129"/>
      <c r="BF56" s="1129"/>
      <c r="BG56" s="1129"/>
      <c r="BH56" s="1130"/>
      <c r="BI56" s="1131"/>
      <c r="BJ56" s="1132">
        <v>1</v>
      </c>
      <c r="BK56" s="1133"/>
      <c r="BL56" s="1134">
        <v>2</v>
      </c>
      <c r="BM56" s="1133"/>
      <c r="BN56" s="1134">
        <v>3</v>
      </c>
      <c r="BO56" s="1133"/>
      <c r="BP56" s="1134">
        <v>4</v>
      </c>
      <c r="BQ56" s="1133"/>
      <c r="BR56" s="1134">
        <v>5</v>
      </c>
      <c r="BS56" s="1133"/>
      <c r="BT56" s="1134">
        <v>6</v>
      </c>
      <c r="BU56" s="1133"/>
      <c r="BV56" s="1134">
        <v>7</v>
      </c>
      <c r="BW56" s="1133"/>
      <c r="BX56" s="1134">
        <v>8</v>
      </c>
      <c r="BY56" s="1133"/>
      <c r="BZ56" s="1134">
        <v>9</v>
      </c>
      <c r="CA56" s="1133"/>
      <c r="CB56" s="1134">
        <v>10</v>
      </c>
      <c r="CC56" s="1133"/>
      <c r="CD56" s="1134">
        <v>11</v>
      </c>
      <c r="CE56" s="1133"/>
      <c r="CF56" s="1134">
        <v>12</v>
      </c>
      <c r="CG56" s="1133"/>
      <c r="CH56" s="1134">
        <v>13</v>
      </c>
      <c r="CI56" s="1133"/>
      <c r="CJ56" s="1134">
        <v>14</v>
      </c>
      <c r="CK56" s="1133"/>
      <c r="CL56" s="1134">
        <v>15</v>
      </c>
      <c r="CM56" s="1133"/>
      <c r="CN56" s="1134">
        <v>16</v>
      </c>
      <c r="CO56" s="1133"/>
      <c r="CP56" s="1134">
        <v>17</v>
      </c>
      <c r="CQ56" s="1133"/>
      <c r="CR56" s="1134">
        <v>18</v>
      </c>
      <c r="CS56" s="1133"/>
      <c r="CT56" s="1134">
        <v>19</v>
      </c>
      <c r="CU56" s="1133"/>
      <c r="CV56" s="1134">
        <v>20</v>
      </c>
      <c r="CW56" s="1133"/>
      <c r="CX56" s="1134">
        <v>21</v>
      </c>
      <c r="CY56" s="1133"/>
      <c r="CZ56" s="1134">
        <v>22</v>
      </c>
      <c r="DA56" s="1133"/>
      <c r="DB56" s="1134">
        <v>23</v>
      </c>
      <c r="DC56" s="1133"/>
      <c r="DD56" s="1134">
        <v>24</v>
      </c>
      <c r="DE56" s="1135"/>
      <c r="DF56" s="1038"/>
      <c r="DG56" s="1128" t="s">
        <v>346</v>
      </c>
      <c r="DH56" s="1129"/>
      <c r="DI56" s="1129"/>
      <c r="DJ56" s="1129"/>
      <c r="DK56" s="1130"/>
      <c r="DL56" s="1131"/>
      <c r="DM56" s="1132">
        <v>1</v>
      </c>
      <c r="DN56" s="1133"/>
      <c r="DO56" s="1134">
        <v>2</v>
      </c>
      <c r="DP56" s="1133"/>
      <c r="DQ56" s="1134">
        <v>3</v>
      </c>
      <c r="DR56" s="1133"/>
      <c r="DS56" s="1134">
        <v>4</v>
      </c>
      <c r="DT56" s="1133"/>
      <c r="DU56" s="1134">
        <v>5</v>
      </c>
      <c r="DV56" s="1133"/>
      <c r="DW56" s="1134">
        <v>6</v>
      </c>
      <c r="DX56" s="1133"/>
      <c r="DY56" s="1134">
        <v>7</v>
      </c>
      <c r="DZ56" s="1133"/>
      <c r="EA56" s="1134">
        <v>8</v>
      </c>
      <c r="EB56" s="1133"/>
      <c r="EC56" s="1134">
        <v>9</v>
      </c>
      <c r="ED56" s="1133"/>
      <c r="EE56" s="1134">
        <v>10</v>
      </c>
      <c r="EF56" s="1133"/>
      <c r="EG56" s="1134">
        <v>11</v>
      </c>
      <c r="EH56" s="1133"/>
      <c r="EI56" s="1134">
        <v>12</v>
      </c>
      <c r="EJ56" s="1133"/>
      <c r="EK56" s="1134">
        <v>13</v>
      </c>
      <c r="EL56" s="1133"/>
      <c r="EM56" s="1134">
        <v>14</v>
      </c>
      <c r="EN56" s="1133"/>
      <c r="EO56" s="1134">
        <v>15</v>
      </c>
      <c r="EP56" s="1133"/>
      <c r="EQ56" s="1134">
        <v>16</v>
      </c>
      <c r="ER56" s="1133"/>
      <c r="ES56" s="1134">
        <v>17</v>
      </c>
      <c r="ET56" s="1133"/>
      <c r="EU56" s="1134">
        <v>18</v>
      </c>
      <c r="EV56" s="1133"/>
      <c r="EW56" s="1134">
        <v>19</v>
      </c>
      <c r="EX56" s="1133"/>
      <c r="EY56" s="1134">
        <v>20</v>
      </c>
      <c r="EZ56" s="1133"/>
      <c r="FA56" s="1134">
        <v>21</v>
      </c>
      <c r="FB56" s="1133"/>
      <c r="FC56" s="1134">
        <v>22</v>
      </c>
      <c r="FD56" s="1133"/>
      <c r="FE56" s="1134">
        <v>23</v>
      </c>
      <c r="FF56" s="1133"/>
      <c r="FG56" s="1134">
        <v>24</v>
      </c>
      <c r="FH56" s="1135"/>
      <c r="FI56" s="1038"/>
      <c r="FJ56" s="1128" t="s">
        <v>347</v>
      </c>
      <c r="FK56" s="1129"/>
      <c r="FL56" s="1129"/>
      <c r="FM56" s="1129"/>
      <c r="FN56" s="1130"/>
      <c r="FO56" s="1130"/>
      <c r="FP56" s="1136" t="s">
        <v>1047</v>
      </c>
      <c r="FQ56" s="1137"/>
      <c r="FR56" s="1138"/>
      <c r="FS56" s="1139" t="s">
        <v>288</v>
      </c>
      <c r="FT56" s="1140"/>
      <c r="FU56" s="1141"/>
      <c r="FV56" s="1142" t="s">
        <v>349</v>
      </c>
      <c r="FW56" s="1143"/>
      <c r="FX56" s="1144" t="s">
        <v>350</v>
      </c>
      <c r="FY56" s="1145"/>
      <c r="FZ56" s="1146" t="s">
        <v>351</v>
      </c>
      <c r="GA56" s="1147"/>
      <c r="GB56" s="1148" t="s">
        <v>352</v>
      </c>
      <c r="GC56" s="1133"/>
      <c r="GD56" s="1148" t="s">
        <v>353</v>
      </c>
      <c r="GE56" s="1135"/>
      <c r="GF56" s="688"/>
      <c r="GG56" s="483"/>
      <c r="GH56" s="483"/>
      <c r="GI56" s="483"/>
      <c r="GJ56" s="578"/>
      <c r="GK56" s="579"/>
      <c r="GL56" s="500"/>
      <c r="GM56" s="579"/>
      <c r="GN56" s="578"/>
      <c r="GO56" s="578"/>
      <c r="GP56" s="578"/>
      <c r="GQ56" s="500"/>
      <c r="GR56" s="578"/>
      <c r="GS56" s="529"/>
      <c r="GT56" s="1303"/>
      <c r="GU56" s="578"/>
      <c r="GV56" s="579"/>
      <c r="GW56" s="578"/>
      <c r="GX56" s="579"/>
      <c r="GY56" s="579"/>
      <c r="GZ56" s="500"/>
      <c r="HA56" s="578"/>
      <c r="HB56" s="500"/>
      <c r="HC56" s="486"/>
    </row>
    <row r="57" spans="1:212" ht="20.100000000000001" customHeight="1">
      <c r="A57" s="1149"/>
      <c r="B57" s="1150"/>
      <c r="C57" s="1150"/>
      <c r="D57" s="1150"/>
      <c r="E57" s="1151"/>
      <c r="F57" s="1152"/>
      <c r="G57" s="1153" t="s">
        <v>354</v>
      </c>
      <c r="H57" s="1154" t="s">
        <v>323</v>
      </c>
      <c r="I57" s="1155" t="s">
        <v>354</v>
      </c>
      <c r="J57" s="1154" t="s">
        <v>323</v>
      </c>
      <c r="K57" s="1155" t="s">
        <v>354</v>
      </c>
      <c r="L57" s="1154" t="s">
        <v>323</v>
      </c>
      <c r="M57" s="1155" t="s">
        <v>354</v>
      </c>
      <c r="N57" s="1154" t="s">
        <v>323</v>
      </c>
      <c r="O57" s="1155" t="s">
        <v>354</v>
      </c>
      <c r="P57" s="1154" t="s">
        <v>323</v>
      </c>
      <c r="Q57" s="1155" t="s">
        <v>354</v>
      </c>
      <c r="R57" s="1154" t="s">
        <v>323</v>
      </c>
      <c r="S57" s="1155" t="s">
        <v>354</v>
      </c>
      <c r="T57" s="1154" t="s">
        <v>323</v>
      </c>
      <c r="U57" s="1155" t="s">
        <v>354</v>
      </c>
      <c r="V57" s="1154" t="s">
        <v>323</v>
      </c>
      <c r="W57" s="1155" t="s">
        <v>354</v>
      </c>
      <c r="X57" s="1154" t="s">
        <v>323</v>
      </c>
      <c r="Y57" s="1155" t="s">
        <v>354</v>
      </c>
      <c r="Z57" s="1154" t="s">
        <v>323</v>
      </c>
      <c r="AA57" s="1155" t="s">
        <v>354</v>
      </c>
      <c r="AB57" s="1154" t="s">
        <v>323</v>
      </c>
      <c r="AC57" s="1155" t="s">
        <v>354</v>
      </c>
      <c r="AD57" s="1154" t="s">
        <v>354</v>
      </c>
      <c r="AE57" s="1155" t="s">
        <v>354</v>
      </c>
      <c r="AF57" s="1154" t="s">
        <v>323</v>
      </c>
      <c r="AG57" s="1155" t="s">
        <v>354</v>
      </c>
      <c r="AH57" s="1154" t="s">
        <v>323</v>
      </c>
      <c r="AI57" s="1155" t="s">
        <v>354</v>
      </c>
      <c r="AJ57" s="1154" t="s">
        <v>323</v>
      </c>
      <c r="AK57" s="1155" t="s">
        <v>354</v>
      </c>
      <c r="AL57" s="1154" t="s">
        <v>323</v>
      </c>
      <c r="AM57" s="1155" t="s">
        <v>354</v>
      </c>
      <c r="AN57" s="1154" t="s">
        <v>323</v>
      </c>
      <c r="AO57" s="1155" t="s">
        <v>354</v>
      </c>
      <c r="AP57" s="1154" t="s">
        <v>323</v>
      </c>
      <c r="AQ57" s="1155" t="s">
        <v>354</v>
      </c>
      <c r="AR57" s="1154" t="s">
        <v>323</v>
      </c>
      <c r="AS57" s="1155" t="s">
        <v>354</v>
      </c>
      <c r="AT57" s="1154" t="s">
        <v>323</v>
      </c>
      <c r="AU57" s="1155" t="s">
        <v>354</v>
      </c>
      <c r="AV57" s="1154" t="s">
        <v>323</v>
      </c>
      <c r="AW57" s="1155" t="s">
        <v>354</v>
      </c>
      <c r="AX57" s="1154" t="s">
        <v>323</v>
      </c>
      <c r="AY57" s="1155" t="s">
        <v>354</v>
      </c>
      <c r="AZ57" s="1154" t="s">
        <v>323</v>
      </c>
      <c r="BA57" s="1156" t="s">
        <v>354</v>
      </c>
      <c r="BB57" s="1157" t="s">
        <v>323</v>
      </c>
      <c r="BC57" s="1052"/>
      <c r="BD57" s="1149"/>
      <c r="BE57" s="1150"/>
      <c r="BF57" s="1150"/>
      <c r="BG57" s="1150"/>
      <c r="BH57" s="1151"/>
      <c r="BI57" s="1152"/>
      <c r="BJ57" s="1153" t="s">
        <v>354</v>
      </c>
      <c r="BK57" s="1154" t="s">
        <v>323</v>
      </c>
      <c r="BL57" s="1155" t="s">
        <v>354</v>
      </c>
      <c r="BM57" s="1154" t="s">
        <v>323</v>
      </c>
      <c r="BN57" s="1155" t="s">
        <v>354</v>
      </c>
      <c r="BO57" s="1154" t="s">
        <v>323</v>
      </c>
      <c r="BP57" s="1155" t="s">
        <v>354</v>
      </c>
      <c r="BQ57" s="1154" t="s">
        <v>323</v>
      </c>
      <c r="BR57" s="1155" t="s">
        <v>354</v>
      </c>
      <c r="BS57" s="1154" t="s">
        <v>323</v>
      </c>
      <c r="BT57" s="1155" t="s">
        <v>354</v>
      </c>
      <c r="BU57" s="1154" t="s">
        <v>323</v>
      </c>
      <c r="BV57" s="1155" t="s">
        <v>354</v>
      </c>
      <c r="BW57" s="1154" t="s">
        <v>323</v>
      </c>
      <c r="BX57" s="1155" t="s">
        <v>354</v>
      </c>
      <c r="BY57" s="1154" t="s">
        <v>323</v>
      </c>
      <c r="BZ57" s="1155" t="s">
        <v>354</v>
      </c>
      <c r="CA57" s="1154" t="s">
        <v>323</v>
      </c>
      <c r="CB57" s="1155" t="s">
        <v>354</v>
      </c>
      <c r="CC57" s="1154" t="s">
        <v>323</v>
      </c>
      <c r="CD57" s="1155" t="s">
        <v>354</v>
      </c>
      <c r="CE57" s="1154" t="s">
        <v>323</v>
      </c>
      <c r="CF57" s="1155" t="s">
        <v>354</v>
      </c>
      <c r="CG57" s="1154" t="s">
        <v>354</v>
      </c>
      <c r="CH57" s="1155" t="s">
        <v>354</v>
      </c>
      <c r="CI57" s="1154" t="s">
        <v>323</v>
      </c>
      <c r="CJ57" s="1155" t="s">
        <v>354</v>
      </c>
      <c r="CK57" s="1154" t="s">
        <v>323</v>
      </c>
      <c r="CL57" s="1155" t="s">
        <v>354</v>
      </c>
      <c r="CM57" s="1154" t="s">
        <v>323</v>
      </c>
      <c r="CN57" s="1155" t="s">
        <v>354</v>
      </c>
      <c r="CO57" s="1154" t="s">
        <v>323</v>
      </c>
      <c r="CP57" s="1155" t="s">
        <v>354</v>
      </c>
      <c r="CQ57" s="1154" t="s">
        <v>323</v>
      </c>
      <c r="CR57" s="1155" t="s">
        <v>354</v>
      </c>
      <c r="CS57" s="1154" t="s">
        <v>323</v>
      </c>
      <c r="CT57" s="1155" t="s">
        <v>354</v>
      </c>
      <c r="CU57" s="1154" t="s">
        <v>323</v>
      </c>
      <c r="CV57" s="1155" t="s">
        <v>354</v>
      </c>
      <c r="CW57" s="1154" t="s">
        <v>323</v>
      </c>
      <c r="CX57" s="1155" t="s">
        <v>354</v>
      </c>
      <c r="CY57" s="1154" t="s">
        <v>323</v>
      </c>
      <c r="CZ57" s="1155" t="s">
        <v>354</v>
      </c>
      <c r="DA57" s="1154" t="s">
        <v>323</v>
      </c>
      <c r="DB57" s="1155" t="s">
        <v>354</v>
      </c>
      <c r="DC57" s="1154" t="s">
        <v>323</v>
      </c>
      <c r="DD57" s="1156" t="s">
        <v>354</v>
      </c>
      <c r="DE57" s="1157" t="s">
        <v>323</v>
      </c>
      <c r="DF57" s="1052"/>
      <c r="DG57" s="1149"/>
      <c r="DH57" s="1150"/>
      <c r="DI57" s="1150"/>
      <c r="DJ57" s="1150"/>
      <c r="DK57" s="1151"/>
      <c r="DL57" s="1152"/>
      <c r="DM57" s="1153" t="s">
        <v>354</v>
      </c>
      <c r="DN57" s="1154" t="s">
        <v>323</v>
      </c>
      <c r="DO57" s="1155" t="s">
        <v>354</v>
      </c>
      <c r="DP57" s="1154" t="s">
        <v>323</v>
      </c>
      <c r="DQ57" s="1155" t="s">
        <v>354</v>
      </c>
      <c r="DR57" s="1154" t="s">
        <v>323</v>
      </c>
      <c r="DS57" s="1155" t="s">
        <v>354</v>
      </c>
      <c r="DT57" s="1154" t="s">
        <v>323</v>
      </c>
      <c r="DU57" s="1155" t="s">
        <v>354</v>
      </c>
      <c r="DV57" s="1154" t="s">
        <v>323</v>
      </c>
      <c r="DW57" s="1155" t="s">
        <v>354</v>
      </c>
      <c r="DX57" s="1154" t="s">
        <v>323</v>
      </c>
      <c r="DY57" s="1155" t="s">
        <v>354</v>
      </c>
      <c r="DZ57" s="1154" t="s">
        <v>323</v>
      </c>
      <c r="EA57" s="1155" t="s">
        <v>354</v>
      </c>
      <c r="EB57" s="1154" t="s">
        <v>323</v>
      </c>
      <c r="EC57" s="1155" t="s">
        <v>354</v>
      </c>
      <c r="ED57" s="1154" t="s">
        <v>323</v>
      </c>
      <c r="EE57" s="1155" t="s">
        <v>354</v>
      </c>
      <c r="EF57" s="1154" t="s">
        <v>323</v>
      </c>
      <c r="EG57" s="1155" t="s">
        <v>354</v>
      </c>
      <c r="EH57" s="1154" t="s">
        <v>323</v>
      </c>
      <c r="EI57" s="1155" t="s">
        <v>354</v>
      </c>
      <c r="EJ57" s="1154" t="s">
        <v>354</v>
      </c>
      <c r="EK57" s="1155" t="s">
        <v>354</v>
      </c>
      <c r="EL57" s="1154" t="s">
        <v>323</v>
      </c>
      <c r="EM57" s="1155" t="s">
        <v>354</v>
      </c>
      <c r="EN57" s="1154" t="s">
        <v>323</v>
      </c>
      <c r="EO57" s="1155" t="s">
        <v>354</v>
      </c>
      <c r="EP57" s="1154" t="s">
        <v>323</v>
      </c>
      <c r="EQ57" s="1155" t="s">
        <v>354</v>
      </c>
      <c r="ER57" s="1154" t="s">
        <v>323</v>
      </c>
      <c r="ES57" s="1155" t="s">
        <v>354</v>
      </c>
      <c r="ET57" s="1154" t="s">
        <v>323</v>
      </c>
      <c r="EU57" s="1155" t="s">
        <v>354</v>
      </c>
      <c r="EV57" s="1154" t="s">
        <v>323</v>
      </c>
      <c r="EW57" s="1155" t="s">
        <v>354</v>
      </c>
      <c r="EX57" s="1154" t="s">
        <v>323</v>
      </c>
      <c r="EY57" s="1155" t="s">
        <v>354</v>
      </c>
      <c r="EZ57" s="1154" t="s">
        <v>323</v>
      </c>
      <c r="FA57" s="1155" t="s">
        <v>354</v>
      </c>
      <c r="FB57" s="1154" t="s">
        <v>323</v>
      </c>
      <c r="FC57" s="1155" t="s">
        <v>354</v>
      </c>
      <c r="FD57" s="1154" t="s">
        <v>323</v>
      </c>
      <c r="FE57" s="1155" t="s">
        <v>354</v>
      </c>
      <c r="FF57" s="1154" t="s">
        <v>323</v>
      </c>
      <c r="FG57" s="1156" t="s">
        <v>354</v>
      </c>
      <c r="FH57" s="1157" t="s">
        <v>323</v>
      </c>
      <c r="FI57" s="1052"/>
      <c r="FJ57" s="1149"/>
      <c r="FK57" s="1150"/>
      <c r="FL57" s="1150"/>
      <c r="FM57" s="1150"/>
      <c r="FN57" s="1151"/>
      <c r="FO57" s="1152"/>
      <c r="FP57" s="1158" t="s">
        <v>299</v>
      </c>
      <c r="FQ57" s="1156" t="s">
        <v>354</v>
      </c>
      <c r="FR57" s="1154" t="s">
        <v>324</v>
      </c>
      <c r="FS57" s="1159" t="s">
        <v>299</v>
      </c>
      <c r="FT57" s="1156" t="s">
        <v>354</v>
      </c>
      <c r="FU57" s="1160" t="s">
        <v>324</v>
      </c>
      <c r="FV57" s="1161" t="s">
        <v>299</v>
      </c>
      <c r="FW57" s="1154" t="s">
        <v>323</v>
      </c>
      <c r="FX57" s="1159" t="s">
        <v>299</v>
      </c>
      <c r="FY57" s="1154" t="s">
        <v>323</v>
      </c>
      <c r="FZ57" s="1159" t="s">
        <v>299</v>
      </c>
      <c r="GA57" s="1154" t="s">
        <v>323</v>
      </c>
      <c r="GB57" s="1159" t="s">
        <v>299</v>
      </c>
      <c r="GC57" s="1154" t="s">
        <v>323</v>
      </c>
      <c r="GD57" s="1159" t="s">
        <v>299</v>
      </c>
      <c r="GE57" s="1157" t="s">
        <v>324</v>
      </c>
      <c r="GF57" s="688"/>
      <c r="GG57" s="655"/>
      <c r="GH57" s="655"/>
      <c r="GI57" s="655"/>
      <c r="GJ57" s="1303"/>
      <c r="GK57" s="500"/>
      <c r="GL57" s="579"/>
      <c r="GM57" s="579"/>
      <c r="GN57" s="578"/>
      <c r="GO57" s="578"/>
      <c r="GP57" s="578"/>
      <c r="GQ57" s="500"/>
      <c r="GR57" s="1303"/>
      <c r="GS57" s="529"/>
      <c r="GT57" s="1303"/>
      <c r="GU57" s="578"/>
      <c r="GV57" s="578"/>
      <c r="GW57" s="500"/>
      <c r="GX57" s="1306"/>
      <c r="GY57" s="579"/>
      <c r="GZ57" s="500"/>
      <c r="HA57" s="578"/>
      <c r="HB57" s="500"/>
      <c r="HC57" s="1052"/>
    </row>
    <row r="58" spans="1:212" ht="20.100000000000001" customHeight="1">
      <c r="A58" s="1163" t="s">
        <v>612</v>
      </c>
      <c r="B58" s="1164"/>
      <c r="C58" s="1164"/>
      <c r="D58" s="1164"/>
      <c r="E58" s="1165"/>
      <c r="F58" s="1166"/>
      <c r="G58" s="1167"/>
      <c r="H58" s="1168">
        <v>0</v>
      </c>
      <c r="I58" s="1169"/>
      <c r="J58" s="1168">
        <v>0</v>
      </c>
      <c r="K58" s="1169"/>
      <c r="L58" s="1168">
        <v>0</v>
      </c>
      <c r="M58" s="1169"/>
      <c r="N58" s="1168">
        <v>0</v>
      </c>
      <c r="O58" s="1169"/>
      <c r="P58" s="1168">
        <v>0</v>
      </c>
      <c r="Q58" s="1169"/>
      <c r="R58" s="1168">
        <v>0</v>
      </c>
      <c r="S58" s="1169"/>
      <c r="T58" s="1168">
        <v>0</v>
      </c>
      <c r="U58" s="1169"/>
      <c r="V58" s="1168">
        <v>0</v>
      </c>
      <c r="W58" s="1169"/>
      <c r="X58" s="1168">
        <v>2640</v>
      </c>
      <c r="Y58" s="1169"/>
      <c r="Z58" s="1168">
        <v>2640</v>
      </c>
      <c r="AA58" s="1169"/>
      <c r="AB58" s="1168">
        <v>2640</v>
      </c>
      <c r="AC58" s="1169"/>
      <c r="AD58" s="1168">
        <v>2640</v>
      </c>
      <c r="AE58" s="1169"/>
      <c r="AF58" s="1168">
        <v>2640</v>
      </c>
      <c r="AG58" s="1169"/>
      <c r="AH58" s="1168">
        <v>2640</v>
      </c>
      <c r="AI58" s="1169"/>
      <c r="AJ58" s="1168">
        <v>2640</v>
      </c>
      <c r="AK58" s="1169"/>
      <c r="AL58" s="1168">
        <v>2640</v>
      </c>
      <c r="AM58" s="1169"/>
      <c r="AN58" s="1168">
        <v>2640</v>
      </c>
      <c r="AO58" s="1169"/>
      <c r="AP58" s="1168">
        <v>2640</v>
      </c>
      <c r="AQ58" s="1169"/>
      <c r="AR58" s="1168">
        <v>0</v>
      </c>
      <c r="AS58" s="1169"/>
      <c r="AT58" s="1168">
        <v>0</v>
      </c>
      <c r="AU58" s="1169"/>
      <c r="AV58" s="1168">
        <v>0</v>
      </c>
      <c r="AW58" s="1169"/>
      <c r="AX58" s="1168">
        <v>0</v>
      </c>
      <c r="AY58" s="1169"/>
      <c r="AZ58" s="1168">
        <v>0</v>
      </c>
      <c r="BA58" s="1169"/>
      <c r="BB58" s="561">
        <v>0</v>
      </c>
      <c r="BC58" s="563"/>
      <c r="BD58" s="1163" t="s">
        <v>737</v>
      </c>
      <c r="BE58" s="1164"/>
      <c r="BF58" s="1164"/>
      <c r="BG58" s="1164"/>
      <c r="BH58" s="1165"/>
      <c r="BI58" s="1166"/>
      <c r="BJ58" s="1167"/>
      <c r="BK58" s="1168">
        <v>0</v>
      </c>
      <c r="BL58" s="1169"/>
      <c r="BM58" s="1168">
        <v>0</v>
      </c>
      <c r="BN58" s="1169"/>
      <c r="BO58" s="1168">
        <v>0</v>
      </c>
      <c r="BP58" s="1169"/>
      <c r="BQ58" s="1168">
        <v>0</v>
      </c>
      <c r="BR58" s="1169"/>
      <c r="BS58" s="1168">
        <v>0</v>
      </c>
      <c r="BT58" s="1169"/>
      <c r="BU58" s="1168">
        <v>0</v>
      </c>
      <c r="BV58" s="1169"/>
      <c r="BW58" s="1168">
        <v>0</v>
      </c>
      <c r="BX58" s="1169"/>
      <c r="BY58" s="1168">
        <v>0</v>
      </c>
      <c r="BZ58" s="1169"/>
      <c r="CA58" s="1168">
        <v>2640</v>
      </c>
      <c r="CB58" s="1169"/>
      <c r="CC58" s="1168">
        <v>2640</v>
      </c>
      <c r="CD58" s="1169"/>
      <c r="CE58" s="1168">
        <v>2640</v>
      </c>
      <c r="CF58" s="1169"/>
      <c r="CG58" s="1168">
        <v>2640</v>
      </c>
      <c r="CH58" s="1169"/>
      <c r="CI58" s="1168">
        <v>2640</v>
      </c>
      <c r="CJ58" s="1169"/>
      <c r="CK58" s="1168">
        <v>2640</v>
      </c>
      <c r="CL58" s="1169"/>
      <c r="CM58" s="1168">
        <v>2640</v>
      </c>
      <c r="CN58" s="1169"/>
      <c r="CO58" s="1168">
        <v>2640</v>
      </c>
      <c r="CP58" s="1169"/>
      <c r="CQ58" s="1168">
        <v>2640</v>
      </c>
      <c r="CR58" s="1169"/>
      <c r="CS58" s="1168">
        <v>2640</v>
      </c>
      <c r="CT58" s="1169"/>
      <c r="CU58" s="1168">
        <v>0</v>
      </c>
      <c r="CV58" s="1169"/>
      <c r="CW58" s="1168">
        <v>0</v>
      </c>
      <c r="CX58" s="1169"/>
      <c r="CY58" s="1168">
        <v>0</v>
      </c>
      <c r="CZ58" s="1169"/>
      <c r="DA58" s="1168">
        <v>0</v>
      </c>
      <c r="DB58" s="1169"/>
      <c r="DC58" s="1168">
        <v>0</v>
      </c>
      <c r="DD58" s="1169"/>
      <c r="DE58" s="561">
        <v>0</v>
      </c>
      <c r="DF58" s="562"/>
      <c r="DG58" s="1163" t="s">
        <v>737</v>
      </c>
      <c r="DH58" s="1164"/>
      <c r="DI58" s="1164"/>
      <c r="DJ58" s="1164"/>
      <c r="DK58" s="1165"/>
      <c r="DL58" s="1166"/>
      <c r="DM58" s="1167"/>
      <c r="DN58" s="1168">
        <v>0</v>
      </c>
      <c r="DO58" s="1169"/>
      <c r="DP58" s="1168">
        <v>0</v>
      </c>
      <c r="DQ58" s="1169"/>
      <c r="DR58" s="1168">
        <v>0</v>
      </c>
      <c r="DS58" s="1169"/>
      <c r="DT58" s="1168">
        <v>0</v>
      </c>
      <c r="DU58" s="1169"/>
      <c r="DV58" s="1168">
        <v>0</v>
      </c>
      <c r="DW58" s="1169"/>
      <c r="DX58" s="1168">
        <v>0</v>
      </c>
      <c r="DY58" s="1169"/>
      <c r="DZ58" s="1168">
        <v>0</v>
      </c>
      <c r="EA58" s="1169"/>
      <c r="EB58" s="1168">
        <v>0</v>
      </c>
      <c r="EC58" s="1169"/>
      <c r="ED58" s="1168">
        <v>2640</v>
      </c>
      <c r="EE58" s="1169"/>
      <c r="EF58" s="1168">
        <v>2640</v>
      </c>
      <c r="EG58" s="1169"/>
      <c r="EH58" s="1168">
        <v>2640</v>
      </c>
      <c r="EI58" s="1169"/>
      <c r="EJ58" s="1168">
        <v>2640</v>
      </c>
      <c r="EK58" s="1169"/>
      <c r="EL58" s="1168">
        <v>2640</v>
      </c>
      <c r="EM58" s="1169"/>
      <c r="EN58" s="1168">
        <v>2640</v>
      </c>
      <c r="EO58" s="1169"/>
      <c r="EP58" s="1168">
        <v>2640</v>
      </c>
      <c r="EQ58" s="1169"/>
      <c r="ER58" s="1168">
        <v>2640</v>
      </c>
      <c r="ES58" s="1169"/>
      <c r="ET58" s="1168">
        <v>2640</v>
      </c>
      <c r="EU58" s="1169"/>
      <c r="EV58" s="1168">
        <v>2640</v>
      </c>
      <c r="EW58" s="1169"/>
      <c r="EX58" s="1168">
        <v>0</v>
      </c>
      <c r="EY58" s="1169"/>
      <c r="EZ58" s="1168">
        <v>0</v>
      </c>
      <c r="FA58" s="1169"/>
      <c r="FB58" s="1168">
        <v>0</v>
      </c>
      <c r="FC58" s="1169"/>
      <c r="FD58" s="1168">
        <v>0</v>
      </c>
      <c r="FE58" s="1169"/>
      <c r="FF58" s="1168">
        <v>0</v>
      </c>
      <c r="FG58" s="1169"/>
      <c r="FH58" s="561">
        <v>0</v>
      </c>
      <c r="FI58" s="563"/>
      <c r="FJ58" s="1163" t="s">
        <v>612</v>
      </c>
      <c r="FK58" s="1164"/>
      <c r="FL58" s="1164"/>
      <c r="FM58" s="1164"/>
      <c r="FN58" s="1165"/>
      <c r="FO58" s="1166"/>
      <c r="FP58" s="1170"/>
      <c r="FQ58" s="1171"/>
      <c r="FR58" s="1168">
        <v>2640</v>
      </c>
      <c r="FS58" s="1172"/>
      <c r="FT58" s="1171"/>
      <c r="FU58" s="1173">
        <v>2640</v>
      </c>
      <c r="FV58" s="1174"/>
      <c r="FW58" s="1175"/>
      <c r="FX58" s="1176"/>
      <c r="FY58" s="1175"/>
      <c r="FZ58" s="1176"/>
      <c r="GA58" s="1175"/>
      <c r="GB58" s="1176"/>
      <c r="GC58" s="1175"/>
      <c r="GD58" s="1176"/>
      <c r="GE58" s="1177"/>
      <c r="GF58" s="688"/>
      <c r="GG58" s="602"/>
      <c r="GH58" s="602"/>
      <c r="GI58" s="602"/>
      <c r="GJ58" s="1303"/>
      <c r="GK58" s="500"/>
      <c r="GL58" s="500"/>
      <c r="GM58" s="579"/>
      <c r="GN58" s="578"/>
      <c r="GO58" s="578"/>
      <c r="GP58" s="578"/>
      <c r="GQ58" s="500"/>
      <c r="GR58" s="1303"/>
      <c r="GS58" s="530"/>
      <c r="GT58" s="689"/>
      <c r="GU58" s="500"/>
      <c r="GV58" s="578"/>
      <c r="GW58" s="500"/>
      <c r="GX58" s="1306"/>
      <c r="GY58" s="1304"/>
      <c r="GZ58" s="579"/>
      <c r="HA58" s="578"/>
      <c r="HB58" s="500"/>
      <c r="HC58" s="562"/>
      <c r="HD58" s="1179"/>
    </row>
    <row r="59" spans="1:212" ht="20.100000000000001" customHeight="1">
      <c r="A59" s="1180" t="s">
        <v>616</v>
      </c>
      <c r="B59" s="1181"/>
      <c r="C59" s="1181"/>
      <c r="D59" s="1182" t="s">
        <v>615</v>
      </c>
      <c r="E59" s="1183"/>
      <c r="F59" s="1021"/>
      <c r="G59" s="1184">
        <v>0</v>
      </c>
      <c r="H59" s="585">
        <v>0</v>
      </c>
      <c r="I59" s="1185">
        <v>0</v>
      </c>
      <c r="J59" s="587">
        <v>0</v>
      </c>
      <c r="K59" s="1185">
        <v>0</v>
      </c>
      <c r="L59" s="587">
        <v>0</v>
      </c>
      <c r="M59" s="1185">
        <v>0</v>
      </c>
      <c r="N59" s="587">
        <v>0</v>
      </c>
      <c r="O59" s="1185">
        <v>0</v>
      </c>
      <c r="P59" s="587">
        <v>0</v>
      </c>
      <c r="Q59" s="1185">
        <v>0</v>
      </c>
      <c r="R59" s="587">
        <v>0</v>
      </c>
      <c r="S59" s="1185">
        <v>0</v>
      </c>
      <c r="T59" s="587">
        <v>0</v>
      </c>
      <c r="U59" s="1185">
        <v>0</v>
      </c>
      <c r="V59" s="587">
        <v>0</v>
      </c>
      <c r="W59" s="1185">
        <v>31.2</v>
      </c>
      <c r="X59" s="587">
        <v>27456</v>
      </c>
      <c r="Y59" s="1185">
        <v>32.1</v>
      </c>
      <c r="Z59" s="587">
        <v>28248</v>
      </c>
      <c r="AA59" s="1185">
        <v>32.4</v>
      </c>
      <c r="AB59" s="587">
        <v>28512</v>
      </c>
      <c r="AC59" s="1185">
        <v>33.700000000000003</v>
      </c>
      <c r="AD59" s="587">
        <v>29656</v>
      </c>
      <c r="AE59" s="1185">
        <v>33.299999999999997</v>
      </c>
      <c r="AF59" s="587">
        <v>29304</v>
      </c>
      <c r="AG59" s="1185">
        <v>32.6</v>
      </c>
      <c r="AH59" s="587">
        <v>28688</v>
      </c>
      <c r="AI59" s="1185">
        <v>32.6</v>
      </c>
      <c r="AJ59" s="587">
        <v>28688</v>
      </c>
      <c r="AK59" s="1185">
        <v>32.299999999999997</v>
      </c>
      <c r="AL59" s="587">
        <v>28424</v>
      </c>
      <c r="AM59" s="1185">
        <v>31.6</v>
      </c>
      <c r="AN59" s="587">
        <v>27808</v>
      </c>
      <c r="AO59" s="1185">
        <v>30.9</v>
      </c>
      <c r="AP59" s="587">
        <v>27192</v>
      </c>
      <c r="AQ59" s="1185">
        <v>0</v>
      </c>
      <c r="AR59" s="587">
        <v>0</v>
      </c>
      <c r="AS59" s="1185">
        <v>0</v>
      </c>
      <c r="AT59" s="587">
        <v>0</v>
      </c>
      <c r="AU59" s="1185">
        <v>0</v>
      </c>
      <c r="AV59" s="587">
        <v>0</v>
      </c>
      <c r="AW59" s="1185">
        <v>0</v>
      </c>
      <c r="AX59" s="587">
        <v>0</v>
      </c>
      <c r="AY59" s="1185">
        <v>0</v>
      </c>
      <c r="AZ59" s="587">
        <v>0</v>
      </c>
      <c r="BA59" s="1185">
        <v>0</v>
      </c>
      <c r="BB59" s="589">
        <v>0</v>
      </c>
      <c r="BC59" s="563"/>
      <c r="BD59" s="1180" t="s">
        <v>616</v>
      </c>
      <c r="BE59" s="1181"/>
      <c r="BF59" s="1181"/>
      <c r="BG59" s="1182" t="s">
        <v>615</v>
      </c>
      <c r="BH59" s="1183"/>
      <c r="BI59" s="1021"/>
      <c r="BJ59" s="1184">
        <v>0</v>
      </c>
      <c r="BK59" s="585">
        <v>0</v>
      </c>
      <c r="BL59" s="1185">
        <v>0</v>
      </c>
      <c r="BM59" s="587">
        <v>0</v>
      </c>
      <c r="BN59" s="1185">
        <v>0</v>
      </c>
      <c r="BO59" s="587">
        <v>0</v>
      </c>
      <c r="BP59" s="1185">
        <v>0</v>
      </c>
      <c r="BQ59" s="587">
        <v>0</v>
      </c>
      <c r="BR59" s="1185">
        <v>0</v>
      </c>
      <c r="BS59" s="587">
        <v>0</v>
      </c>
      <c r="BT59" s="1185">
        <v>0</v>
      </c>
      <c r="BU59" s="587">
        <v>0</v>
      </c>
      <c r="BV59" s="1185">
        <v>0</v>
      </c>
      <c r="BW59" s="587">
        <v>0</v>
      </c>
      <c r="BX59" s="1185">
        <v>0</v>
      </c>
      <c r="BY59" s="587">
        <v>0</v>
      </c>
      <c r="BZ59" s="1185">
        <v>26.1</v>
      </c>
      <c r="CA59" s="587">
        <v>22968</v>
      </c>
      <c r="CB59" s="1185">
        <v>26.9</v>
      </c>
      <c r="CC59" s="587">
        <v>23672</v>
      </c>
      <c r="CD59" s="1185">
        <v>27.8</v>
      </c>
      <c r="CE59" s="587">
        <v>24464</v>
      </c>
      <c r="CF59" s="1185">
        <v>28.5</v>
      </c>
      <c r="CG59" s="587">
        <v>25080</v>
      </c>
      <c r="CH59" s="1185">
        <v>28.9</v>
      </c>
      <c r="CI59" s="587">
        <v>25432</v>
      </c>
      <c r="CJ59" s="1185">
        <v>28.2</v>
      </c>
      <c r="CK59" s="587">
        <v>24816</v>
      </c>
      <c r="CL59" s="1185">
        <v>28</v>
      </c>
      <c r="CM59" s="587">
        <v>24640</v>
      </c>
      <c r="CN59" s="1185">
        <v>27.8</v>
      </c>
      <c r="CO59" s="587">
        <v>24464</v>
      </c>
      <c r="CP59" s="1185">
        <v>27.8</v>
      </c>
      <c r="CQ59" s="587">
        <v>24464</v>
      </c>
      <c r="CR59" s="1185">
        <v>27.1</v>
      </c>
      <c r="CS59" s="587">
        <v>23848</v>
      </c>
      <c r="CT59" s="1185">
        <v>0</v>
      </c>
      <c r="CU59" s="587">
        <v>0</v>
      </c>
      <c r="CV59" s="1185">
        <v>0</v>
      </c>
      <c r="CW59" s="587">
        <v>0</v>
      </c>
      <c r="CX59" s="1185">
        <v>0</v>
      </c>
      <c r="CY59" s="587">
        <v>0</v>
      </c>
      <c r="CZ59" s="1185">
        <v>0</v>
      </c>
      <c r="DA59" s="587">
        <v>0</v>
      </c>
      <c r="DB59" s="1185">
        <v>0</v>
      </c>
      <c r="DC59" s="587">
        <v>0</v>
      </c>
      <c r="DD59" s="1185">
        <v>0</v>
      </c>
      <c r="DE59" s="589">
        <v>0</v>
      </c>
      <c r="DF59" s="562"/>
      <c r="DG59" s="1180" t="s">
        <v>616</v>
      </c>
      <c r="DH59" s="1181"/>
      <c r="DI59" s="1181"/>
      <c r="DJ59" s="1182" t="s">
        <v>615</v>
      </c>
      <c r="DK59" s="1183"/>
      <c r="DL59" s="1021"/>
      <c r="DM59" s="1184">
        <v>0</v>
      </c>
      <c r="DN59" s="585">
        <v>0</v>
      </c>
      <c r="DO59" s="1185">
        <v>0</v>
      </c>
      <c r="DP59" s="587">
        <v>0</v>
      </c>
      <c r="DQ59" s="1185">
        <v>0</v>
      </c>
      <c r="DR59" s="587">
        <v>0</v>
      </c>
      <c r="DS59" s="1185">
        <v>0</v>
      </c>
      <c r="DT59" s="587">
        <v>0</v>
      </c>
      <c r="DU59" s="1185">
        <v>0</v>
      </c>
      <c r="DV59" s="587">
        <v>0</v>
      </c>
      <c r="DW59" s="1185">
        <v>0</v>
      </c>
      <c r="DX59" s="587">
        <v>0</v>
      </c>
      <c r="DY59" s="1185">
        <v>0</v>
      </c>
      <c r="DZ59" s="587">
        <v>0</v>
      </c>
      <c r="EA59" s="1185">
        <v>0</v>
      </c>
      <c r="EB59" s="587">
        <v>0</v>
      </c>
      <c r="EC59" s="1185">
        <v>17.3</v>
      </c>
      <c r="ED59" s="587">
        <v>15224</v>
      </c>
      <c r="EE59" s="1185">
        <v>18.399999999999999</v>
      </c>
      <c r="EF59" s="587">
        <v>16192</v>
      </c>
      <c r="EG59" s="1185">
        <v>18.5</v>
      </c>
      <c r="EH59" s="587">
        <v>16280</v>
      </c>
      <c r="EI59" s="1185">
        <v>18.899999999999999</v>
      </c>
      <c r="EJ59" s="587">
        <v>16632</v>
      </c>
      <c r="EK59" s="1185">
        <v>18.600000000000001</v>
      </c>
      <c r="EL59" s="587">
        <v>16368</v>
      </c>
      <c r="EM59" s="1185">
        <v>18.100000000000001</v>
      </c>
      <c r="EN59" s="587">
        <v>15928</v>
      </c>
      <c r="EO59" s="1185">
        <v>17.899999999999999</v>
      </c>
      <c r="EP59" s="587">
        <v>15752</v>
      </c>
      <c r="EQ59" s="1185">
        <v>18</v>
      </c>
      <c r="ER59" s="587">
        <v>15840</v>
      </c>
      <c r="ES59" s="1185">
        <v>17.5</v>
      </c>
      <c r="ET59" s="587">
        <v>15400</v>
      </c>
      <c r="EU59" s="1185">
        <v>18</v>
      </c>
      <c r="EV59" s="587">
        <v>15840</v>
      </c>
      <c r="EW59" s="1185">
        <v>0</v>
      </c>
      <c r="EX59" s="587">
        <v>0</v>
      </c>
      <c r="EY59" s="1185">
        <v>0</v>
      </c>
      <c r="EZ59" s="587">
        <v>0</v>
      </c>
      <c r="FA59" s="1185">
        <v>0</v>
      </c>
      <c r="FB59" s="587">
        <v>0</v>
      </c>
      <c r="FC59" s="1185">
        <v>0</v>
      </c>
      <c r="FD59" s="587">
        <v>0</v>
      </c>
      <c r="FE59" s="1185">
        <v>0</v>
      </c>
      <c r="FF59" s="587">
        <v>0</v>
      </c>
      <c r="FG59" s="1185">
        <v>0</v>
      </c>
      <c r="FH59" s="589">
        <v>0</v>
      </c>
      <c r="FI59" s="563"/>
      <c r="FJ59" s="1180" t="s">
        <v>738</v>
      </c>
      <c r="FK59" s="1181"/>
      <c r="FL59" s="1181"/>
      <c r="FM59" s="1182" t="s">
        <v>615</v>
      </c>
      <c r="FN59" s="1183"/>
      <c r="FO59" s="1021"/>
      <c r="FP59" s="625">
        <v>5</v>
      </c>
      <c r="FQ59" s="1186">
        <v>8.1</v>
      </c>
      <c r="FR59" s="1187">
        <v>7128</v>
      </c>
      <c r="FS59" s="1188">
        <v>5</v>
      </c>
      <c r="FT59" s="1186">
        <v>7.5</v>
      </c>
      <c r="FU59" s="1189">
        <v>6600</v>
      </c>
      <c r="FV59" s="1318" t="s">
        <v>1058</v>
      </c>
      <c r="FW59" s="1319"/>
      <c r="FX59" s="1320" t="s">
        <v>1059</v>
      </c>
      <c r="FY59" s="1319"/>
      <c r="FZ59" s="1320" t="s">
        <v>1058</v>
      </c>
      <c r="GA59" s="1319"/>
      <c r="GB59" s="1320" t="s">
        <v>1058</v>
      </c>
      <c r="GC59" s="1319"/>
      <c r="GD59" s="1320" t="s">
        <v>1058</v>
      </c>
      <c r="GE59" s="1324"/>
      <c r="GF59" s="688"/>
      <c r="GG59" s="1194"/>
      <c r="GH59" s="1194"/>
      <c r="GI59" s="1194"/>
      <c r="GJ59" s="500"/>
      <c r="GK59" s="500"/>
      <c r="GL59" s="579"/>
      <c r="GM59" s="579"/>
      <c r="GN59" s="578"/>
      <c r="GO59" s="578"/>
      <c r="GP59" s="578"/>
      <c r="GQ59" s="500"/>
      <c r="GR59" s="500"/>
      <c r="GS59" s="391"/>
      <c r="GT59" s="1305"/>
      <c r="GU59" s="579"/>
      <c r="GV59" s="500"/>
      <c r="GW59" s="500"/>
      <c r="GX59" s="1306"/>
      <c r="GY59" s="1304"/>
      <c r="GZ59" s="579"/>
      <c r="HA59" s="578"/>
      <c r="HB59" s="500"/>
      <c r="HC59" s="1179"/>
      <c r="HD59" s="1195"/>
    </row>
    <row r="60" spans="1:212" ht="20.100000000000001" customHeight="1">
      <c r="A60" s="1180"/>
      <c r="B60" s="1181"/>
      <c r="C60" s="1181"/>
      <c r="D60" s="1196"/>
      <c r="E60" s="1196"/>
      <c r="F60" s="1197">
        <v>0</v>
      </c>
      <c r="G60" s="584"/>
      <c r="H60" s="585">
        <v>0</v>
      </c>
      <c r="I60" s="588"/>
      <c r="J60" s="587">
        <v>0</v>
      </c>
      <c r="K60" s="588"/>
      <c r="L60" s="587">
        <v>0</v>
      </c>
      <c r="M60" s="588"/>
      <c r="N60" s="587">
        <v>0</v>
      </c>
      <c r="O60" s="588"/>
      <c r="P60" s="587">
        <v>0</v>
      </c>
      <c r="Q60" s="588"/>
      <c r="R60" s="587">
        <v>0</v>
      </c>
      <c r="S60" s="588"/>
      <c r="T60" s="587">
        <v>0</v>
      </c>
      <c r="U60" s="588"/>
      <c r="V60" s="587">
        <v>0</v>
      </c>
      <c r="W60" s="588"/>
      <c r="X60" s="587">
        <v>0</v>
      </c>
      <c r="Y60" s="588"/>
      <c r="Z60" s="587">
        <v>0</v>
      </c>
      <c r="AA60" s="588"/>
      <c r="AB60" s="587">
        <v>0</v>
      </c>
      <c r="AC60" s="588"/>
      <c r="AD60" s="587">
        <v>0</v>
      </c>
      <c r="AE60" s="588"/>
      <c r="AF60" s="587">
        <v>0</v>
      </c>
      <c r="AG60" s="588"/>
      <c r="AH60" s="587">
        <v>0</v>
      </c>
      <c r="AI60" s="588"/>
      <c r="AJ60" s="587">
        <v>0</v>
      </c>
      <c r="AK60" s="588"/>
      <c r="AL60" s="587">
        <v>0</v>
      </c>
      <c r="AM60" s="588"/>
      <c r="AN60" s="587">
        <v>0</v>
      </c>
      <c r="AO60" s="588"/>
      <c r="AP60" s="587">
        <v>0</v>
      </c>
      <c r="AQ60" s="588"/>
      <c r="AR60" s="587">
        <v>0</v>
      </c>
      <c r="AS60" s="588"/>
      <c r="AT60" s="587">
        <v>0</v>
      </c>
      <c r="AU60" s="588"/>
      <c r="AV60" s="587">
        <v>0</v>
      </c>
      <c r="AW60" s="588"/>
      <c r="AX60" s="587">
        <v>0</v>
      </c>
      <c r="AY60" s="588"/>
      <c r="AZ60" s="587">
        <v>0</v>
      </c>
      <c r="BA60" s="588"/>
      <c r="BB60" s="589">
        <v>0</v>
      </c>
      <c r="BC60" s="563"/>
      <c r="BD60" s="1180"/>
      <c r="BE60" s="1181"/>
      <c r="BF60" s="1181"/>
      <c r="BG60" s="1196"/>
      <c r="BH60" s="1196"/>
      <c r="BI60" s="1197"/>
      <c r="BJ60" s="584"/>
      <c r="BK60" s="585">
        <v>0</v>
      </c>
      <c r="BL60" s="588"/>
      <c r="BM60" s="587">
        <v>0</v>
      </c>
      <c r="BN60" s="588"/>
      <c r="BO60" s="587">
        <v>0</v>
      </c>
      <c r="BP60" s="588"/>
      <c r="BQ60" s="587">
        <v>0</v>
      </c>
      <c r="BR60" s="588"/>
      <c r="BS60" s="587">
        <v>0</v>
      </c>
      <c r="BT60" s="588"/>
      <c r="BU60" s="587">
        <v>0</v>
      </c>
      <c r="BV60" s="588"/>
      <c r="BW60" s="587">
        <v>0</v>
      </c>
      <c r="BX60" s="588"/>
      <c r="BY60" s="587">
        <v>0</v>
      </c>
      <c r="BZ60" s="588"/>
      <c r="CA60" s="587">
        <v>0</v>
      </c>
      <c r="CB60" s="588"/>
      <c r="CC60" s="587">
        <v>0</v>
      </c>
      <c r="CD60" s="588"/>
      <c r="CE60" s="587">
        <v>0</v>
      </c>
      <c r="CF60" s="588"/>
      <c r="CG60" s="587">
        <v>0</v>
      </c>
      <c r="CH60" s="588"/>
      <c r="CI60" s="587">
        <v>0</v>
      </c>
      <c r="CJ60" s="588"/>
      <c r="CK60" s="587">
        <v>0</v>
      </c>
      <c r="CL60" s="588"/>
      <c r="CM60" s="587">
        <v>0</v>
      </c>
      <c r="CN60" s="588"/>
      <c r="CO60" s="587">
        <v>0</v>
      </c>
      <c r="CP60" s="588"/>
      <c r="CQ60" s="587">
        <v>0</v>
      </c>
      <c r="CR60" s="588"/>
      <c r="CS60" s="587">
        <v>0</v>
      </c>
      <c r="CT60" s="588"/>
      <c r="CU60" s="587">
        <v>0</v>
      </c>
      <c r="CV60" s="588"/>
      <c r="CW60" s="587">
        <v>0</v>
      </c>
      <c r="CX60" s="588"/>
      <c r="CY60" s="587">
        <v>0</v>
      </c>
      <c r="CZ60" s="588"/>
      <c r="DA60" s="587">
        <v>0</v>
      </c>
      <c r="DB60" s="588"/>
      <c r="DC60" s="587">
        <v>0</v>
      </c>
      <c r="DD60" s="588"/>
      <c r="DE60" s="589">
        <v>0</v>
      </c>
      <c r="DF60" s="562"/>
      <c r="DG60" s="1180"/>
      <c r="DH60" s="1181"/>
      <c r="DI60" s="1181"/>
      <c r="DJ60" s="1196"/>
      <c r="DK60" s="1196"/>
      <c r="DL60" s="1197"/>
      <c r="DM60" s="584"/>
      <c r="DN60" s="585">
        <v>0</v>
      </c>
      <c r="DO60" s="588"/>
      <c r="DP60" s="587">
        <v>0</v>
      </c>
      <c r="DQ60" s="588"/>
      <c r="DR60" s="587">
        <v>0</v>
      </c>
      <c r="DS60" s="588"/>
      <c r="DT60" s="587">
        <v>0</v>
      </c>
      <c r="DU60" s="588"/>
      <c r="DV60" s="587">
        <v>0</v>
      </c>
      <c r="DW60" s="588"/>
      <c r="DX60" s="587">
        <v>0</v>
      </c>
      <c r="DY60" s="588"/>
      <c r="DZ60" s="587">
        <v>0</v>
      </c>
      <c r="EA60" s="588"/>
      <c r="EB60" s="587">
        <v>0</v>
      </c>
      <c r="EC60" s="588"/>
      <c r="ED60" s="587">
        <v>0</v>
      </c>
      <c r="EE60" s="588"/>
      <c r="EF60" s="587">
        <v>0</v>
      </c>
      <c r="EG60" s="588"/>
      <c r="EH60" s="587">
        <v>0</v>
      </c>
      <c r="EI60" s="588"/>
      <c r="EJ60" s="587">
        <v>0</v>
      </c>
      <c r="EK60" s="588"/>
      <c r="EL60" s="587">
        <v>0</v>
      </c>
      <c r="EM60" s="588"/>
      <c r="EN60" s="587">
        <v>0</v>
      </c>
      <c r="EO60" s="588"/>
      <c r="EP60" s="587">
        <v>0</v>
      </c>
      <c r="EQ60" s="588"/>
      <c r="ER60" s="587">
        <v>0</v>
      </c>
      <c r="ES60" s="588"/>
      <c r="ET60" s="587">
        <v>0</v>
      </c>
      <c r="EU60" s="588"/>
      <c r="EV60" s="587">
        <v>0</v>
      </c>
      <c r="EW60" s="588"/>
      <c r="EX60" s="587">
        <v>0</v>
      </c>
      <c r="EY60" s="588"/>
      <c r="EZ60" s="587">
        <v>0</v>
      </c>
      <c r="FA60" s="588"/>
      <c r="FB60" s="587">
        <v>0</v>
      </c>
      <c r="FC60" s="588"/>
      <c r="FD60" s="587">
        <v>0</v>
      </c>
      <c r="FE60" s="588"/>
      <c r="FF60" s="587">
        <v>0</v>
      </c>
      <c r="FG60" s="588"/>
      <c r="FH60" s="589">
        <v>0</v>
      </c>
      <c r="FI60" s="563"/>
      <c r="FJ60" s="1180"/>
      <c r="FK60" s="1181"/>
      <c r="FL60" s="1181"/>
      <c r="FM60" s="1198"/>
      <c r="FN60" s="1199"/>
      <c r="FO60" s="1021"/>
      <c r="FP60" s="625"/>
      <c r="FQ60" s="621"/>
      <c r="FR60" s="1187"/>
      <c r="FS60" s="1188"/>
      <c r="FT60" s="621"/>
      <c r="FU60" s="1189"/>
      <c r="FV60" s="1190"/>
      <c r="FW60" s="1191"/>
      <c r="FX60" s="1192"/>
      <c r="FY60" s="1191"/>
      <c r="FZ60" s="1192"/>
      <c r="GA60" s="1191"/>
      <c r="GB60" s="1192"/>
      <c r="GC60" s="1191"/>
      <c r="GD60" s="1192"/>
      <c r="GE60" s="1193"/>
      <c r="GF60" s="688"/>
      <c r="GG60" s="391"/>
      <c r="GH60" s="391"/>
      <c r="GI60" s="391"/>
      <c r="GJ60" s="579"/>
      <c r="GK60" s="579"/>
      <c r="GL60" s="500"/>
      <c r="GM60" s="579"/>
      <c r="GN60" s="578"/>
      <c r="GO60" s="578"/>
      <c r="GP60" s="578"/>
      <c r="GQ60" s="500"/>
      <c r="GR60" s="579"/>
      <c r="GS60" s="483"/>
      <c r="GT60" s="1305"/>
      <c r="GU60" s="500"/>
      <c r="GV60" s="579"/>
      <c r="GW60" s="500"/>
      <c r="GX60" s="579"/>
      <c r="GY60" s="500"/>
      <c r="GZ60" s="500"/>
      <c r="HA60" s="578"/>
      <c r="HB60" s="500"/>
      <c r="HC60" s="1201"/>
      <c r="HD60" s="1038"/>
    </row>
    <row r="61" spans="1:212" ht="20.100000000000001" customHeight="1">
      <c r="A61" s="1202" t="s">
        <v>740</v>
      </c>
      <c r="B61" s="1203"/>
      <c r="C61" s="1203"/>
      <c r="D61" s="1203"/>
      <c r="E61" s="1203"/>
      <c r="F61" s="1204"/>
      <c r="G61" s="1205"/>
      <c r="H61" s="1206">
        <v>0</v>
      </c>
      <c r="I61" s="1207"/>
      <c r="J61" s="1208">
        <v>0</v>
      </c>
      <c r="K61" s="1207"/>
      <c r="L61" s="1208">
        <v>0</v>
      </c>
      <c r="M61" s="1207"/>
      <c r="N61" s="1208">
        <v>0</v>
      </c>
      <c r="O61" s="1207"/>
      <c r="P61" s="1208">
        <v>0</v>
      </c>
      <c r="Q61" s="1207"/>
      <c r="R61" s="1208">
        <v>0</v>
      </c>
      <c r="S61" s="1207"/>
      <c r="T61" s="1208">
        <v>0</v>
      </c>
      <c r="U61" s="1207"/>
      <c r="V61" s="1208">
        <v>0</v>
      </c>
      <c r="W61" s="1207"/>
      <c r="X61" s="1208">
        <v>27456</v>
      </c>
      <c r="Y61" s="1207"/>
      <c r="Z61" s="1208">
        <v>28248</v>
      </c>
      <c r="AA61" s="1207"/>
      <c r="AB61" s="1208">
        <v>28512</v>
      </c>
      <c r="AC61" s="1207"/>
      <c r="AD61" s="1208">
        <v>29656</v>
      </c>
      <c r="AE61" s="1207"/>
      <c r="AF61" s="1208">
        <v>29304</v>
      </c>
      <c r="AG61" s="1207"/>
      <c r="AH61" s="1208">
        <v>28688</v>
      </c>
      <c r="AI61" s="1207"/>
      <c r="AJ61" s="1208">
        <v>28688</v>
      </c>
      <c r="AK61" s="1207"/>
      <c r="AL61" s="1208">
        <v>28424</v>
      </c>
      <c r="AM61" s="1207"/>
      <c r="AN61" s="1208">
        <v>27808</v>
      </c>
      <c r="AO61" s="1207"/>
      <c r="AP61" s="1208">
        <v>27192</v>
      </c>
      <c r="AQ61" s="1207"/>
      <c r="AR61" s="1208">
        <v>0</v>
      </c>
      <c r="AS61" s="1207"/>
      <c r="AT61" s="1208">
        <v>0</v>
      </c>
      <c r="AU61" s="1207"/>
      <c r="AV61" s="1208">
        <v>0</v>
      </c>
      <c r="AW61" s="1207"/>
      <c r="AX61" s="1208">
        <v>0</v>
      </c>
      <c r="AY61" s="1207"/>
      <c r="AZ61" s="1208">
        <v>0</v>
      </c>
      <c r="BA61" s="1207"/>
      <c r="BB61" s="1209">
        <v>0</v>
      </c>
      <c r="BC61" s="563"/>
      <c r="BD61" s="1202" t="s">
        <v>740</v>
      </c>
      <c r="BE61" s="1203"/>
      <c r="BF61" s="1203"/>
      <c r="BG61" s="1203"/>
      <c r="BH61" s="1203"/>
      <c r="BI61" s="1204"/>
      <c r="BJ61" s="1205"/>
      <c r="BK61" s="1206">
        <v>0</v>
      </c>
      <c r="BL61" s="1207"/>
      <c r="BM61" s="1208">
        <v>0</v>
      </c>
      <c r="BN61" s="1207"/>
      <c r="BO61" s="1208">
        <v>0</v>
      </c>
      <c r="BP61" s="1207"/>
      <c r="BQ61" s="1208">
        <v>0</v>
      </c>
      <c r="BR61" s="1207"/>
      <c r="BS61" s="1208">
        <v>0</v>
      </c>
      <c r="BT61" s="1207"/>
      <c r="BU61" s="1208">
        <v>0</v>
      </c>
      <c r="BV61" s="1207"/>
      <c r="BW61" s="1208">
        <v>0</v>
      </c>
      <c r="BX61" s="1207"/>
      <c r="BY61" s="1208">
        <v>0</v>
      </c>
      <c r="BZ61" s="1207"/>
      <c r="CA61" s="1208">
        <v>22968</v>
      </c>
      <c r="CB61" s="1207"/>
      <c r="CC61" s="1208">
        <v>23672</v>
      </c>
      <c r="CD61" s="1207"/>
      <c r="CE61" s="1208">
        <v>24464</v>
      </c>
      <c r="CF61" s="1207"/>
      <c r="CG61" s="1208">
        <v>25080</v>
      </c>
      <c r="CH61" s="1207"/>
      <c r="CI61" s="1208">
        <v>25432</v>
      </c>
      <c r="CJ61" s="1207"/>
      <c r="CK61" s="1208">
        <v>24816</v>
      </c>
      <c r="CL61" s="1207"/>
      <c r="CM61" s="1208">
        <v>24640</v>
      </c>
      <c r="CN61" s="1207"/>
      <c r="CO61" s="1208">
        <v>24464</v>
      </c>
      <c r="CP61" s="1207"/>
      <c r="CQ61" s="1208">
        <v>24464</v>
      </c>
      <c r="CR61" s="1207"/>
      <c r="CS61" s="1208">
        <v>23848</v>
      </c>
      <c r="CT61" s="1207"/>
      <c r="CU61" s="1208">
        <v>0</v>
      </c>
      <c r="CV61" s="1207"/>
      <c r="CW61" s="1208">
        <v>0</v>
      </c>
      <c r="CX61" s="1207"/>
      <c r="CY61" s="1208">
        <v>0</v>
      </c>
      <c r="CZ61" s="1207"/>
      <c r="DA61" s="1208">
        <v>0</v>
      </c>
      <c r="DB61" s="1207"/>
      <c r="DC61" s="1208">
        <v>0</v>
      </c>
      <c r="DD61" s="1207"/>
      <c r="DE61" s="1209">
        <v>0</v>
      </c>
      <c r="DF61" s="562"/>
      <c r="DG61" s="1202" t="s">
        <v>621</v>
      </c>
      <c r="DH61" s="1203"/>
      <c r="DI61" s="1203"/>
      <c r="DJ61" s="1203"/>
      <c r="DK61" s="1203"/>
      <c r="DL61" s="1204"/>
      <c r="DM61" s="1205"/>
      <c r="DN61" s="1206">
        <v>0</v>
      </c>
      <c r="DO61" s="1207"/>
      <c r="DP61" s="1208">
        <v>0</v>
      </c>
      <c r="DQ61" s="1207"/>
      <c r="DR61" s="1208">
        <v>0</v>
      </c>
      <c r="DS61" s="1207"/>
      <c r="DT61" s="1208">
        <v>0</v>
      </c>
      <c r="DU61" s="1207"/>
      <c r="DV61" s="1208">
        <v>0</v>
      </c>
      <c r="DW61" s="1207"/>
      <c r="DX61" s="1208">
        <v>0</v>
      </c>
      <c r="DY61" s="1207"/>
      <c r="DZ61" s="1208">
        <v>0</v>
      </c>
      <c r="EA61" s="1207"/>
      <c r="EB61" s="1208">
        <v>0</v>
      </c>
      <c r="EC61" s="1207"/>
      <c r="ED61" s="1208">
        <v>15224</v>
      </c>
      <c r="EE61" s="1207"/>
      <c r="EF61" s="1208">
        <v>16192</v>
      </c>
      <c r="EG61" s="1207"/>
      <c r="EH61" s="1208">
        <v>16280</v>
      </c>
      <c r="EI61" s="1207"/>
      <c r="EJ61" s="1208">
        <v>16632</v>
      </c>
      <c r="EK61" s="1207"/>
      <c r="EL61" s="1208">
        <v>16368</v>
      </c>
      <c r="EM61" s="1207"/>
      <c r="EN61" s="1208">
        <v>15928</v>
      </c>
      <c r="EO61" s="1207"/>
      <c r="EP61" s="1208">
        <v>15752</v>
      </c>
      <c r="EQ61" s="1207"/>
      <c r="ER61" s="1208">
        <v>15840</v>
      </c>
      <c r="ES61" s="1207"/>
      <c r="ET61" s="1208">
        <v>15400</v>
      </c>
      <c r="EU61" s="1207"/>
      <c r="EV61" s="1208">
        <v>15840</v>
      </c>
      <c r="EW61" s="1207"/>
      <c r="EX61" s="1208">
        <v>0</v>
      </c>
      <c r="EY61" s="1207"/>
      <c r="EZ61" s="1208">
        <v>0</v>
      </c>
      <c r="FA61" s="1207"/>
      <c r="FB61" s="1208">
        <v>0</v>
      </c>
      <c r="FC61" s="1207"/>
      <c r="FD61" s="1208">
        <v>0</v>
      </c>
      <c r="FE61" s="1207"/>
      <c r="FF61" s="1208">
        <v>0</v>
      </c>
      <c r="FG61" s="1207"/>
      <c r="FH61" s="1209">
        <v>0</v>
      </c>
      <c r="FI61" s="563"/>
      <c r="FJ61" s="1202" t="s">
        <v>740</v>
      </c>
      <c r="FK61" s="1203"/>
      <c r="FL61" s="1203"/>
      <c r="FM61" s="1203"/>
      <c r="FN61" s="1203"/>
      <c r="FO61" s="1203"/>
      <c r="FP61" s="1210"/>
      <c r="FQ61" s="1211"/>
      <c r="FR61" s="1212">
        <v>7128</v>
      </c>
      <c r="FS61" s="1213"/>
      <c r="FT61" s="1211"/>
      <c r="FU61" s="1214">
        <v>6600</v>
      </c>
      <c r="FV61" s="1321" t="s">
        <v>1059</v>
      </c>
      <c r="FW61" s="1322"/>
      <c r="FX61" s="1323" t="s">
        <v>1058</v>
      </c>
      <c r="FY61" s="1322"/>
      <c r="FZ61" s="1323" t="s">
        <v>1059</v>
      </c>
      <c r="GA61" s="1322"/>
      <c r="GB61" s="1323" t="s">
        <v>1058</v>
      </c>
      <c r="GC61" s="1322"/>
      <c r="GD61" s="1323" t="s">
        <v>1059</v>
      </c>
      <c r="GE61" s="1325"/>
      <c r="GF61" s="688"/>
      <c r="GG61" s="483"/>
      <c r="GH61" s="483"/>
      <c r="GI61" s="483"/>
      <c r="GJ61" s="500"/>
      <c r="GK61" s="579"/>
      <c r="GL61" s="579"/>
      <c r="GM61" s="500"/>
      <c r="GN61" s="578"/>
      <c r="GO61" s="578"/>
      <c r="GP61" s="578"/>
      <c r="GQ61" s="500"/>
      <c r="GR61" s="500"/>
      <c r="GS61" s="580"/>
      <c r="GT61" s="1305"/>
      <c r="GU61" s="689"/>
      <c r="GV61" s="689"/>
      <c r="GW61" s="689"/>
      <c r="GX61" s="689"/>
      <c r="GY61" s="579"/>
      <c r="GZ61" s="500"/>
      <c r="HA61" s="579"/>
      <c r="HB61" s="500"/>
    </row>
    <row r="62" spans="1:212" ht="20.100000000000001" customHeight="1" thickBot="1">
      <c r="A62" s="1223"/>
      <c r="B62" s="1223"/>
      <c r="C62" s="1223"/>
      <c r="D62" s="1223"/>
      <c r="E62" s="1223"/>
      <c r="F62" s="1223"/>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3"/>
      <c r="AY62" s="1223"/>
      <c r="AZ62" s="1223"/>
      <c r="BA62" s="1223"/>
      <c r="BB62" s="1223"/>
      <c r="BC62" s="389"/>
      <c r="BD62" s="1223"/>
      <c r="BE62" s="1223"/>
      <c r="BF62" s="1223"/>
      <c r="BG62" s="1223"/>
      <c r="BH62" s="1223"/>
      <c r="BI62" s="1223"/>
      <c r="BJ62" s="1223"/>
      <c r="BK62" s="1223"/>
      <c r="BL62" s="1223"/>
      <c r="BM62" s="1223"/>
      <c r="BN62" s="1223"/>
      <c r="BO62" s="1223"/>
      <c r="BP62" s="1223"/>
      <c r="BQ62" s="1223"/>
      <c r="BR62" s="1223"/>
      <c r="BS62" s="1223"/>
      <c r="BT62" s="1223"/>
      <c r="BU62" s="1223"/>
      <c r="BV62" s="1223"/>
      <c r="BW62" s="1223"/>
      <c r="BX62" s="1223"/>
      <c r="BY62" s="1223"/>
      <c r="BZ62" s="1223"/>
      <c r="CA62" s="1223"/>
      <c r="CB62" s="1223"/>
      <c r="CC62" s="1223"/>
      <c r="CD62" s="1223"/>
      <c r="CE62" s="1223"/>
      <c r="CF62" s="1223"/>
      <c r="CG62" s="1223"/>
      <c r="CH62" s="1223"/>
      <c r="CI62" s="1223"/>
      <c r="CJ62" s="1223"/>
      <c r="CK62" s="1223"/>
      <c r="CL62" s="1223"/>
      <c r="CM62" s="1223"/>
      <c r="CN62" s="1223"/>
      <c r="CO62" s="1223"/>
      <c r="CP62" s="1223"/>
      <c r="CQ62" s="1223"/>
      <c r="CR62" s="1223"/>
      <c r="CS62" s="1223"/>
      <c r="CT62" s="1223"/>
      <c r="CU62" s="1223"/>
      <c r="CV62" s="1223"/>
      <c r="CW62" s="1223"/>
      <c r="CX62" s="1223"/>
      <c r="CY62" s="1223"/>
      <c r="CZ62" s="1223"/>
      <c r="DA62" s="1223"/>
      <c r="DB62" s="1223"/>
      <c r="DC62" s="1223"/>
      <c r="DD62" s="1223"/>
      <c r="DE62" s="1223"/>
      <c r="DF62" s="389"/>
      <c r="DG62" s="1223"/>
      <c r="DH62" s="1223"/>
      <c r="DI62" s="1223"/>
      <c r="DJ62" s="1223"/>
      <c r="DK62" s="1223"/>
      <c r="DL62" s="1223"/>
      <c r="DM62" s="1223"/>
      <c r="DN62" s="1223"/>
      <c r="DO62" s="1223"/>
      <c r="DP62" s="1223"/>
      <c r="DQ62" s="1223"/>
      <c r="DR62" s="1223"/>
      <c r="DS62" s="1223"/>
      <c r="DT62" s="1223"/>
      <c r="DU62" s="1223"/>
      <c r="DV62" s="1223"/>
      <c r="DW62" s="1223"/>
      <c r="DX62" s="1223"/>
      <c r="DY62" s="1223"/>
      <c r="DZ62" s="1223"/>
      <c r="EA62" s="1223"/>
      <c r="EB62" s="1223"/>
      <c r="EC62" s="1223"/>
      <c r="ED62" s="1223"/>
      <c r="EE62" s="1223"/>
      <c r="EF62" s="1223"/>
      <c r="EG62" s="1223"/>
      <c r="EH62" s="1223"/>
      <c r="EI62" s="1223"/>
      <c r="EJ62" s="1223"/>
      <c r="EK62" s="1223"/>
      <c r="EL62" s="1223"/>
      <c r="EM62" s="1223"/>
      <c r="EN62" s="1223"/>
      <c r="EO62" s="1223"/>
      <c r="EP62" s="1223"/>
      <c r="EQ62" s="1223"/>
      <c r="ER62" s="1223"/>
      <c r="ES62" s="1223"/>
      <c r="ET62" s="1223"/>
      <c r="EU62" s="1223"/>
      <c r="EV62" s="1223"/>
      <c r="EW62" s="1223"/>
      <c r="EX62" s="1223"/>
      <c r="EY62" s="1223"/>
      <c r="EZ62" s="1223"/>
      <c r="FA62" s="1223"/>
      <c r="FB62" s="1223"/>
      <c r="FC62" s="1223"/>
      <c r="FD62" s="1223"/>
      <c r="FE62" s="1223"/>
      <c r="FF62" s="1223"/>
      <c r="FG62" s="1223"/>
      <c r="FH62" s="1223"/>
      <c r="FI62" s="389"/>
      <c r="FJ62" s="1223"/>
      <c r="FK62" s="1223"/>
      <c r="FL62" s="1223"/>
      <c r="FM62" s="1223"/>
      <c r="FN62" s="1223"/>
      <c r="FO62" s="1223"/>
      <c r="FP62" s="1223"/>
      <c r="FQ62" s="1223"/>
      <c r="FR62" s="1223"/>
      <c r="FS62" s="1223"/>
      <c r="FT62" s="1223"/>
      <c r="FU62" s="1223"/>
      <c r="FV62" s="1223"/>
      <c r="FW62" s="1223"/>
      <c r="FX62" s="1223"/>
      <c r="FY62" s="1223"/>
      <c r="FZ62" s="1223"/>
      <c r="GA62" s="1223"/>
      <c r="GB62" s="1223"/>
      <c r="GC62" s="1223"/>
      <c r="GD62" s="1223"/>
      <c r="GE62" s="1224"/>
      <c r="GF62" s="688"/>
      <c r="GG62" s="655"/>
      <c r="GH62" s="655"/>
      <c r="GI62" s="655"/>
      <c r="GJ62" s="578"/>
      <c r="GK62" s="579"/>
      <c r="GL62" s="500"/>
      <c r="GM62" s="579"/>
      <c r="GN62" s="500"/>
      <c r="GO62" s="579"/>
      <c r="GP62" s="579"/>
      <c r="GQ62" s="579"/>
      <c r="GR62" s="500"/>
      <c r="GS62" s="530"/>
      <c r="GT62" s="579"/>
      <c r="GU62" s="689"/>
      <c r="GV62" s="689"/>
      <c r="GW62" s="689"/>
      <c r="GX62" s="689"/>
      <c r="GY62" s="579"/>
      <c r="GZ62" s="500"/>
      <c r="HA62" s="579"/>
      <c r="HB62" s="500"/>
      <c r="HC62" s="1038"/>
    </row>
    <row r="63" spans="1:212" ht="20.100000000000001" customHeight="1">
      <c r="A63" s="1225" t="s">
        <v>356</v>
      </c>
      <c r="B63" s="1130"/>
      <c r="C63" s="1130"/>
      <c r="D63" s="1130"/>
      <c r="E63" s="1130"/>
      <c r="F63" s="1131"/>
      <c r="G63" s="1132">
        <v>1</v>
      </c>
      <c r="H63" s="1133"/>
      <c r="I63" s="1134">
        <v>2</v>
      </c>
      <c r="J63" s="1133"/>
      <c r="K63" s="1134">
        <v>3</v>
      </c>
      <c r="L63" s="1133"/>
      <c r="M63" s="1134">
        <v>4</v>
      </c>
      <c r="N63" s="1133"/>
      <c r="O63" s="1134">
        <v>5</v>
      </c>
      <c r="P63" s="1133"/>
      <c r="Q63" s="1134">
        <v>6</v>
      </c>
      <c r="R63" s="1133"/>
      <c r="S63" s="1134">
        <v>7</v>
      </c>
      <c r="T63" s="1133"/>
      <c r="U63" s="1134">
        <v>8</v>
      </c>
      <c r="V63" s="1133"/>
      <c r="W63" s="1134">
        <v>9</v>
      </c>
      <c r="X63" s="1133"/>
      <c r="Y63" s="1134">
        <v>10</v>
      </c>
      <c r="Z63" s="1133"/>
      <c r="AA63" s="1134">
        <v>11</v>
      </c>
      <c r="AB63" s="1133"/>
      <c r="AC63" s="1134">
        <v>12</v>
      </c>
      <c r="AD63" s="1133"/>
      <c r="AE63" s="1134">
        <v>13</v>
      </c>
      <c r="AF63" s="1133"/>
      <c r="AG63" s="1134">
        <v>14</v>
      </c>
      <c r="AH63" s="1133"/>
      <c r="AI63" s="1134">
        <v>15</v>
      </c>
      <c r="AJ63" s="1133"/>
      <c r="AK63" s="1134">
        <v>16</v>
      </c>
      <c r="AL63" s="1133"/>
      <c r="AM63" s="1134">
        <v>17</v>
      </c>
      <c r="AN63" s="1133"/>
      <c r="AO63" s="1134">
        <v>18</v>
      </c>
      <c r="AP63" s="1133"/>
      <c r="AQ63" s="1134">
        <v>19</v>
      </c>
      <c r="AR63" s="1133"/>
      <c r="AS63" s="1134">
        <v>20</v>
      </c>
      <c r="AT63" s="1133"/>
      <c r="AU63" s="1134">
        <v>21</v>
      </c>
      <c r="AV63" s="1133"/>
      <c r="AW63" s="1134">
        <v>22</v>
      </c>
      <c r="AX63" s="1133"/>
      <c r="AY63" s="1134">
        <v>23</v>
      </c>
      <c r="AZ63" s="1133"/>
      <c r="BA63" s="1134">
        <v>24</v>
      </c>
      <c r="BB63" s="1135"/>
      <c r="BC63" s="1038"/>
      <c r="BD63" s="1226" t="s">
        <v>357</v>
      </c>
      <c r="BE63" s="1227"/>
      <c r="BF63" s="1227"/>
      <c r="BG63" s="1227"/>
      <c r="BH63" s="1130"/>
      <c r="BI63" s="1131"/>
      <c r="BJ63" s="1132">
        <v>1</v>
      </c>
      <c r="BK63" s="1133"/>
      <c r="BL63" s="1134">
        <v>2</v>
      </c>
      <c r="BM63" s="1133"/>
      <c r="BN63" s="1134">
        <v>3</v>
      </c>
      <c r="BO63" s="1133"/>
      <c r="BP63" s="1134">
        <v>4</v>
      </c>
      <c r="BQ63" s="1133"/>
      <c r="BR63" s="1134">
        <v>5</v>
      </c>
      <c r="BS63" s="1133"/>
      <c r="BT63" s="1134">
        <v>6</v>
      </c>
      <c r="BU63" s="1133"/>
      <c r="BV63" s="1134">
        <v>7</v>
      </c>
      <c r="BW63" s="1133"/>
      <c r="BX63" s="1134">
        <v>8</v>
      </c>
      <c r="BY63" s="1133"/>
      <c r="BZ63" s="1134">
        <v>9</v>
      </c>
      <c r="CA63" s="1133"/>
      <c r="CB63" s="1134">
        <v>10</v>
      </c>
      <c r="CC63" s="1133"/>
      <c r="CD63" s="1134">
        <v>11</v>
      </c>
      <c r="CE63" s="1133"/>
      <c r="CF63" s="1134">
        <v>12</v>
      </c>
      <c r="CG63" s="1133"/>
      <c r="CH63" s="1134">
        <v>13</v>
      </c>
      <c r="CI63" s="1133"/>
      <c r="CJ63" s="1134">
        <v>14</v>
      </c>
      <c r="CK63" s="1133"/>
      <c r="CL63" s="1134">
        <v>15</v>
      </c>
      <c r="CM63" s="1133"/>
      <c r="CN63" s="1134">
        <v>16</v>
      </c>
      <c r="CO63" s="1133"/>
      <c r="CP63" s="1134">
        <v>17</v>
      </c>
      <c r="CQ63" s="1133"/>
      <c r="CR63" s="1134">
        <v>18</v>
      </c>
      <c r="CS63" s="1133"/>
      <c r="CT63" s="1134">
        <v>19</v>
      </c>
      <c r="CU63" s="1133"/>
      <c r="CV63" s="1134">
        <v>20</v>
      </c>
      <c r="CW63" s="1133"/>
      <c r="CX63" s="1134">
        <v>21</v>
      </c>
      <c r="CY63" s="1133"/>
      <c r="CZ63" s="1134">
        <v>22</v>
      </c>
      <c r="DA63" s="1133"/>
      <c r="DB63" s="1134">
        <v>23</v>
      </c>
      <c r="DC63" s="1133"/>
      <c r="DD63" s="1134">
        <v>24</v>
      </c>
      <c r="DE63" s="1135"/>
      <c r="DF63" s="1038"/>
      <c r="DG63" s="1225" t="s">
        <v>356</v>
      </c>
      <c r="DH63" s="1130"/>
      <c r="DI63" s="1130"/>
      <c r="DJ63" s="1130"/>
      <c r="DK63" s="1130"/>
      <c r="DL63" s="1131"/>
      <c r="DM63" s="1132">
        <v>1</v>
      </c>
      <c r="DN63" s="1133"/>
      <c r="DO63" s="1134">
        <v>2</v>
      </c>
      <c r="DP63" s="1133"/>
      <c r="DQ63" s="1134">
        <v>3</v>
      </c>
      <c r="DR63" s="1133"/>
      <c r="DS63" s="1134">
        <v>4</v>
      </c>
      <c r="DT63" s="1133"/>
      <c r="DU63" s="1134">
        <v>5</v>
      </c>
      <c r="DV63" s="1133"/>
      <c r="DW63" s="1134">
        <v>6</v>
      </c>
      <c r="DX63" s="1133"/>
      <c r="DY63" s="1134">
        <v>7</v>
      </c>
      <c r="DZ63" s="1133"/>
      <c r="EA63" s="1134">
        <v>8</v>
      </c>
      <c r="EB63" s="1133"/>
      <c r="EC63" s="1134">
        <v>9</v>
      </c>
      <c r="ED63" s="1133"/>
      <c r="EE63" s="1134">
        <v>10</v>
      </c>
      <c r="EF63" s="1133"/>
      <c r="EG63" s="1134">
        <v>11</v>
      </c>
      <c r="EH63" s="1133"/>
      <c r="EI63" s="1134">
        <v>12</v>
      </c>
      <c r="EJ63" s="1133"/>
      <c r="EK63" s="1134">
        <v>13</v>
      </c>
      <c r="EL63" s="1133"/>
      <c r="EM63" s="1134">
        <v>14</v>
      </c>
      <c r="EN63" s="1133"/>
      <c r="EO63" s="1134">
        <v>15</v>
      </c>
      <c r="EP63" s="1133"/>
      <c r="EQ63" s="1134">
        <v>16</v>
      </c>
      <c r="ER63" s="1133"/>
      <c r="ES63" s="1134">
        <v>17</v>
      </c>
      <c r="ET63" s="1133"/>
      <c r="EU63" s="1134">
        <v>18</v>
      </c>
      <c r="EV63" s="1133"/>
      <c r="EW63" s="1134">
        <v>19</v>
      </c>
      <c r="EX63" s="1133"/>
      <c r="EY63" s="1134">
        <v>20</v>
      </c>
      <c r="EZ63" s="1133"/>
      <c r="FA63" s="1134">
        <v>21</v>
      </c>
      <c r="FB63" s="1133"/>
      <c r="FC63" s="1134">
        <v>22</v>
      </c>
      <c r="FD63" s="1133"/>
      <c r="FE63" s="1134">
        <v>23</v>
      </c>
      <c r="FF63" s="1133"/>
      <c r="FG63" s="1134">
        <v>24</v>
      </c>
      <c r="FH63" s="1135"/>
      <c r="FI63" s="1038"/>
      <c r="FJ63" s="1225" t="s">
        <v>356</v>
      </c>
      <c r="FK63" s="1130"/>
      <c r="FL63" s="1130"/>
      <c r="FM63" s="1130"/>
      <c r="FN63" s="1130"/>
      <c r="FO63" s="1131"/>
      <c r="FP63" s="1136" t="s">
        <v>1047</v>
      </c>
      <c r="FQ63" s="1137"/>
      <c r="FR63" s="1138"/>
      <c r="FS63" s="1139" t="s">
        <v>288</v>
      </c>
      <c r="FT63" s="1140"/>
      <c r="FU63" s="1141"/>
      <c r="FV63" s="1142" t="s">
        <v>349</v>
      </c>
      <c r="FW63" s="1143"/>
      <c r="FX63" s="1144" t="s">
        <v>350</v>
      </c>
      <c r="FY63" s="1145"/>
      <c r="FZ63" s="1146" t="s">
        <v>351</v>
      </c>
      <c r="GA63" s="1147"/>
      <c r="GB63" s="1148" t="s">
        <v>352</v>
      </c>
      <c r="GC63" s="1133"/>
      <c r="GD63" s="1148" t="s">
        <v>353</v>
      </c>
      <c r="GE63" s="1135"/>
      <c r="GF63" s="688"/>
      <c r="GG63" s="602"/>
      <c r="GH63" s="602"/>
      <c r="GI63" s="602"/>
      <c r="GJ63" s="1303"/>
      <c r="GK63" s="1303"/>
      <c r="GL63" s="578"/>
      <c r="GM63" s="500"/>
      <c r="GN63" s="578"/>
      <c r="GO63" s="500"/>
      <c r="GP63" s="500"/>
      <c r="GQ63" s="500"/>
      <c r="GR63" s="578"/>
      <c r="GS63" s="530"/>
      <c r="GT63" s="579"/>
      <c r="GU63" s="578"/>
      <c r="GV63" s="500"/>
      <c r="GW63" s="578"/>
      <c r="GX63" s="500"/>
      <c r="GY63" s="500"/>
      <c r="GZ63" s="500"/>
      <c r="HA63" s="579"/>
      <c r="HB63" s="500"/>
      <c r="HC63" s="1052"/>
    </row>
    <row r="64" spans="1:212" ht="20.100000000000001" customHeight="1">
      <c r="A64" s="1228"/>
      <c r="B64" s="1151"/>
      <c r="C64" s="1151"/>
      <c r="D64" s="1151"/>
      <c r="E64" s="1151"/>
      <c r="F64" s="1152"/>
      <c r="G64" s="1153"/>
      <c r="H64" s="1154" t="s">
        <v>358</v>
      </c>
      <c r="I64" s="1155"/>
      <c r="J64" s="1154" t="s">
        <v>358</v>
      </c>
      <c r="K64" s="1155"/>
      <c r="L64" s="1154" t="s">
        <v>358</v>
      </c>
      <c r="M64" s="1155"/>
      <c r="N64" s="1154" t="s">
        <v>358</v>
      </c>
      <c r="O64" s="1155"/>
      <c r="P64" s="1154" t="s">
        <v>358</v>
      </c>
      <c r="Q64" s="1155"/>
      <c r="R64" s="1154" t="s">
        <v>358</v>
      </c>
      <c r="S64" s="1155"/>
      <c r="T64" s="1154" t="s">
        <v>358</v>
      </c>
      <c r="U64" s="1155"/>
      <c r="V64" s="1154" t="s">
        <v>358</v>
      </c>
      <c r="W64" s="1155"/>
      <c r="X64" s="1154" t="s">
        <v>358</v>
      </c>
      <c r="Y64" s="1155"/>
      <c r="Z64" s="1154" t="s">
        <v>358</v>
      </c>
      <c r="AA64" s="1155"/>
      <c r="AB64" s="1154" t="s">
        <v>358</v>
      </c>
      <c r="AC64" s="1155"/>
      <c r="AD64" s="1154" t="s">
        <v>358</v>
      </c>
      <c r="AE64" s="1155"/>
      <c r="AF64" s="1154" t="s">
        <v>358</v>
      </c>
      <c r="AG64" s="1155"/>
      <c r="AH64" s="1154" t="s">
        <v>358</v>
      </c>
      <c r="AI64" s="1155"/>
      <c r="AJ64" s="1154" t="s">
        <v>358</v>
      </c>
      <c r="AK64" s="1155"/>
      <c r="AL64" s="1154" t="s">
        <v>358</v>
      </c>
      <c r="AM64" s="1155"/>
      <c r="AN64" s="1154" t="s">
        <v>358</v>
      </c>
      <c r="AO64" s="1155"/>
      <c r="AP64" s="1154" t="s">
        <v>358</v>
      </c>
      <c r="AQ64" s="1155"/>
      <c r="AR64" s="1154" t="s">
        <v>358</v>
      </c>
      <c r="AS64" s="1155"/>
      <c r="AT64" s="1154" t="s">
        <v>358</v>
      </c>
      <c r="AU64" s="1155"/>
      <c r="AV64" s="1154" t="s">
        <v>358</v>
      </c>
      <c r="AW64" s="1155"/>
      <c r="AX64" s="1154" t="s">
        <v>358</v>
      </c>
      <c r="AY64" s="1155"/>
      <c r="AZ64" s="1154" t="s">
        <v>358</v>
      </c>
      <c r="BA64" s="1155"/>
      <c r="BB64" s="1157" t="s">
        <v>358</v>
      </c>
      <c r="BC64" s="1052"/>
      <c r="BD64" s="1229"/>
      <c r="BE64" s="1230"/>
      <c r="BF64" s="1230"/>
      <c r="BG64" s="1230"/>
      <c r="BH64" s="1151"/>
      <c r="BI64" s="1152"/>
      <c r="BJ64" s="1153"/>
      <c r="BK64" s="1154" t="s">
        <v>358</v>
      </c>
      <c r="BL64" s="1155"/>
      <c r="BM64" s="1154" t="s">
        <v>358</v>
      </c>
      <c r="BN64" s="1155"/>
      <c r="BO64" s="1154" t="s">
        <v>358</v>
      </c>
      <c r="BP64" s="1155"/>
      <c r="BQ64" s="1154" t="s">
        <v>358</v>
      </c>
      <c r="BR64" s="1155"/>
      <c r="BS64" s="1154" t="s">
        <v>358</v>
      </c>
      <c r="BT64" s="1155"/>
      <c r="BU64" s="1154" t="s">
        <v>358</v>
      </c>
      <c r="BV64" s="1155"/>
      <c r="BW64" s="1154" t="s">
        <v>358</v>
      </c>
      <c r="BX64" s="1155"/>
      <c r="BY64" s="1154" t="s">
        <v>358</v>
      </c>
      <c r="BZ64" s="1155"/>
      <c r="CA64" s="1154" t="s">
        <v>358</v>
      </c>
      <c r="CB64" s="1155"/>
      <c r="CC64" s="1154" t="s">
        <v>358</v>
      </c>
      <c r="CD64" s="1155"/>
      <c r="CE64" s="1154" t="s">
        <v>358</v>
      </c>
      <c r="CF64" s="1155"/>
      <c r="CG64" s="1154" t="s">
        <v>358</v>
      </c>
      <c r="CH64" s="1155"/>
      <c r="CI64" s="1154" t="s">
        <v>358</v>
      </c>
      <c r="CJ64" s="1155"/>
      <c r="CK64" s="1154" t="s">
        <v>358</v>
      </c>
      <c r="CL64" s="1155"/>
      <c r="CM64" s="1154" t="s">
        <v>358</v>
      </c>
      <c r="CN64" s="1155"/>
      <c r="CO64" s="1154" t="s">
        <v>358</v>
      </c>
      <c r="CP64" s="1155"/>
      <c r="CQ64" s="1154" t="s">
        <v>358</v>
      </c>
      <c r="CR64" s="1155"/>
      <c r="CS64" s="1154" t="s">
        <v>358</v>
      </c>
      <c r="CT64" s="1155"/>
      <c r="CU64" s="1154" t="s">
        <v>358</v>
      </c>
      <c r="CV64" s="1155"/>
      <c r="CW64" s="1154" t="s">
        <v>358</v>
      </c>
      <c r="CX64" s="1155"/>
      <c r="CY64" s="1154" t="s">
        <v>358</v>
      </c>
      <c r="CZ64" s="1155"/>
      <c r="DA64" s="1154" t="s">
        <v>358</v>
      </c>
      <c r="DB64" s="1155"/>
      <c r="DC64" s="1154" t="s">
        <v>358</v>
      </c>
      <c r="DD64" s="1155"/>
      <c r="DE64" s="1157" t="s">
        <v>358</v>
      </c>
      <c r="DF64" s="1052"/>
      <c r="DG64" s="1228"/>
      <c r="DH64" s="1151"/>
      <c r="DI64" s="1151"/>
      <c r="DJ64" s="1151"/>
      <c r="DK64" s="1151"/>
      <c r="DL64" s="1152"/>
      <c r="DM64" s="1153"/>
      <c r="DN64" s="1154" t="s">
        <v>358</v>
      </c>
      <c r="DO64" s="1155"/>
      <c r="DP64" s="1154" t="s">
        <v>358</v>
      </c>
      <c r="DQ64" s="1155"/>
      <c r="DR64" s="1154" t="s">
        <v>358</v>
      </c>
      <c r="DS64" s="1155"/>
      <c r="DT64" s="1154" t="s">
        <v>358</v>
      </c>
      <c r="DU64" s="1155"/>
      <c r="DV64" s="1154" t="s">
        <v>358</v>
      </c>
      <c r="DW64" s="1155"/>
      <c r="DX64" s="1154" t="s">
        <v>358</v>
      </c>
      <c r="DY64" s="1155"/>
      <c r="DZ64" s="1154" t="s">
        <v>358</v>
      </c>
      <c r="EA64" s="1155"/>
      <c r="EB64" s="1154" t="s">
        <v>358</v>
      </c>
      <c r="EC64" s="1155"/>
      <c r="ED64" s="1154" t="s">
        <v>358</v>
      </c>
      <c r="EE64" s="1155"/>
      <c r="EF64" s="1154" t="s">
        <v>358</v>
      </c>
      <c r="EG64" s="1155"/>
      <c r="EH64" s="1154" t="s">
        <v>358</v>
      </c>
      <c r="EI64" s="1155"/>
      <c r="EJ64" s="1154" t="s">
        <v>358</v>
      </c>
      <c r="EK64" s="1155"/>
      <c r="EL64" s="1154" t="s">
        <v>358</v>
      </c>
      <c r="EM64" s="1155"/>
      <c r="EN64" s="1154" t="s">
        <v>358</v>
      </c>
      <c r="EO64" s="1155"/>
      <c r="EP64" s="1154" t="s">
        <v>358</v>
      </c>
      <c r="EQ64" s="1155"/>
      <c r="ER64" s="1154" t="s">
        <v>358</v>
      </c>
      <c r="ES64" s="1155"/>
      <c r="ET64" s="1154" t="s">
        <v>358</v>
      </c>
      <c r="EU64" s="1155"/>
      <c r="EV64" s="1154" t="s">
        <v>358</v>
      </c>
      <c r="EW64" s="1155"/>
      <c r="EX64" s="1154" t="s">
        <v>358</v>
      </c>
      <c r="EY64" s="1155"/>
      <c r="EZ64" s="1154" t="s">
        <v>358</v>
      </c>
      <c r="FA64" s="1155"/>
      <c r="FB64" s="1154" t="s">
        <v>358</v>
      </c>
      <c r="FC64" s="1155"/>
      <c r="FD64" s="1154" t="s">
        <v>358</v>
      </c>
      <c r="FE64" s="1155"/>
      <c r="FF64" s="1154" t="s">
        <v>358</v>
      </c>
      <c r="FG64" s="1155"/>
      <c r="FH64" s="1157" t="s">
        <v>358</v>
      </c>
      <c r="FI64" s="1052"/>
      <c r="FJ64" s="1228"/>
      <c r="FK64" s="1151"/>
      <c r="FL64" s="1151"/>
      <c r="FM64" s="1151"/>
      <c r="FN64" s="1151"/>
      <c r="FO64" s="1152"/>
      <c r="FP64" s="1158" t="s">
        <v>299</v>
      </c>
      <c r="FQ64" s="1156" t="s">
        <v>359</v>
      </c>
      <c r="FR64" s="1154" t="s">
        <v>358</v>
      </c>
      <c r="FS64" s="1159" t="s">
        <v>299</v>
      </c>
      <c r="FT64" s="1156" t="s">
        <v>359</v>
      </c>
      <c r="FU64" s="1160" t="s">
        <v>358</v>
      </c>
      <c r="FV64" s="1161" t="s">
        <v>299</v>
      </c>
      <c r="FW64" s="1154" t="s">
        <v>358</v>
      </c>
      <c r="FX64" s="1159" t="s">
        <v>299</v>
      </c>
      <c r="FY64" s="1154" t="s">
        <v>358</v>
      </c>
      <c r="FZ64" s="1159" t="s">
        <v>299</v>
      </c>
      <c r="GA64" s="1154" t="s">
        <v>358</v>
      </c>
      <c r="GB64" s="1159" t="s">
        <v>299</v>
      </c>
      <c r="GC64" s="1154" t="s">
        <v>358</v>
      </c>
      <c r="GD64" s="1159" t="s">
        <v>299</v>
      </c>
      <c r="GE64" s="1157" t="s">
        <v>358</v>
      </c>
      <c r="GF64" s="688"/>
      <c r="GG64" s="1194"/>
      <c r="GH64" s="1194"/>
      <c r="GI64" s="1194"/>
      <c r="GJ64" s="500"/>
      <c r="GK64" s="500"/>
      <c r="GL64" s="578"/>
      <c r="GM64" s="500"/>
      <c r="GN64" s="578"/>
      <c r="GO64" s="500"/>
      <c r="GP64" s="500"/>
      <c r="GQ64" s="500"/>
      <c r="GR64" s="578"/>
      <c r="GS64" s="409"/>
      <c r="GT64" s="1305"/>
      <c r="GU64" s="578"/>
      <c r="GV64" s="500"/>
      <c r="GW64" s="578"/>
      <c r="GX64" s="500"/>
      <c r="GY64" s="500"/>
      <c r="GZ64" s="579"/>
      <c r="HA64" s="579"/>
      <c r="HB64" s="579"/>
      <c r="HC64" s="562"/>
    </row>
    <row r="65" spans="1:211" ht="20.100000000000001" customHeight="1">
      <c r="A65" s="1163"/>
      <c r="B65" s="1164"/>
      <c r="C65" s="1164"/>
      <c r="D65" s="1232"/>
      <c r="E65" s="1233"/>
      <c r="F65" s="1234"/>
      <c r="G65" s="1235"/>
      <c r="H65" s="1168">
        <v>0</v>
      </c>
      <c r="I65" s="1236"/>
      <c r="J65" s="1237">
        <v>0</v>
      </c>
      <c r="K65" s="1238"/>
      <c r="L65" s="1237">
        <v>0</v>
      </c>
      <c r="M65" s="1238"/>
      <c r="N65" s="1237">
        <v>0</v>
      </c>
      <c r="O65" s="1238"/>
      <c r="P65" s="1237">
        <v>0</v>
      </c>
      <c r="Q65" s="1238"/>
      <c r="R65" s="1237">
        <v>0</v>
      </c>
      <c r="S65" s="1238"/>
      <c r="T65" s="1237">
        <v>0</v>
      </c>
      <c r="U65" s="1238"/>
      <c r="V65" s="1237">
        <v>0</v>
      </c>
      <c r="W65" s="1238"/>
      <c r="X65" s="1237">
        <v>0</v>
      </c>
      <c r="Y65" s="1238"/>
      <c r="Z65" s="1237">
        <v>0</v>
      </c>
      <c r="AA65" s="1238"/>
      <c r="AB65" s="1237">
        <v>0</v>
      </c>
      <c r="AC65" s="1238"/>
      <c r="AD65" s="1237">
        <v>0</v>
      </c>
      <c r="AE65" s="1238"/>
      <c r="AF65" s="1237">
        <v>0</v>
      </c>
      <c r="AG65" s="1238"/>
      <c r="AH65" s="1237">
        <v>0</v>
      </c>
      <c r="AI65" s="1238"/>
      <c r="AJ65" s="1237">
        <v>0</v>
      </c>
      <c r="AK65" s="1238"/>
      <c r="AL65" s="1237">
        <v>0</v>
      </c>
      <c r="AM65" s="1238"/>
      <c r="AN65" s="1237">
        <v>0</v>
      </c>
      <c r="AO65" s="1238"/>
      <c r="AP65" s="1237">
        <v>0</v>
      </c>
      <c r="AQ65" s="1238"/>
      <c r="AR65" s="1237">
        <v>0</v>
      </c>
      <c r="AS65" s="1238"/>
      <c r="AT65" s="1237">
        <v>0</v>
      </c>
      <c r="AU65" s="1238"/>
      <c r="AV65" s="1237">
        <v>0</v>
      </c>
      <c r="AW65" s="1238"/>
      <c r="AX65" s="1237">
        <v>0</v>
      </c>
      <c r="AY65" s="1238"/>
      <c r="AZ65" s="1237">
        <v>0</v>
      </c>
      <c r="BA65" s="1238"/>
      <c r="BB65" s="561">
        <v>0</v>
      </c>
      <c r="BC65" s="563"/>
      <c r="BD65" s="1163"/>
      <c r="BE65" s="1164"/>
      <c r="BF65" s="1164"/>
      <c r="BG65" s="1232"/>
      <c r="BH65" s="1233"/>
      <c r="BI65" s="1234"/>
      <c r="BJ65" s="1235"/>
      <c r="BK65" s="1168">
        <v>0</v>
      </c>
      <c r="BL65" s="1236"/>
      <c r="BM65" s="1237">
        <v>0</v>
      </c>
      <c r="BN65" s="1238"/>
      <c r="BO65" s="1237">
        <v>0</v>
      </c>
      <c r="BP65" s="1238"/>
      <c r="BQ65" s="1237">
        <v>0</v>
      </c>
      <c r="BR65" s="1238"/>
      <c r="BS65" s="1237">
        <v>0</v>
      </c>
      <c r="BT65" s="1238"/>
      <c r="BU65" s="1237">
        <v>0</v>
      </c>
      <c r="BV65" s="1238"/>
      <c r="BW65" s="1237">
        <v>0</v>
      </c>
      <c r="BX65" s="1238"/>
      <c r="BY65" s="1237">
        <v>0</v>
      </c>
      <c r="BZ65" s="1238"/>
      <c r="CA65" s="1237">
        <v>0</v>
      </c>
      <c r="CB65" s="1238"/>
      <c r="CC65" s="1237">
        <v>0</v>
      </c>
      <c r="CD65" s="1238"/>
      <c r="CE65" s="1237">
        <v>0</v>
      </c>
      <c r="CF65" s="1238"/>
      <c r="CG65" s="1237">
        <v>0</v>
      </c>
      <c r="CH65" s="1238"/>
      <c r="CI65" s="1237">
        <v>0</v>
      </c>
      <c r="CJ65" s="1238"/>
      <c r="CK65" s="1237">
        <v>0</v>
      </c>
      <c r="CL65" s="1238"/>
      <c r="CM65" s="1237">
        <v>0</v>
      </c>
      <c r="CN65" s="1238"/>
      <c r="CO65" s="1237">
        <v>0</v>
      </c>
      <c r="CP65" s="1238"/>
      <c r="CQ65" s="1237">
        <v>0</v>
      </c>
      <c r="CR65" s="1238"/>
      <c r="CS65" s="1237">
        <v>0</v>
      </c>
      <c r="CT65" s="1238"/>
      <c r="CU65" s="1237">
        <v>0</v>
      </c>
      <c r="CV65" s="1238"/>
      <c r="CW65" s="1237">
        <v>0</v>
      </c>
      <c r="CX65" s="1238"/>
      <c r="CY65" s="1237">
        <v>0</v>
      </c>
      <c r="CZ65" s="1238"/>
      <c r="DA65" s="1237">
        <v>0</v>
      </c>
      <c r="DB65" s="1238"/>
      <c r="DC65" s="1237">
        <v>0</v>
      </c>
      <c r="DD65" s="1238"/>
      <c r="DE65" s="561">
        <v>0</v>
      </c>
      <c r="DF65" s="562"/>
      <c r="DG65" s="1163"/>
      <c r="DH65" s="1164"/>
      <c r="DI65" s="1164"/>
      <c r="DJ65" s="1232"/>
      <c r="DK65" s="1233"/>
      <c r="DL65" s="1234"/>
      <c r="DM65" s="1235"/>
      <c r="DN65" s="1168">
        <v>0</v>
      </c>
      <c r="DO65" s="1236"/>
      <c r="DP65" s="1237">
        <v>0</v>
      </c>
      <c r="DQ65" s="1238"/>
      <c r="DR65" s="1237">
        <v>0</v>
      </c>
      <c r="DS65" s="1238"/>
      <c r="DT65" s="1237">
        <v>0</v>
      </c>
      <c r="DU65" s="1238"/>
      <c r="DV65" s="1237">
        <v>0</v>
      </c>
      <c r="DW65" s="1238"/>
      <c r="DX65" s="1237">
        <v>0</v>
      </c>
      <c r="DY65" s="1238"/>
      <c r="DZ65" s="1237">
        <v>0</v>
      </c>
      <c r="EA65" s="1238"/>
      <c r="EB65" s="1237">
        <v>0</v>
      </c>
      <c r="EC65" s="1238"/>
      <c r="ED65" s="1237">
        <v>0</v>
      </c>
      <c r="EE65" s="1238"/>
      <c r="EF65" s="1237">
        <v>0</v>
      </c>
      <c r="EG65" s="1238"/>
      <c r="EH65" s="1237">
        <v>0</v>
      </c>
      <c r="EI65" s="1238"/>
      <c r="EJ65" s="1237">
        <v>0</v>
      </c>
      <c r="EK65" s="1238"/>
      <c r="EL65" s="1237">
        <v>0</v>
      </c>
      <c r="EM65" s="1238"/>
      <c r="EN65" s="1237">
        <v>0</v>
      </c>
      <c r="EO65" s="1238"/>
      <c r="EP65" s="1237">
        <v>0</v>
      </c>
      <c r="EQ65" s="1238"/>
      <c r="ER65" s="1237">
        <v>0</v>
      </c>
      <c r="ES65" s="1238"/>
      <c r="ET65" s="1237">
        <v>0</v>
      </c>
      <c r="EU65" s="1238"/>
      <c r="EV65" s="1237">
        <v>0</v>
      </c>
      <c r="EW65" s="1238"/>
      <c r="EX65" s="1237">
        <v>0</v>
      </c>
      <c r="EY65" s="1238"/>
      <c r="EZ65" s="1237">
        <v>0</v>
      </c>
      <c r="FA65" s="1238"/>
      <c r="FB65" s="1237">
        <v>0</v>
      </c>
      <c r="FC65" s="1238"/>
      <c r="FD65" s="1237">
        <v>0</v>
      </c>
      <c r="FE65" s="1238"/>
      <c r="FF65" s="1237">
        <v>0</v>
      </c>
      <c r="FG65" s="1238"/>
      <c r="FH65" s="561">
        <v>0</v>
      </c>
      <c r="FI65" s="563"/>
      <c r="FJ65" s="1163"/>
      <c r="FK65" s="1164"/>
      <c r="FL65" s="1239"/>
      <c r="FM65" s="1239"/>
      <c r="FN65" s="1239"/>
      <c r="FO65" s="1234"/>
      <c r="FP65" s="1170"/>
      <c r="FQ65" s="1236"/>
      <c r="FR65" s="1168">
        <v>0</v>
      </c>
      <c r="FS65" s="1240"/>
      <c r="FT65" s="1236"/>
      <c r="FU65" s="1173">
        <v>0</v>
      </c>
      <c r="FV65" s="1240"/>
      <c r="FW65" s="1241">
        <v>0</v>
      </c>
      <c r="FX65" s="1172"/>
      <c r="FY65" s="1241">
        <v>0</v>
      </c>
      <c r="FZ65" s="1172"/>
      <c r="GA65" s="1241">
        <v>0</v>
      </c>
      <c r="GB65" s="1172"/>
      <c r="GC65" s="1241">
        <v>0</v>
      </c>
      <c r="GD65" s="1242"/>
      <c r="GE65" s="1243"/>
      <c r="GF65" s="688"/>
      <c r="GG65" s="602"/>
      <c r="GH65" s="602"/>
      <c r="GI65" s="602"/>
      <c r="GJ65" s="579"/>
      <c r="GK65" s="500"/>
      <c r="GL65" s="500"/>
      <c r="GM65" s="500"/>
      <c r="GN65" s="500"/>
      <c r="GO65" s="500"/>
      <c r="GP65" s="500"/>
      <c r="GQ65" s="500"/>
      <c r="GR65" s="500"/>
      <c r="GS65" s="409"/>
      <c r="GT65" s="1305"/>
      <c r="GU65" s="500"/>
      <c r="GV65" s="500"/>
      <c r="GW65" s="500"/>
      <c r="GX65" s="500"/>
      <c r="GY65" s="500"/>
      <c r="GZ65" s="579"/>
      <c r="HA65" s="579"/>
      <c r="HB65" s="579"/>
      <c r="HC65" s="562"/>
    </row>
    <row r="66" spans="1:211" ht="20.100000000000001" customHeight="1">
      <c r="A66" s="1202"/>
      <c r="B66" s="1203"/>
      <c r="C66" s="1203"/>
      <c r="D66" s="1203"/>
      <c r="E66" s="1203"/>
      <c r="F66" s="1204"/>
      <c r="G66" s="1244"/>
      <c r="H66" s="1245"/>
      <c r="I66" s="1211"/>
      <c r="J66" s="1246"/>
      <c r="K66" s="1247"/>
      <c r="L66" s="1246"/>
      <c r="M66" s="1247"/>
      <c r="N66" s="1246"/>
      <c r="O66" s="1247"/>
      <c r="P66" s="1246"/>
      <c r="Q66" s="1247"/>
      <c r="R66" s="1246"/>
      <c r="S66" s="1247"/>
      <c r="T66" s="1246"/>
      <c r="U66" s="1247"/>
      <c r="V66" s="1246"/>
      <c r="W66" s="1247"/>
      <c r="X66" s="1246"/>
      <c r="Y66" s="1247"/>
      <c r="Z66" s="1246"/>
      <c r="AA66" s="1247"/>
      <c r="AB66" s="1246"/>
      <c r="AC66" s="1247"/>
      <c r="AD66" s="1246"/>
      <c r="AE66" s="1247"/>
      <c r="AF66" s="1246"/>
      <c r="AG66" s="1247"/>
      <c r="AH66" s="1246"/>
      <c r="AI66" s="1247"/>
      <c r="AJ66" s="1246"/>
      <c r="AK66" s="1247"/>
      <c r="AL66" s="1246"/>
      <c r="AM66" s="1247"/>
      <c r="AN66" s="1246"/>
      <c r="AO66" s="1247"/>
      <c r="AP66" s="1246"/>
      <c r="AQ66" s="1247"/>
      <c r="AR66" s="1246"/>
      <c r="AS66" s="1247"/>
      <c r="AT66" s="1246"/>
      <c r="AU66" s="1247"/>
      <c r="AV66" s="1246"/>
      <c r="AW66" s="1247"/>
      <c r="AX66" s="1246"/>
      <c r="AY66" s="1247"/>
      <c r="AZ66" s="1246"/>
      <c r="BA66" s="1247"/>
      <c r="BB66" s="1248"/>
      <c r="BC66" s="563"/>
      <c r="BD66" s="1202"/>
      <c r="BE66" s="1203"/>
      <c r="BF66" s="1203"/>
      <c r="BG66" s="1203"/>
      <c r="BH66" s="1203"/>
      <c r="BI66" s="1204"/>
      <c r="BJ66" s="1244"/>
      <c r="BK66" s="1245"/>
      <c r="BL66" s="1211"/>
      <c r="BM66" s="1246"/>
      <c r="BN66" s="1247"/>
      <c r="BO66" s="1246"/>
      <c r="BP66" s="1247"/>
      <c r="BQ66" s="1246"/>
      <c r="BR66" s="1247"/>
      <c r="BS66" s="1246"/>
      <c r="BT66" s="1247"/>
      <c r="BU66" s="1246"/>
      <c r="BV66" s="1247"/>
      <c r="BW66" s="1246"/>
      <c r="BX66" s="1247"/>
      <c r="BY66" s="1246"/>
      <c r="BZ66" s="1247"/>
      <c r="CA66" s="1246"/>
      <c r="CB66" s="1247"/>
      <c r="CC66" s="1246"/>
      <c r="CD66" s="1247"/>
      <c r="CE66" s="1246"/>
      <c r="CF66" s="1247"/>
      <c r="CG66" s="1246"/>
      <c r="CH66" s="1247"/>
      <c r="CI66" s="1246"/>
      <c r="CJ66" s="1247"/>
      <c r="CK66" s="1246"/>
      <c r="CL66" s="1247"/>
      <c r="CM66" s="1246"/>
      <c r="CN66" s="1247"/>
      <c r="CO66" s="1246"/>
      <c r="CP66" s="1247"/>
      <c r="CQ66" s="1246"/>
      <c r="CR66" s="1247"/>
      <c r="CS66" s="1246"/>
      <c r="CT66" s="1247"/>
      <c r="CU66" s="1246"/>
      <c r="CV66" s="1247"/>
      <c r="CW66" s="1246"/>
      <c r="CX66" s="1247"/>
      <c r="CY66" s="1246"/>
      <c r="CZ66" s="1247"/>
      <c r="DA66" s="1246"/>
      <c r="DB66" s="1247"/>
      <c r="DC66" s="1246"/>
      <c r="DD66" s="1247"/>
      <c r="DE66" s="1248"/>
      <c r="DF66" s="562"/>
      <c r="DG66" s="1202"/>
      <c r="DH66" s="1203"/>
      <c r="DI66" s="1203"/>
      <c r="DJ66" s="1203"/>
      <c r="DK66" s="1203"/>
      <c r="DL66" s="1204"/>
      <c r="DM66" s="1244"/>
      <c r="DN66" s="1245"/>
      <c r="DO66" s="1211"/>
      <c r="DP66" s="1246"/>
      <c r="DQ66" s="1247"/>
      <c r="DR66" s="1246"/>
      <c r="DS66" s="1247"/>
      <c r="DT66" s="1246"/>
      <c r="DU66" s="1247"/>
      <c r="DV66" s="1246"/>
      <c r="DW66" s="1247"/>
      <c r="DX66" s="1246"/>
      <c r="DY66" s="1247"/>
      <c r="DZ66" s="1246"/>
      <c r="EA66" s="1247"/>
      <c r="EB66" s="1246"/>
      <c r="EC66" s="1247"/>
      <c r="ED66" s="1246"/>
      <c r="EE66" s="1247"/>
      <c r="EF66" s="1246"/>
      <c r="EG66" s="1247"/>
      <c r="EH66" s="1246"/>
      <c r="EI66" s="1247"/>
      <c r="EJ66" s="1246"/>
      <c r="EK66" s="1247"/>
      <c r="EL66" s="1246"/>
      <c r="EM66" s="1247"/>
      <c r="EN66" s="1246"/>
      <c r="EO66" s="1247"/>
      <c r="EP66" s="1246"/>
      <c r="EQ66" s="1247"/>
      <c r="ER66" s="1246"/>
      <c r="ES66" s="1247"/>
      <c r="ET66" s="1246"/>
      <c r="EU66" s="1247"/>
      <c r="EV66" s="1246"/>
      <c r="EW66" s="1247"/>
      <c r="EX66" s="1246"/>
      <c r="EY66" s="1247"/>
      <c r="EZ66" s="1246"/>
      <c r="FA66" s="1247"/>
      <c r="FB66" s="1246"/>
      <c r="FC66" s="1247"/>
      <c r="FD66" s="1246"/>
      <c r="FE66" s="1247"/>
      <c r="FF66" s="1246"/>
      <c r="FG66" s="1247"/>
      <c r="FH66" s="1248"/>
      <c r="FI66" s="563"/>
      <c r="FJ66" s="1202" t="s">
        <v>741</v>
      </c>
      <c r="FK66" s="1203"/>
      <c r="FL66" s="1249"/>
      <c r="FM66" s="1250" t="s">
        <v>624</v>
      </c>
      <c r="FN66" s="1251"/>
      <c r="FO66" s="1204"/>
      <c r="FP66" s="1210">
        <v>5</v>
      </c>
      <c r="FQ66" s="1252">
        <v>0</v>
      </c>
      <c r="FR66" s="1253">
        <v>0</v>
      </c>
      <c r="FS66" s="1213">
        <v>5</v>
      </c>
      <c r="FT66" s="1252">
        <v>0</v>
      </c>
      <c r="FU66" s="1254">
        <v>0</v>
      </c>
      <c r="FV66" s="1255"/>
      <c r="FW66" s="1256"/>
      <c r="FX66" s="1256"/>
      <c r="FY66" s="1256"/>
      <c r="FZ66" s="1256"/>
      <c r="GA66" s="1256"/>
      <c r="GB66" s="1256"/>
      <c r="GC66" s="1257"/>
      <c r="GD66" s="1213"/>
      <c r="GE66" s="1258">
        <v>0</v>
      </c>
      <c r="GF66" s="688"/>
      <c r="GG66" s="391"/>
      <c r="GH66" s="391"/>
      <c r="GI66" s="391"/>
      <c r="GJ66" s="500"/>
      <c r="GK66" s="500"/>
      <c r="GL66" s="578"/>
      <c r="GM66" s="500"/>
      <c r="GN66" s="578"/>
      <c r="GO66" s="500"/>
      <c r="GP66" s="500"/>
      <c r="GQ66" s="500"/>
      <c r="GR66" s="578"/>
      <c r="GT66" s="1305"/>
      <c r="GU66" s="579"/>
      <c r="GV66" s="579"/>
      <c r="GW66" s="579"/>
      <c r="GX66" s="579"/>
      <c r="GY66" s="579"/>
      <c r="GZ66" s="500"/>
      <c r="HA66" s="500"/>
      <c r="HB66" s="500"/>
      <c r="HC66" s="406"/>
    </row>
    <row r="67" spans="1:211" ht="20.100000000000001" customHeight="1" thickBot="1">
      <c r="BC67" s="389"/>
      <c r="DF67" s="389"/>
      <c r="FI67" s="389"/>
      <c r="GD67" s="688"/>
      <c r="GE67" s="799"/>
      <c r="GF67" s="688"/>
      <c r="GG67" s="483"/>
      <c r="GH67" s="483"/>
      <c r="GI67" s="483"/>
      <c r="GJ67" s="579"/>
      <c r="GK67" s="579"/>
      <c r="GL67" s="579"/>
      <c r="GM67" s="579"/>
      <c r="GN67" s="579"/>
      <c r="GO67" s="579"/>
      <c r="GP67" s="579"/>
      <c r="GQ67" s="579"/>
      <c r="GR67" s="579"/>
      <c r="GT67" s="689"/>
      <c r="GU67" s="500"/>
      <c r="GV67" s="500"/>
      <c r="GW67" s="500"/>
      <c r="GX67" s="500"/>
      <c r="GY67" s="500"/>
      <c r="GZ67" s="579"/>
      <c r="HA67" s="578"/>
      <c r="HB67" s="579"/>
      <c r="HC67" s="406"/>
    </row>
    <row r="68" spans="1:211" ht="20.100000000000001" customHeight="1">
      <c r="A68" s="1260" t="s">
        <v>360</v>
      </c>
      <c r="B68" s="1261"/>
      <c r="C68" s="1261"/>
      <c r="D68" s="1261"/>
      <c r="E68" s="825"/>
      <c r="F68" s="825"/>
      <c r="G68" s="1262" t="s">
        <v>1051</v>
      </c>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4"/>
      <c r="BC68" s="1265"/>
      <c r="BD68" s="1260" t="s">
        <v>360</v>
      </c>
      <c r="BE68" s="1261"/>
      <c r="BF68" s="1261"/>
      <c r="BG68" s="1261"/>
      <c r="BH68" s="825"/>
      <c r="BI68" s="825"/>
      <c r="BJ68" s="1266" t="str">
        <f>$G68</f>
        <v>(C)室内全熱負荷以降の外気負荷等は、熱源容量計算用の基準別、時刻別の値です。外気負荷を含めた空調機の容量の計算等は別紙「OAHU-1系統 空調機容量の計算」をご参照ください。</v>
      </c>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7"/>
      <c r="DD68" s="1267"/>
      <c r="DE68" s="1268"/>
      <c r="DF68" s="1265"/>
      <c r="DG68" s="1260" t="s">
        <v>360</v>
      </c>
      <c r="DH68" s="1261"/>
      <c r="DI68" s="1261"/>
      <c r="DJ68" s="1261"/>
      <c r="DK68" s="825"/>
      <c r="DL68" s="825"/>
      <c r="DM68" s="1266" t="str">
        <f>$G68</f>
        <v>(C)室内全熱負荷以降の外気負荷等は、熱源容量計算用の基準別、時刻別の値です。外気負荷を含めた空調機の容量の計算等は別紙「OAHU-1系統 空調機容量の計算」をご参照ください。</v>
      </c>
      <c r="DN68" s="1267"/>
      <c r="DO68" s="1267"/>
      <c r="DP68" s="1267"/>
      <c r="DQ68" s="1267"/>
      <c r="DR68" s="1267"/>
      <c r="DS68" s="1267"/>
      <c r="DT68" s="1267"/>
      <c r="DU68" s="1267"/>
      <c r="DV68" s="1267"/>
      <c r="DW68" s="1267"/>
      <c r="DX68" s="1267"/>
      <c r="DY68" s="1267"/>
      <c r="DZ68" s="1267"/>
      <c r="EA68" s="1267"/>
      <c r="EB68" s="1267"/>
      <c r="EC68" s="1267"/>
      <c r="ED68" s="1267"/>
      <c r="EE68" s="1267"/>
      <c r="EF68" s="1267"/>
      <c r="EG68" s="1267"/>
      <c r="EH68" s="1267"/>
      <c r="EI68" s="1267"/>
      <c r="EJ68" s="1267"/>
      <c r="EK68" s="1267"/>
      <c r="EL68" s="1267"/>
      <c r="EM68" s="1267"/>
      <c r="EN68" s="1267"/>
      <c r="EO68" s="1267"/>
      <c r="EP68" s="1267"/>
      <c r="EQ68" s="1267"/>
      <c r="ER68" s="1267"/>
      <c r="ES68" s="1267"/>
      <c r="ET68" s="1267"/>
      <c r="EU68" s="1267"/>
      <c r="EV68" s="1267"/>
      <c r="EW68" s="1267"/>
      <c r="EX68" s="1267"/>
      <c r="EY68" s="1267"/>
      <c r="EZ68" s="1267"/>
      <c r="FA68" s="1267"/>
      <c r="FB68" s="1267"/>
      <c r="FC68" s="1267"/>
      <c r="FD68" s="1267"/>
      <c r="FE68" s="1267"/>
      <c r="FF68" s="1267"/>
      <c r="FG68" s="1267"/>
      <c r="FH68" s="1268"/>
      <c r="FI68" s="1265"/>
      <c r="FJ68" s="1260" t="s">
        <v>360</v>
      </c>
      <c r="FK68" s="1261"/>
      <c r="FL68" s="1261"/>
      <c r="FM68" s="1261"/>
      <c r="FN68" s="825"/>
      <c r="FO68" s="825"/>
      <c r="FP68" s="1262"/>
      <c r="FQ68" s="1263"/>
      <c r="FR68" s="1263"/>
      <c r="FS68" s="1263"/>
      <c r="FT68" s="1263"/>
      <c r="FU68" s="1269"/>
      <c r="FV68" s="1270"/>
      <c r="FW68" s="1263"/>
      <c r="FX68" s="1263"/>
      <c r="FY68" s="1263"/>
      <c r="FZ68" s="1263"/>
      <c r="GA68" s="1263"/>
      <c r="GB68" s="1263"/>
      <c r="GC68" s="1271"/>
      <c r="GD68" s="1263"/>
      <c r="GE68" s="1264"/>
      <c r="GF68" s="688"/>
      <c r="GG68" s="602"/>
      <c r="GH68" s="602"/>
      <c r="GI68" s="602"/>
      <c r="GJ68" s="500"/>
      <c r="GK68" s="500"/>
      <c r="GL68" s="578"/>
      <c r="GM68" s="500"/>
      <c r="GN68" s="578"/>
      <c r="GO68" s="500"/>
      <c r="GP68" s="500"/>
      <c r="GQ68" s="500"/>
      <c r="GR68" s="578"/>
      <c r="GT68" s="579"/>
      <c r="GU68" s="1303"/>
      <c r="GV68" s="1303"/>
      <c r="GW68" s="1303"/>
      <c r="GX68" s="1303"/>
      <c r="GY68" s="1121"/>
      <c r="GZ68" s="1304"/>
      <c r="HA68" s="1304"/>
      <c r="HB68" s="1304"/>
    </row>
    <row r="69" spans="1:211" ht="20.100000000000001" customHeight="1">
      <c r="BC69" s="389"/>
      <c r="DF69" s="389"/>
      <c r="FI69" s="389"/>
      <c r="GF69" s="499"/>
      <c r="GG69" s="602"/>
      <c r="GH69" s="602"/>
      <c r="GI69" s="602"/>
      <c r="GJ69" s="530"/>
      <c r="GT69" s="1194"/>
      <c r="GU69" s="530"/>
      <c r="GV69" s="529"/>
      <c r="GW69" s="530"/>
      <c r="GX69" s="529"/>
      <c r="GY69" s="529"/>
      <c r="HA69" s="391"/>
    </row>
    <row r="70" spans="1:211" ht="20.100000000000001" customHeight="1">
      <c r="BC70" s="389"/>
      <c r="DF70" s="389"/>
      <c r="FI70" s="389"/>
      <c r="GJ70" s="391"/>
      <c r="GT70" s="689"/>
      <c r="GU70" s="529"/>
      <c r="GV70" s="529"/>
      <c r="GW70" s="529"/>
      <c r="GX70" s="529"/>
      <c r="GY70" s="529"/>
      <c r="HA70" s="530"/>
    </row>
    <row r="71" spans="1:211" ht="20.100000000000001" customHeight="1">
      <c r="BC71" s="389"/>
      <c r="DF71" s="389"/>
      <c r="FI71" s="389"/>
      <c r="GJ71" s="580"/>
      <c r="GS71" s="391"/>
      <c r="GT71" s="1273"/>
      <c r="GU71" s="530"/>
      <c r="GV71" s="391"/>
      <c r="GW71" s="530"/>
      <c r="GX71" s="391"/>
      <c r="GY71" s="579"/>
      <c r="GZ71" s="413"/>
      <c r="HA71" s="530"/>
      <c r="HB71" s="413"/>
    </row>
    <row r="72" spans="1:211" ht="20.100000000000001" customHeight="1">
      <c r="BC72" s="389"/>
      <c r="DF72" s="389"/>
      <c r="FI72" s="389"/>
      <c r="GJ72" s="530"/>
      <c r="GT72" s="1194"/>
      <c r="GU72" s="530"/>
      <c r="GV72" s="529"/>
      <c r="GW72" s="530"/>
      <c r="GX72" s="529"/>
      <c r="GY72" s="529"/>
      <c r="HA72" s="391"/>
    </row>
    <row r="73" spans="1:211" ht="20.100000000000001" customHeight="1">
      <c r="BC73" s="389"/>
      <c r="DF73" s="389"/>
      <c r="FI73" s="389"/>
      <c r="GJ73" s="530"/>
      <c r="GT73" s="1194"/>
      <c r="GU73" s="391"/>
      <c r="GV73" s="391"/>
      <c r="GW73" s="391"/>
      <c r="GX73" s="391"/>
      <c r="GY73" s="529"/>
      <c r="HA73" s="483"/>
    </row>
    <row r="74" spans="1:211" ht="20.100000000000001" customHeight="1">
      <c r="BC74" s="389"/>
      <c r="DF74" s="389"/>
      <c r="FI74" s="389"/>
      <c r="GT74" s="1194"/>
      <c r="GU74" s="483"/>
      <c r="GV74" s="486"/>
      <c r="GW74" s="483"/>
      <c r="GX74" s="486"/>
      <c r="GY74" s="391"/>
      <c r="HA74" s="580"/>
    </row>
    <row r="75" spans="1:211" ht="20.100000000000001" customHeight="1">
      <c r="BC75" s="389"/>
      <c r="DF75" s="389"/>
      <c r="FI75" s="389"/>
      <c r="GT75" s="391"/>
      <c r="GU75" s="580"/>
      <c r="GV75" s="413"/>
      <c r="GW75" s="580"/>
      <c r="GX75" s="413"/>
      <c r="GY75" s="486"/>
      <c r="HA75" s="530"/>
    </row>
    <row r="76" spans="1:211" ht="20.100000000000001" customHeight="1">
      <c r="BC76" s="389"/>
      <c r="DF76" s="389"/>
      <c r="FI76" s="389"/>
      <c r="GT76" s="486"/>
      <c r="GU76" s="530"/>
      <c r="GV76" s="529"/>
      <c r="GW76" s="530"/>
      <c r="GX76" s="529"/>
      <c r="GY76" s="413"/>
      <c r="HA76" s="530"/>
    </row>
    <row r="77" spans="1:211" ht="20.100000000000001" customHeight="1">
      <c r="BC77" s="389"/>
      <c r="DF77" s="389"/>
      <c r="FI77" s="389"/>
      <c r="GT77" s="861"/>
      <c r="GU77" s="530"/>
      <c r="GV77" s="529"/>
      <c r="GW77" s="530"/>
      <c r="GX77" s="529"/>
      <c r="GZ77" s="529"/>
    </row>
    <row r="78" spans="1:211" ht="20.100000000000001" customHeight="1">
      <c r="BC78" s="389"/>
      <c r="DF78" s="389"/>
      <c r="FI78" s="389"/>
      <c r="GT78" s="1194"/>
      <c r="GZ78" s="529"/>
    </row>
    <row r="79" spans="1:211" ht="20.100000000000001" customHeight="1">
      <c r="BC79" s="389"/>
      <c r="DF79" s="389"/>
      <c r="FI79" s="389"/>
      <c r="GT79" s="1194"/>
    </row>
    <row r="80" spans="1:211" ht="20.100000000000001" customHeight="1">
      <c r="BC80" s="389"/>
      <c r="DF80" s="389"/>
      <c r="FI80" s="389"/>
    </row>
    <row r="81" spans="55:165" ht="20.100000000000001" customHeight="1">
      <c r="BC81" s="389"/>
      <c r="DF81" s="389"/>
      <c r="FI81" s="389"/>
    </row>
    <row r="82" spans="55:165" ht="20.100000000000001" customHeight="1">
      <c r="BC82" s="389"/>
      <c r="DF82" s="389"/>
      <c r="FI82" s="389"/>
    </row>
    <row r="83" spans="55:165" ht="20.100000000000001" customHeight="1">
      <c r="BC83" s="389"/>
      <c r="DF83" s="389"/>
      <c r="FI83" s="389"/>
    </row>
    <row r="84" spans="55:165" ht="20.100000000000001" customHeight="1">
      <c r="BC84" s="389"/>
      <c r="DF84" s="389"/>
      <c r="FI84" s="389"/>
    </row>
    <row r="85" spans="55:165" ht="20.100000000000001" customHeight="1">
      <c r="BC85" s="389"/>
      <c r="DF85" s="389"/>
      <c r="FI85" s="389"/>
    </row>
    <row r="86" spans="55:165" ht="20.100000000000001" customHeight="1">
      <c r="BC86" s="389"/>
      <c r="DF86" s="389"/>
    </row>
    <row r="87" spans="55:165" ht="20.100000000000001" customHeight="1">
      <c r="BC87" s="389"/>
      <c r="DF87" s="389"/>
    </row>
    <row r="88" spans="55:165" ht="20.100000000000001" customHeight="1">
      <c r="BC88" s="389"/>
      <c r="DF88" s="389"/>
    </row>
    <row r="89" spans="55:165" ht="20.100000000000001" customHeight="1">
      <c r="BC89" s="389"/>
      <c r="DF89" s="389"/>
    </row>
  </sheetData>
  <dataConsolidate/>
  <mergeCells count="241">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A56:D57"/>
    <mergeCell ref="E56:F57"/>
    <mergeCell ref="BD56:BG57"/>
    <mergeCell ref="BH56:BI57"/>
    <mergeCell ref="DG56:DJ57"/>
    <mergeCell ref="FX49:FY51"/>
    <mergeCell ref="FZ49:GA51"/>
    <mergeCell ref="GB49:GC51"/>
    <mergeCell ref="GD49:GE51"/>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A41:A44"/>
    <mergeCell ref="BD41:BD44"/>
    <mergeCell ref="DG41:DG44"/>
    <mergeCell ref="FJ41:FJ44"/>
    <mergeCell ref="C38:D38"/>
    <mergeCell ref="E38:F38"/>
    <mergeCell ref="BF38:BG38"/>
    <mergeCell ref="BH38:BI38"/>
    <mergeCell ref="DI38:DJ38"/>
    <mergeCell ref="DK38:DL38"/>
    <mergeCell ref="FL38:FM38"/>
    <mergeCell ref="FN38:FO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A34:A36"/>
    <mergeCell ref="BD34:BD36"/>
    <mergeCell ref="DG34:DG36"/>
    <mergeCell ref="FJ34:FJ36"/>
    <mergeCell ref="B32:C32"/>
    <mergeCell ref="BE32:BF32"/>
    <mergeCell ref="DH32:DI32"/>
    <mergeCell ref="FK32:FL32"/>
    <mergeCell ref="B31:C31"/>
    <mergeCell ref="BE31:BF31"/>
    <mergeCell ref="DH31:DI31"/>
    <mergeCell ref="FK31:FL31"/>
    <mergeCell ref="A27:A33"/>
    <mergeCell ref="BD27:BD33"/>
    <mergeCell ref="DG27:DG33"/>
    <mergeCell ref="FJ27:FJ33"/>
    <mergeCell ref="A15:A26"/>
    <mergeCell ref="BD15:BD26"/>
    <mergeCell ref="DG15:DG26"/>
    <mergeCell ref="FJ15:FJ26"/>
    <mergeCell ref="GD10:GE43"/>
    <mergeCell ref="FJ7:FO8"/>
    <mergeCell ref="FV7:GE9"/>
    <mergeCell ref="A9:A14"/>
    <mergeCell ref="BD9:BD14"/>
    <mergeCell ref="DG9:DG14"/>
    <mergeCell ref="FJ9:FJ14"/>
    <mergeCell ref="FV10:FW43"/>
    <mergeCell ref="FX10:FY43"/>
    <mergeCell ref="FZ10:GA43"/>
    <mergeCell ref="GB10:GC43"/>
    <mergeCell ref="GA6:GB6"/>
    <mergeCell ref="GE6:GF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4"/>
  <printOptions horizontalCentered="1" gridLinesSet="0"/>
  <pageMargins left="0.39370078740157483" right="0.19685039370078741" top="0.78740157480314965" bottom="0.47244094488188981" header="0.59055118110236227" footer="0.31496062992125984"/>
  <pageSetup paperSize="9" scale="38" fitToWidth="0" orientation="landscape" horizontalDpi="4294967292" verticalDpi="400" r:id="rId1"/>
  <headerFooter scaleWithDoc="0" alignWithMargins="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13"/>
  <sheetViews>
    <sheetView showGridLines="0" zoomScale="90" zoomScaleNormal="90" workbookViewId="0"/>
  </sheetViews>
  <sheetFormatPr defaultColWidth="9.140625" defaultRowHeight="30" customHeight="1"/>
  <cols>
    <col min="1" max="1" width="69.28515625" style="9" customWidth="1"/>
    <col min="2" max="5" width="8" style="5" customWidth="1"/>
    <col min="6" max="16384" width="9.140625" style="5"/>
  </cols>
  <sheetData>
    <row r="1" spans="1:5" ht="30" customHeight="1">
      <c r="A1" s="1"/>
      <c r="B1" s="2"/>
      <c r="C1" s="3"/>
      <c r="D1" s="4" t="s">
        <v>0</v>
      </c>
      <c r="E1" s="2"/>
    </row>
    <row r="2" spans="1:5" ht="30" customHeight="1">
      <c r="A2" s="6"/>
    </row>
    <row r="3" spans="1:5" ht="30" customHeight="1">
      <c r="A3" s="6"/>
      <c r="D3" s="7"/>
    </row>
    <row r="4" spans="1:5" ht="30" customHeight="1">
      <c r="A4" s="6"/>
    </row>
    <row r="5" spans="1:5" ht="30" customHeight="1">
      <c r="A5" s="8" t="s">
        <v>1060</v>
      </c>
    </row>
    <row r="6" spans="1:5" ht="30" customHeight="1">
      <c r="A6" s="6"/>
    </row>
    <row r="7" spans="1:5" ht="30" customHeight="1">
      <c r="A7" s="6" t="s">
        <v>1061</v>
      </c>
    </row>
    <row r="8" spans="1:5" ht="30" customHeight="1">
      <c r="A8" s="6"/>
    </row>
    <row r="9" spans="1:5" ht="30" customHeight="1">
      <c r="A9" s="6"/>
    </row>
    <row r="10" spans="1:5" ht="30" customHeight="1">
      <c r="A10" s="6"/>
    </row>
    <row r="11" spans="1:5" ht="30" customHeight="1">
      <c r="A11" s="6"/>
    </row>
    <row r="12" spans="1:5" ht="30" customHeight="1">
      <c r="A12" s="6"/>
    </row>
    <row r="13" spans="1:5" ht="30" customHeight="1">
      <c r="A13" s="6"/>
    </row>
  </sheetData>
  <sheetProtection insertRows="0" deleteRows="0" sort="0" autoFilter="0"/>
  <phoneticPr fontId="4"/>
  <printOptions horizontalCentered="1"/>
  <pageMargins left="0.70866141732283472" right="0.70866141732283472" top="0.98425196850393704" bottom="0.51181102362204722" header="0.78740157480314965" footer="0.35433070866141736"/>
  <pageSetup paperSize="9" orientation="landscape" horizontalDpi="300" verticalDpi="300" r:id="rId1"/>
  <headerFooter scaleWithDoc="0" alignWithMargins="0">
    <oddFooter>&amp;C&amp;"ＭＳ Ｐゴシック,標準"&amp;9( &amp;P / &amp;N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L50"/>
  <sheetViews>
    <sheetView showGridLines="0" zoomScale="80" zoomScaleNormal="80" workbookViewId="0">
      <pane xSplit="6" ySplit="5" topLeftCell="G6" activePane="bottomRight" state="frozenSplit"/>
      <selection pane="topRight"/>
      <selection pane="bottomLeft"/>
      <selection pane="bottomRight"/>
    </sheetView>
  </sheetViews>
  <sheetFormatPr defaultColWidth="9.140625" defaultRowHeight="15" customHeight="1"/>
  <cols>
    <col min="1" max="1" width="5.42578125" style="1351" customWidth="1"/>
    <col min="2" max="2" width="7.5703125" style="1351" customWidth="1"/>
    <col min="3" max="3" width="26.28515625" style="1351" customWidth="1"/>
    <col min="4" max="7" width="7.7109375" style="1351" customWidth="1"/>
    <col min="8" max="9" width="7.7109375" style="1351" hidden="1" customWidth="1"/>
    <col min="10" max="10" width="7.7109375" style="1351" customWidth="1"/>
    <col min="11" max="11" width="8.7109375" style="1351" customWidth="1"/>
    <col min="12" max="14" width="7.7109375" style="1351" customWidth="1"/>
    <col min="15" max="16" width="7.7109375" style="1351" hidden="1" customWidth="1"/>
    <col min="17" max="17" width="7.7109375" style="1351" customWidth="1"/>
    <col min="18" max="18" width="8.7109375" style="1351" customWidth="1"/>
    <col min="19" max="20" width="7.7109375" style="1351" customWidth="1"/>
    <col min="21" max="16384" width="9.140625" style="1350"/>
  </cols>
  <sheetData>
    <row r="1" spans="1:38" s="1420" customFormat="1" ht="21" customHeight="1" thickBot="1">
      <c r="A1" s="1429" t="s">
        <v>1087</v>
      </c>
      <c r="B1" s="1428"/>
      <c r="C1" s="1427"/>
      <c r="D1" s="1426"/>
      <c r="E1" s="1425"/>
      <c r="F1" s="1424"/>
      <c r="G1" s="1425"/>
      <c r="H1" s="1425"/>
      <c r="I1" s="1425"/>
      <c r="J1" s="1424"/>
      <c r="K1" s="1424"/>
      <c r="L1" s="1424"/>
      <c r="M1" s="1424"/>
      <c r="N1" s="1424"/>
      <c r="O1" s="1425"/>
      <c r="P1" s="1425"/>
      <c r="Q1" s="1424"/>
      <c r="R1" s="1424"/>
      <c r="S1" s="1424"/>
      <c r="T1" s="1423"/>
      <c r="W1" s="1422" t="s">
        <v>1086</v>
      </c>
      <c r="X1" s="1421"/>
      <c r="Y1" s="1421"/>
      <c r="Z1" s="1421"/>
      <c r="AA1" s="1421"/>
      <c r="AB1" s="1421"/>
      <c r="AC1" s="1421"/>
      <c r="AD1" s="1421"/>
      <c r="AE1" s="1421"/>
      <c r="AF1" s="1421"/>
      <c r="AG1" s="1421"/>
      <c r="AH1" s="1421"/>
      <c r="AI1" s="1421"/>
      <c r="AJ1" s="1421"/>
      <c r="AK1" s="1421"/>
      <c r="AL1" s="1421"/>
    </row>
    <row r="2" spans="1:38" ht="13.5" customHeight="1">
      <c r="W2" s="1419" t="s">
        <v>1085</v>
      </c>
      <c r="X2" s="1417"/>
      <c r="Y2" s="1417"/>
      <c r="Z2" s="1417"/>
      <c r="AA2" s="1417"/>
      <c r="AB2" s="1417"/>
      <c r="AC2" s="1417"/>
      <c r="AD2" s="1416"/>
      <c r="AE2" s="1418" t="s">
        <v>1084</v>
      </c>
      <c r="AF2" s="1417"/>
      <c r="AG2" s="1417"/>
      <c r="AH2" s="1417"/>
      <c r="AI2" s="1417"/>
      <c r="AJ2" s="1417"/>
      <c r="AK2" s="1417"/>
      <c r="AL2" s="1416"/>
    </row>
    <row r="3" spans="1:38" ht="13.5" customHeight="1" thickBot="1">
      <c r="A3" s="1415" t="s">
        <v>394</v>
      </c>
      <c r="B3" s="1414" t="s">
        <v>370</v>
      </c>
      <c r="C3" s="1414" t="s">
        <v>1083</v>
      </c>
      <c r="D3" s="1413" t="s">
        <v>1082</v>
      </c>
      <c r="E3" s="1413" t="s">
        <v>1081</v>
      </c>
      <c r="F3" s="1412" t="s">
        <v>1080</v>
      </c>
      <c r="G3" s="1410" t="s">
        <v>1079</v>
      </c>
      <c r="H3" s="1409"/>
      <c r="I3" s="1409"/>
      <c r="J3" s="1409"/>
      <c r="K3" s="1409"/>
      <c r="L3" s="1409"/>
      <c r="M3" s="1411"/>
      <c r="N3" s="1410" t="s">
        <v>1078</v>
      </c>
      <c r="O3" s="1409"/>
      <c r="P3" s="1409"/>
      <c r="Q3" s="1409"/>
      <c r="R3" s="1409"/>
      <c r="S3" s="1409"/>
      <c r="T3" s="1408"/>
      <c r="W3" s="1407" t="s">
        <v>1077</v>
      </c>
      <c r="X3" s="1407"/>
      <c r="Y3" s="1407"/>
      <c r="Z3" s="1407"/>
      <c r="AA3" s="1406" t="s">
        <v>1076</v>
      </c>
      <c r="AB3" s="1406"/>
      <c r="AC3" s="1406"/>
      <c r="AD3" s="1406"/>
      <c r="AE3" s="1407" t="s">
        <v>1077</v>
      </c>
      <c r="AF3" s="1407"/>
      <c r="AG3" s="1407"/>
      <c r="AH3" s="1407"/>
      <c r="AI3" s="1406" t="s">
        <v>1076</v>
      </c>
      <c r="AJ3" s="1406"/>
      <c r="AK3" s="1406"/>
      <c r="AL3" s="1406"/>
    </row>
    <row r="4" spans="1:38" ht="22.5" customHeight="1">
      <c r="A4" s="1396"/>
      <c r="B4" s="1395"/>
      <c r="C4" s="1395"/>
      <c r="D4" s="1394"/>
      <c r="E4" s="1394"/>
      <c r="F4" s="1393"/>
      <c r="G4" s="1457" t="s">
        <v>1097</v>
      </c>
      <c r="H4" s="1454"/>
      <c r="I4" s="1455"/>
      <c r="J4" s="1404" t="s">
        <v>1075</v>
      </c>
      <c r="K4" s="1403" t="s">
        <v>1074</v>
      </c>
      <c r="L4" s="1403" t="s">
        <v>1073</v>
      </c>
      <c r="M4" s="1405" t="s">
        <v>1072</v>
      </c>
      <c r="N4" s="1457" t="s">
        <v>1097</v>
      </c>
      <c r="O4" s="1454"/>
      <c r="P4" s="1455"/>
      <c r="Q4" s="1404" t="s">
        <v>1075</v>
      </c>
      <c r="R4" s="1403" t="s">
        <v>1074</v>
      </c>
      <c r="S4" s="1403" t="s">
        <v>1073</v>
      </c>
      <c r="T4" s="1402" t="s">
        <v>1072</v>
      </c>
      <c r="W4" s="1399" t="s">
        <v>1071</v>
      </c>
      <c r="X4" s="1398" t="s">
        <v>1070</v>
      </c>
      <c r="Y4" s="1398" t="s">
        <v>1069</v>
      </c>
      <c r="Z4" s="1397" t="s">
        <v>1068</v>
      </c>
      <c r="AA4" s="1401" t="s">
        <v>1071</v>
      </c>
      <c r="AB4" s="1398" t="s">
        <v>1070</v>
      </c>
      <c r="AC4" s="1398" t="s">
        <v>1069</v>
      </c>
      <c r="AD4" s="1397" t="s">
        <v>1068</v>
      </c>
      <c r="AE4" s="1401" t="s">
        <v>1071</v>
      </c>
      <c r="AF4" s="1398" t="s">
        <v>1070</v>
      </c>
      <c r="AG4" s="1398" t="s">
        <v>1069</v>
      </c>
      <c r="AH4" s="1400" t="s">
        <v>1068</v>
      </c>
      <c r="AI4" s="1399" t="s">
        <v>1071</v>
      </c>
      <c r="AJ4" s="1398" t="s">
        <v>1070</v>
      </c>
      <c r="AK4" s="1398" t="s">
        <v>1069</v>
      </c>
      <c r="AL4" s="1397" t="s">
        <v>1068</v>
      </c>
    </row>
    <row r="5" spans="1:38" ht="15" customHeight="1">
      <c r="A5" s="1396"/>
      <c r="B5" s="1395"/>
      <c r="C5" s="1395"/>
      <c r="D5" s="1394"/>
      <c r="E5" s="1394"/>
      <c r="F5" s="1393"/>
      <c r="G5" s="1456"/>
      <c r="H5" s="1391" t="s">
        <v>1067</v>
      </c>
      <c r="I5" s="1390" t="s">
        <v>1066</v>
      </c>
      <c r="J5" s="1389"/>
      <c r="K5" s="1388"/>
      <c r="L5" s="1388"/>
      <c r="M5" s="1392"/>
      <c r="N5" s="1456"/>
      <c r="O5" s="1391" t="s">
        <v>1067</v>
      </c>
      <c r="P5" s="1390" t="s">
        <v>1066</v>
      </c>
      <c r="Q5" s="1389"/>
      <c r="R5" s="1388"/>
      <c r="S5" s="1388"/>
      <c r="T5" s="1387"/>
      <c r="W5" s="1384" t="s">
        <v>1065</v>
      </c>
      <c r="X5" s="1383" t="s">
        <v>1064</v>
      </c>
      <c r="Y5" s="1383" t="s">
        <v>1063</v>
      </c>
      <c r="Z5" s="1382" t="s">
        <v>1062</v>
      </c>
      <c r="AA5" s="1386" t="s">
        <v>1065</v>
      </c>
      <c r="AB5" s="1383" t="s">
        <v>1064</v>
      </c>
      <c r="AC5" s="1383" t="s">
        <v>1063</v>
      </c>
      <c r="AD5" s="1382" t="s">
        <v>1062</v>
      </c>
      <c r="AE5" s="1386" t="s">
        <v>1065</v>
      </c>
      <c r="AF5" s="1383" t="s">
        <v>1064</v>
      </c>
      <c r="AG5" s="1383" t="s">
        <v>1063</v>
      </c>
      <c r="AH5" s="1385" t="s">
        <v>1062</v>
      </c>
      <c r="AI5" s="1384" t="s">
        <v>1065</v>
      </c>
      <c r="AJ5" s="1383" t="s">
        <v>1064</v>
      </c>
      <c r="AK5" s="1383" t="s">
        <v>1063</v>
      </c>
      <c r="AL5" s="1382" t="s">
        <v>1062</v>
      </c>
    </row>
    <row r="6" spans="1:38" ht="15" customHeight="1">
      <c r="A6" s="1381">
        <v>1</v>
      </c>
      <c r="B6" s="1380">
        <v>101</v>
      </c>
      <c r="C6" s="1379" t="s">
        <v>644</v>
      </c>
      <c r="D6" s="1378">
        <v>194.8</v>
      </c>
      <c r="E6" s="1377">
        <v>3.5</v>
      </c>
      <c r="F6" s="1377">
        <v>681.8</v>
      </c>
      <c r="G6" s="1376">
        <v>26562</v>
      </c>
      <c r="H6" s="1373"/>
      <c r="I6" s="1373">
        <v>26562</v>
      </c>
      <c r="J6" s="1373">
        <v>136</v>
      </c>
      <c r="K6" s="1375">
        <v>26698</v>
      </c>
      <c r="L6" s="1371">
        <v>3666</v>
      </c>
      <c r="M6" s="1374">
        <v>30364</v>
      </c>
      <c r="N6" s="1373">
        <v>10993</v>
      </c>
      <c r="O6" s="1373"/>
      <c r="P6" s="1373">
        <v>10993</v>
      </c>
      <c r="Q6" s="1371">
        <v>0</v>
      </c>
      <c r="R6" s="1372">
        <v>10993</v>
      </c>
      <c r="S6" s="1371">
        <v>845</v>
      </c>
      <c r="T6" s="1370">
        <v>11838</v>
      </c>
      <c r="W6" s="1357">
        <v>26</v>
      </c>
      <c r="X6" s="1357">
        <v>50</v>
      </c>
      <c r="Y6" s="1357">
        <v>53</v>
      </c>
      <c r="Z6" s="1357">
        <v>10.5</v>
      </c>
      <c r="AA6" s="1357">
        <v>19</v>
      </c>
      <c r="AB6" s="1357">
        <v>40</v>
      </c>
      <c r="AC6" s="1357">
        <v>33</v>
      </c>
      <c r="AD6" s="1357">
        <v>5.5</v>
      </c>
      <c r="AE6" s="1357">
        <v>26</v>
      </c>
      <c r="AF6" s="1357">
        <v>50</v>
      </c>
      <c r="AG6" s="1357">
        <v>53</v>
      </c>
      <c r="AH6" s="1357">
        <v>10.5</v>
      </c>
      <c r="AI6" s="1357">
        <v>19</v>
      </c>
      <c r="AJ6" s="1357">
        <v>10</v>
      </c>
      <c r="AK6" s="1357">
        <v>22.7</v>
      </c>
      <c r="AL6" s="1357">
        <v>1.4</v>
      </c>
    </row>
    <row r="7" spans="1:38" ht="15" customHeight="1">
      <c r="A7" s="1369">
        <v>1</v>
      </c>
      <c r="B7" s="1368">
        <v>102</v>
      </c>
      <c r="C7" s="1367" t="s">
        <v>760</v>
      </c>
      <c r="D7" s="1366">
        <v>73.8</v>
      </c>
      <c r="E7" s="1365">
        <v>3.5</v>
      </c>
      <c r="F7" s="1365">
        <v>258.3</v>
      </c>
      <c r="G7" s="1364">
        <v>6229</v>
      </c>
      <c r="H7" s="1361"/>
      <c r="I7" s="1361">
        <v>6229</v>
      </c>
      <c r="J7" s="1361">
        <v>544</v>
      </c>
      <c r="K7" s="1363">
        <v>6773</v>
      </c>
      <c r="L7" s="1359">
        <v>2200</v>
      </c>
      <c r="M7" s="1362">
        <v>8973</v>
      </c>
      <c r="N7" s="1361">
        <v>4908</v>
      </c>
      <c r="O7" s="1361"/>
      <c r="P7" s="1361">
        <v>4908</v>
      </c>
      <c r="Q7" s="1359">
        <v>0</v>
      </c>
      <c r="R7" s="1360">
        <v>4908</v>
      </c>
      <c r="S7" s="1359">
        <v>520</v>
      </c>
      <c r="T7" s="1358">
        <v>5428</v>
      </c>
      <c r="W7" s="1357">
        <v>26</v>
      </c>
      <c r="X7" s="1357">
        <v>50</v>
      </c>
      <c r="Y7" s="1357">
        <v>53</v>
      </c>
      <c r="Z7" s="1357">
        <v>10.5</v>
      </c>
      <c r="AA7" s="1357">
        <v>19</v>
      </c>
      <c r="AB7" s="1357">
        <v>40</v>
      </c>
      <c r="AC7" s="1357">
        <v>33</v>
      </c>
      <c r="AD7" s="1357">
        <v>5.5</v>
      </c>
      <c r="AE7" s="1357">
        <v>26</v>
      </c>
      <c r="AF7" s="1357">
        <v>50</v>
      </c>
      <c r="AG7" s="1357">
        <v>53</v>
      </c>
      <c r="AH7" s="1357">
        <v>10.5</v>
      </c>
      <c r="AI7" s="1357">
        <v>19</v>
      </c>
      <c r="AJ7" s="1357">
        <v>10</v>
      </c>
      <c r="AK7" s="1357">
        <v>22.7</v>
      </c>
      <c r="AL7" s="1357">
        <v>1.4</v>
      </c>
    </row>
    <row r="8" spans="1:38" ht="15" customHeight="1">
      <c r="A8" s="1369"/>
      <c r="B8" s="1368"/>
      <c r="C8" s="1367"/>
      <c r="D8" s="1366"/>
      <c r="E8" s="1365"/>
      <c r="F8" s="1365"/>
      <c r="G8" s="1364"/>
      <c r="H8" s="1361"/>
      <c r="I8" s="1361"/>
      <c r="J8" s="1361"/>
      <c r="K8" s="1363"/>
      <c r="L8" s="1359"/>
      <c r="M8" s="1362"/>
      <c r="N8" s="1361"/>
      <c r="O8" s="1361"/>
      <c r="P8" s="1361"/>
      <c r="Q8" s="1359"/>
      <c r="R8" s="1360"/>
      <c r="S8" s="1359"/>
      <c r="T8" s="1358"/>
      <c r="W8" s="1357"/>
      <c r="X8" s="1357"/>
      <c r="Y8" s="1357"/>
      <c r="Z8" s="1357"/>
      <c r="AA8" s="1357"/>
      <c r="AB8" s="1357"/>
      <c r="AC8" s="1357"/>
      <c r="AD8" s="1357"/>
      <c r="AE8" s="1357"/>
      <c r="AF8" s="1357"/>
      <c r="AG8" s="1357"/>
      <c r="AH8" s="1357"/>
      <c r="AI8" s="1357"/>
      <c r="AJ8" s="1357"/>
      <c r="AK8" s="1357"/>
      <c r="AL8" s="1357"/>
    </row>
    <row r="9" spans="1:38" ht="15" customHeight="1">
      <c r="A9" s="1369"/>
      <c r="B9" s="1368"/>
      <c r="C9" s="1367"/>
      <c r="D9" s="1366"/>
      <c r="E9" s="1365"/>
      <c r="F9" s="1365"/>
      <c r="G9" s="1364"/>
      <c r="H9" s="1361"/>
      <c r="I9" s="1361"/>
      <c r="J9" s="1361"/>
      <c r="K9" s="1363"/>
      <c r="L9" s="1359"/>
      <c r="M9" s="1362"/>
      <c r="N9" s="1361"/>
      <c r="O9" s="1361"/>
      <c r="P9" s="1361"/>
      <c r="Q9" s="1359"/>
      <c r="R9" s="1360"/>
      <c r="S9" s="1359"/>
      <c r="T9" s="1358"/>
      <c r="W9" s="1357"/>
      <c r="X9" s="1357"/>
      <c r="Y9" s="1357"/>
      <c r="Z9" s="1357"/>
      <c r="AA9" s="1357"/>
      <c r="AB9" s="1357"/>
      <c r="AC9" s="1357"/>
      <c r="AD9" s="1357"/>
      <c r="AE9" s="1357"/>
      <c r="AF9" s="1357"/>
      <c r="AG9" s="1357"/>
      <c r="AH9" s="1357"/>
      <c r="AI9" s="1357"/>
      <c r="AJ9" s="1357"/>
      <c r="AK9" s="1357"/>
      <c r="AL9" s="1357"/>
    </row>
    <row r="10" spans="1:38" ht="15" customHeight="1">
      <c r="A10" s="1369"/>
      <c r="B10" s="1368"/>
      <c r="C10" s="1367"/>
      <c r="D10" s="1366"/>
      <c r="E10" s="1365"/>
      <c r="F10" s="1365"/>
      <c r="G10" s="1364"/>
      <c r="H10" s="1361"/>
      <c r="I10" s="1361"/>
      <c r="J10" s="1361"/>
      <c r="K10" s="1363"/>
      <c r="L10" s="1359"/>
      <c r="M10" s="1362"/>
      <c r="N10" s="1361"/>
      <c r="O10" s="1361"/>
      <c r="P10" s="1361"/>
      <c r="Q10" s="1359"/>
      <c r="R10" s="1360"/>
      <c r="S10" s="1359"/>
      <c r="T10" s="1358"/>
      <c r="W10" s="1357"/>
      <c r="X10" s="1357"/>
      <c r="Y10" s="1357"/>
      <c r="Z10" s="1357"/>
      <c r="AA10" s="1357"/>
      <c r="AB10" s="1357"/>
      <c r="AC10" s="1357"/>
      <c r="AD10" s="1357"/>
      <c r="AE10" s="1357"/>
      <c r="AF10" s="1357"/>
      <c r="AG10" s="1357"/>
      <c r="AH10" s="1357"/>
      <c r="AI10" s="1357"/>
      <c r="AJ10" s="1357"/>
      <c r="AK10" s="1357"/>
      <c r="AL10" s="1357"/>
    </row>
    <row r="11" spans="1:38" ht="15" customHeight="1">
      <c r="A11" s="1369"/>
      <c r="B11" s="1368"/>
      <c r="C11" s="1367"/>
      <c r="D11" s="1366"/>
      <c r="E11" s="1365"/>
      <c r="F11" s="1365"/>
      <c r="G11" s="1364"/>
      <c r="H11" s="1361"/>
      <c r="I11" s="1361"/>
      <c r="J11" s="1361"/>
      <c r="K11" s="1363"/>
      <c r="L11" s="1359"/>
      <c r="M11" s="1362"/>
      <c r="N11" s="1361"/>
      <c r="O11" s="1361"/>
      <c r="P11" s="1361"/>
      <c r="Q11" s="1359"/>
      <c r="R11" s="1360"/>
      <c r="S11" s="1359"/>
      <c r="T11" s="1358"/>
      <c r="W11" s="1357"/>
      <c r="X11" s="1357"/>
      <c r="Y11" s="1357"/>
      <c r="Z11" s="1357"/>
      <c r="AA11" s="1357"/>
      <c r="AB11" s="1357"/>
      <c r="AC11" s="1357"/>
      <c r="AD11" s="1357"/>
      <c r="AE11" s="1357"/>
      <c r="AF11" s="1357"/>
      <c r="AG11" s="1357"/>
      <c r="AH11" s="1357"/>
      <c r="AI11" s="1357"/>
      <c r="AJ11" s="1357"/>
      <c r="AK11" s="1357"/>
      <c r="AL11" s="1357"/>
    </row>
    <row r="12" spans="1:38" ht="15" customHeight="1">
      <c r="A12" s="1369"/>
      <c r="B12" s="1368"/>
      <c r="C12" s="1367"/>
      <c r="D12" s="1366"/>
      <c r="E12" s="1365"/>
      <c r="F12" s="1365"/>
      <c r="G12" s="1364"/>
      <c r="H12" s="1361"/>
      <c r="I12" s="1361"/>
      <c r="J12" s="1361"/>
      <c r="K12" s="1363"/>
      <c r="L12" s="1359"/>
      <c r="M12" s="1362"/>
      <c r="N12" s="1361"/>
      <c r="O12" s="1361"/>
      <c r="P12" s="1361"/>
      <c r="Q12" s="1359"/>
      <c r="R12" s="1360"/>
      <c r="S12" s="1359"/>
      <c r="T12" s="1358"/>
      <c r="W12" s="1357"/>
      <c r="X12" s="1357"/>
      <c r="Y12" s="1357"/>
      <c r="Z12" s="1357"/>
      <c r="AA12" s="1357"/>
      <c r="AB12" s="1357"/>
      <c r="AC12" s="1357"/>
      <c r="AD12" s="1357"/>
      <c r="AE12" s="1357"/>
      <c r="AF12" s="1357"/>
      <c r="AG12" s="1357"/>
      <c r="AH12" s="1357"/>
      <c r="AI12" s="1357"/>
      <c r="AJ12" s="1357"/>
      <c r="AK12" s="1357"/>
      <c r="AL12" s="1357"/>
    </row>
    <row r="13" spans="1:38" ht="15" customHeight="1">
      <c r="A13" s="1369"/>
      <c r="B13" s="1368"/>
      <c r="C13" s="1367"/>
      <c r="D13" s="1366"/>
      <c r="E13" s="1365"/>
      <c r="F13" s="1365"/>
      <c r="G13" s="1364"/>
      <c r="H13" s="1361"/>
      <c r="I13" s="1361"/>
      <c r="J13" s="1361"/>
      <c r="K13" s="1363"/>
      <c r="L13" s="1359"/>
      <c r="M13" s="1362"/>
      <c r="N13" s="1361"/>
      <c r="O13" s="1361"/>
      <c r="P13" s="1361"/>
      <c r="Q13" s="1359"/>
      <c r="R13" s="1360"/>
      <c r="S13" s="1359"/>
      <c r="T13" s="1358"/>
      <c r="W13" s="1357"/>
      <c r="X13" s="1357"/>
      <c r="Y13" s="1357"/>
      <c r="Z13" s="1357"/>
      <c r="AA13" s="1357"/>
      <c r="AB13" s="1357"/>
      <c r="AC13" s="1357"/>
      <c r="AD13" s="1357"/>
      <c r="AE13" s="1357"/>
      <c r="AF13" s="1357"/>
      <c r="AG13" s="1357"/>
      <c r="AH13" s="1357"/>
      <c r="AI13" s="1357"/>
      <c r="AJ13" s="1357"/>
      <c r="AK13" s="1357"/>
      <c r="AL13" s="1357"/>
    </row>
    <row r="14" spans="1:38" ht="15" customHeight="1">
      <c r="A14" s="1369"/>
      <c r="B14" s="1368"/>
      <c r="C14" s="1367"/>
      <c r="D14" s="1366"/>
      <c r="E14" s="1365"/>
      <c r="F14" s="1365"/>
      <c r="G14" s="1364"/>
      <c r="H14" s="1361"/>
      <c r="I14" s="1361"/>
      <c r="J14" s="1361"/>
      <c r="K14" s="1363"/>
      <c r="L14" s="1359"/>
      <c r="M14" s="1362"/>
      <c r="N14" s="1361"/>
      <c r="O14" s="1361"/>
      <c r="P14" s="1361"/>
      <c r="Q14" s="1359"/>
      <c r="R14" s="1360"/>
      <c r="S14" s="1359"/>
      <c r="T14" s="1358"/>
      <c r="W14" s="1357"/>
      <c r="X14" s="1357"/>
      <c r="Y14" s="1357"/>
      <c r="Z14" s="1357"/>
      <c r="AA14" s="1357"/>
      <c r="AB14" s="1357"/>
      <c r="AC14" s="1357"/>
      <c r="AD14" s="1357"/>
      <c r="AE14" s="1357"/>
      <c r="AF14" s="1357"/>
      <c r="AG14" s="1357"/>
      <c r="AH14" s="1357"/>
      <c r="AI14" s="1357"/>
      <c r="AJ14" s="1357"/>
      <c r="AK14" s="1357"/>
      <c r="AL14" s="1357"/>
    </row>
    <row r="15" spans="1:38" ht="15" customHeight="1">
      <c r="A15" s="1369"/>
      <c r="B15" s="1368"/>
      <c r="C15" s="1367"/>
      <c r="D15" s="1366"/>
      <c r="E15" s="1365"/>
      <c r="F15" s="1365"/>
      <c r="G15" s="1364"/>
      <c r="H15" s="1361"/>
      <c r="I15" s="1361"/>
      <c r="J15" s="1361"/>
      <c r="K15" s="1363"/>
      <c r="L15" s="1359"/>
      <c r="M15" s="1362"/>
      <c r="N15" s="1361"/>
      <c r="O15" s="1361"/>
      <c r="P15" s="1361"/>
      <c r="Q15" s="1359"/>
      <c r="R15" s="1360"/>
      <c r="S15" s="1359"/>
      <c r="T15" s="1358"/>
      <c r="W15" s="1357"/>
      <c r="X15" s="1357"/>
      <c r="Y15" s="1357"/>
      <c r="Z15" s="1357"/>
      <c r="AA15" s="1357"/>
      <c r="AB15" s="1357"/>
      <c r="AC15" s="1357"/>
      <c r="AD15" s="1357"/>
      <c r="AE15" s="1357"/>
      <c r="AF15" s="1357"/>
      <c r="AG15" s="1357"/>
      <c r="AH15" s="1357"/>
      <c r="AI15" s="1357"/>
      <c r="AJ15" s="1357"/>
      <c r="AK15" s="1357"/>
      <c r="AL15" s="1357"/>
    </row>
    <row r="16" spans="1:38" ht="15" customHeight="1">
      <c r="A16" s="1369"/>
      <c r="B16" s="1368"/>
      <c r="C16" s="1367"/>
      <c r="D16" s="1366"/>
      <c r="E16" s="1365"/>
      <c r="F16" s="1365"/>
      <c r="G16" s="1364"/>
      <c r="H16" s="1361"/>
      <c r="I16" s="1361"/>
      <c r="J16" s="1361"/>
      <c r="K16" s="1363"/>
      <c r="L16" s="1359"/>
      <c r="M16" s="1362"/>
      <c r="N16" s="1361"/>
      <c r="O16" s="1361"/>
      <c r="P16" s="1361"/>
      <c r="Q16" s="1359"/>
      <c r="R16" s="1360"/>
      <c r="S16" s="1359"/>
      <c r="T16" s="1358"/>
      <c r="W16" s="1357"/>
      <c r="X16" s="1357"/>
      <c r="Y16" s="1357"/>
      <c r="Z16" s="1357"/>
      <c r="AA16" s="1357"/>
      <c r="AB16" s="1357"/>
      <c r="AC16" s="1357"/>
      <c r="AD16" s="1357"/>
      <c r="AE16" s="1357"/>
      <c r="AF16" s="1357"/>
      <c r="AG16" s="1357"/>
      <c r="AH16" s="1357"/>
      <c r="AI16" s="1357"/>
      <c r="AJ16" s="1357"/>
      <c r="AK16" s="1357"/>
      <c r="AL16" s="1357"/>
    </row>
    <row r="17" spans="1:38" ht="15" customHeight="1">
      <c r="A17" s="1369"/>
      <c r="B17" s="1368"/>
      <c r="C17" s="1367"/>
      <c r="D17" s="1366"/>
      <c r="E17" s="1365"/>
      <c r="F17" s="1365"/>
      <c r="G17" s="1364"/>
      <c r="H17" s="1361"/>
      <c r="I17" s="1361"/>
      <c r="J17" s="1361"/>
      <c r="K17" s="1363"/>
      <c r="L17" s="1359"/>
      <c r="M17" s="1362"/>
      <c r="N17" s="1361"/>
      <c r="O17" s="1361"/>
      <c r="P17" s="1361"/>
      <c r="Q17" s="1359"/>
      <c r="R17" s="1360"/>
      <c r="S17" s="1359"/>
      <c r="T17" s="1358"/>
      <c r="W17" s="1357"/>
      <c r="X17" s="1357"/>
      <c r="Y17" s="1357"/>
      <c r="Z17" s="1357"/>
      <c r="AA17" s="1357"/>
      <c r="AB17" s="1357"/>
      <c r="AC17" s="1357"/>
      <c r="AD17" s="1357"/>
      <c r="AE17" s="1357"/>
      <c r="AF17" s="1357"/>
      <c r="AG17" s="1357"/>
      <c r="AH17" s="1357"/>
      <c r="AI17" s="1357"/>
      <c r="AJ17" s="1357"/>
      <c r="AK17" s="1357"/>
      <c r="AL17" s="1357"/>
    </row>
    <row r="18" spans="1:38" ht="15" customHeight="1">
      <c r="A18" s="1369"/>
      <c r="B18" s="1368"/>
      <c r="C18" s="1367"/>
      <c r="D18" s="1366"/>
      <c r="E18" s="1365"/>
      <c r="F18" s="1365"/>
      <c r="G18" s="1364"/>
      <c r="H18" s="1361"/>
      <c r="I18" s="1361"/>
      <c r="J18" s="1361"/>
      <c r="K18" s="1363"/>
      <c r="L18" s="1359"/>
      <c r="M18" s="1362"/>
      <c r="N18" s="1361"/>
      <c r="O18" s="1361"/>
      <c r="P18" s="1361"/>
      <c r="Q18" s="1359"/>
      <c r="R18" s="1360"/>
      <c r="S18" s="1359"/>
      <c r="T18" s="1358"/>
      <c r="W18" s="1357"/>
      <c r="X18" s="1357"/>
      <c r="Y18" s="1357"/>
      <c r="Z18" s="1357"/>
      <c r="AA18" s="1357"/>
      <c r="AB18" s="1357"/>
      <c r="AC18" s="1357"/>
      <c r="AD18" s="1357"/>
      <c r="AE18" s="1357"/>
      <c r="AF18" s="1357"/>
      <c r="AG18" s="1357"/>
      <c r="AH18" s="1357"/>
      <c r="AI18" s="1357"/>
      <c r="AJ18" s="1357"/>
      <c r="AK18" s="1357"/>
      <c r="AL18" s="1357"/>
    </row>
    <row r="19" spans="1:38" ht="15" customHeight="1">
      <c r="A19" s="1369"/>
      <c r="B19" s="1368"/>
      <c r="C19" s="1367"/>
      <c r="D19" s="1366"/>
      <c r="E19" s="1365"/>
      <c r="F19" s="1365"/>
      <c r="G19" s="1364"/>
      <c r="H19" s="1361"/>
      <c r="I19" s="1361"/>
      <c r="J19" s="1361"/>
      <c r="K19" s="1363"/>
      <c r="L19" s="1359"/>
      <c r="M19" s="1362"/>
      <c r="N19" s="1361"/>
      <c r="O19" s="1361"/>
      <c r="P19" s="1361"/>
      <c r="Q19" s="1359"/>
      <c r="R19" s="1360"/>
      <c r="S19" s="1359"/>
      <c r="T19" s="1358"/>
      <c r="W19" s="1357"/>
      <c r="X19" s="1357"/>
      <c r="Y19" s="1357"/>
      <c r="Z19" s="1357"/>
      <c r="AA19" s="1357"/>
      <c r="AB19" s="1357"/>
      <c r="AC19" s="1357"/>
      <c r="AD19" s="1357"/>
      <c r="AE19" s="1357"/>
      <c r="AF19" s="1357"/>
      <c r="AG19" s="1357"/>
      <c r="AH19" s="1357"/>
      <c r="AI19" s="1357"/>
      <c r="AJ19" s="1357"/>
      <c r="AK19" s="1357"/>
      <c r="AL19" s="1357"/>
    </row>
    <row r="20" spans="1:38" ht="15" customHeight="1">
      <c r="A20" s="1369"/>
      <c r="B20" s="1368"/>
      <c r="C20" s="1367"/>
      <c r="D20" s="1366"/>
      <c r="E20" s="1365"/>
      <c r="F20" s="1365"/>
      <c r="G20" s="1364"/>
      <c r="H20" s="1361"/>
      <c r="I20" s="1361"/>
      <c r="J20" s="1361"/>
      <c r="K20" s="1363"/>
      <c r="L20" s="1359"/>
      <c r="M20" s="1362"/>
      <c r="N20" s="1361"/>
      <c r="O20" s="1361"/>
      <c r="P20" s="1361"/>
      <c r="Q20" s="1359"/>
      <c r="R20" s="1360"/>
      <c r="S20" s="1359"/>
      <c r="T20" s="1358"/>
      <c r="W20" s="1357"/>
      <c r="X20" s="1357"/>
      <c r="Y20" s="1357"/>
      <c r="Z20" s="1357"/>
      <c r="AA20" s="1357"/>
      <c r="AB20" s="1357"/>
      <c r="AC20" s="1357"/>
      <c r="AD20" s="1357"/>
      <c r="AE20" s="1357"/>
      <c r="AF20" s="1357"/>
      <c r="AG20" s="1357"/>
      <c r="AH20" s="1357"/>
      <c r="AI20" s="1357"/>
      <c r="AJ20" s="1357"/>
      <c r="AK20" s="1357"/>
      <c r="AL20" s="1357"/>
    </row>
    <row r="21" spans="1:38" ht="15" customHeight="1">
      <c r="A21" s="1369"/>
      <c r="B21" s="1368"/>
      <c r="C21" s="1367"/>
      <c r="D21" s="1366"/>
      <c r="E21" s="1365"/>
      <c r="F21" s="1365"/>
      <c r="G21" s="1364"/>
      <c r="H21" s="1361"/>
      <c r="I21" s="1361"/>
      <c r="J21" s="1361"/>
      <c r="K21" s="1363"/>
      <c r="L21" s="1359"/>
      <c r="M21" s="1362"/>
      <c r="N21" s="1361"/>
      <c r="O21" s="1361"/>
      <c r="P21" s="1361"/>
      <c r="Q21" s="1359"/>
      <c r="R21" s="1360"/>
      <c r="S21" s="1359"/>
      <c r="T21" s="1358"/>
      <c r="W21" s="1357"/>
      <c r="X21" s="1357"/>
      <c r="Y21" s="1357"/>
      <c r="Z21" s="1357"/>
      <c r="AA21" s="1357"/>
      <c r="AB21" s="1357"/>
      <c r="AC21" s="1357"/>
      <c r="AD21" s="1357"/>
      <c r="AE21" s="1357"/>
      <c r="AF21" s="1357"/>
      <c r="AG21" s="1357"/>
      <c r="AH21" s="1357"/>
      <c r="AI21" s="1357"/>
      <c r="AJ21" s="1357"/>
      <c r="AK21" s="1357"/>
      <c r="AL21" s="1357"/>
    </row>
    <row r="22" spans="1:38" ht="15" customHeight="1">
      <c r="A22" s="1369"/>
      <c r="B22" s="1368"/>
      <c r="C22" s="1367"/>
      <c r="D22" s="1366"/>
      <c r="E22" s="1365"/>
      <c r="F22" s="1365"/>
      <c r="G22" s="1364"/>
      <c r="H22" s="1361"/>
      <c r="I22" s="1361"/>
      <c r="J22" s="1361"/>
      <c r="K22" s="1363"/>
      <c r="L22" s="1359"/>
      <c r="M22" s="1362"/>
      <c r="N22" s="1361"/>
      <c r="O22" s="1361"/>
      <c r="P22" s="1361"/>
      <c r="Q22" s="1359"/>
      <c r="R22" s="1360"/>
      <c r="S22" s="1359"/>
      <c r="T22" s="1358"/>
      <c r="W22" s="1357"/>
      <c r="X22" s="1357"/>
      <c r="Y22" s="1357"/>
      <c r="Z22" s="1357"/>
      <c r="AA22" s="1357"/>
      <c r="AB22" s="1357"/>
      <c r="AC22" s="1357"/>
      <c r="AD22" s="1357"/>
      <c r="AE22" s="1357"/>
      <c r="AF22" s="1357"/>
      <c r="AG22" s="1357"/>
      <c r="AH22" s="1357"/>
      <c r="AI22" s="1357"/>
      <c r="AJ22" s="1357"/>
      <c r="AK22" s="1357"/>
      <c r="AL22" s="1357"/>
    </row>
    <row r="23" spans="1:38" ht="15" customHeight="1">
      <c r="A23" s="1369"/>
      <c r="B23" s="1368"/>
      <c r="C23" s="1367"/>
      <c r="D23" s="1366"/>
      <c r="E23" s="1365"/>
      <c r="F23" s="1365"/>
      <c r="G23" s="1364"/>
      <c r="H23" s="1361"/>
      <c r="I23" s="1361"/>
      <c r="J23" s="1361"/>
      <c r="K23" s="1363"/>
      <c r="L23" s="1359"/>
      <c r="M23" s="1362"/>
      <c r="N23" s="1361"/>
      <c r="O23" s="1361"/>
      <c r="P23" s="1361"/>
      <c r="Q23" s="1359"/>
      <c r="R23" s="1360"/>
      <c r="S23" s="1359"/>
      <c r="T23" s="1358"/>
      <c r="W23" s="1357"/>
      <c r="X23" s="1357"/>
      <c r="Y23" s="1357"/>
      <c r="Z23" s="1357"/>
      <c r="AA23" s="1357"/>
      <c r="AB23" s="1357"/>
      <c r="AC23" s="1357"/>
      <c r="AD23" s="1357"/>
      <c r="AE23" s="1357"/>
      <c r="AF23" s="1357"/>
      <c r="AG23" s="1357"/>
      <c r="AH23" s="1357"/>
      <c r="AI23" s="1357"/>
      <c r="AJ23" s="1357"/>
      <c r="AK23" s="1357"/>
      <c r="AL23" s="1357"/>
    </row>
    <row r="24" spans="1:38" ht="15" customHeight="1">
      <c r="A24" s="1369"/>
      <c r="B24" s="1368"/>
      <c r="C24" s="1367"/>
      <c r="D24" s="1366"/>
      <c r="E24" s="1365"/>
      <c r="F24" s="1365"/>
      <c r="G24" s="1364"/>
      <c r="H24" s="1361"/>
      <c r="I24" s="1361"/>
      <c r="J24" s="1361"/>
      <c r="K24" s="1363"/>
      <c r="L24" s="1359"/>
      <c r="M24" s="1362"/>
      <c r="N24" s="1361"/>
      <c r="O24" s="1361"/>
      <c r="P24" s="1361"/>
      <c r="Q24" s="1359"/>
      <c r="R24" s="1360"/>
      <c r="S24" s="1359"/>
      <c r="T24" s="1358"/>
      <c r="W24" s="1357"/>
      <c r="X24" s="1357"/>
      <c r="Y24" s="1357"/>
      <c r="Z24" s="1357"/>
      <c r="AA24" s="1357"/>
      <c r="AB24" s="1357"/>
      <c r="AC24" s="1357"/>
      <c r="AD24" s="1357"/>
      <c r="AE24" s="1357"/>
      <c r="AF24" s="1357"/>
      <c r="AG24" s="1357"/>
      <c r="AH24" s="1357"/>
      <c r="AI24" s="1357"/>
      <c r="AJ24" s="1357"/>
      <c r="AK24" s="1357"/>
      <c r="AL24" s="1357"/>
    </row>
    <row r="25" spans="1:38" ht="15" customHeight="1">
      <c r="A25" s="1369"/>
      <c r="B25" s="1368"/>
      <c r="C25" s="1367"/>
      <c r="D25" s="1366"/>
      <c r="E25" s="1365"/>
      <c r="F25" s="1365"/>
      <c r="G25" s="1364"/>
      <c r="H25" s="1361"/>
      <c r="I25" s="1361"/>
      <c r="J25" s="1361"/>
      <c r="K25" s="1363"/>
      <c r="L25" s="1359"/>
      <c r="M25" s="1362"/>
      <c r="N25" s="1361"/>
      <c r="O25" s="1361"/>
      <c r="P25" s="1361"/>
      <c r="Q25" s="1359"/>
      <c r="R25" s="1360"/>
      <c r="S25" s="1359"/>
      <c r="T25" s="1358"/>
      <c r="W25" s="1357"/>
      <c r="X25" s="1357"/>
      <c r="Y25" s="1357"/>
      <c r="Z25" s="1357"/>
      <c r="AA25" s="1357"/>
      <c r="AB25" s="1357"/>
      <c r="AC25" s="1357"/>
      <c r="AD25" s="1357"/>
      <c r="AE25" s="1357"/>
      <c r="AF25" s="1357"/>
      <c r="AG25" s="1357"/>
      <c r="AH25" s="1357"/>
      <c r="AI25" s="1357"/>
      <c r="AJ25" s="1357"/>
      <c r="AK25" s="1357"/>
      <c r="AL25" s="1357"/>
    </row>
    <row r="26" spans="1:38" ht="15" customHeight="1">
      <c r="A26" s="1369"/>
      <c r="B26" s="1368"/>
      <c r="C26" s="1367"/>
      <c r="D26" s="1366"/>
      <c r="E26" s="1365"/>
      <c r="F26" s="1365"/>
      <c r="G26" s="1364"/>
      <c r="H26" s="1361"/>
      <c r="I26" s="1361"/>
      <c r="J26" s="1361"/>
      <c r="K26" s="1363"/>
      <c r="L26" s="1359"/>
      <c r="M26" s="1362"/>
      <c r="N26" s="1361"/>
      <c r="O26" s="1361"/>
      <c r="P26" s="1361"/>
      <c r="Q26" s="1359"/>
      <c r="R26" s="1360"/>
      <c r="S26" s="1359"/>
      <c r="T26" s="1358"/>
      <c r="W26" s="1357"/>
      <c r="X26" s="1357"/>
      <c r="Y26" s="1357"/>
      <c r="Z26" s="1357"/>
      <c r="AA26" s="1357"/>
      <c r="AB26" s="1357"/>
      <c r="AC26" s="1357"/>
      <c r="AD26" s="1357"/>
      <c r="AE26" s="1357"/>
      <c r="AF26" s="1357"/>
      <c r="AG26" s="1357"/>
      <c r="AH26" s="1357"/>
      <c r="AI26" s="1357"/>
      <c r="AJ26" s="1357"/>
      <c r="AK26" s="1357"/>
      <c r="AL26" s="1357"/>
    </row>
    <row r="27" spans="1:38" ht="15" customHeight="1">
      <c r="A27" s="1369"/>
      <c r="B27" s="1368"/>
      <c r="C27" s="1367"/>
      <c r="D27" s="1366"/>
      <c r="E27" s="1365"/>
      <c r="F27" s="1365"/>
      <c r="G27" s="1364"/>
      <c r="H27" s="1361"/>
      <c r="I27" s="1361"/>
      <c r="J27" s="1361"/>
      <c r="K27" s="1363"/>
      <c r="L27" s="1359"/>
      <c r="M27" s="1362"/>
      <c r="N27" s="1361"/>
      <c r="O27" s="1361"/>
      <c r="P27" s="1361"/>
      <c r="Q27" s="1359"/>
      <c r="R27" s="1360"/>
      <c r="S27" s="1359"/>
      <c r="T27" s="1358"/>
      <c r="W27" s="1357"/>
      <c r="X27" s="1357"/>
      <c r="Y27" s="1357"/>
      <c r="Z27" s="1357"/>
      <c r="AA27" s="1357"/>
      <c r="AB27" s="1357"/>
      <c r="AC27" s="1357"/>
      <c r="AD27" s="1357"/>
      <c r="AE27" s="1357"/>
      <c r="AF27" s="1357"/>
      <c r="AG27" s="1357"/>
      <c r="AH27" s="1357"/>
      <c r="AI27" s="1357"/>
      <c r="AJ27" s="1357"/>
      <c r="AK27" s="1357"/>
      <c r="AL27" s="1357"/>
    </row>
    <row r="28" spans="1:38" ht="15" customHeight="1">
      <c r="A28" s="1369"/>
      <c r="B28" s="1368"/>
      <c r="C28" s="1367"/>
      <c r="D28" s="1366"/>
      <c r="E28" s="1365"/>
      <c r="F28" s="1365"/>
      <c r="G28" s="1364"/>
      <c r="H28" s="1361"/>
      <c r="I28" s="1361"/>
      <c r="J28" s="1361"/>
      <c r="K28" s="1363"/>
      <c r="L28" s="1359"/>
      <c r="M28" s="1362"/>
      <c r="N28" s="1361"/>
      <c r="O28" s="1361"/>
      <c r="P28" s="1361"/>
      <c r="Q28" s="1359"/>
      <c r="R28" s="1360"/>
      <c r="S28" s="1359"/>
      <c r="T28" s="1358"/>
      <c r="W28" s="1357"/>
      <c r="X28" s="1357"/>
      <c r="Y28" s="1357"/>
      <c r="Z28" s="1357"/>
      <c r="AA28" s="1357"/>
      <c r="AB28" s="1357"/>
      <c r="AC28" s="1357"/>
      <c r="AD28" s="1357"/>
      <c r="AE28" s="1357"/>
      <c r="AF28" s="1357"/>
      <c r="AG28" s="1357"/>
      <c r="AH28" s="1357"/>
      <c r="AI28" s="1357"/>
      <c r="AJ28" s="1357"/>
      <c r="AK28" s="1357"/>
      <c r="AL28" s="1357"/>
    </row>
    <row r="29" spans="1:38" ht="15" customHeight="1">
      <c r="A29" s="1369"/>
      <c r="B29" s="1368"/>
      <c r="C29" s="1367"/>
      <c r="D29" s="1366"/>
      <c r="E29" s="1365"/>
      <c r="F29" s="1365"/>
      <c r="G29" s="1364"/>
      <c r="H29" s="1361"/>
      <c r="I29" s="1361"/>
      <c r="J29" s="1361"/>
      <c r="K29" s="1363"/>
      <c r="L29" s="1359"/>
      <c r="M29" s="1362"/>
      <c r="N29" s="1361"/>
      <c r="O29" s="1361"/>
      <c r="P29" s="1361"/>
      <c r="Q29" s="1359"/>
      <c r="R29" s="1360"/>
      <c r="S29" s="1359"/>
      <c r="T29" s="1358"/>
      <c r="W29" s="1357"/>
      <c r="X29" s="1357"/>
      <c r="Y29" s="1357"/>
      <c r="Z29" s="1357"/>
      <c r="AA29" s="1357"/>
      <c r="AB29" s="1357"/>
      <c r="AC29" s="1357"/>
      <c r="AD29" s="1357"/>
      <c r="AE29" s="1357"/>
      <c r="AF29" s="1357"/>
      <c r="AG29" s="1357"/>
      <c r="AH29" s="1357"/>
      <c r="AI29" s="1357"/>
      <c r="AJ29" s="1357"/>
      <c r="AK29" s="1357"/>
      <c r="AL29" s="1357"/>
    </row>
    <row r="30" spans="1:38" ht="15" customHeight="1">
      <c r="A30" s="1369"/>
      <c r="B30" s="1368"/>
      <c r="C30" s="1367"/>
      <c r="D30" s="1366"/>
      <c r="E30" s="1365"/>
      <c r="F30" s="1365"/>
      <c r="G30" s="1364"/>
      <c r="H30" s="1361"/>
      <c r="I30" s="1361"/>
      <c r="J30" s="1361"/>
      <c r="K30" s="1363"/>
      <c r="L30" s="1359"/>
      <c r="M30" s="1362"/>
      <c r="N30" s="1361"/>
      <c r="O30" s="1361"/>
      <c r="P30" s="1361"/>
      <c r="Q30" s="1359"/>
      <c r="R30" s="1360"/>
      <c r="S30" s="1359"/>
      <c r="T30" s="1358"/>
      <c r="W30" s="1357"/>
      <c r="X30" s="1357"/>
      <c r="Y30" s="1357"/>
      <c r="Z30" s="1357"/>
      <c r="AA30" s="1357"/>
      <c r="AB30" s="1357"/>
      <c r="AC30" s="1357"/>
      <c r="AD30" s="1357"/>
      <c r="AE30" s="1357"/>
      <c r="AF30" s="1357"/>
      <c r="AG30" s="1357"/>
      <c r="AH30" s="1357"/>
      <c r="AI30" s="1357"/>
      <c r="AJ30" s="1357"/>
      <c r="AK30" s="1357"/>
      <c r="AL30" s="1357"/>
    </row>
    <row r="31" spans="1:38" ht="15" customHeight="1">
      <c r="A31" s="1369"/>
      <c r="B31" s="1368"/>
      <c r="C31" s="1367"/>
      <c r="D31" s="1366"/>
      <c r="E31" s="1365"/>
      <c r="F31" s="1365"/>
      <c r="G31" s="1364"/>
      <c r="H31" s="1361"/>
      <c r="I31" s="1361"/>
      <c r="J31" s="1361"/>
      <c r="K31" s="1363"/>
      <c r="L31" s="1359"/>
      <c r="M31" s="1362"/>
      <c r="N31" s="1361"/>
      <c r="O31" s="1361"/>
      <c r="P31" s="1361"/>
      <c r="Q31" s="1359"/>
      <c r="R31" s="1360"/>
      <c r="S31" s="1359"/>
      <c r="T31" s="1358"/>
      <c r="W31" s="1357"/>
      <c r="X31" s="1357"/>
      <c r="Y31" s="1357"/>
      <c r="Z31" s="1357"/>
      <c r="AA31" s="1357"/>
      <c r="AB31" s="1357"/>
      <c r="AC31" s="1357"/>
      <c r="AD31" s="1357"/>
      <c r="AE31" s="1357"/>
      <c r="AF31" s="1357"/>
      <c r="AG31" s="1357"/>
      <c r="AH31" s="1357"/>
      <c r="AI31" s="1357"/>
      <c r="AJ31" s="1357"/>
      <c r="AK31" s="1357"/>
      <c r="AL31" s="1357"/>
    </row>
    <row r="32" spans="1:38" ht="15" customHeight="1">
      <c r="A32" s="1369"/>
      <c r="B32" s="1368"/>
      <c r="C32" s="1367"/>
      <c r="D32" s="1366"/>
      <c r="E32" s="1365"/>
      <c r="F32" s="1365"/>
      <c r="G32" s="1364"/>
      <c r="H32" s="1361"/>
      <c r="I32" s="1361"/>
      <c r="J32" s="1361"/>
      <c r="K32" s="1363"/>
      <c r="L32" s="1359"/>
      <c r="M32" s="1362"/>
      <c r="N32" s="1361"/>
      <c r="O32" s="1361"/>
      <c r="P32" s="1361"/>
      <c r="Q32" s="1359"/>
      <c r="R32" s="1360"/>
      <c r="S32" s="1359"/>
      <c r="T32" s="1358"/>
      <c r="W32" s="1357"/>
      <c r="X32" s="1357"/>
      <c r="Y32" s="1357"/>
      <c r="Z32" s="1357"/>
      <c r="AA32" s="1357"/>
      <c r="AB32" s="1357"/>
      <c r="AC32" s="1357"/>
      <c r="AD32" s="1357"/>
      <c r="AE32" s="1357"/>
      <c r="AF32" s="1357"/>
      <c r="AG32" s="1357"/>
      <c r="AH32" s="1357"/>
      <c r="AI32" s="1357"/>
      <c r="AJ32" s="1357"/>
      <c r="AK32" s="1357"/>
      <c r="AL32" s="1357"/>
    </row>
    <row r="33" spans="1:38" ht="15" customHeight="1">
      <c r="A33" s="1369"/>
      <c r="B33" s="1368"/>
      <c r="C33" s="1367"/>
      <c r="D33" s="1366"/>
      <c r="E33" s="1365"/>
      <c r="F33" s="1365"/>
      <c r="G33" s="1364"/>
      <c r="H33" s="1361"/>
      <c r="I33" s="1361"/>
      <c r="J33" s="1361"/>
      <c r="K33" s="1363"/>
      <c r="L33" s="1359"/>
      <c r="M33" s="1362"/>
      <c r="N33" s="1361"/>
      <c r="O33" s="1361"/>
      <c r="P33" s="1361"/>
      <c r="Q33" s="1359"/>
      <c r="R33" s="1360"/>
      <c r="S33" s="1359"/>
      <c r="T33" s="1358"/>
      <c r="W33" s="1357"/>
      <c r="X33" s="1357"/>
      <c r="Y33" s="1357"/>
      <c r="Z33" s="1357"/>
      <c r="AA33" s="1357"/>
      <c r="AB33" s="1357"/>
      <c r="AC33" s="1357"/>
      <c r="AD33" s="1357"/>
      <c r="AE33" s="1357"/>
      <c r="AF33" s="1357"/>
      <c r="AG33" s="1357"/>
      <c r="AH33" s="1357"/>
      <c r="AI33" s="1357"/>
      <c r="AJ33" s="1357"/>
      <c r="AK33" s="1357"/>
      <c r="AL33" s="1357"/>
    </row>
    <row r="34" spans="1:38" ht="15" customHeight="1">
      <c r="A34" s="1369"/>
      <c r="B34" s="1368"/>
      <c r="C34" s="1367"/>
      <c r="D34" s="1366"/>
      <c r="E34" s="1365"/>
      <c r="F34" s="1365"/>
      <c r="G34" s="1364"/>
      <c r="H34" s="1361"/>
      <c r="I34" s="1361"/>
      <c r="J34" s="1361"/>
      <c r="K34" s="1363"/>
      <c r="L34" s="1359"/>
      <c r="M34" s="1362"/>
      <c r="N34" s="1361"/>
      <c r="O34" s="1361"/>
      <c r="P34" s="1361"/>
      <c r="Q34" s="1359"/>
      <c r="R34" s="1360"/>
      <c r="S34" s="1359"/>
      <c r="T34" s="1358"/>
      <c r="W34" s="1357"/>
      <c r="X34" s="1357"/>
      <c r="Y34" s="1357"/>
      <c r="Z34" s="1357"/>
      <c r="AA34" s="1357"/>
      <c r="AB34" s="1357"/>
      <c r="AC34" s="1357"/>
      <c r="AD34" s="1357"/>
      <c r="AE34" s="1357"/>
      <c r="AF34" s="1357"/>
      <c r="AG34" s="1357"/>
      <c r="AH34" s="1357"/>
      <c r="AI34" s="1357"/>
      <c r="AJ34" s="1357"/>
      <c r="AK34" s="1357"/>
      <c r="AL34" s="1357"/>
    </row>
    <row r="35" spans="1:38" ht="15" customHeight="1" thickBot="1">
      <c r="A35" s="1434"/>
      <c r="B35" s="1435"/>
      <c r="C35" s="1436"/>
      <c r="D35" s="1437"/>
      <c r="E35" s="1438"/>
      <c r="F35" s="1438"/>
      <c r="G35" s="1439"/>
      <c r="H35" s="1440"/>
      <c r="I35" s="1440"/>
      <c r="J35" s="1440"/>
      <c r="K35" s="1441"/>
      <c r="L35" s="1442"/>
      <c r="M35" s="1443"/>
      <c r="N35" s="1440"/>
      <c r="O35" s="1440"/>
      <c r="P35" s="1440"/>
      <c r="Q35" s="1442"/>
      <c r="R35" s="1444"/>
      <c r="S35" s="1442"/>
      <c r="T35" s="1445"/>
      <c r="W35" s="1357"/>
      <c r="X35" s="1357"/>
      <c r="Y35" s="1357"/>
      <c r="Z35" s="1357"/>
      <c r="AA35" s="1357"/>
      <c r="AB35" s="1357"/>
      <c r="AC35" s="1357"/>
      <c r="AD35" s="1357"/>
      <c r="AE35" s="1357"/>
      <c r="AF35" s="1357"/>
      <c r="AG35" s="1357"/>
      <c r="AH35" s="1357"/>
      <c r="AI35" s="1357"/>
      <c r="AJ35" s="1357"/>
      <c r="AK35" s="1357"/>
      <c r="AL35" s="1357"/>
    </row>
    <row r="36" spans="1:38" ht="21" customHeight="1" thickTop="1">
      <c r="A36" s="1451" t="s">
        <v>1096</v>
      </c>
      <c r="B36" s="1452"/>
      <c r="C36" s="1453"/>
      <c r="D36" s="1446">
        <v>268.60000000000002</v>
      </c>
      <c r="E36" s="1447"/>
      <c r="F36" s="1447">
        <v>940.09999999999991</v>
      </c>
      <c r="G36" s="1448">
        <v>32791</v>
      </c>
      <c r="H36" s="1449">
        <v>0</v>
      </c>
      <c r="I36" s="1449">
        <v>32791</v>
      </c>
      <c r="J36" s="1449">
        <v>680</v>
      </c>
      <c r="K36" s="1449">
        <v>33471</v>
      </c>
      <c r="L36" s="1449">
        <v>5866</v>
      </c>
      <c r="M36" s="1449">
        <v>39337</v>
      </c>
      <c r="N36" s="1448">
        <v>15901</v>
      </c>
      <c r="O36" s="1449">
        <v>0</v>
      </c>
      <c r="P36" s="1449">
        <v>15901</v>
      </c>
      <c r="Q36" s="1449">
        <v>0</v>
      </c>
      <c r="R36" s="1449">
        <v>15901</v>
      </c>
      <c r="S36" s="1449">
        <v>1365</v>
      </c>
      <c r="T36" s="1450">
        <v>17266</v>
      </c>
      <c r="W36" s="1357"/>
      <c r="X36" s="1357"/>
      <c r="Y36" s="1357"/>
      <c r="Z36" s="1357"/>
      <c r="AA36" s="1357"/>
      <c r="AB36" s="1357"/>
      <c r="AC36" s="1357"/>
      <c r="AD36" s="1357"/>
      <c r="AE36" s="1357"/>
      <c r="AF36" s="1357"/>
      <c r="AG36" s="1357"/>
      <c r="AH36" s="1357"/>
      <c r="AI36" s="1357"/>
      <c r="AJ36" s="1357"/>
      <c r="AK36" s="1357"/>
      <c r="AL36" s="1357"/>
    </row>
    <row r="46" spans="1:38" ht="15" customHeight="1">
      <c r="AB46" s="1351"/>
      <c r="AC46" s="1351"/>
      <c r="AD46" s="1351"/>
      <c r="AE46" s="1351"/>
      <c r="AF46" s="1351"/>
      <c r="AG46" s="1351"/>
      <c r="AH46" s="1351"/>
      <c r="AI46" s="1351"/>
      <c r="AJ46" s="1351"/>
      <c r="AK46" s="1351"/>
      <c r="AL46" s="1351"/>
    </row>
    <row r="47" spans="1:38" s="1351" customFormat="1" ht="15" customHeight="1">
      <c r="C47" s="1355"/>
      <c r="D47" s="1355"/>
      <c r="E47" s="1355"/>
      <c r="F47" s="1355"/>
      <c r="G47" s="1355"/>
      <c r="I47" s="1352"/>
      <c r="P47" s="1352"/>
      <c r="U47" s="1350"/>
      <c r="V47" s="1350"/>
      <c r="W47" s="1350"/>
      <c r="X47" s="1350"/>
      <c r="Y47" s="1350"/>
      <c r="Z47" s="1350"/>
      <c r="AA47" s="1350"/>
    </row>
    <row r="48" spans="1:38" s="1351" customFormat="1" ht="15" customHeight="1">
      <c r="C48" s="1355"/>
      <c r="D48" s="1355"/>
      <c r="E48" s="1355"/>
      <c r="F48" s="1355"/>
      <c r="G48" s="1355"/>
      <c r="H48" s="1356"/>
      <c r="I48" s="1352"/>
      <c r="O48" s="1356"/>
      <c r="P48" s="1352"/>
      <c r="U48" s="1350"/>
      <c r="V48" s="1350"/>
      <c r="W48" s="1350"/>
      <c r="X48" s="1350"/>
      <c r="Y48" s="1350"/>
      <c r="Z48" s="1350"/>
      <c r="AA48" s="1350"/>
    </row>
    <row r="49" spans="3:38" s="1351" customFormat="1" ht="15" customHeight="1">
      <c r="C49" s="1355"/>
      <c r="D49" s="1355"/>
      <c r="E49" s="1355"/>
      <c r="F49" s="1355"/>
      <c r="G49" s="1355"/>
      <c r="H49" s="1354"/>
      <c r="I49" s="1352"/>
      <c r="O49" s="1354"/>
      <c r="P49" s="1352"/>
      <c r="U49" s="1350"/>
      <c r="V49" s="1350"/>
      <c r="W49" s="1350"/>
      <c r="X49" s="1350"/>
      <c r="Y49" s="1350"/>
      <c r="Z49" s="1350"/>
      <c r="AA49" s="1350"/>
    </row>
    <row r="50" spans="3:38" s="1351" customFormat="1" ht="15" customHeight="1">
      <c r="C50" s="1353"/>
      <c r="D50" s="1353"/>
      <c r="E50" s="1353"/>
      <c r="F50" s="1353"/>
      <c r="G50" s="1353"/>
      <c r="H50" s="1352"/>
      <c r="O50" s="1352"/>
      <c r="U50" s="1350"/>
      <c r="V50" s="1350"/>
      <c r="W50" s="1350"/>
      <c r="X50" s="1350"/>
      <c r="Y50" s="1350"/>
      <c r="Z50" s="1350"/>
      <c r="AA50" s="1350"/>
      <c r="AB50" s="1350"/>
      <c r="AC50" s="1350"/>
      <c r="AD50" s="1350"/>
      <c r="AE50" s="1350"/>
      <c r="AF50" s="1350"/>
      <c r="AG50" s="1350"/>
      <c r="AH50" s="1350"/>
      <c r="AI50" s="1350"/>
      <c r="AJ50" s="1350"/>
      <c r="AK50" s="1350"/>
      <c r="AL50" s="1350"/>
    </row>
  </sheetData>
  <mergeCells count="25">
    <mergeCell ref="A36:C36"/>
    <mergeCell ref="G4:G5"/>
    <mergeCell ref="N4:N5"/>
    <mergeCell ref="W2:AD2"/>
    <mergeCell ref="AE2:AL2"/>
    <mergeCell ref="A3:A5"/>
    <mergeCell ref="B3:B5"/>
    <mergeCell ref="C3:C5"/>
    <mergeCell ref="D3:D5"/>
    <mergeCell ref="E3:E5"/>
    <mergeCell ref="F3:F5"/>
    <mergeCell ref="G3:M3"/>
    <mergeCell ref="N3:T3"/>
    <mergeCell ref="AE3:AH3"/>
    <mergeCell ref="AI3:AL3"/>
    <mergeCell ref="J4:J5"/>
    <mergeCell ref="K4:K5"/>
    <mergeCell ref="L4:L5"/>
    <mergeCell ref="M4:M5"/>
    <mergeCell ref="Q4:Q5"/>
    <mergeCell ref="R4:R5"/>
    <mergeCell ref="S4:S5"/>
    <mergeCell ref="T4:T5"/>
    <mergeCell ref="W3:Z3"/>
    <mergeCell ref="AA3:AD3"/>
  </mergeCells>
  <phoneticPr fontId="4"/>
  <printOptions horizontalCentered="1"/>
  <pageMargins left="0.70866141732283472" right="0.70866141732283472" top="0.78740157480314965" bottom="0.55118110236220474" header="0.59055118110236227" footer="0.31496062992125984"/>
  <pageSetup paperSize="9" scale="86" orientation="landscape" horizontalDpi="1200" verticalDpi="1200" r:id="rId1"/>
  <headerFooter scaleWithDoc="0" alignWithMargins="0">
    <oddFooter>&amp;C&amp;"ＭＳ Ｐゴシック,標準"&amp;9( &amp;P /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A39"/>
  <sheetViews>
    <sheetView showGridLines="0" zoomScale="80" zoomScaleNormal="80" workbookViewId="0"/>
  </sheetViews>
  <sheetFormatPr defaultColWidth="9.140625" defaultRowHeight="20.100000000000001" customHeight="1"/>
  <cols>
    <col min="1" max="1" width="9.140625" style="15"/>
    <col min="2" max="13" width="8.28515625" style="15" customWidth="1"/>
    <col min="14" max="15" width="9.140625" style="15"/>
    <col min="16" max="27" width="8.28515625" style="15" customWidth="1"/>
    <col min="28" max="29" width="9.140625" style="15" customWidth="1"/>
    <col min="30" max="16384" width="9.140625" style="15"/>
  </cols>
  <sheetData>
    <row r="1" spans="1:27" s="14" customFormat="1" ht="30" customHeight="1">
      <c r="A1" s="10" t="s">
        <v>3</v>
      </c>
      <c r="B1" s="11"/>
      <c r="C1" s="11"/>
      <c r="D1" s="11"/>
      <c r="E1" s="11"/>
      <c r="F1" s="11"/>
      <c r="G1" s="11"/>
      <c r="H1" s="11"/>
      <c r="I1" s="11"/>
      <c r="J1" s="11"/>
      <c r="K1" s="11"/>
      <c r="L1" s="11"/>
      <c r="M1" s="11"/>
      <c r="N1" s="12"/>
      <c r="O1" s="12"/>
      <c r="P1" s="11"/>
      <c r="Q1" s="11"/>
      <c r="R1" s="11"/>
      <c r="S1" s="11"/>
      <c r="T1" s="11"/>
      <c r="U1" s="11"/>
      <c r="V1" s="11"/>
      <c r="W1" s="11"/>
      <c r="X1" s="11"/>
      <c r="Y1" s="11"/>
      <c r="Z1" s="11"/>
      <c r="AA1" s="13"/>
    </row>
    <row r="2" spans="1:27" ht="21" customHeight="1">
      <c r="B2" s="16"/>
      <c r="C2" s="16"/>
      <c r="D2" s="16"/>
      <c r="E2" s="16"/>
      <c r="F2" s="16"/>
      <c r="G2" s="16"/>
      <c r="H2" s="16"/>
      <c r="I2" s="16"/>
      <c r="J2" s="16"/>
      <c r="K2" s="16"/>
      <c r="L2" s="16"/>
      <c r="M2" s="16"/>
      <c r="P2" s="16"/>
      <c r="Q2" s="16"/>
      <c r="R2" s="16"/>
      <c r="S2" s="16"/>
      <c r="T2" s="16"/>
      <c r="U2" s="16"/>
      <c r="V2" s="16"/>
      <c r="W2" s="16"/>
      <c r="X2" s="16"/>
      <c r="Y2" s="16"/>
      <c r="Z2" s="16"/>
      <c r="AA2" s="16"/>
    </row>
    <row r="3" spans="1:27" ht="20.100000000000001" customHeight="1">
      <c r="B3" s="17"/>
      <c r="C3" s="17"/>
      <c r="D3" s="17"/>
      <c r="E3" s="17"/>
      <c r="F3" s="17"/>
      <c r="G3" s="17"/>
      <c r="H3" s="17"/>
      <c r="I3" s="17"/>
      <c r="J3" s="17"/>
      <c r="K3" s="17"/>
      <c r="L3" s="17"/>
      <c r="M3" s="17"/>
      <c r="P3" s="17"/>
      <c r="Q3" s="17"/>
      <c r="R3" s="17"/>
      <c r="S3" s="17"/>
      <c r="T3" s="17"/>
      <c r="U3" s="17"/>
      <c r="V3" s="17"/>
      <c r="W3" s="17"/>
      <c r="X3" s="17"/>
      <c r="Y3" s="17"/>
      <c r="Z3" s="17"/>
      <c r="AA3" s="17"/>
    </row>
    <row r="4" spans="1:27" ht="20.100000000000001" customHeight="1">
      <c r="B4" s="17"/>
      <c r="C4" s="17"/>
      <c r="D4" s="17"/>
      <c r="E4" s="17"/>
      <c r="F4" s="17"/>
      <c r="G4" s="17"/>
      <c r="H4" s="17"/>
      <c r="I4" s="17"/>
      <c r="J4" s="17"/>
      <c r="K4" s="17"/>
      <c r="L4" s="17"/>
      <c r="M4" s="17"/>
      <c r="P4" s="17"/>
      <c r="Q4" s="17"/>
      <c r="R4" s="17"/>
      <c r="S4" s="17"/>
      <c r="T4" s="17"/>
      <c r="U4" s="17"/>
      <c r="V4" s="17"/>
      <c r="W4" s="17"/>
      <c r="X4" s="17"/>
      <c r="Y4" s="17"/>
      <c r="Z4" s="17"/>
      <c r="AA4" s="17"/>
    </row>
    <row r="5" spans="1:27" ht="20.100000000000001" customHeight="1">
      <c r="B5" s="17"/>
      <c r="C5" s="17"/>
      <c r="D5" s="17"/>
      <c r="E5" s="17"/>
      <c r="F5" s="17"/>
      <c r="G5" s="17"/>
      <c r="H5" s="17"/>
      <c r="I5" s="17"/>
      <c r="J5" s="17"/>
      <c r="K5" s="17"/>
      <c r="L5" s="17"/>
      <c r="M5" s="17"/>
      <c r="P5" s="17"/>
      <c r="Q5" s="17"/>
      <c r="R5" s="17"/>
      <c r="S5" s="17"/>
      <c r="T5" s="17"/>
      <c r="U5" s="17"/>
      <c r="V5" s="17"/>
      <c r="W5" s="17"/>
      <c r="X5" s="17"/>
      <c r="Y5" s="17"/>
      <c r="Z5" s="17"/>
      <c r="AA5" s="17"/>
    </row>
    <row r="6" spans="1:27" ht="20.100000000000001" customHeight="1">
      <c r="B6" s="17"/>
      <c r="C6" s="17"/>
      <c r="D6" s="17"/>
      <c r="E6" s="17"/>
      <c r="F6" s="17"/>
      <c r="G6" s="17"/>
      <c r="H6" s="17"/>
      <c r="I6" s="17"/>
      <c r="J6" s="17"/>
      <c r="K6" s="17"/>
      <c r="L6" s="17"/>
      <c r="M6" s="17"/>
      <c r="P6" s="17"/>
      <c r="Q6" s="17"/>
      <c r="R6" s="17"/>
      <c r="S6" s="17"/>
      <c r="T6" s="17"/>
      <c r="U6" s="17"/>
      <c r="V6" s="17"/>
      <c r="W6" s="17"/>
      <c r="X6" s="17"/>
      <c r="Y6" s="17"/>
      <c r="Z6" s="17"/>
      <c r="AA6" s="17"/>
    </row>
    <row r="7" spans="1:27" ht="20.100000000000001" customHeight="1">
      <c r="B7" s="17"/>
      <c r="C7" s="17"/>
      <c r="D7" s="17"/>
      <c r="E7" s="17"/>
      <c r="F7" s="17"/>
      <c r="G7" s="17"/>
      <c r="H7" s="17"/>
      <c r="I7" s="17"/>
      <c r="J7" s="17"/>
      <c r="K7" s="17"/>
      <c r="L7" s="17"/>
      <c r="M7" s="17"/>
      <c r="P7" s="17"/>
      <c r="Q7" s="17"/>
      <c r="R7" s="17"/>
      <c r="S7" s="17"/>
      <c r="T7" s="17"/>
      <c r="U7" s="17"/>
      <c r="V7" s="17"/>
      <c r="W7" s="17"/>
      <c r="X7" s="17"/>
      <c r="Y7" s="17"/>
      <c r="Z7" s="17"/>
      <c r="AA7" s="17"/>
    </row>
    <row r="8" spans="1:27" ht="20.100000000000001" customHeight="1">
      <c r="B8" s="17"/>
      <c r="C8" s="17"/>
      <c r="D8" s="17"/>
      <c r="E8" s="17"/>
      <c r="F8" s="17"/>
      <c r="G8" s="17"/>
      <c r="H8" s="17"/>
      <c r="I8" s="17"/>
      <c r="J8" s="17"/>
      <c r="K8" s="17"/>
      <c r="L8" s="17"/>
      <c r="M8" s="17"/>
      <c r="P8" s="17"/>
      <c r="Q8" s="17"/>
      <c r="R8" s="17"/>
      <c r="S8" s="17"/>
      <c r="T8" s="17"/>
      <c r="U8" s="17"/>
      <c r="V8" s="17"/>
      <c r="W8" s="17"/>
      <c r="X8" s="17"/>
      <c r="Y8" s="17"/>
      <c r="Z8" s="17"/>
      <c r="AA8" s="17"/>
    </row>
    <row r="9" spans="1:27" ht="20.100000000000001" customHeight="1">
      <c r="B9" s="17"/>
      <c r="C9" s="17"/>
      <c r="D9" s="17"/>
      <c r="E9" s="17"/>
      <c r="F9" s="17"/>
      <c r="G9" s="17"/>
      <c r="H9" s="17"/>
      <c r="I9" s="17"/>
      <c r="J9" s="17"/>
      <c r="K9" s="17"/>
      <c r="L9" s="17"/>
      <c r="M9" s="17"/>
      <c r="P9" s="17"/>
      <c r="Q9" s="17"/>
      <c r="R9" s="17"/>
      <c r="S9" s="17"/>
      <c r="T9" s="17"/>
      <c r="U9" s="17"/>
      <c r="V9" s="17"/>
      <c r="W9" s="17"/>
      <c r="X9" s="17"/>
      <c r="Y9" s="17"/>
      <c r="Z9" s="17"/>
      <c r="AA9" s="17"/>
    </row>
    <row r="10" spans="1:27" ht="20.100000000000001" customHeight="1">
      <c r="B10" s="17"/>
      <c r="C10" s="17"/>
      <c r="D10" s="17"/>
      <c r="E10" s="17"/>
      <c r="F10" s="17"/>
      <c r="G10" s="17"/>
      <c r="H10" s="17"/>
      <c r="I10" s="17"/>
      <c r="J10" s="17"/>
      <c r="K10" s="17"/>
      <c r="L10" s="17"/>
      <c r="M10" s="17"/>
      <c r="P10" s="17"/>
      <c r="Q10" s="17"/>
      <c r="R10" s="17"/>
      <c r="S10" s="17"/>
      <c r="T10" s="17"/>
      <c r="U10" s="17"/>
      <c r="V10" s="17"/>
      <c r="W10" s="17"/>
      <c r="X10" s="17"/>
      <c r="Y10" s="17"/>
      <c r="Z10" s="17"/>
      <c r="AA10" s="17"/>
    </row>
    <row r="11" spans="1:27" ht="20.100000000000001" customHeight="1">
      <c r="B11" s="17"/>
      <c r="C11" s="17"/>
      <c r="D11" s="17"/>
      <c r="E11" s="17"/>
      <c r="F11" s="17"/>
      <c r="G11" s="17"/>
      <c r="H11" s="17"/>
      <c r="I11" s="17"/>
      <c r="J11" s="17"/>
      <c r="K11" s="17"/>
      <c r="L11" s="17"/>
      <c r="M11" s="17"/>
      <c r="P11" s="17"/>
      <c r="Q11" s="17"/>
      <c r="R11" s="17"/>
      <c r="S11" s="17"/>
      <c r="T11" s="17"/>
      <c r="U11" s="17"/>
      <c r="V11" s="17"/>
      <c r="W11" s="17"/>
      <c r="X11" s="17"/>
      <c r="Y11" s="17"/>
      <c r="Z11" s="17"/>
      <c r="AA11" s="17"/>
    </row>
    <row r="12" spans="1:27" ht="20.100000000000001" customHeight="1">
      <c r="B12" s="17"/>
      <c r="C12" s="17"/>
      <c r="D12" s="17"/>
      <c r="E12" s="17"/>
      <c r="F12" s="17"/>
      <c r="G12" s="17"/>
      <c r="H12" s="17"/>
      <c r="I12" s="17"/>
      <c r="J12" s="17"/>
      <c r="K12" s="17"/>
      <c r="L12" s="17"/>
      <c r="M12" s="17"/>
      <c r="P12" s="17"/>
      <c r="Q12" s="17"/>
      <c r="R12" s="17"/>
      <c r="S12" s="17"/>
      <c r="T12" s="17"/>
      <c r="U12" s="17"/>
      <c r="V12" s="17"/>
      <c r="W12" s="17"/>
      <c r="X12" s="17"/>
      <c r="Y12" s="17"/>
      <c r="Z12" s="17"/>
      <c r="AA12" s="17"/>
    </row>
    <row r="13" spans="1:27" ht="20.100000000000001" customHeight="1">
      <c r="B13" s="17"/>
      <c r="C13" s="17"/>
      <c r="D13" s="17"/>
      <c r="E13" s="17"/>
      <c r="F13" s="17"/>
      <c r="G13" s="17"/>
      <c r="H13" s="17"/>
      <c r="I13" s="17"/>
      <c r="J13" s="17"/>
      <c r="K13" s="17"/>
      <c r="L13" s="17"/>
      <c r="M13" s="17"/>
      <c r="P13" s="17"/>
      <c r="Q13" s="17"/>
      <c r="R13" s="17"/>
      <c r="S13" s="17"/>
      <c r="T13" s="17"/>
      <c r="U13" s="17"/>
      <c r="V13" s="17"/>
      <c r="W13" s="17"/>
      <c r="X13" s="17"/>
      <c r="Y13" s="17"/>
      <c r="Z13" s="17"/>
      <c r="AA13" s="17"/>
    </row>
    <row r="14" spans="1:27" ht="20.100000000000001" customHeight="1">
      <c r="B14" s="17"/>
      <c r="C14" s="17"/>
      <c r="D14" s="17"/>
      <c r="E14" s="17"/>
      <c r="F14" s="17"/>
      <c r="G14" s="17"/>
      <c r="H14" s="17"/>
      <c r="I14" s="17"/>
      <c r="J14" s="17"/>
      <c r="K14" s="17"/>
      <c r="L14" s="17"/>
      <c r="M14" s="17"/>
      <c r="P14" s="17"/>
      <c r="Q14" s="17"/>
      <c r="R14" s="17"/>
      <c r="S14" s="17"/>
      <c r="T14" s="17"/>
      <c r="U14" s="17"/>
      <c r="V14" s="17"/>
      <c r="W14" s="17"/>
      <c r="X14" s="17"/>
      <c r="Y14" s="17"/>
      <c r="Z14" s="17"/>
      <c r="AA14" s="17"/>
    </row>
    <row r="15" spans="1:27" ht="20.100000000000001" customHeight="1">
      <c r="B15" s="17"/>
      <c r="C15" s="17"/>
      <c r="D15" s="17"/>
      <c r="E15" s="17"/>
      <c r="F15" s="17"/>
      <c r="G15" s="17"/>
      <c r="H15" s="17"/>
      <c r="I15" s="17"/>
      <c r="J15" s="17"/>
      <c r="K15" s="17"/>
      <c r="L15" s="17"/>
      <c r="M15" s="17"/>
      <c r="P15" s="17"/>
      <c r="Q15" s="17"/>
      <c r="R15" s="17"/>
      <c r="S15" s="17"/>
      <c r="T15" s="17"/>
      <c r="U15" s="17"/>
      <c r="V15" s="17"/>
      <c r="W15" s="17"/>
      <c r="X15" s="17"/>
      <c r="Y15" s="17"/>
      <c r="Z15" s="17"/>
      <c r="AA15" s="17"/>
    </row>
    <row r="16" spans="1:27" ht="20.100000000000001" customHeight="1">
      <c r="B16" s="17"/>
      <c r="C16" s="17"/>
      <c r="D16" s="17"/>
      <c r="E16" s="17"/>
      <c r="F16" s="17"/>
      <c r="G16" s="17"/>
      <c r="H16" s="17"/>
      <c r="I16" s="17"/>
      <c r="J16" s="17"/>
      <c r="K16" s="17"/>
      <c r="L16" s="17"/>
      <c r="M16" s="17"/>
      <c r="P16" s="17"/>
      <c r="Q16" s="17"/>
      <c r="R16" s="17"/>
      <c r="S16" s="17"/>
      <c r="T16" s="17"/>
      <c r="U16" s="17"/>
      <c r="V16" s="17"/>
      <c r="W16" s="17"/>
      <c r="X16" s="17"/>
      <c r="Y16" s="17"/>
      <c r="Z16" s="17"/>
      <c r="AA16" s="17"/>
    </row>
    <row r="17" spans="2:27" ht="20.100000000000001" customHeight="1">
      <c r="B17" s="17"/>
      <c r="C17" s="17"/>
      <c r="D17" s="17"/>
      <c r="E17" s="17"/>
      <c r="F17" s="17"/>
      <c r="G17" s="17"/>
      <c r="H17" s="17"/>
      <c r="I17" s="17"/>
      <c r="J17" s="17"/>
      <c r="K17" s="17"/>
      <c r="L17" s="17"/>
      <c r="M17" s="17"/>
      <c r="P17" s="17"/>
      <c r="Q17" s="17"/>
      <c r="R17" s="17"/>
      <c r="S17" s="17"/>
      <c r="T17" s="17"/>
      <c r="U17" s="17"/>
      <c r="V17" s="17"/>
      <c r="W17" s="17"/>
      <c r="X17" s="17"/>
      <c r="Y17" s="17"/>
      <c r="Z17" s="17"/>
      <c r="AA17" s="17"/>
    </row>
    <row r="18" spans="2:27" ht="20.100000000000001" customHeight="1">
      <c r="B18" s="17"/>
      <c r="C18" s="17"/>
      <c r="D18" s="17"/>
      <c r="E18" s="17"/>
      <c r="F18" s="17"/>
      <c r="G18" s="17"/>
      <c r="H18" s="17"/>
      <c r="I18" s="17"/>
      <c r="J18" s="17"/>
      <c r="K18" s="17"/>
      <c r="L18" s="17"/>
      <c r="M18" s="17"/>
      <c r="P18" s="17"/>
      <c r="Q18" s="17"/>
      <c r="R18" s="17"/>
      <c r="S18" s="17"/>
      <c r="T18" s="17"/>
      <c r="U18" s="17"/>
      <c r="V18" s="17"/>
      <c r="W18" s="17"/>
      <c r="X18" s="17"/>
      <c r="Y18" s="17"/>
      <c r="Z18" s="17"/>
      <c r="AA18" s="17"/>
    </row>
    <row r="19" spans="2:27" ht="20.100000000000001" customHeight="1">
      <c r="B19" s="17"/>
      <c r="C19" s="17"/>
      <c r="D19" s="17"/>
      <c r="E19" s="17"/>
      <c r="F19" s="17"/>
      <c r="G19" s="17"/>
      <c r="H19" s="17"/>
      <c r="I19" s="17"/>
      <c r="J19" s="17"/>
      <c r="K19" s="17"/>
      <c r="L19" s="17"/>
      <c r="M19" s="17"/>
      <c r="P19" s="17"/>
      <c r="Q19" s="17"/>
      <c r="R19" s="17"/>
      <c r="S19" s="17"/>
      <c r="T19" s="17"/>
      <c r="U19" s="17"/>
      <c r="V19" s="17"/>
      <c r="W19" s="17"/>
      <c r="X19" s="17"/>
      <c r="Y19" s="17"/>
      <c r="Z19" s="17"/>
      <c r="AA19" s="17"/>
    </row>
    <row r="20" spans="2:27" ht="20.100000000000001" customHeight="1">
      <c r="B20" s="17"/>
      <c r="C20" s="17"/>
      <c r="D20" s="17"/>
      <c r="E20" s="17"/>
      <c r="F20" s="17"/>
      <c r="G20" s="17"/>
      <c r="H20" s="17"/>
      <c r="I20" s="17"/>
      <c r="J20" s="17"/>
      <c r="K20" s="17"/>
      <c r="L20" s="17"/>
      <c r="M20" s="17"/>
      <c r="P20" s="17"/>
      <c r="Q20" s="17"/>
      <c r="R20" s="17"/>
      <c r="S20" s="17"/>
      <c r="T20" s="17"/>
      <c r="U20" s="17"/>
      <c r="V20" s="17"/>
      <c r="W20" s="17"/>
      <c r="X20" s="17"/>
      <c r="Y20" s="17"/>
      <c r="Z20" s="17"/>
      <c r="AA20" s="17"/>
    </row>
    <row r="21" spans="2:27" ht="20.100000000000001" customHeight="1">
      <c r="B21" s="17"/>
      <c r="C21" s="17"/>
      <c r="D21" s="17"/>
      <c r="E21" s="17"/>
      <c r="F21" s="17"/>
      <c r="G21" s="17"/>
      <c r="H21" s="17"/>
      <c r="I21" s="17"/>
      <c r="J21" s="17"/>
      <c r="K21" s="17"/>
      <c r="L21" s="17"/>
      <c r="M21" s="17"/>
      <c r="P21" s="17"/>
      <c r="Q21" s="17"/>
      <c r="R21" s="17"/>
      <c r="S21" s="17"/>
      <c r="T21" s="17"/>
      <c r="U21" s="17"/>
      <c r="V21" s="17"/>
      <c r="W21" s="17"/>
      <c r="X21" s="17"/>
      <c r="Y21" s="17"/>
      <c r="Z21" s="17"/>
      <c r="AA21" s="17"/>
    </row>
    <row r="22" spans="2:27" ht="20.100000000000001" customHeight="1">
      <c r="B22" s="17"/>
      <c r="C22" s="17"/>
      <c r="D22" s="17"/>
      <c r="E22" s="17"/>
      <c r="F22" s="17"/>
      <c r="G22" s="17"/>
      <c r="H22" s="17"/>
      <c r="I22" s="17"/>
      <c r="J22" s="17"/>
      <c r="K22" s="17"/>
      <c r="L22" s="17"/>
      <c r="M22" s="17"/>
      <c r="P22" s="17"/>
      <c r="Q22" s="17"/>
      <c r="R22" s="17"/>
      <c r="S22" s="17"/>
      <c r="T22" s="17"/>
      <c r="U22" s="17"/>
      <c r="V22" s="17"/>
      <c r="W22" s="17"/>
      <c r="X22" s="17"/>
      <c r="Y22" s="17"/>
      <c r="Z22" s="17"/>
      <c r="AA22" s="17"/>
    </row>
    <row r="23" spans="2:27" ht="20.100000000000001" customHeight="1">
      <c r="B23" s="17"/>
      <c r="C23" s="17"/>
      <c r="D23" s="17"/>
      <c r="E23" s="17"/>
      <c r="F23" s="17"/>
      <c r="G23" s="17"/>
      <c r="H23" s="17"/>
      <c r="I23" s="17"/>
      <c r="J23" s="17"/>
      <c r="K23" s="17"/>
      <c r="L23" s="17"/>
      <c r="M23" s="17"/>
      <c r="P23" s="17"/>
      <c r="Q23" s="17"/>
      <c r="R23" s="17"/>
      <c r="S23" s="17"/>
      <c r="T23" s="17"/>
      <c r="U23" s="17"/>
      <c r="V23" s="17"/>
      <c r="W23" s="17"/>
      <c r="X23" s="17"/>
      <c r="Y23" s="17"/>
      <c r="Z23" s="17"/>
      <c r="AA23" s="17"/>
    </row>
    <row r="24" spans="2:27" ht="20.100000000000001" customHeight="1">
      <c r="B24" s="17"/>
      <c r="C24" s="17"/>
      <c r="D24" s="17"/>
      <c r="E24" s="17"/>
      <c r="F24" s="17"/>
      <c r="G24" s="17"/>
      <c r="H24" s="17"/>
      <c r="I24" s="17"/>
      <c r="J24" s="17"/>
      <c r="K24" s="17"/>
      <c r="L24" s="17"/>
      <c r="M24" s="17"/>
      <c r="P24" s="17"/>
      <c r="Q24" s="17"/>
      <c r="R24" s="17"/>
      <c r="S24" s="17"/>
      <c r="T24" s="17"/>
      <c r="U24" s="17"/>
      <c r="V24" s="17"/>
      <c r="W24" s="17"/>
      <c r="X24" s="17"/>
      <c r="Y24" s="17"/>
      <c r="Z24" s="17"/>
      <c r="AA24" s="17"/>
    </row>
    <row r="25" spans="2:27" ht="20.100000000000001" customHeight="1">
      <c r="B25" s="17"/>
      <c r="C25" s="17"/>
      <c r="D25" s="17"/>
      <c r="E25" s="17"/>
      <c r="F25" s="17"/>
      <c r="G25" s="17"/>
      <c r="H25" s="17"/>
      <c r="I25" s="17"/>
      <c r="J25" s="17"/>
      <c r="K25" s="17"/>
      <c r="L25" s="17"/>
      <c r="M25" s="17"/>
      <c r="P25" s="17"/>
      <c r="Q25" s="17"/>
      <c r="R25" s="17"/>
      <c r="S25" s="17"/>
      <c r="T25" s="17"/>
      <c r="U25" s="17"/>
      <c r="V25" s="17"/>
      <c r="W25" s="17"/>
      <c r="X25" s="17"/>
      <c r="Y25" s="17"/>
      <c r="Z25" s="17"/>
      <c r="AA25" s="17"/>
    </row>
    <row r="26" spans="2:27" ht="20.100000000000001" customHeight="1">
      <c r="B26" s="17"/>
      <c r="C26" s="17"/>
      <c r="D26" s="17"/>
      <c r="E26" s="17"/>
      <c r="F26" s="17"/>
      <c r="G26" s="17"/>
      <c r="H26" s="17"/>
      <c r="I26" s="17"/>
      <c r="J26" s="17"/>
      <c r="K26" s="17"/>
      <c r="L26" s="17"/>
      <c r="M26" s="17"/>
      <c r="P26" s="17"/>
      <c r="Q26" s="17"/>
      <c r="R26" s="17"/>
      <c r="S26" s="17"/>
      <c r="T26" s="17"/>
      <c r="U26" s="17"/>
      <c r="V26" s="17"/>
      <c r="W26" s="17"/>
      <c r="X26" s="17"/>
      <c r="Y26" s="17"/>
      <c r="Z26" s="17"/>
      <c r="AA26" s="17"/>
    </row>
    <row r="27" spans="2:27" ht="20.100000000000001" customHeight="1">
      <c r="B27" s="17"/>
      <c r="C27" s="17"/>
      <c r="D27" s="17"/>
      <c r="E27" s="17"/>
      <c r="F27" s="17"/>
      <c r="G27" s="17"/>
      <c r="H27" s="17"/>
      <c r="I27" s="17"/>
      <c r="J27" s="17"/>
      <c r="K27" s="17"/>
      <c r="L27" s="17"/>
      <c r="M27" s="17"/>
      <c r="P27" s="17"/>
      <c r="Q27" s="17"/>
      <c r="R27" s="17"/>
      <c r="S27" s="17"/>
      <c r="T27" s="17"/>
      <c r="U27" s="17"/>
      <c r="V27" s="17"/>
      <c r="W27" s="17"/>
      <c r="X27" s="17"/>
      <c r="Y27" s="17"/>
      <c r="Z27" s="17"/>
      <c r="AA27" s="17"/>
    </row>
    <row r="28" spans="2:27" ht="20.100000000000001" customHeight="1">
      <c r="B28" s="17"/>
      <c r="C28" s="17"/>
      <c r="D28" s="17"/>
      <c r="E28" s="17"/>
      <c r="F28" s="17"/>
      <c r="G28" s="17"/>
      <c r="H28" s="17"/>
      <c r="I28" s="17"/>
      <c r="J28" s="17"/>
      <c r="K28" s="17"/>
      <c r="L28" s="17"/>
      <c r="M28" s="17"/>
      <c r="P28" s="17"/>
      <c r="Q28" s="17"/>
      <c r="R28" s="17"/>
      <c r="S28" s="17"/>
      <c r="T28" s="17"/>
      <c r="U28" s="17"/>
      <c r="V28" s="17"/>
      <c r="W28" s="17"/>
      <c r="X28" s="17"/>
      <c r="Y28" s="17"/>
      <c r="Z28" s="17"/>
      <c r="AA28" s="17"/>
    </row>
    <row r="29" spans="2:27" ht="20.100000000000001" customHeight="1">
      <c r="B29" s="17"/>
      <c r="C29" s="17"/>
      <c r="D29" s="17"/>
      <c r="E29" s="17"/>
      <c r="F29" s="17"/>
      <c r="G29" s="17"/>
      <c r="H29" s="17"/>
      <c r="I29" s="17"/>
      <c r="J29" s="17"/>
      <c r="K29" s="17"/>
      <c r="L29" s="17"/>
      <c r="M29" s="17"/>
      <c r="P29" s="17"/>
      <c r="Q29" s="17"/>
      <c r="R29" s="17"/>
      <c r="S29" s="17"/>
      <c r="T29" s="17"/>
      <c r="U29" s="17"/>
      <c r="V29" s="17"/>
      <c r="W29" s="17"/>
      <c r="X29" s="17"/>
      <c r="Y29" s="17"/>
      <c r="Z29" s="17"/>
      <c r="AA29" s="17"/>
    </row>
    <row r="30" spans="2:27" ht="15.95" customHeight="1"/>
    <row r="31" spans="2:27" ht="15.95" customHeight="1">
      <c r="B31" s="18" t="s">
        <v>4</v>
      </c>
      <c r="C31" s="19"/>
      <c r="D31" s="19"/>
      <c r="E31" s="19"/>
      <c r="F31" s="19"/>
      <c r="I31" s="18" t="s">
        <v>5</v>
      </c>
      <c r="J31" s="19"/>
      <c r="K31" s="19"/>
      <c r="L31" s="19"/>
      <c r="M31" s="19"/>
      <c r="N31" s="17"/>
    </row>
    <row r="32" spans="2:27" ht="15.95" customHeight="1">
      <c r="B32" s="20" t="s">
        <v>6</v>
      </c>
      <c r="C32" s="21"/>
      <c r="D32" s="22" t="s">
        <v>7</v>
      </c>
      <c r="E32" s="22" t="s">
        <v>8</v>
      </c>
      <c r="F32" s="21" t="s">
        <v>9</v>
      </c>
      <c r="G32" s="23"/>
      <c r="I32" s="24" t="s">
        <v>10</v>
      </c>
      <c r="J32" s="25"/>
      <c r="K32" s="26" t="s">
        <v>11</v>
      </c>
      <c r="L32" s="26" t="s">
        <v>12</v>
      </c>
      <c r="M32" s="26" t="s">
        <v>13</v>
      </c>
      <c r="N32" s="27" t="s">
        <v>14</v>
      </c>
    </row>
    <row r="33" spans="2:27" ht="15.95" customHeight="1">
      <c r="B33" s="28" t="s">
        <v>22</v>
      </c>
      <c r="C33" s="29"/>
      <c r="D33" s="30">
        <v>35.69</v>
      </c>
      <c r="E33" s="30">
        <v>139.76</v>
      </c>
      <c r="F33" s="31">
        <v>135</v>
      </c>
      <c r="G33" s="32"/>
      <c r="I33" s="33" t="s">
        <v>15</v>
      </c>
      <c r="J33" s="34"/>
      <c r="K33" s="35">
        <v>200</v>
      </c>
      <c r="L33" s="35">
        <v>-70</v>
      </c>
      <c r="M33" s="35">
        <v>20</v>
      </c>
      <c r="N33" s="36">
        <v>110</v>
      </c>
    </row>
    <row r="34" spans="2:27" ht="15.95" customHeight="1" thickBot="1"/>
    <row r="35" spans="2:27" ht="15.95" customHeight="1">
      <c r="B35" s="15" t="s">
        <v>16</v>
      </c>
      <c r="L35" s="37" t="s">
        <v>17</v>
      </c>
      <c r="M35" s="38" t="s">
        <v>18</v>
      </c>
      <c r="P35" s="15" t="s">
        <v>16</v>
      </c>
      <c r="AA35" s="39" t="s">
        <v>19</v>
      </c>
    </row>
    <row r="36" spans="2:27" ht="15.95" customHeight="1">
      <c r="B36" s="40"/>
      <c r="C36" s="41"/>
      <c r="D36" s="42">
        <v>9</v>
      </c>
      <c r="E36" s="42">
        <v>10</v>
      </c>
      <c r="F36" s="42">
        <v>11</v>
      </c>
      <c r="G36" s="42">
        <v>12</v>
      </c>
      <c r="H36" s="42">
        <v>13</v>
      </c>
      <c r="I36" s="42">
        <v>14</v>
      </c>
      <c r="J36" s="42">
        <v>15</v>
      </c>
      <c r="K36" s="42">
        <v>16</v>
      </c>
      <c r="L36" s="42">
        <v>17</v>
      </c>
      <c r="M36" s="43">
        <v>18</v>
      </c>
      <c r="P36" s="40"/>
      <c r="Q36" s="41"/>
      <c r="R36" s="42">
        <v>9</v>
      </c>
      <c r="S36" s="42">
        <v>10</v>
      </c>
      <c r="T36" s="42">
        <v>11</v>
      </c>
      <c r="U36" s="42">
        <v>12</v>
      </c>
      <c r="V36" s="42">
        <v>13</v>
      </c>
      <c r="W36" s="42">
        <v>14</v>
      </c>
      <c r="X36" s="42">
        <v>15</v>
      </c>
      <c r="Y36" s="42">
        <v>16</v>
      </c>
      <c r="Z36" s="42">
        <v>17</v>
      </c>
      <c r="AA36" s="43">
        <v>18</v>
      </c>
    </row>
    <row r="37" spans="2:27" ht="15.95" customHeight="1">
      <c r="B37" s="44" t="s">
        <v>20</v>
      </c>
      <c r="C37" s="45"/>
      <c r="D37" s="46">
        <v>49.2</v>
      </c>
      <c r="E37" s="46">
        <v>60.5</v>
      </c>
      <c r="F37" s="46">
        <v>69.599999999999994</v>
      </c>
      <c r="G37" s="46">
        <v>72.2</v>
      </c>
      <c r="H37" s="46">
        <v>66.2</v>
      </c>
      <c r="I37" s="46">
        <v>55.8</v>
      </c>
      <c r="J37" s="46">
        <v>44.1</v>
      </c>
      <c r="K37" s="46">
        <v>32</v>
      </c>
      <c r="L37" s="46">
        <v>19.8</v>
      </c>
      <c r="M37" s="47">
        <v>8</v>
      </c>
      <c r="P37" s="44" t="s">
        <v>20</v>
      </c>
      <c r="Q37" s="45"/>
      <c r="R37" s="46">
        <v>41.5</v>
      </c>
      <c r="S37" s="46">
        <v>50.7</v>
      </c>
      <c r="T37" s="46">
        <v>56.5</v>
      </c>
      <c r="U37" s="46">
        <v>57.1</v>
      </c>
      <c r="V37" s="46">
        <v>52.3</v>
      </c>
      <c r="W37" s="46">
        <v>43.7</v>
      </c>
      <c r="X37" s="46">
        <v>33</v>
      </c>
      <c r="Y37" s="46">
        <v>21.4</v>
      </c>
      <c r="Z37" s="46">
        <v>9.3000000000000007</v>
      </c>
      <c r="AA37" s="47">
        <v>0</v>
      </c>
    </row>
    <row r="38" spans="2:27" ht="15.95" customHeight="1">
      <c r="B38" s="44" t="s">
        <v>21</v>
      </c>
      <c r="C38" s="45"/>
      <c r="D38" s="48">
        <v>-75.8</v>
      </c>
      <c r="E38" s="48">
        <v>-60.5</v>
      </c>
      <c r="F38" s="48">
        <v>-33.799999999999997</v>
      </c>
      <c r="G38" s="48">
        <v>10.1</v>
      </c>
      <c r="H38" s="48">
        <v>47.4</v>
      </c>
      <c r="I38" s="48">
        <v>68</v>
      </c>
      <c r="J38" s="48">
        <v>80.7</v>
      </c>
      <c r="K38" s="48">
        <v>90.2</v>
      </c>
      <c r="L38" s="48">
        <v>98.5</v>
      </c>
      <c r="M38" s="49">
        <v>106.7</v>
      </c>
      <c r="P38" s="44" t="s">
        <v>21</v>
      </c>
      <c r="Q38" s="45"/>
      <c r="R38" s="48">
        <v>-57.2</v>
      </c>
      <c r="S38" s="48">
        <v>-40.1</v>
      </c>
      <c r="T38" s="48">
        <v>-16.7</v>
      </c>
      <c r="U38" s="48">
        <v>10.9</v>
      </c>
      <c r="V38" s="48">
        <v>35.5</v>
      </c>
      <c r="W38" s="48">
        <v>54</v>
      </c>
      <c r="X38" s="48">
        <v>67.5</v>
      </c>
      <c r="Y38" s="48">
        <v>78.099999999999994</v>
      </c>
      <c r="Z38" s="48">
        <v>87.3</v>
      </c>
      <c r="AA38" s="49">
        <v>0</v>
      </c>
    </row>
    <row r="39" spans="2:27" ht="20.100000000000001" customHeight="1">
      <c r="B39" s="15" t="s">
        <v>23</v>
      </c>
      <c r="P39" s="15" t="s">
        <v>24</v>
      </c>
    </row>
  </sheetData>
  <mergeCells count="12">
    <mergeCell ref="B36:C36"/>
    <mergeCell ref="P36:Q36"/>
    <mergeCell ref="B37:C37"/>
    <mergeCell ref="P37:Q37"/>
    <mergeCell ref="B38:C38"/>
    <mergeCell ref="P38:Q38"/>
    <mergeCell ref="B32:C32"/>
    <mergeCell ref="F32:G32"/>
    <mergeCell ref="I32:J32"/>
    <mergeCell ref="B33:C33"/>
    <mergeCell ref="F33:G33"/>
    <mergeCell ref="I33:J33"/>
  </mergeCells>
  <phoneticPr fontId="4"/>
  <pageMargins left="0.6692913385826772" right="0.51181102362204722" top="0.78740157480314965" bottom="0.47244094488188981" header="0.59055118110236227" footer="0.31496062992125984"/>
  <pageSetup paperSize="9" scale="66" orientation="landscape" horizontalDpi="400" verticalDpi="400" r:id="rId1"/>
  <headerFooter scaleWithDoc="0" alignWithMargins="0">
    <oddFooter>&amp;C&amp;"ＭＳ Ｐゴシック,標準"&amp;9( &amp;P / &amp;N )</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L50"/>
  <sheetViews>
    <sheetView showGridLines="0" zoomScale="80" zoomScaleNormal="80" workbookViewId="0">
      <pane xSplit="6" ySplit="5" topLeftCell="G6" activePane="bottomRight" state="frozenSplit"/>
      <selection pane="topRight"/>
      <selection pane="bottomLeft"/>
      <selection pane="bottomRight"/>
    </sheetView>
  </sheetViews>
  <sheetFormatPr defaultColWidth="9.140625" defaultRowHeight="15" customHeight="1"/>
  <cols>
    <col min="1" max="1" width="5.42578125" style="1351" customWidth="1"/>
    <col min="2" max="2" width="7.5703125" style="1351" customWidth="1"/>
    <col min="3" max="3" width="26.28515625" style="1351" customWidth="1"/>
    <col min="4" max="7" width="7.7109375" style="1351" customWidth="1"/>
    <col min="8" max="9" width="7.7109375" style="1351" hidden="1" customWidth="1"/>
    <col min="10" max="10" width="7.7109375" style="1351" customWidth="1"/>
    <col min="11" max="11" width="8.7109375" style="1351" customWidth="1"/>
    <col min="12" max="14" width="7.7109375" style="1351" customWidth="1"/>
    <col min="15" max="16" width="7.7109375" style="1351" hidden="1" customWidth="1"/>
    <col min="17" max="17" width="7.7109375" style="1351" customWidth="1"/>
    <col min="18" max="18" width="8.7109375" style="1351" customWidth="1"/>
    <col min="19" max="20" width="7.7109375" style="1351" customWidth="1"/>
    <col min="21" max="16384" width="9.140625" style="1350"/>
  </cols>
  <sheetData>
    <row r="1" spans="1:38" s="1420" customFormat="1" ht="21" customHeight="1" thickBot="1">
      <c r="A1" s="1429" t="s">
        <v>1098</v>
      </c>
      <c r="B1" s="1428"/>
      <c r="C1" s="1427"/>
      <c r="D1" s="1426"/>
      <c r="E1" s="1425"/>
      <c r="F1" s="1424"/>
      <c r="G1" s="1425"/>
      <c r="H1" s="1425"/>
      <c r="I1" s="1425"/>
      <c r="J1" s="1424"/>
      <c r="K1" s="1424"/>
      <c r="L1" s="1424"/>
      <c r="M1" s="1424"/>
      <c r="N1" s="1424"/>
      <c r="O1" s="1425"/>
      <c r="P1" s="1425"/>
      <c r="Q1" s="1424"/>
      <c r="R1" s="1424"/>
      <c r="S1" s="1424"/>
      <c r="T1" s="1423"/>
      <c r="W1" s="1422" t="s">
        <v>1086</v>
      </c>
      <c r="X1" s="1421"/>
      <c r="Y1" s="1421"/>
      <c r="Z1" s="1421"/>
      <c r="AA1" s="1421"/>
      <c r="AB1" s="1421"/>
      <c r="AC1" s="1421"/>
      <c r="AD1" s="1421"/>
      <c r="AE1" s="1421"/>
      <c r="AF1" s="1421"/>
      <c r="AG1" s="1421"/>
      <c r="AH1" s="1421"/>
      <c r="AI1" s="1421"/>
      <c r="AJ1" s="1421"/>
      <c r="AK1" s="1421"/>
      <c r="AL1" s="1421"/>
    </row>
    <row r="2" spans="1:38" ht="13.5" customHeight="1">
      <c r="W2" s="1419" t="s">
        <v>1085</v>
      </c>
      <c r="X2" s="1417"/>
      <c r="Y2" s="1417"/>
      <c r="Z2" s="1417"/>
      <c r="AA2" s="1417"/>
      <c r="AB2" s="1417"/>
      <c r="AC2" s="1417"/>
      <c r="AD2" s="1416"/>
      <c r="AE2" s="1418" t="s">
        <v>1084</v>
      </c>
      <c r="AF2" s="1417"/>
      <c r="AG2" s="1417"/>
      <c r="AH2" s="1417"/>
      <c r="AI2" s="1417"/>
      <c r="AJ2" s="1417"/>
      <c r="AK2" s="1417"/>
      <c r="AL2" s="1416"/>
    </row>
    <row r="3" spans="1:38" ht="13.5" customHeight="1" thickBot="1">
      <c r="A3" s="1415" t="s">
        <v>394</v>
      </c>
      <c r="B3" s="1414" t="s">
        <v>370</v>
      </c>
      <c r="C3" s="1414" t="s">
        <v>1083</v>
      </c>
      <c r="D3" s="1413" t="s">
        <v>1082</v>
      </c>
      <c r="E3" s="1413" t="s">
        <v>1081</v>
      </c>
      <c r="F3" s="1412" t="s">
        <v>1080</v>
      </c>
      <c r="G3" s="1410" t="s">
        <v>1079</v>
      </c>
      <c r="H3" s="1409"/>
      <c r="I3" s="1409"/>
      <c r="J3" s="1409"/>
      <c r="K3" s="1409"/>
      <c r="L3" s="1409"/>
      <c r="M3" s="1411"/>
      <c r="N3" s="1410" t="s">
        <v>1078</v>
      </c>
      <c r="O3" s="1409"/>
      <c r="P3" s="1409"/>
      <c r="Q3" s="1409"/>
      <c r="R3" s="1409"/>
      <c r="S3" s="1409"/>
      <c r="T3" s="1408"/>
      <c r="W3" s="1407" t="s">
        <v>1077</v>
      </c>
      <c r="X3" s="1407"/>
      <c r="Y3" s="1407"/>
      <c r="Z3" s="1407"/>
      <c r="AA3" s="1406" t="s">
        <v>1076</v>
      </c>
      <c r="AB3" s="1406"/>
      <c r="AC3" s="1406"/>
      <c r="AD3" s="1406"/>
      <c r="AE3" s="1407" t="s">
        <v>1077</v>
      </c>
      <c r="AF3" s="1407"/>
      <c r="AG3" s="1407"/>
      <c r="AH3" s="1407"/>
      <c r="AI3" s="1406" t="s">
        <v>1076</v>
      </c>
      <c r="AJ3" s="1406"/>
      <c r="AK3" s="1406"/>
      <c r="AL3" s="1406"/>
    </row>
    <row r="4" spans="1:38" ht="22.5" customHeight="1">
      <c r="A4" s="1396"/>
      <c r="B4" s="1395"/>
      <c r="C4" s="1395"/>
      <c r="D4" s="1394"/>
      <c r="E4" s="1394"/>
      <c r="F4" s="1393"/>
      <c r="G4" s="1457" t="s">
        <v>1097</v>
      </c>
      <c r="H4" s="1454"/>
      <c r="I4" s="1455"/>
      <c r="J4" s="1404" t="s">
        <v>1075</v>
      </c>
      <c r="K4" s="1403" t="s">
        <v>1074</v>
      </c>
      <c r="L4" s="1403" t="s">
        <v>1073</v>
      </c>
      <c r="M4" s="1405" t="s">
        <v>1072</v>
      </c>
      <c r="N4" s="1457" t="s">
        <v>1097</v>
      </c>
      <c r="O4" s="1454"/>
      <c r="P4" s="1455"/>
      <c r="Q4" s="1404" t="s">
        <v>1075</v>
      </c>
      <c r="R4" s="1403" t="s">
        <v>1074</v>
      </c>
      <c r="S4" s="1403" t="s">
        <v>1073</v>
      </c>
      <c r="T4" s="1402" t="s">
        <v>1072</v>
      </c>
      <c r="W4" s="1399" t="s">
        <v>1071</v>
      </c>
      <c r="X4" s="1398" t="s">
        <v>1070</v>
      </c>
      <c r="Y4" s="1398" t="s">
        <v>1069</v>
      </c>
      <c r="Z4" s="1397" t="s">
        <v>1068</v>
      </c>
      <c r="AA4" s="1401" t="s">
        <v>1071</v>
      </c>
      <c r="AB4" s="1398" t="s">
        <v>1070</v>
      </c>
      <c r="AC4" s="1398" t="s">
        <v>1069</v>
      </c>
      <c r="AD4" s="1397" t="s">
        <v>1068</v>
      </c>
      <c r="AE4" s="1401" t="s">
        <v>1071</v>
      </c>
      <c r="AF4" s="1398" t="s">
        <v>1070</v>
      </c>
      <c r="AG4" s="1398" t="s">
        <v>1069</v>
      </c>
      <c r="AH4" s="1400" t="s">
        <v>1068</v>
      </c>
      <c r="AI4" s="1399" t="s">
        <v>1071</v>
      </c>
      <c r="AJ4" s="1398" t="s">
        <v>1070</v>
      </c>
      <c r="AK4" s="1398" t="s">
        <v>1069</v>
      </c>
      <c r="AL4" s="1397" t="s">
        <v>1068</v>
      </c>
    </row>
    <row r="5" spans="1:38" ht="15" customHeight="1">
      <c r="A5" s="1396"/>
      <c r="B5" s="1395"/>
      <c r="C5" s="1395"/>
      <c r="D5" s="1394"/>
      <c r="E5" s="1394"/>
      <c r="F5" s="1393"/>
      <c r="G5" s="1456"/>
      <c r="H5" s="1391" t="s">
        <v>1067</v>
      </c>
      <c r="I5" s="1390" t="s">
        <v>1066</v>
      </c>
      <c r="J5" s="1389"/>
      <c r="K5" s="1388"/>
      <c r="L5" s="1388"/>
      <c r="M5" s="1392"/>
      <c r="N5" s="1456"/>
      <c r="O5" s="1391" t="s">
        <v>1067</v>
      </c>
      <c r="P5" s="1390" t="s">
        <v>1066</v>
      </c>
      <c r="Q5" s="1389"/>
      <c r="R5" s="1388"/>
      <c r="S5" s="1388"/>
      <c r="T5" s="1387"/>
      <c r="W5" s="1384" t="s">
        <v>1065</v>
      </c>
      <c r="X5" s="1383" t="s">
        <v>1064</v>
      </c>
      <c r="Y5" s="1383" t="s">
        <v>1063</v>
      </c>
      <c r="Z5" s="1382" t="s">
        <v>1062</v>
      </c>
      <c r="AA5" s="1386" t="s">
        <v>1065</v>
      </c>
      <c r="AB5" s="1383" t="s">
        <v>1064</v>
      </c>
      <c r="AC5" s="1383" t="s">
        <v>1063</v>
      </c>
      <c r="AD5" s="1382" t="s">
        <v>1062</v>
      </c>
      <c r="AE5" s="1386" t="s">
        <v>1065</v>
      </c>
      <c r="AF5" s="1383" t="s">
        <v>1064</v>
      </c>
      <c r="AG5" s="1383" t="s">
        <v>1063</v>
      </c>
      <c r="AH5" s="1385" t="s">
        <v>1062</v>
      </c>
      <c r="AI5" s="1384" t="s">
        <v>1065</v>
      </c>
      <c r="AJ5" s="1383" t="s">
        <v>1064</v>
      </c>
      <c r="AK5" s="1383" t="s">
        <v>1063</v>
      </c>
      <c r="AL5" s="1382" t="s">
        <v>1062</v>
      </c>
    </row>
    <row r="6" spans="1:38" ht="15" customHeight="1">
      <c r="A6" s="1381">
        <v>1</v>
      </c>
      <c r="B6" s="1380">
        <v>104</v>
      </c>
      <c r="C6" s="1379" t="s">
        <v>810</v>
      </c>
      <c r="D6" s="1378">
        <v>62.09</v>
      </c>
      <c r="E6" s="1377">
        <v>4</v>
      </c>
      <c r="F6" s="1377">
        <v>248.4</v>
      </c>
      <c r="G6" s="1376">
        <v>3107</v>
      </c>
      <c r="H6" s="1373"/>
      <c r="I6" s="1373">
        <v>3107</v>
      </c>
      <c r="J6" s="1373">
        <v>132</v>
      </c>
      <c r="K6" s="1375">
        <v>3239</v>
      </c>
      <c r="L6" s="1371">
        <v>1118</v>
      </c>
      <c r="M6" s="1374">
        <v>4357</v>
      </c>
      <c r="N6" s="1373">
        <v>5931</v>
      </c>
      <c r="O6" s="1373"/>
      <c r="P6" s="1373">
        <v>5931</v>
      </c>
      <c r="Q6" s="1371">
        <v>0</v>
      </c>
      <c r="R6" s="1372">
        <v>5931</v>
      </c>
      <c r="S6" s="1371">
        <v>256</v>
      </c>
      <c r="T6" s="1370">
        <v>6187</v>
      </c>
      <c r="W6" s="1357">
        <v>28</v>
      </c>
      <c r="X6" s="1357">
        <v>45</v>
      </c>
      <c r="Y6" s="1357">
        <v>55.4</v>
      </c>
      <c r="Z6" s="1357">
        <v>10.7</v>
      </c>
      <c r="AA6" s="1357">
        <v>19</v>
      </c>
      <c r="AB6" s="1357">
        <v>40</v>
      </c>
      <c r="AC6" s="1357">
        <v>33</v>
      </c>
      <c r="AD6" s="1357">
        <v>5.5</v>
      </c>
      <c r="AE6" s="1357">
        <v>28</v>
      </c>
      <c r="AF6" s="1357">
        <v>45</v>
      </c>
      <c r="AG6" s="1357">
        <v>55.4</v>
      </c>
      <c r="AH6" s="1357">
        <v>10.7</v>
      </c>
      <c r="AI6" s="1357">
        <v>19</v>
      </c>
      <c r="AJ6" s="1357">
        <v>10</v>
      </c>
      <c r="AK6" s="1357">
        <v>22.7</v>
      </c>
      <c r="AL6" s="1357">
        <v>1.4</v>
      </c>
    </row>
    <row r="7" spans="1:38" ht="15" customHeight="1">
      <c r="A7" s="1369">
        <v>2</v>
      </c>
      <c r="B7" s="1368">
        <v>201</v>
      </c>
      <c r="C7" s="1367" t="s">
        <v>866</v>
      </c>
      <c r="D7" s="1366">
        <v>54.81</v>
      </c>
      <c r="E7" s="1365">
        <v>2.8</v>
      </c>
      <c r="F7" s="1365">
        <v>153.5</v>
      </c>
      <c r="G7" s="1364">
        <v>4975</v>
      </c>
      <c r="H7" s="1361"/>
      <c r="I7" s="1361">
        <v>4975</v>
      </c>
      <c r="J7" s="1361">
        <v>396</v>
      </c>
      <c r="K7" s="1363">
        <v>5371</v>
      </c>
      <c r="L7" s="1359">
        <v>1548</v>
      </c>
      <c r="M7" s="1362">
        <v>6919</v>
      </c>
      <c r="N7" s="1361">
        <v>4672</v>
      </c>
      <c r="O7" s="1361"/>
      <c r="P7" s="1361">
        <v>4672</v>
      </c>
      <c r="Q7" s="1359">
        <v>0</v>
      </c>
      <c r="R7" s="1360">
        <v>4672</v>
      </c>
      <c r="S7" s="1359">
        <v>354</v>
      </c>
      <c r="T7" s="1358">
        <v>5026</v>
      </c>
      <c r="W7" s="1357">
        <v>28</v>
      </c>
      <c r="X7" s="1357">
        <v>45</v>
      </c>
      <c r="Y7" s="1357">
        <v>55.4</v>
      </c>
      <c r="Z7" s="1357">
        <v>10.7</v>
      </c>
      <c r="AA7" s="1357">
        <v>19</v>
      </c>
      <c r="AB7" s="1357">
        <v>40</v>
      </c>
      <c r="AC7" s="1357">
        <v>33</v>
      </c>
      <c r="AD7" s="1357">
        <v>5.5</v>
      </c>
      <c r="AE7" s="1357">
        <v>28</v>
      </c>
      <c r="AF7" s="1357">
        <v>45</v>
      </c>
      <c r="AG7" s="1357">
        <v>55.4</v>
      </c>
      <c r="AH7" s="1357">
        <v>10.7</v>
      </c>
      <c r="AI7" s="1357">
        <v>19</v>
      </c>
      <c r="AJ7" s="1357">
        <v>10</v>
      </c>
      <c r="AK7" s="1357">
        <v>22.7</v>
      </c>
      <c r="AL7" s="1357">
        <v>1.4</v>
      </c>
    </row>
    <row r="8" spans="1:38" ht="15" customHeight="1">
      <c r="A8" s="1369">
        <v>2</v>
      </c>
      <c r="B8" s="1368">
        <v>204</v>
      </c>
      <c r="C8" s="1367" t="s">
        <v>897</v>
      </c>
      <c r="D8" s="1366">
        <v>13.23</v>
      </c>
      <c r="E8" s="1365">
        <v>2.8</v>
      </c>
      <c r="F8" s="1365">
        <v>37.1</v>
      </c>
      <c r="G8" s="1364">
        <v>686</v>
      </c>
      <c r="H8" s="1361"/>
      <c r="I8" s="1361">
        <v>686</v>
      </c>
      <c r="J8" s="1361">
        <v>185</v>
      </c>
      <c r="K8" s="1363">
        <v>871</v>
      </c>
      <c r="L8" s="1359">
        <v>964</v>
      </c>
      <c r="M8" s="1362">
        <v>1835</v>
      </c>
      <c r="N8" s="1361">
        <v>1425</v>
      </c>
      <c r="O8" s="1361"/>
      <c r="P8" s="1361">
        <v>1425</v>
      </c>
      <c r="Q8" s="1359">
        <v>0</v>
      </c>
      <c r="R8" s="1360">
        <v>1425</v>
      </c>
      <c r="S8" s="1359">
        <v>236</v>
      </c>
      <c r="T8" s="1358">
        <v>1661</v>
      </c>
      <c r="W8" s="1357">
        <v>28</v>
      </c>
      <c r="X8" s="1357">
        <v>45</v>
      </c>
      <c r="Y8" s="1357">
        <v>55.4</v>
      </c>
      <c r="Z8" s="1357">
        <v>10.7</v>
      </c>
      <c r="AA8" s="1357">
        <v>19</v>
      </c>
      <c r="AB8" s="1357">
        <v>40</v>
      </c>
      <c r="AC8" s="1357">
        <v>33</v>
      </c>
      <c r="AD8" s="1357">
        <v>5.5</v>
      </c>
      <c r="AE8" s="1357">
        <v>28</v>
      </c>
      <c r="AF8" s="1357">
        <v>45</v>
      </c>
      <c r="AG8" s="1357">
        <v>55.4</v>
      </c>
      <c r="AH8" s="1357">
        <v>10.7</v>
      </c>
      <c r="AI8" s="1357">
        <v>19</v>
      </c>
      <c r="AJ8" s="1357">
        <v>10</v>
      </c>
      <c r="AK8" s="1357">
        <v>22.7</v>
      </c>
      <c r="AL8" s="1357">
        <v>1.4</v>
      </c>
    </row>
    <row r="9" spans="1:38" ht="15" customHeight="1">
      <c r="A9" s="1369">
        <v>2</v>
      </c>
      <c r="B9" s="1368">
        <v>205</v>
      </c>
      <c r="C9" s="1367" t="s">
        <v>920</v>
      </c>
      <c r="D9" s="1366">
        <v>13.23</v>
      </c>
      <c r="E9" s="1365">
        <v>2.8</v>
      </c>
      <c r="F9" s="1365">
        <v>37.1</v>
      </c>
      <c r="G9" s="1364">
        <v>827</v>
      </c>
      <c r="H9" s="1361"/>
      <c r="I9" s="1361">
        <v>827</v>
      </c>
      <c r="J9" s="1361">
        <v>106</v>
      </c>
      <c r="K9" s="1363">
        <v>933</v>
      </c>
      <c r="L9" s="1359">
        <v>1048</v>
      </c>
      <c r="M9" s="1362">
        <v>1981</v>
      </c>
      <c r="N9" s="1361">
        <v>1599</v>
      </c>
      <c r="O9" s="1361"/>
      <c r="P9" s="1361">
        <v>1599</v>
      </c>
      <c r="Q9" s="1359">
        <v>0</v>
      </c>
      <c r="R9" s="1360">
        <v>1599</v>
      </c>
      <c r="S9" s="1359">
        <v>236</v>
      </c>
      <c r="T9" s="1358">
        <v>1835</v>
      </c>
      <c r="W9" s="1357">
        <v>28</v>
      </c>
      <c r="X9" s="1357">
        <v>45</v>
      </c>
      <c r="Y9" s="1357">
        <v>55.4</v>
      </c>
      <c r="Z9" s="1357">
        <v>10.7</v>
      </c>
      <c r="AA9" s="1357">
        <v>19</v>
      </c>
      <c r="AB9" s="1357">
        <v>40</v>
      </c>
      <c r="AC9" s="1357">
        <v>33</v>
      </c>
      <c r="AD9" s="1357">
        <v>5.5</v>
      </c>
      <c r="AE9" s="1357">
        <v>28</v>
      </c>
      <c r="AF9" s="1357">
        <v>45</v>
      </c>
      <c r="AG9" s="1357">
        <v>55.4</v>
      </c>
      <c r="AH9" s="1357">
        <v>10.7</v>
      </c>
      <c r="AI9" s="1357">
        <v>19</v>
      </c>
      <c r="AJ9" s="1357">
        <v>10</v>
      </c>
      <c r="AK9" s="1357">
        <v>22.7</v>
      </c>
      <c r="AL9" s="1357">
        <v>1.4</v>
      </c>
    </row>
    <row r="10" spans="1:38" ht="15" customHeight="1">
      <c r="A10" s="1369">
        <v>2</v>
      </c>
      <c r="B10" s="1368">
        <v>208</v>
      </c>
      <c r="C10" s="1367" t="s">
        <v>935</v>
      </c>
      <c r="D10" s="1366">
        <v>53.34</v>
      </c>
      <c r="E10" s="1365">
        <v>2.8</v>
      </c>
      <c r="F10" s="1365">
        <v>149.4</v>
      </c>
      <c r="G10" s="1364">
        <v>3146</v>
      </c>
      <c r="H10" s="1361"/>
      <c r="I10" s="1361">
        <v>3146</v>
      </c>
      <c r="J10" s="1361">
        <v>132</v>
      </c>
      <c r="K10" s="1363">
        <v>3278</v>
      </c>
      <c r="L10" s="1359">
        <v>869</v>
      </c>
      <c r="M10" s="1362">
        <v>4147</v>
      </c>
      <c r="N10" s="1361">
        <v>4366</v>
      </c>
      <c r="O10" s="1361"/>
      <c r="P10" s="1361">
        <v>4366</v>
      </c>
      <c r="Q10" s="1359">
        <v>0</v>
      </c>
      <c r="R10" s="1360">
        <v>4366</v>
      </c>
      <c r="S10" s="1359">
        <v>216</v>
      </c>
      <c r="T10" s="1358">
        <v>4582</v>
      </c>
      <c r="W10" s="1357">
        <v>28</v>
      </c>
      <c r="X10" s="1357">
        <v>45</v>
      </c>
      <c r="Y10" s="1357">
        <v>55.4</v>
      </c>
      <c r="Z10" s="1357">
        <v>10.7</v>
      </c>
      <c r="AA10" s="1357">
        <v>19</v>
      </c>
      <c r="AB10" s="1357">
        <v>40</v>
      </c>
      <c r="AC10" s="1357">
        <v>33</v>
      </c>
      <c r="AD10" s="1357">
        <v>5.5</v>
      </c>
      <c r="AE10" s="1357">
        <v>28</v>
      </c>
      <c r="AF10" s="1357">
        <v>45</v>
      </c>
      <c r="AG10" s="1357">
        <v>55.4</v>
      </c>
      <c r="AH10" s="1357">
        <v>10.7</v>
      </c>
      <c r="AI10" s="1357">
        <v>19</v>
      </c>
      <c r="AJ10" s="1357">
        <v>10</v>
      </c>
      <c r="AK10" s="1357">
        <v>22.7</v>
      </c>
      <c r="AL10" s="1357">
        <v>1.4</v>
      </c>
    </row>
    <row r="11" spans="1:38" ht="15" customHeight="1">
      <c r="A11" s="1369">
        <v>2</v>
      </c>
      <c r="B11" s="1368">
        <v>210</v>
      </c>
      <c r="C11" s="1367" t="s">
        <v>972</v>
      </c>
      <c r="D11" s="1366">
        <v>13.23</v>
      </c>
      <c r="E11" s="1365">
        <v>2.8</v>
      </c>
      <c r="F11" s="1365">
        <v>37.1</v>
      </c>
      <c r="G11" s="1364">
        <v>2201</v>
      </c>
      <c r="H11" s="1361"/>
      <c r="I11" s="1361">
        <v>2201</v>
      </c>
      <c r="J11" s="1361">
        <v>264</v>
      </c>
      <c r="K11" s="1363">
        <v>2465</v>
      </c>
      <c r="L11" s="1359">
        <v>812</v>
      </c>
      <c r="M11" s="1362">
        <v>3277</v>
      </c>
      <c r="N11" s="1361">
        <v>1642</v>
      </c>
      <c r="O11" s="1361"/>
      <c r="P11" s="1361">
        <v>1642</v>
      </c>
      <c r="Q11" s="1359">
        <v>0</v>
      </c>
      <c r="R11" s="1360">
        <v>1642</v>
      </c>
      <c r="S11" s="1359">
        <v>236</v>
      </c>
      <c r="T11" s="1358">
        <v>1878</v>
      </c>
      <c r="W11" s="1357">
        <v>28</v>
      </c>
      <c r="X11" s="1357">
        <v>45</v>
      </c>
      <c r="Y11" s="1357">
        <v>55.4</v>
      </c>
      <c r="Z11" s="1357">
        <v>10.7</v>
      </c>
      <c r="AA11" s="1357">
        <v>19</v>
      </c>
      <c r="AB11" s="1357">
        <v>40</v>
      </c>
      <c r="AC11" s="1357">
        <v>33</v>
      </c>
      <c r="AD11" s="1357">
        <v>5.5</v>
      </c>
      <c r="AE11" s="1357">
        <v>28</v>
      </c>
      <c r="AF11" s="1357">
        <v>45</v>
      </c>
      <c r="AG11" s="1357">
        <v>55.4</v>
      </c>
      <c r="AH11" s="1357">
        <v>10.7</v>
      </c>
      <c r="AI11" s="1357">
        <v>19</v>
      </c>
      <c r="AJ11" s="1357">
        <v>10</v>
      </c>
      <c r="AK11" s="1357">
        <v>22.7</v>
      </c>
      <c r="AL11" s="1357">
        <v>1.4</v>
      </c>
    </row>
    <row r="12" spans="1:38" ht="15" customHeight="1">
      <c r="A12" s="1369">
        <v>2</v>
      </c>
      <c r="B12" s="1368">
        <v>211</v>
      </c>
      <c r="C12" s="1367" t="s">
        <v>992</v>
      </c>
      <c r="D12" s="1366">
        <v>13.23</v>
      </c>
      <c r="E12" s="1365">
        <v>2.8</v>
      </c>
      <c r="F12" s="1365">
        <v>37.1</v>
      </c>
      <c r="G12" s="1364">
        <v>669</v>
      </c>
      <c r="H12" s="1361"/>
      <c r="I12" s="1361">
        <v>669</v>
      </c>
      <c r="J12" s="1361">
        <v>264</v>
      </c>
      <c r="K12" s="1363">
        <v>933</v>
      </c>
      <c r="L12" s="1359">
        <v>1048</v>
      </c>
      <c r="M12" s="1362">
        <v>1981</v>
      </c>
      <c r="N12" s="1361">
        <v>875</v>
      </c>
      <c r="O12" s="1361"/>
      <c r="P12" s="1361">
        <v>875</v>
      </c>
      <c r="Q12" s="1359">
        <v>0</v>
      </c>
      <c r="R12" s="1360">
        <v>875</v>
      </c>
      <c r="S12" s="1359">
        <v>236</v>
      </c>
      <c r="T12" s="1358">
        <v>1111</v>
      </c>
      <c r="W12" s="1357">
        <v>28</v>
      </c>
      <c r="X12" s="1357">
        <v>45</v>
      </c>
      <c r="Y12" s="1357">
        <v>55.4</v>
      </c>
      <c r="Z12" s="1357">
        <v>10.7</v>
      </c>
      <c r="AA12" s="1357">
        <v>19</v>
      </c>
      <c r="AB12" s="1357">
        <v>40</v>
      </c>
      <c r="AC12" s="1357">
        <v>33</v>
      </c>
      <c r="AD12" s="1357">
        <v>5.5</v>
      </c>
      <c r="AE12" s="1357">
        <v>28</v>
      </c>
      <c r="AF12" s="1357">
        <v>45</v>
      </c>
      <c r="AG12" s="1357">
        <v>55.4</v>
      </c>
      <c r="AH12" s="1357">
        <v>10.7</v>
      </c>
      <c r="AI12" s="1357">
        <v>19</v>
      </c>
      <c r="AJ12" s="1357">
        <v>10</v>
      </c>
      <c r="AK12" s="1357">
        <v>22.7</v>
      </c>
      <c r="AL12" s="1357">
        <v>1.4</v>
      </c>
    </row>
    <row r="13" spans="1:38" ht="15" customHeight="1">
      <c r="A13" s="1369"/>
      <c r="B13" s="1368"/>
      <c r="C13" s="1367"/>
      <c r="D13" s="1366"/>
      <c r="E13" s="1365"/>
      <c r="F13" s="1365"/>
      <c r="G13" s="1364"/>
      <c r="H13" s="1361"/>
      <c r="I13" s="1361"/>
      <c r="J13" s="1361"/>
      <c r="K13" s="1363"/>
      <c r="L13" s="1359"/>
      <c r="M13" s="1362"/>
      <c r="N13" s="1361"/>
      <c r="O13" s="1361"/>
      <c r="P13" s="1361"/>
      <c r="Q13" s="1359"/>
      <c r="R13" s="1360"/>
      <c r="S13" s="1359"/>
      <c r="T13" s="1358"/>
      <c r="W13" s="1357"/>
      <c r="X13" s="1357"/>
      <c r="Y13" s="1357"/>
      <c r="Z13" s="1357"/>
      <c r="AA13" s="1357"/>
      <c r="AB13" s="1357"/>
      <c r="AC13" s="1357"/>
      <c r="AD13" s="1357"/>
      <c r="AE13" s="1357"/>
      <c r="AF13" s="1357"/>
      <c r="AG13" s="1357"/>
      <c r="AH13" s="1357"/>
      <c r="AI13" s="1357"/>
      <c r="AJ13" s="1357"/>
      <c r="AK13" s="1357"/>
      <c r="AL13" s="1357"/>
    </row>
    <row r="14" spans="1:38" ht="15" customHeight="1">
      <c r="A14" s="1369"/>
      <c r="B14" s="1368"/>
      <c r="C14" s="1367"/>
      <c r="D14" s="1366"/>
      <c r="E14" s="1365"/>
      <c r="F14" s="1365"/>
      <c r="G14" s="1364"/>
      <c r="H14" s="1361"/>
      <c r="I14" s="1361"/>
      <c r="J14" s="1361"/>
      <c r="K14" s="1363"/>
      <c r="L14" s="1359"/>
      <c r="M14" s="1362"/>
      <c r="N14" s="1361"/>
      <c r="O14" s="1361"/>
      <c r="P14" s="1361"/>
      <c r="Q14" s="1359"/>
      <c r="R14" s="1360"/>
      <c r="S14" s="1359"/>
      <c r="T14" s="1358"/>
      <c r="W14" s="1357"/>
      <c r="X14" s="1357"/>
      <c r="Y14" s="1357"/>
      <c r="Z14" s="1357"/>
      <c r="AA14" s="1357"/>
      <c r="AB14" s="1357"/>
      <c r="AC14" s="1357"/>
      <c r="AD14" s="1357"/>
      <c r="AE14" s="1357"/>
      <c r="AF14" s="1357"/>
      <c r="AG14" s="1357"/>
      <c r="AH14" s="1357"/>
      <c r="AI14" s="1357"/>
      <c r="AJ14" s="1357"/>
      <c r="AK14" s="1357"/>
      <c r="AL14" s="1357"/>
    </row>
    <row r="15" spans="1:38" ht="15" customHeight="1">
      <c r="A15" s="1369"/>
      <c r="B15" s="1368"/>
      <c r="C15" s="1367"/>
      <c r="D15" s="1366"/>
      <c r="E15" s="1365"/>
      <c r="F15" s="1365"/>
      <c r="G15" s="1364"/>
      <c r="H15" s="1361"/>
      <c r="I15" s="1361"/>
      <c r="J15" s="1361"/>
      <c r="K15" s="1363"/>
      <c r="L15" s="1359"/>
      <c r="M15" s="1362"/>
      <c r="N15" s="1361"/>
      <c r="O15" s="1361"/>
      <c r="P15" s="1361"/>
      <c r="Q15" s="1359"/>
      <c r="R15" s="1360"/>
      <c r="S15" s="1359"/>
      <c r="T15" s="1358"/>
      <c r="W15" s="1357"/>
      <c r="X15" s="1357"/>
      <c r="Y15" s="1357"/>
      <c r="Z15" s="1357"/>
      <c r="AA15" s="1357"/>
      <c r="AB15" s="1357"/>
      <c r="AC15" s="1357"/>
      <c r="AD15" s="1357"/>
      <c r="AE15" s="1357"/>
      <c r="AF15" s="1357"/>
      <c r="AG15" s="1357"/>
      <c r="AH15" s="1357"/>
      <c r="AI15" s="1357"/>
      <c r="AJ15" s="1357"/>
      <c r="AK15" s="1357"/>
      <c r="AL15" s="1357"/>
    </row>
    <row r="16" spans="1:38" ht="15" customHeight="1">
      <c r="A16" s="1369"/>
      <c r="B16" s="1368"/>
      <c r="C16" s="1367"/>
      <c r="D16" s="1366"/>
      <c r="E16" s="1365"/>
      <c r="F16" s="1365"/>
      <c r="G16" s="1364"/>
      <c r="H16" s="1361"/>
      <c r="I16" s="1361"/>
      <c r="J16" s="1361"/>
      <c r="K16" s="1363"/>
      <c r="L16" s="1359"/>
      <c r="M16" s="1362"/>
      <c r="N16" s="1361"/>
      <c r="O16" s="1361"/>
      <c r="P16" s="1361"/>
      <c r="Q16" s="1359"/>
      <c r="R16" s="1360"/>
      <c r="S16" s="1359"/>
      <c r="T16" s="1358"/>
      <c r="W16" s="1357"/>
      <c r="X16" s="1357"/>
      <c r="Y16" s="1357"/>
      <c r="Z16" s="1357"/>
      <c r="AA16" s="1357"/>
      <c r="AB16" s="1357"/>
      <c r="AC16" s="1357"/>
      <c r="AD16" s="1357"/>
      <c r="AE16" s="1357"/>
      <c r="AF16" s="1357"/>
      <c r="AG16" s="1357"/>
      <c r="AH16" s="1357"/>
      <c r="AI16" s="1357"/>
      <c r="AJ16" s="1357"/>
      <c r="AK16" s="1357"/>
      <c r="AL16" s="1357"/>
    </row>
    <row r="17" spans="1:38" ht="15" customHeight="1">
      <c r="A17" s="1369"/>
      <c r="B17" s="1368"/>
      <c r="C17" s="1367"/>
      <c r="D17" s="1366"/>
      <c r="E17" s="1365"/>
      <c r="F17" s="1365"/>
      <c r="G17" s="1364"/>
      <c r="H17" s="1361"/>
      <c r="I17" s="1361"/>
      <c r="J17" s="1361"/>
      <c r="K17" s="1363"/>
      <c r="L17" s="1359"/>
      <c r="M17" s="1362"/>
      <c r="N17" s="1361"/>
      <c r="O17" s="1361"/>
      <c r="P17" s="1361"/>
      <c r="Q17" s="1359"/>
      <c r="R17" s="1360"/>
      <c r="S17" s="1359"/>
      <c r="T17" s="1358"/>
      <c r="W17" s="1357"/>
      <c r="X17" s="1357"/>
      <c r="Y17" s="1357"/>
      <c r="Z17" s="1357"/>
      <c r="AA17" s="1357"/>
      <c r="AB17" s="1357"/>
      <c r="AC17" s="1357"/>
      <c r="AD17" s="1357"/>
      <c r="AE17" s="1357"/>
      <c r="AF17" s="1357"/>
      <c r="AG17" s="1357"/>
      <c r="AH17" s="1357"/>
      <c r="AI17" s="1357"/>
      <c r="AJ17" s="1357"/>
      <c r="AK17" s="1357"/>
      <c r="AL17" s="1357"/>
    </row>
    <row r="18" spans="1:38" ht="15" customHeight="1">
      <c r="A18" s="1369"/>
      <c r="B18" s="1368"/>
      <c r="C18" s="1367"/>
      <c r="D18" s="1366"/>
      <c r="E18" s="1365"/>
      <c r="F18" s="1365"/>
      <c r="G18" s="1364"/>
      <c r="H18" s="1361"/>
      <c r="I18" s="1361"/>
      <c r="J18" s="1361"/>
      <c r="K18" s="1363"/>
      <c r="L18" s="1359"/>
      <c r="M18" s="1362"/>
      <c r="N18" s="1361"/>
      <c r="O18" s="1361"/>
      <c r="P18" s="1361"/>
      <c r="Q18" s="1359"/>
      <c r="R18" s="1360"/>
      <c r="S18" s="1359"/>
      <c r="T18" s="1358"/>
      <c r="W18" s="1357"/>
      <c r="X18" s="1357"/>
      <c r="Y18" s="1357"/>
      <c r="Z18" s="1357"/>
      <c r="AA18" s="1357"/>
      <c r="AB18" s="1357"/>
      <c r="AC18" s="1357"/>
      <c r="AD18" s="1357"/>
      <c r="AE18" s="1357"/>
      <c r="AF18" s="1357"/>
      <c r="AG18" s="1357"/>
      <c r="AH18" s="1357"/>
      <c r="AI18" s="1357"/>
      <c r="AJ18" s="1357"/>
      <c r="AK18" s="1357"/>
      <c r="AL18" s="1357"/>
    </row>
    <row r="19" spans="1:38" ht="15" customHeight="1">
      <c r="A19" s="1369"/>
      <c r="B19" s="1368"/>
      <c r="C19" s="1367"/>
      <c r="D19" s="1366"/>
      <c r="E19" s="1365"/>
      <c r="F19" s="1365"/>
      <c r="G19" s="1364"/>
      <c r="H19" s="1361"/>
      <c r="I19" s="1361"/>
      <c r="J19" s="1361"/>
      <c r="K19" s="1363"/>
      <c r="L19" s="1359"/>
      <c r="M19" s="1362"/>
      <c r="N19" s="1361"/>
      <c r="O19" s="1361"/>
      <c r="P19" s="1361"/>
      <c r="Q19" s="1359"/>
      <c r="R19" s="1360"/>
      <c r="S19" s="1359"/>
      <c r="T19" s="1358"/>
      <c r="W19" s="1357"/>
      <c r="X19" s="1357"/>
      <c r="Y19" s="1357"/>
      <c r="Z19" s="1357"/>
      <c r="AA19" s="1357"/>
      <c r="AB19" s="1357"/>
      <c r="AC19" s="1357"/>
      <c r="AD19" s="1357"/>
      <c r="AE19" s="1357"/>
      <c r="AF19" s="1357"/>
      <c r="AG19" s="1357"/>
      <c r="AH19" s="1357"/>
      <c r="AI19" s="1357"/>
      <c r="AJ19" s="1357"/>
      <c r="AK19" s="1357"/>
      <c r="AL19" s="1357"/>
    </row>
    <row r="20" spans="1:38" ht="15" customHeight="1">
      <c r="A20" s="1369"/>
      <c r="B20" s="1368"/>
      <c r="C20" s="1367"/>
      <c r="D20" s="1366"/>
      <c r="E20" s="1365"/>
      <c r="F20" s="1365"/>
      <c r="G20" s="1364"/>
      <c r="H20" s="1361"/>
      <c r="I20" s="1361"/>
      <c r="J20" s="1361"/>
      <c r="K20" s="1363"/>
      <c r="L20" s="1359"/>
      <c r="M20" s="1362"/>
      <c r="N20" s="1361"/>
      <c r="O20" s="1361"/>
      <c r="P20" s="1361"/>
      <c r="Q20" s="1359"/>
      <c r="R20" s="1360"/>
      <c r="S20" s="1359"/>
      <c r="T20" s="1358"/>
      <c r="W20" s="1357"/>
      <c r="X20" s="1357"/>
      <c r="Y20" s="1357"/>
      <c r="Z20" s="1357"/>
      <c r="AA20" s="1357"/>
      <c r="AB20" s="1357"/>
      <c r="AC20" s="1357"/>
      <c r="AD20" s="1357"/>
      <c r="AE20" s="1357"/>
      <c r="AF20" s="1357"/>
      <c r="AG20" s="1357"/>
      <c r="AH20" s="1357"/>
      <c r="AI20" s="1357"/>
      <c r="AJ20" s="1357"/>
      <c r="AK20" s="1357"/>
      <c r="AL20" s="1357"/>
    </row>
    <row r="21" spans="1:38" ht="15" customHeight="1">
      <c r="A21" s="1369"/>
      <c r="B21" s="1368"/>
      <c r="C21" s="1367"/>
      <c r="D21" s="1366"/>
      <c r="E21" s="1365"/>
      <c r="F21" s="1365"/>
      <c r="G21" s="1364"/>
      <c r="H21" s="1361"/>
      <c r="I21" s="1361"/>
      <c r="J21" s="1361"/>
      <c r="K21" s="1363"/>
      <c r="L21" s="1359"/>
      <c r="M21" s="1362"/>
      <c r="N21" s="1361"/>
      <c r="O21" s="1361"/>
      <c r="P21" s="1361"/>
      <c r="Q21" s="1359"/>
      <c r="R21" s="1360"/>
      <c r="S21" s="1359"/>
      <c r="T21" s="1358"/>
      <c r="W21" s="1357"/>
      <c r="X21" s="1357"/>
      <c r="Y21" s="1357"/>
      <c r="Z21" s="1357"/>
      <c r="AA21" s="1357"/>
      <c r="AB21" s="1357"/>
      <c r="AC21" s="1357"/>
      <c r="AD21" s="1357"/>
      <c r="AE21" s="1357"/>
      <c r="AF21" s="1357"/>
      <c r="AG21" s="1357"/>
      <c r="AH21" s="1357"/>
      <c r="AI21" s="1357"/>
      <c r="AJ21" s="1357"/>
      <c r="AK21" s="1357"/>
      <c r="AL21" s="1357"/>
    </row>
    <row r="22" spans="1:38" ht="15" customHeight="1">
      <c r="A22" s="1369"/>
      <c r="B22" s="1368"/>
      <c r="C22" s="1367"/>
      <c r="D22" s="1366"/>
      <c r="E22" s="1365"/>
      <c r="F22" s="1365"/>
      <c r="G22" s="1364"/>
      <c r="H22" s="1361"/>
      <c r="I22" s="1361"/>
      <c r="J22" s="1361"/>
      <c r="K22" s="1363"/>
      <c r="L22" s="1359"/>
      <c r="M22" s="1362"/>
      <c r="N22" s="1361"/>
      <c r="O22" s="1361"/>
      <c r="P22" s="1361"/>
      <c r="Q22" s="1359"/>
      <c r="R22" s="1360"/>
      <c r="S22" s="1359"/>
      <c r="T22" s="1358"/>
      <c r="W22" s="1357"/>
      <c r="X22" s="1357"/>
      <c r="Y22" s="1357"/>
      <c r="Z22" s="1357"/>
      <c r="AA22" s="1357"/>
      <c r="AB22" s="1357"/>
      <c r="AC22" s="1357"/>
      <c r="AD22" s="1357"/>
      <c r="AE22" s="1357"/>
      <c r="AF22" s="1357"/>
      <c r="AG22" s="1357"/>
      <c r="AH22" s="1357"/>
      <c r="AI22" s="1357"/>
      <c r="AJ22" s="1357"/>
      <c r="AK22" s="1357"/>
      <c r="AL22" s="1357"/>
    </row>
    <row r="23" spans="1:38" ht="15" customHeight="1">
      <c r="A23" s="1369"/>
      <c r="B23" s="1368"/>
      <c r="C23" s="1367"/>
      <c r="D23" s="1366"/>
      <c r="E23" s="1365"/>
      <c r="F23" s="1365"/>
      <c r="G23" s="1364"/>
      <c r="H23" s="1361"/>
      <c r="I23" s="1361"/>
      <c r="J23" s="1361"/>
      <c r="K23" s="1363"/>
      <c r="L23" s="1359"/>
      <c r="M23" s="1362"/>
      <c r="N23" s="1361"/>
      <c r="O23" s="1361"/>
      <c r="P23" s="1361"/>
      <c r="Q23" s="1359"/>
      <c r="R23" s="1360"/>
      <c r="S23" s="1359"/>
      <c r="T23" s="1358"/>
      <c r="W23" s="1357"/>
      <c r="X23" s="1357"/>
      <c r="Y23" s="1357"/>
      <c r="Z23" s="1357"/>
      <c r="AA23" s="1357"/>
      <c r="AB23" s="1357"/>
      <c r="AC23" s="1357"/>
      <c r="AD23" s="1357"/>
      <c r="AE23" s="1357"/>
      <c r="AF23" s="1357"/>
      <c r="AG23" s="1357"/>
      <c r="AH23" s="1357"/>
      <c r="AI23" s="1357"/>
      <c r="AJ23" s="1357"/>
      <c r="AK23" s="1357"/>
      <c r="AL23" s="1357"/>
    </row>
    <row r="24" spans="1:38" ht="15" customHeight="1">
      <c r="A24" s="1369"/>
      <c r="B24" s="1368"/>
      <c r="C24" s="1367"/>
      <c r="D24" s="1366"/>
      <c r="E24" s="1365"/>
      <c r="F24" s="1365"/>
      <c r="G24" s="1364"/>
      <c r="H24" s="1361"/>
      <c r="I24" s="1361"/>
      <c r="J24" s="1361"/>
      <c r="K24" s="1363"/>
      <c r="L24" s="1359"/>
      <c r="M24" s="1362"/>
      <c r="N24" s="1361"/>
      <c r="O24" s="1361"/>
      <c r="P24" s="1361"/>
      <c r="Q24" s="1359"/>
      <c r="R24" s="1360"/>
      <c r="S24" s="1359"/>
      <c r="T24" s="1358"/>
      <c r="W24" s="1357"/>
      <c r="X24" s="1357"/>
      <c r="Y24" s="1357"/>
      <c r="Z24" s="1357"/>
      <c r="AA24" s="1357"/>
      <c r="AB24" s="1357"/>
      <c r="AC24" s="1357"/>
      <c r="AD24" s="1357"/>
      <c r="AE24" s="1357"/>
      <c r="AF24" s="1357"/>
      <c r="AG24" s="1357"/>
      <c r="AH24" s="1357"/>
      <c r="AI24" s="1357"/>
      <c r="AJ24" s="1357"/>
      <c r="AK24" s="1357"/>
      <c r="AL24" s="1357"/>
    </row>
    <row r="25" spans="1:38" ht="15" customHeight="1">
      <c r="A25" s="1369"/>
      <c r="B25" s="1368"/>
      <c r="C25" s="1367"/>
      <c r="D25" s="1366"/>
      <c r="E25" s="1365"/>
      <c r="F25" s="1365"/>
      <c r="G25" s="1364"/>
      <c r="H25" s="1361"/>
      <c r="I25" s="1361"/>
      <c r="J25" s="1361"/>
      <c r="K25" s="1363"/>
      <c r="L25" s="1359"/>
      <c r="M25" s="1362"/>
      <c r="N25" s="1361"/>
      <c r="O25" s="1361"/>
      <c r="P25" s="1361"/>
      <c r="Q25" s="1359"/>
      <c r="R25" s="1360"/>
      <c r="S25" s="1359"/>
      <c r="T25" s="1358"/>
      <c r="W25" s="1357"/>
      <c r="X25" s="1357"/>
      <c r="Y25" s="1357"/>
      <c r="Z25" s="1357"/>
      <c r="AA25" s="1357"/>
      <c r="AB25" s="1357"/>
      <c r="AC25" s="1357"/>
      <c r="AD25" s="1357"/>
      <c r="AE25" s="1357"/>
      <c r="AF25" s="1357"/>
      <c r="AG25" s="1357"/>
      <c r="AH25" s="1357"/>
      <c r="AI25" s="1357"/>
      <c r="AJ25" s="1357"/>
      <c r="AK25" s="1357"/>
      <c r="AL25" s="1357"/>
    </row>
    <row r="26" spans="1:38" ht="15" customHeight="1">
      <c r="A26" s="1369"/>
      <c r="B26" s="1368"/>
      <c r="C26" s="1367"/>
      <c r="D26" s="1366"/>
      <c r="E26" s="1365"/>
      <c r="F26" s="1365"/>
      <c r="G26" s="1364"/>
      <c r="H26" s="1361"/>
      <c r="I26" s="1361"/>
      <c r="J26" s="1361"/>
      <c r="K26" s="1363"/>
      <c r="L26" s="1359"/>
      <c r="M26" s="1362"/>
      <c r="N26" s="1361"/>
      <c r="O26" s="1361"/>
      <c r="P26" s="1361"/>
      <c r="Q26" s="1359"/>
      <c r="R26" s="1360"/>
      <c r="S26" s="1359"/>
      <c r="T26" s="1358"/>
      <c r="W26" s="1357"/>
      <c r="X26" s="1357"/>
      <c r="Y26" s="1357"/>
      <c r="Z26" s="1357"/>
      <c r="AA26" s="1357"/>
      <c r="AB26" s="1357"/>
      <c r="AC26" s="1357"/>
      <c r="AD26" s="1357"/>
      <c r="AE26" s="1357"/>
      <c r="AF26" s="1357"/>
      <c r="AG26" s="1357"/>
      <c r="AH26" s="1357"/>
      <c r="AI26" s="1357"/>
      <c r="AJ26" s="1357"/>
      <c r="AK26" s="1357"/>
      <c r="AL26" s="1357"/>
    </row>
    <row r="27" spans="1:38" ht="15" customHeight="1">
      <c r="A27" s="1369"/>
      <c r="B27" s="1368"/>
      <c r="C27" s="1367"/>
      <c r="D27" s="1366"/>
      <c r="E27" s="1365"/>
      <c r="F27" s="1365"/>
      <c r="G27" s="1364"/>
      <c r="H27" s="1361"/>
      <c r="I27" s="1361"/>
      <c r="J27" s="1361"/>
      <c r="K27" s="1363"/>
      <c r="L27" s="1359"/>
      <c r="M27" s="1362"/>
      <c r="N27" s="1361"/>
      <c r="O27" s="1361"/>
      <c r="P27" s="1361"/>
      <c r="Q27" s="1359"/>
      <c r="R27" s="1360"/>
      <c r="S27" s="1359"/>
      <c r="T27" s="1358"/>
      <c r="W27" s="1357"/>
      <c r="X27" s="1357"/>
      <c r="Y27" s="1357"/>
      <c r="Z27" s="1357"/>
      <c r="AA27" s="1357"/>
      <c r="AB27" s="1357"/>
      <c r="AC27" s="1357"/>
      <c r="AD27" s="1357"/>
      <c r="AE27" s="1357"/>
      <c r="AF27" s="1357"/>
      <c r="AG27" s="1357"/>
      <c r="AH27" s="1357"/>
      <c r="AI27" s="1357"/>
      <c r="AJ27" s="1357"/>
      <c r="AK27" s="1357"/>
      <c r="AL27" s="1357"/>
    </row>
    <row r="28" spans="1:38" ht="15" customHeight="1">
      <c r="A28" s="1369"/>
      <c r="B28" s="1368"/>
      <c r="C28" s="1367"/>
      <c r="D28" s="1366"/>
      <c r="E28" s="1365"/>
      <c r="F28" s="1365"/>
      <c r="G28" s="1364"/>
      <c r="H28" s="1361"/>
      <c r="I28" s="1361"/>
      <c r="J28" s="1361"/>
      <c r="K28" s="1363"/>
      <c r="L28" s="1359"/>
      <c r="M28" s="1362"/>
      <c r="N28" s="1361"/>
      <c r="O28" s="1361"/>
      <c r="P28" s="1361"/>
      <c r="Q28" s="1359"/>
      <c r="R28" s="1360"/>
      <c r="S28" s="1359"/>
      <c r="T28" s="1358"/>
      <c r="W28" s="1357"/>
      <c r="X28" s="1357"/>
      <c r="Y28" s="1357"/>
      <c r="Z28" s="1357"/>
      <c r="AA28" s="1357"/>
      <c r="AB28" s="1357"/>
      <c r="AC28" s="1357"/>
      <c r="AD28" s="1357"/>
      <c r="AE28" s="1357"/>
      <c r="AF28" s="1357"/>
      <c r="AG28" s="1357"/>
      <c r="AH28" s="1357"/>
      <c r="AI28" s="1357"/>
      <c r="AJ28" s="1357"/>
      <c r="AK28" s="1357"/>
      <c r="AL28" s="1357"/>
    </row>
    <row r="29" spans="1:38" ht="15" customHeight="1">
      <c r="A29" s="1369"/>
      <c r="B29" s="1368"/>
      <c r="C29" s="1367"/>
      <c r="D29" s="1366"/>
      <c r="E29" s="1365"/>
      <c r="F29" s="1365"/>
      <c r="G29" s="1364"/>
      <c r="H29" s="1361"/>
      <c r="I29" s="1361"/>
      <c r="J29" s="1361"/>
      <c r="K29" s="1363"/>
      <c r="L29" s="1359"/>
      <c r="M29" s="1362"/>
      <c r="N29" s="1361"/>
      <c r="O29" s="1361"/>
      <c r="P29" s="1361"/>
      <c r="Q29" s="1359"/>
      <c r="R29" s="1360"/>
      <c r="S29" s="1359"/>
      <c r="T29" s="1358"/>
      <c r="W29" s="1357"/>
      <c r="X29" s="1357"/>
      <c r="Y29" s="1357"/>
      <c r="Z29" s="1357"/>
      <c r="AA29" s="1357"/>
      <c r="AB29" s="1357"/>
      <c r="AC29" s="1357"/>
      <c r="AD29" s="1357"/>
      <c r="AE29" s="1357"/>
      <c r="AF29" s="1357"/>
      <c r="AG29" s="1357"/>
      <c r="AH29" s="1357"/>
      <c r="AI29" s="1357"/>
      <c r="AJ29" s="1357"/>
      <c r="AK29" s="1357"/>
      <c r="AL29" s="1357"/>
    </row>
    <row r="30" spans="1:38" ht="15" customHeight="1">
      <c r="A30" s="1369"/>
      <c r="B30" s="1368"/>
      <c r="C30" s="1367"/>
      <c r="D30" s="1366"/>
      <c r="E30" s="1365"/>
      <c r="F30" s="1365"/>
      <c r="G30" s="1364"/>
      <c r="H30" s="1361"/>
      <c r="I30" s="1361"/>
      <c r="J30" s="1361"/>
      <c r="K30" s="1363"/>
      <c r="L30" s="1359"/>
      <c r="M30" s="1362"/>
      <c r="N30" s="1361"/>
      <c r="O30" s="1361"/>
      <c r="P30" s="1361"/>
      <c r="Q30" s="1359"/>
      <c r="R30" s="1360"/>
      <c r="S30" s="1359"/>
      <c r="T30" s="1358"/>
      <c r="W30" s="1357"/>
      <c r="X30" s="1357"/>
      <c r="Y30" s="1357"/>
      <c r="Z30" s="1357"/>
      <c r="AA30" s="1357"/>
      <c r="AB30" s="1357"/>
      <c r="AC30" s="1357"/>
      <c r="AD30" s="1357"/>
      <c r="AE30" s="1357"/>
      <c r="AF30" s="1357"/>
      <c r="AG30" s="1357"/>
      <c r="AH30" s="1357"/>
      <c r="AI30" s="1357"/>
      <c r="AJ30" s="1357"/>
      <c r="AK30" s="1357"/>
      <c r="AL30" s="1357"/>
    </row>
    <row r="31" spans="1:38" ht="15" customHeight="1">
      <c r="A31" s="1369"/>
      <c r="B31" s="1368"/>
      <c r="C31" s="1367"/>
      <c r="D31" s="1366"/>
      <c r="E31" s="1365"/>
      <c r="F31" s="1365"/>
      <c r="G31" s="1364"/>
      <c r="H31" s="1361"/>
      <c r="I31" s="1361"/>
      <c r="J31" s="1361"/>
      <c r="K31" s="1363"/>
      <c r="L31" s="1359"/>
      <c r="M31" s="1362"/>
      <c r="N31" s="1361"/>
      <c r="O31" s="1361"/>
      <c r="P31" s="1361"/>
      <c r="Q31" s="1359"/>
      <c r="R31" s="1360"/>
      <c r="S31" s="1359"/>
      <c r="T31" s="1358"/>
      <c r="W31" s="1357"/>
      <c r="X31" s="1357"/>
      <c r="Y31" s="1357"/>
      <c r="Z31" s="1357"/>
      <c r="AA31" s="1357"/>
      <c r="AB31" s="1357"/>
      <c r="AC31" s="1357"/>
      <c r="AD31" s="1357"/>
      <c r="AE31" s="1357"/>
      <c r="AF31" s="1357"/>
      <c r="AG31" s="1357"/>
      <c r="AH31" s="1357"/>
      <c r="AI31" s="1357"/>
      <c r="AJ31" s="1357"/>
      <c r="AK31" s="1357"/>
      <c r="AL31" s="1357"/>
    </row>
    <row r="32" spans="1:38" ht="15" customHeight="1">
      <c r="A32" s="1369"/>
      <c r="B32" s="1368"/>
      <c r="C32" s="1367"/>
      <c r="D32" s="1366"/>
      <c r="E32" s="1365"/>
      <c r="F32" s="1365"/>
      <c r="G32" s="1364"/>
      <c r="H32" s="1361"/>
      <c r="I32" s="1361"/>
      <c r="J32" s="1361"/>
      <c r="K32" s="1363"/>
      <c r="L32" s="1359"/>
      <c r="M32" s="1362"/>
      <c r="N32" s="1361"/>
      <c r="O32" s="1361"/>
      <c r="P32" s="1361"/>
      <c r="Q32" s="1359"/>
      <c r="R32" s="1360"/>
      <c r="S32" s="1359"/>
      <c r="T32" s="1358"/>
      <c r="W32" s="1357"/>
      <c r="X32" s="1357"/>
      <c r="Y32" s="1357"/>
      <c r="Z32" s="1357"/>
      <c r="AA32" s="1357"/>
      <c r="AB32" s="1357"/>
      <c r="AC32" s="1357"/>
      <c r="AD32" s="1357"/>
      <c r="AE32" s="1357"/>
      <c r="AF32" s="1357"/>
      <c r="AG32" s="1357"/>
      <c r="AH32" s="1357"/>
      <c r="AI32" s="1357"/>
      <c r="AJ32" s="1357"/>
      <c r="AK32" s="1357"/>
      <c r="AL32" s="1357"/>
    </row>
    <row r="33" spans="1:38" ht="15" customHeight="1">
      <c r="A33" s="1369"/>
      <c r="B33" s="1368"/>
      <c r="C33" s="1367"/>
      <c r="D33" s="1366"/>
      <c r="E33" s="1365"/>
      <c r="F33" s="1365"/>
      <c r="G33" s="1364"/>
      <c r="H33" s="1361"/>
      <c r="I33" s="1361"/>
      <c r="J33" s="1361"/>
      <c r="K33" s="1363"/>
      <c r="L33" s="1359"/>
      <c r="M33" s="1362"/>
      <c r="N33" s="1361"/>
      <c r="O33" s="1361"/>
      <c r="P33" s="1361"/>
      <c r="Q33" s="1359"/>
      <c r="R33" s="1360"/>
      <c r="S33" s="1359"/>
      <c r="T33" s="1358"/>
      <c r="W33" s="1357"/>
      <c r="X33" s="1357"/>
      <c r="Y33" s="1357"/>
      <c r="Z33" s="1357"/>
      <c r="AA33" s="1357"/>
      <c r="AB33" s="1357"/>
      <c r="AC33" s="1357"/>
      <c r="AD33" s="1357"/>
      <c r="AE33" s="1357"/>
      <c r="AF33" s="1357"/>
      <c r="AG33" s="1357"/>
      <c r="AH33" s="1357"/>
      <c r="AI33" s="1357"/>
      <c r="AJ33" s="1357"/>
      <c r="AK33" s="1357"/>
      <c r="AL33" s="1357"/>
    </row>
    <row r="34" spans="1:38" ht="15" customHeight="1">
      <c r="A34" s="1369"/>
      <c r="B34" s="1368"/>
      <c r="C34" s="1367"/>
      <c r="D34" s="1366"/>
      <c r="E34" s="1365"/>
      <c r="F34" s="1365"/>
      <c r="G34" s="1364"/>
      <c r="H34" s="1361"/>
      <c r="I34" s="1361"/>
      <c r="J34" s="1361"/>
      <c r="K34" s="1363"/>
      <c r="L34" s="1359"/>
      <c r="M34" s="1362"/>
      <c r="N34" s="1361"/>
      <c r="O34" s="1361"/>
      <c r="P34" s="1361"/>
      <c r="Q34" s="1359"/>
      <c r="R34" s="1360"/>
      <c r="S34" s="1359"/>
      <c r="T34" s="1358"/>
      <c r="W34" s="1357"/>
      <c r="X34" s="1357"/>
      <c r="Y34" s="1357"/>
      <c r="Z34" s="1357"/>
      <c r="AA34" s="1357"/>
      <c r="AB34" s="1357"/>
      <c r="AC34" s="1357"/>
      <c r="AD34" s="1357"/>
      <c r="AE34" s="1357"/>
      <c r="AF34" s="1357"/>
      <c r="AG34" s="1357"/>
      <c r="AH34" s="1357"/>
      <c r="AI34" s="1357"/>
      <c r="AJ34" s="1357"/>
      <c r="AK34" s="1357"/>
      <c r="AL34" s="1357"/>
    </row>
    <row r="35" spans="1:38" ht="15" customHeight="1" thickBot="1">
      <c r="A35" s="1434"/>
      <c r="B35" s="1435"/>
      <c r="C35" s="1436"/>
      <c r="D35" s="1437"/>
      <c r="E35" s="1438"/>
      <c r="F35" s="1438"/>
      <c r="G35" s="1439"/>
      <c r="H35" s="1440"/>
      <c r="I35" s="1440"/>
      <c r="J35" s="1440"/>
      <c r="K35" s="1441"/>
      <c r="L35" s="1442"/>
      <c r="M35" s="1443"/>
      <c r="N35" s="1440"/>
      <c r="O35" s="1440"/>
      <c r="P35" s="1440"/>
      <c r="Q35" s="1442"/>
      <c r="R35" s="1444"/>
      <c r="S35" s="1442"/>
      <c r="T35" s="1445"/>
      <c r="W35" s="1357"/>
      <c r="X35" s="1357"/>
      <c r="Y35" s="1357"/>
      <c r="Z35" s="1357"/>
      <c r="AA35" s="1357"/>
      <c r="AB35" s="1357"/>
      <c r="AC35" s="1357"/>
      <c r="AD35" s="1357"/>
      <c r="AE35" s="1357"/>
      <c r="AF35" s="1357"/>
      <c r="AG35" s="1357"/>
      <c r="AH35" s="1357"/>
      <c r="AI35" s="1357"/>
      <c r="AJ35" s="1357"/>
      <c r="AK35" s="1357"/>
      <c r="AL35" s="1357"/>
    </row>
    <row r="36" spans="1:38" ht="21" customHeight="1" thickTop="1">
      <c r="A36" s="1451" t="s">
        <v>1096</v>
      </c>
      <c r="B36" s="1452"/>
      <c r="C36" s="1453"/>
      <c r="D36" s="1446">
        <v>223.15999999999997</v>
      </c>
      <c r="E36" s="1447"/>
      <c r="F36" s="1447">
        <v>699.7</v>
      </c>
      <c r="G36" s="1448">
        <v>15611</v>
      </c>
      <c r="H36" s="1449">
        <v>0</v>
      </c>
      <c r="I36" s="1449">
        <v>15611</v>
      </c>
      <c r="J36" s="1449">
        <v>1479</v>
      </c>
      <c r="K36" s="1449">
        <v>17090</v>
      </c>
      <c r="L36" s="1449">
        <v>7407</v>
      </c>
      <c r="M36" s="1449">
        <v>24497</v>
      </c>
      <c r="N36" s="1448">
        <v>20510</v>
      </c>
      <c r="O36" s="1449">
        <v>0</v>
      </c>
      <c r="P36" s="1449">
        <v>20510</v>
      </c>
      <c r="Q36" s="1449">
        <v>0</v>
      </c>
      <c r="R36" s="1449">
        <v>20510</v>
      </c>
      <c r="S36" s="1449">
        <v>1770</v>
      </c>
      <c r="T36" s="1450">
        <v>22280</v>
      </c>
      <c r="W36" s="1357"/>
      <c r="X36" s="1357"/>
      <c r="Y36" s="1357"/>
      <c r="Z36" s="1357"/>
      <c r="AA36" s="1357"/>
      <c r="AB36" s="1357"/>
      <c r="AC36" s="1357"/>
      <c r="AD36" s="1357"/>
      <c r="AE36" s="1357"/>
      <c r="AF36" s="1357"/>
      <c r="AG36" s="1357"/>
      <c r="AH36" s="1357"/>
      <c r="AI36" s="1357"/>
      <c r="AJ36" s="1357"/>
      <c r="AK36" s="1357"/>
      <c r="AL36" s="1357"/>
    </row>
    <row r="46" spans="1:38" ht="15" customHeight="1">
      <c r="AB46" s="1351"/>
      <c r="AC46" s="1351"/>
      <c r="AD46" s="1351"/>
      <c r="AE46" s="1351"/>
      <c r="AF46" s="1351"/>
      <c r="AG46" s="1351"/>
      <c r="AH46" s="1351"/>
      <c r="AI46" s="1351"/>
      <c r="AJ46" s="1351"/>
      <c r="AK46" s="1351"/>
      <c r="AL46" s="1351"/>
    </row>
    <row r="47" spans="1:38" s="1351" customFormat="1" ht="15" customHeight="1">
      <c r="C47" s="1355"/>
      <c r="D47" s="1355"/>
      <c r="E47" s="1355"/>
      <c r="F47" s="1355"/>
      <c r="G47" s="1355"/>
      <c r="I47" s="1352"/>
      <c r="P47" s="1352"/>
      <c r="U47" s="1350"/>
      <c r="V47" s="1350"/>
      <c r="W47" s="1350"/>
      <c r="X47" s="1350"/>
      <c r="Y47" s="1350"/>
      <c r="Z47" s="1350"/>
      <c r="AA47" s="1350"/>
    </row>
    <row r="48" spans="1:38" s="1351" customFormat="1" ht="15" customHeight="1">
      <c r="C48" s="1355"/>
      <c r="D48" s="1355"/>
      <c r="E48" s="1355"/>
      <c r="F48" s="1355"/>
      <c r="G48" s="1355"/>
      <c r="H48" s="1356"/>
      <c r="I48" s="1352"/>
      <c r="O48" s="1356"/>
      <c r="P48" s="1352"/>
      <c r="U48" s="1350"/>
      <c r="V48" s="1350"/>
      <c r="W48" s="1350"/>
      <c r="X48" s="1350"/>
      <c r="Y48" s="1350"/>
      <c r="Z48" s="1350"/>
      <c r="AA48" s="1350"/>
    </row>
    <row r="49" spans="3:38" s="1351" customFormat="1" ht="15" customHeight="1">
      <c r="C49" s="1355"/>
      <c r="D49" s="1355"/>
      <c r="E49" s="1355"/>
      <c r="F49" s="1355"/>
      <c r="G49" s="1355"/>
      <c r="H49" s="1354"/>
      <c r="I49" s="1352"/>
      <c r="O49" s="1354"/>
      <c r="P49" s="1352"/>
      <c r="U49" s="1350"/>
      <c r="V49" s="1350"/>
      <c r="W49" s="1350"/>
      <c r="X49" s="1350"/>
      <c r="Y49" s="1350"/>
      <c r="Z49" s="1350"/>
      <c r="AA49" s="1350"/>
    </row>
    <row r="50" spans="3:38" s="1351" customFormat="1" ht="15" customHeight="1">
      <c r="C50" s="1353"/>
      <c r="D50" s="1353"/>
      <c r="E50" s="1353"/>
      <c r="F50" s="1353"/>
      <c r="G50" s="1353"/>
      <c r="H50" s="1352"/>
      <c r="O50" s="1352"/>
      <c r="U50" s="1350"/>
      <c r="V50" s="1350"/>
      <c r="W50" s="1350"/>
      <c r="X50" s="1350"/>
      <c r="Y50" s="1350"/>
      <c r="Z50" s="1350"/>
      <c r="AA50" s="1350"/>
      <c r="AB50" s="1350"/>
      <c r="AC50" s="1350"/>
      <c r="AD50" s="1350"/>
      <c r="AE50" s="1350"/>
      <c r="AF50" s="1350"/>
      <c r="AG50" s="1350"/>
      <c r="AH50" s="1350"/>
      <c r="AI50" s="1350"/>
      <c r="AJ50" s="1350"/>
      <c r="AK50" s="1350"/>
      <c r="AL50" s="1350"/>
    </row>
  </sheetData>
  <mergeCells count="25">
    <mergeCell ref="A36:C36"/>
    <mergeCell ref="G4:G5"/>
    <mergeCell ref="N4:N5"/>
    <mergeCell ref="W2:AD2"/>
    <mergeCell ref="AE2:AL2"/>
    <mergeCell ref="A3:A5"/>
    <mergeCell ref="B3:B5"/>
    <mergeCell ref="C3:C5"/>
    <mergeCell ref="D3:D5"/>
    <mergeCell ref="E3:E5"/>
    <mergeCell ref="F3:F5"/>
    <mergeCell ref="G3:M3"/>
    <mergeCell ref="N3:T3"/>
    <mergeCell ref="AE3:AH3"/>
    <mergeCell ref="AI3:AL3"/>
    <mergeCell ref="J4:J5"/>
    <mergeCell ref="K4:K5"/>
    <mergeCell ref="L4:L5"/>
    <mergeCell ref="M4:M5"/>
    <mergeCell ref="Q4:Q5"/>
    <mergeCell ref="R4:R5"/>
    <mergeCell ref="S4:S5"/>
    <mergeCell ref="T4:T5"/>
    <mergeCell ref="W3:Z3"/>
    <mergeCell ref="AA3:AD3"/>
  </mergeCells>
  <phoneticPr fontId="4"/>
  <printOptions horizontalCentered="1"/>
  <pageMargins left="0.70866141732283472" right="0.70866141732283472" top="0.78740157480314965" bottom="0.55118110236220474" header="0.59055118110236227" footer="0.31496062992125984"/>
  <pageSetup paperSize="9" scale="86" orientation="landscape" horizontalDpi="1200" verticalDpi="1200" r:id="rId1"/>
  <headerFooter scaleWithDoc="0" alignWithMargins="0">
    <oddFooter>&amp;C&amp;"ＭＳ Ｐゴシック,標準"&amp;9( &amp;P / &amp;N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L50"/>
  <sheetViews>
    <sheetView showGridLines="0" zoomScale="80" zoomScaleNormal="80" workbookViewId="0">
      <pane xSplit="6" ySplit="5" topLeftCell="G6" activePane="bottomRight" state="frozenSplit"/>
      <selection pane="topRight"/>
      <selection pane="bottomLeft"/>
      <selection pane="bottomRight"/>
    </sheetView>
  </sheetViews>
  <sheetFormatPr defaultColWidth="9.140625" defaultRowHeight="15" customHeight="1"/>
  <cols>
    <col min="1" max="1" width="5.42578125" style="1351" customWidth="1"/>
    <col min="2" max="2" width="7.5703125" style="1351" customWidth="1"/>
    <col min="3" max="3" width="26.28515625" style="1351" customWidth="1"/>
    <col min="4" max="7" width="7.7109375" style="1351" customWidth="1"/>
    <col min="8" max="9" width="7.7109375" style="1351" hidden="1" customWidth="1"/>
    <col min="10" max="10" width="7.7109375" style="1351" customWidth="1"/>
    <col min="11" max="11" width="8.7109375" style="1351" customWidth="1"/>
    <col min="12" max="14" width="7.7109375" style="1351" customWidth="1"/>
    <col min="15" max="16" width="7.7109375" style="1351" hidden="1" customWidth="1"/>
    <col min="17" max="17" width="7.7109375" style="1351" customWidth="1"/>
    <col min="18" max="18" width="8.7109375" style="1351" customWidth="1"/>
    <col min="19" max="20" width="7.7109375" style="1351" customWidth="1"/>
    <col min="21" max="16384" width="9.140625" style="1350"/>
  </cols>
  <sheetData>
    <row r="1" spans="1:38" s="1420" customFormat="1" ht="21" customHeight="1" thickBot="1">
      <c r="A1" s="1429" t="s">
        <v>1117</v>
      </c>
      <c r="B1" s="1428"/>
      <c r="C1" s="1427"/>
      <c r="D1" s="1426"/>
      <c r="E1" s="1425"/>
      <c r="F1" s="1424"/>
      <c r="G1" s="1425"/>
      <c r="H1" s="1425"/>
      <c r="I1" s="1425"/>
      <c r="J1" s="1424"/>
      <c r="K1" s="1424"/>
      <c r="L1" s="1424"/>
      <c r="M1" s="1424"/>
      <c r="N1" s="1424"/>
      <c r="O1" s="1425"/>
      <c r="P1" s="1425"/>
      <c r="Q1" s="1424"/>
      <c r="R1" s="1424"/>
      <c r="S1" s="1424"/>
      <c r="T1" s="1423"/>
      <c r="W1" s="1422" t="s">
        <v>1086</v>
      </c>
      <c r="X1" s="1421"/>
      <c r="Y1" s="1421"/>
      <c r="Z1" s="1421"/>
      <c r="AA1" s="1421"/>
      <c r="AB1" s="1421"/>
      <c r="AC1" s="1421"/>
      <c r="AD1" s="1421"/>
      <c r="AE1" s="1421"/>
      <c r="AF1" s="1421"/>
      <c r="AG1" s="1421"/>
      <c r="AH1" s="1421"/>
      <c r="AI1" s="1421"/>
      <c r="AJ1" s="1421"/>
      <c r="AK1" s="1421"/>
      <c r="AL1" s="1421"/>
    </row>
    <row r="2" spans="1:38" ht="13.5" customHeight="1">
      <c r="W2" s="1419" t="s">
        <v>1085</v>
      </c>
      <c r="X2" s="1417"/>
      <c r="Y2" s="1417"/>
      <c r="Z2" s="1417"/>
      <c r="AA2" s="1417"/>
      <c r="AB2" s="1417"/>
      <c r="AC2" s="1417"/>
      <c r="AD2" s="1416"/>
      <c r="AE2" s="1418" t="s">
        <v>1084</v>
      </c>
      <c r="AF2" s="1417"/>
      <c r="AG2" s="1417"/>
      <c r="AH2" s="1417"/>
      <c r="AI2" s="1417"/>
      <c r="AJ2" s="1417"/>
      <c r="AK2" s="1417"/>
      <c r="AL2" s="1416"/>
    </row>
    <row r="3" spans="1:38" ht="13.5" customHeight="1" thickBot="1">
      <c r="A3" s="1415" t="s">
        <v>394</v>
      </c>
      <c r="B3" s="1414" t="s">
        <v>370</v>
      </c>
      <c r="C3" s="1414" t="s">
        <v>1083</v>
      </c>
      <c r="D3" s="1413" t="s">
        <v>1082</v>
      </c>
      <c r="E3" s="1413" t="s">
        <v>1081</v>
      </c>
      <c r="F3" s="1412" t="s">
        <v>1080</v>
      </c>
      <c r="G3" s="1410" t="s">
        <v>1079</v>
      </c>
      <c r="H3" s="1409"/>
      <c r="I3" s="1409"/>
      <c r="J3" s="1409"/>
      <c r="K3" s="1409"/>
      <c r="L3" s="1409"/>
      <c r="M3" s="1411"/>
      <c r="N3" s="1410" t="s">
        <v>1078</v>
      </c>
      <c r="O3" s="1409"/>
      <c r="P3" s="1409"/>
      <c r="Q3" s="1409"/>
      <c r="R3" s="1409"/>
      <c r="S3" s="1409"/>
      <c r="T3" s="1408"/>
      <c r="W3" s="1407" t="s">
        <v>1077</v>
      </c>
      <c r="X3" s="1407"/>
      <c r="Y3" s="1407"/>
      <c r="Z3" s="1407"/>
      <c r="AA3" s="1406" t="s">
        <v>1076</v>
      </c>
      <c r="AB3" s="1406"/>
      <c r="AC3" s="1406"/>
      <c r="AD3" s="1406"/>
      <c r="AE3" s="1407" t="s">
        <v>1077</v>
      </c>
      <c r="AF3" s="1407"/>
      <c r="AG3" s="1407"/>
      <c r="AH3" s="1407"/>
      <c r="AI3" s="1406" t="s">
        <v>1076</v>
      </c>
      <c r="AJ3" s="1406"/>
      <c r="AK3" s="1406"/>
      <c r="AL3" s="1406"/>
    </row>
    <row r="4" spans="1:38" ht="22.5" customHeight="1">
      <c r="A4" s="1396"/>
      <c r="B4" s="1395"/>
      <c r="C4" s="1395"/>
      <c r="D4" s="1394"/>
      <c r="E4" s="1394"/>
      <c r="F4" s="1393"/>
      <c r="G4" s="1457" t="s">
        <v>1097</v>
      </c>
      <c r="H4" s="1454"/>
      <c r="I4" s="1455"/>
      <c r="J4" s="1404" t="s">
        <v>1075</v>
      </c>
      <c r="K4" s="1403" t="s">
        <v>1074</v>
      </c>
      <c r="L4" s="1403" t="s">
        <v>1073</v>
      </c>
      <c r="M4" s="1405" t="s">
        <v>1072</v>
      </c>
      <c r="N4" s="1457" t="s">
        <v>1097</v>
      </c>
      <c r="O4" s="1454"/>
      <c r="P4" s="1455"/>
      <c r="Q4" s="1404" t="s">
        <v>1075</v>
      </c>
      <c r="R4" s="1403" t="s">
        <v>1074</v>
      </c>
      <c r="S4" s="1403" t="s">
        <v>1073</v>
      </c>
      <c r="T4" s="1402" t="s">
        <v>1072</v>
      </c>
      <c r="W4" s="1399" t="s">
        <v>1071</v>
      </c>
      <c r="X4" s="1398" t="s">
        <v>1070</v>
      </c>
      <c r="Y4" s="1398" t="s">
        <v>1069</v>
      </c>
      <c r="Z4" s="1397" t="s">
        <v>1068</v>
      </c>
      <c r="AA4" s="1401" t="s">
        <v>1071</v>
      </c>
      <c r="AB4" s="1398" t="s">
        <v>1070</v>
      </c>
      <c r="AC4" s="1398" t="s">
        <v>1069</v>
      </c>
      <c r="AD4" s="1397" t="s">
        <v>1068</v>
      </c>
      <c r="AE4" s="1401" t="s">
        <v>1071</v>
      </c>
      <c r="AF4" s="1398" t="s">
        <v>1070</v>
      </c>
      <c r="AG4" s="1398" t="s">
        <v>1069</v>
      </c>
      <c r="AH4" s="1400" t="s">
        <v>1068</v>
      </c>
      <c r="AI4" s="1399" t="s">
        <v>1071</v>
      </c>
      <c r="AJ4" s="1398" t="s">
        <v>1070</v>
      </c>
      <c r="AK4" s="1398" t="s">
        <v>1069</v>
      </c>
      <c r="AL4" s="1397" t="s">
        <v>1068</v>
      </c>
    </row>
    <row r="5" spans="1:38" ht="15" customHeight="1">
      <c r="A5" s="1396"/>
      <c r="B5" s="1395"/>
      <c r="C5" s="1395"/>
      <c r="D5" s="1394"/>
      <c r="E5" s="1394"/>
      <c r="F5" s="1393"/>
      <c r="G5" s="1456"/>
      <c r="H5" s="1391" t="s">
        <v>1067</v>
      </c>
      <c r="I5" s="1390" t="s">
        <v>1066</v>
      </c>
      <c r="J5" s="1389"/>
      <c r="K5" s="1388"/>
      <c r="L5" s="1388"/>
      <c r="M5" s="1392"/>
      <c r="N5" s="1456"/>
      <c r="O5" s="1391" t="s">
        <v>1067</v>
      </c>
      <c r="P5" s="1390" t="s">
        <v>1066</v>
      </c>
      <c r="Q5" s="1389"/>
      <c r="R5" s="1388"/>
      <c r="S5" s="1388"/>
      <c r="T5" s="1387"/>
      <c r="W5" s="1384" t="s">
        <v>1065</v>
      </c>
      <c r="X5" s="1383" t="s">
        <v>1064</v>
      </c>
      <c r="Y5" s="1383" t="s">
        <v>1063</v>
      </c>
      <c r="Z5" s="1382" t="s">
        <v>1062</v>
      </c>
      <c r="AA5" s="1386" t="s">
        <v>1065</v>
      </c>
      <c r="AB5" s="1383" t="s">
        <v>1064</v>
      </c>
      <c r="AC5" s="1383" t="s">
        <v>1063</v>
      </c>
      <c r="AD5" s="1382" t="s">
        <v>1062</v>
      </c>
      <c r="AE5" s="1386" t="s">
        <v>1065</v>
      </c>
      <c r="AF5" s="1383" t="s">
        <v>1064</v>
      </c>
      <c r="AG5" s="1383" t="s">
        <v>1063</v>
      </c>
      <c r="AH5" s="1385" t="s">
        <v>1062</v>
      </c>
      <c r="AI5" s="1384" t="s">
        <v>1065</v>
      </c>
      <c r="AJ5" s="1383" t="s">
        <v>1064</v>
      </c>
      <c r="AK5" s="1383" t="s">
        <v>1063</v>
      </c>
      <c r="AL5" s="1382" t="s">
        <v>1062</v>
      </c>
    </row>
    <row r="6" spans="1:38" ht="15" customHeight="1">
      <c r="A6" s="1381">
        <v>2</v>
      </c>
      <c r="B6" s="1380">
        <v>209</v>
      </c>
      <c r="C6" s="1379" t="s">
        <v>949</v>
      </c>
      <c r="D6" s="1378">
        <v>71.19</v>
      </c>
      <c r="E6" s="1377">
        <v>2.8</v>
      </c>
      <c r="F6" s="1377">
        <v>199.4</v>
      </c>
      <c r="G6" s="1376">
        <v>8958</v>
      </c>
      <c r="H6" s="1373"/>
      <c r="I6" s="1373">
        <v>8958</v>
      </c>
      <c r="J6" s="1373">
        <v>1188</v>
      </c>
      <c r="K6" s="1375">
        <v>10146</v>
      </c>
      <c r="L6" s="1371">
        <v>1620</v>
      </c>
      <c r="M6" s="1374">
        <v>11766</v>
      </c>
      <c r="N6" s="1373">
        <v>6225</v>
      </c>
      <c r="O6" s="1373"/>
      <c r="P6" s="1373">
        <v>6225</v>
      </c>
      <c r="Q6" s="1371">
        <v>0</v>
      </c>
      <c r="R6" s="1372">
        <v>6225</v>
      </c>
      <c r="S6" s="1371">
        <v>2160</v>
      </c>
      <c r="T6" s="1370">
        <v>8385</v>
      </c>
      <c r="W6" s="1357">
        <v>28</v>
      </c>
      <c r="X6" s="1357">
        <v>45</v>
      </c>
      <c r="Y6" s="1357">
        <v>55.4</v>
      </c>
      <c r="Z6" s="1357">
        <v>10.7</v>
      </c>
      <c r="AA6" s="1357">
        <v>19</v>
      </c>
      <c r="AB6" s="1357">
        <v>40</v>
      </c>
      <c r="AC6" s="1357">
        <v>33</v>
      </c>
      <c r="AD6" s="1357">
        <v>5.5</v>
      </c>
      <c r="AE6" s="1357">
        <v>28</v>
      </c>
      <c r="AF6" s="1357">
        <v>45</v>
      </c>
      <c r="AG6" s="1357">
        <v>55.4</v>
      </c>
      <c r="AH6" s="1357">
        <v>10.7</v>
      </c>
      <c r="AI6" s="1357">
        <v>19</v>
      </c>
      <c r="AJ6" s="1357">
        <v>40</v>
      </c>
      <c r="AK6" s="1357">
        <v>33</v>
      </c>
      <c r="AL6" s="1357">
        <v>5.5</v>
      </c>
    </row>
    <row r="7" spans="1:38" ht="15" customHeight="1">
      <c r="A7" s="1369"/>
      <c r="B7" s="1368"/>
      <c r="C7" s="1367"/>
      <c r="D7" s="1366"/>
      <c r="E7" s="1365"/>
      <c r="F7" s="1365"/>
      <c r="G7" s="1364"/>
      <c r="H7" s="1361"/>
      <c r="I7" s="1361"/>
      <c r="J7" s="1361"/>
      <c r="K7" s="1363"/>
      <c r="L7" s="1359"/>
      <c r="M7" s="1362"/>
      <c r="N7" s="1361"/>
      <c r="O7" s="1361"/>
      <c r="P7" s="1361"/>
      <c r="Q7" s="1359"/>
      <c r="R7" s="1360"/>
      <c r="S7" s="1359"/>
      <c r="T7" s="1358"/>
      <c r="W7" s="1357"/>
      <c r="X7" s="1357"/>
      <c r="Y7" s="1357"/>
      <c r="Z7" s="1357"/>
      <c r="AA7" s="1357"/>
      <c r="AB7" s="1357"/>
      <c r="AC7" s="1357"/>
      <c r="AD7" s="1357"/>
      <c r="AE7" s="1357"/>
      <c r="AF7" s="1357"/>
      <c r="AG7" s="1357"/>
      <c r="AH7" s="1357"/>
      <c r="AI7" s="1357"/>
      <c r="AJ7" s="1357"/>
      <c r="AK7" s="1357"/>
      <c r="AL7" s="1357"/>
    </row>
    <row r="8" spans="1:38" ht="15" customHeight="1">
      <c r="A8" s="1369"/>
      <c r="B8" s="1368"/>
      <c r="C8" s="1367"/>
      <c r="D8" s="1366"/>
      <c r="E8" s="1365"/>
      <c r="F8" s="1365"/>
      <c r="G8" s="1364"/>
      <c r="H8" s="1361"/>
      <c r="I8" s="1361"/>
      <c r="J8" s="1361"/>
      <c r="K8" s="1363"/>
      <c r="L8" s="1359"/>
      <c r="M8" s="1362"/>
      <c r="N8" s="1361"/>
      <c r="O8" s="1361"/>
      <c r="P8" s="1361"/>
      <c r="Q8" s="1359"/>
      <c r="R8" s="1360"/>
      <c r="S8" s="1359"/>
      <c r="T8" s="1358"/>
      <c r="W8" s="1357"/>
      <c r="X8" s="1357"/>
      <c r="Y8" s="1357"/>
      <c r="Z8" s="1357"/>
      <c r="AA8" s="1357"/>
      <c r="AB8" s="1357"/>
      <c r="AC8" s="1357"/>
      <c r="AD8" s="1357"/>
      <c r="AE8" s="1357"/>
      <c r="AF8" s="1357"/>
      <c r="AG8" s="1357"/>
      <c r="AH8" s="1357"/>
      <c r="AI8" s="1357"/>
      <c r="AJ8" s="1357"/>
      <c r="AK8" s="1357"/>
      <c r="AL8" s="1357"/>
    </row>
    <row r="9" spans="1:38" ht="15" customHeight="1">
      <c r="A9" s="1369"/>
      <c r="B9" s="1368"/>
      <c r="C9" s="1367"/>
      <c r="D9" s="1366"/>
      <c r="E9" s="1365"/>
      <c r="F9" s="1365"/>
      <c r="G9" s="1364"/>
      <c r="H9" s="1361"/>
      <c r="I9" s="1361"/>
      <c r="J9" s="1361"/>
      <c r="K9" s="1363"/>
      <c r="L9" s="1359"/>
      <c r="M9" s="1362"/>
      <c r="N9" s="1361"/>
      <c r="O9" s="1361"/>
      <c r="P9" s="1361"/>
      <c r="Q9" s="1359"/>
      <c r="R9" s="1360"/>
      <c r="S9" s="1359"/>
      <c r="T9" s="1358"/>
      <c r="W9" s="1357"/>
      <c r="X9" s="1357"/>
      <c r="Y9" s="1357"/>
      <c r="Z9" s="1357"/>
      <c r="AA9" s="1357"/>
      <c r="AB9" s="1357"/>
      <c r="AC9" s="1357"/>
      <c r="AD9" s="1357"/>
      <c r="AE9" s="1357"/>
      <c r="AF9" s="1357"/>
      <c r="AG9" s="1357"/>
      <c r="AH9" s="1357"/>
      <c r="AI9" s="1357"/>
      <c r="AJ9" s="1357"/>
      <c r="AK9" s="1357"/>
      <c r="AL9" s="1357"/>
    </row>
    <row r="10" spans="1:38" ht="15" customHeight="1">
      <c r="A10" s="1369"/>
      <c r="B10" s="1368"/>
      <c r="C10" s="1367"/>
      <c r="D10" s="1366"/>
      <c r="E10" s="1365"/>
      <c r="F10" s="1365"/>
      <c r="G10" s="1364"/>
      <c r="H10" s="1361"/>
      <c r="I10" s="1361"/>
      <c r="J10" s="1361"/>
      <c r="K10" s="1363"/>
      <c r="L10" s="1359"/>
      <c r="M10" s="1362"/>
      <c r="N10" s="1361"/>
      <c r="O10" s="1361"/>
      <c r="P10" s="1361"/>
      <c r="Q10" s="1359"/>
      <c r="R10" s="1360"/>
      <c r="S10" s="1359"/>
      <c r="T10" s="1358"/>
      <c r="W10" s="1357"/>
      <c r="X10" s="1357"/>
      <c r="Y10" s="1357"/>
      <c r="Z10" s="1357"/>
      <c r="AA10" s="1357"/>
      <c r="AB10" s="1357"/>
      <c r="AC10" s="1357"/>
      <c r="AD10" s="1357"/>
      <c r="AE10" s="1357"/>
      <c r="AF10" s="1357"/>
      <c r="AG10" s="1357"/>
      <c r="AH10" s="1357"/>
      <c r="AI10" s="1357"/>
      <c r="AJ10" s="1357"/>
      <c r="AK10" s="1357"/>
      <c r="AL10" s="1357"/>
    </row>
    <row r="11" spans="1:38" ht="15" customHeight="1">
      <c r="A11" s="1369"/>
      <c r="B11" s="1368"/>
      <c r="C11" s="1367"/>
      <c r="D11" s="1366"/>
      <c r="E11" s="1365"/>
      <c r="F11" s="1365"/>
      <c r="G11" s="1364"/>
      <c r="H11" s="1361"/>
      <c r="I11" s="1361"/>
      <c r="J11" s="1361"/>
      <c r="K11" s="1363"/>
      <c r="L11" s="1359"/>
      <c r="M11" s="1362"/>
      <c r="N11" s="1361"/>
      <c r="O11" s="1361"/>
      <c r="P11" s="1361"/>
      <c r="Q11" s="1359"/>
      <c r="R11" s="1360"/>
      <c r="S11" s="1359"/>
      <c r="T11" s="1358"/>
      <c r="W11" s="1357"/>
      <c r="X11" s="1357"/>
      <c r="Y11" s="1357"/>
      <c r="Z11" s="1357"/>
      <c r="AA11" s="1357"/>
      <c r="AB11" s="1357"/>
      <c r="AC11" s="1357"/>
      <c r="AD11" s="1357"/>
      <c r="AE11" s="1357"/>
      <c r="AF11" s="1357"/>
      <c r="AG11" s="1357"/>
      <c r="AH11" s="1357"/>
      <c r="AI11" s="1357"/>
      <c r="AJ11" s="1357"/>
      <c r="AK11" s="1357"/>
      <c r="AL11" s="1357"/>
    </row>
    <row r="12" spans="1:38" ht="15" customHeight="1">
      <c r="A12" s="1369"/>
      <c r="B12" s="1368"/>
      <c r="C12" s="1367"/>
      <c r="D12" s="1366"/>
      <c r="E12" s="1365"/>
      <c r="F12" s="1365"/>
      <c r="G12" s="1364"/>
      <c r="H12" s="1361"/>
      <c r="I12" s="1361"/>
      <c r="J12" s="1361"/>
      <c r="K12" s="1363"/>
      <c r="L12" s="1359"/>
      <c r="M12" s="1362"/>
      <c r="N12" s="1361"/>
      <c r="O12" s="1361"/>
      <c r="P12" s="1361"/>
      <c r="Q12" s="1359"/>
      <c r="R12" s="1360"/>
      <c r="S12" s="1359"/>
      <c r="T12" s="1358"/>
      <c r="W12" s="1357"/>
      <c r="X12" s="1357"/>
      <c r="Y12" s="1357"/>
      <c r="Z12" s="1357"/>
      <c r="AA12" s="1357"/>
      <c r="AB12" s="1357"/>
      <c r="AC12" s="1357"/>
      <c r="AD12" s="1357"/>
      <c r="AE12" s="1357"/>
      <c r="AF12" s="1357"/>
      <c r="AG12" s="1357"/>
      <c r="AH12" s="1357"/>
      <c r="AI12" s="1357"/>
      <c r="AJ12" s="1357"/>
      <c r="AK12" s="1357"/>
      <c r="AL12" s="1357"/>
    </row>
    <row r="13" spans="1:38" ht="15" customHeight="1">
      <c r="A13" s="1369"/>
      <c r="B13" s="1368"/>
      <c r="C13" s="1367"/>
      <c r="D13" s="1366"/>
      <c r="E13" s="1365"/>
      <c r="F13" s="1365"/>
      <c r="G13" s="1364"/>
      <c r="H13" s="1361"/>
      <c r="I13" s="1361"/>
      <c r="J13" s="1361"/>
      <c r="K13" s="1363"/>
      <c r="L13" s="1359"/>
      <c r="M13" s="1362"/>
      <c r="N13" s="1361"/>
      <c r="O13" s="1361"/>
      <c r="P13" s="1361"/>
      <c r="Q13" s="1359"/>
      <c r="R13" s="1360"/>
      <c r="S13" s="1359"/>
      <c r="T13" s="1358"/>
      <c r="W13" s="1357"/>
      <c r="X13" s="1357"/>
      <c r="Y13" s="1357"/>
      <c r="Z13" s="1357"/>
      <c r="AA13" s="1357"/>
      <c r="AB13" s="1357"/>
      <c r="AC13" s="1357"/>
      <c r="AD13" s="1357"/>
      <c r="AE13" s="1357"/>
      <c r="AF13" s="1357"/>
      <c r="AG13" s="1357"/>
      <c r="AH13" s="1357"/>
      <c r="AI13" s="1357"/>
      <c r="AJ13" s="1357"/>
      <c r="AK13" s="1357"/>
      <c r="AL13" s="1357"/>
    </row>
    <row r="14" spans="1:38" ht="15" customHeight="1">
      <c r="A14" s="1369"/>
      <c r="B14" s="1368"/>
      <c r="C14" s="1367"/>
      <c r="D14" s="1366"/>
      <c r="E14" s="1365"/>
      <c r="F14" s="1365"/>
      <c r="G14" s="1364"/>
      <c r="H14" s="1361"/>
      <c r="I14" s="1361"/>
      <c r="J14" s="1361"/>
      <c r="K14" s="1363"/>
      <c r="L14" s="1359"/>
      <c r="M14" s="1362"/>
      <c r="N14" s="1361"/>
      <c r="O14" s="1361"/>
      <c r="P14" s="1361"/>
      <c r="Q14" s="1359"/>
      <c r="R14" s="1360"/>
      <c r="S14" s="1359"/>
      <c r="T14" s="1358"/>
      <c r="W14" s="1357"/>
      <c r="X14" s="1357"/>
      <c r="Y14" s="1357"/>
      <c r="Z14" s="1357"/>
      <c r="AA14" s="1357"/>
      <c r="AB14" s="1357"/>
      <c r="AC14" s="1357"/>
      <c r="AD14" s="1357"/>
      <c r="AE14" s="1357"/>
      <c r="AF14" s="1357"/>
      <c r="AG14" s="1357"/>
      <c r="AH14" s="1357"/>
      <c r="AI14" s="1357"/>
      <c r="AJ14" s="1357"/>
      <c r="AK14" s="1357"/>
      <c r="AL14" s="1357"/>
    </row>
    <row r="15" spans="1:38" ht="15" customHeight="1">
      <c r="A15" s="1369"/>
      <c r="B15" s="1368"/>
      <c r="C15" s="1367"/>
      <c r="D15" s="1366"/>
      <c r="E15" s="1365"/>
      <c r="F15" s="1365"/>
      <c r="G15" s="1364"/>
      <c r="H15" s="1361"/>
      <c r="I15" s="1361"/>
      <c r="J15" s="1361"/>
      <c r="K15" s="1363"/>
      <c r="L15" s="1359"/>
      <c r="M15" s="1362"/>
      <c r="N15" s="1361"/>
      <c r="O15" s="1361"/>
      <c r="P15" s="1361"/>
      <c r="Q15" s="1359"/>
      <c r="R15" s="1360"/>
      <c r="S15" s="1359"/>
      <c r="T15" s="1358"/>
      <c r="W15" s="1357"/>
      <c r="X15" s="1357"/>
      <c r="Y15" s="1357"/>
      <c r="Z15" s="1357"/>
      <c r="AA15" s="1357"/>
      <c r="AB15" s="1357"/>
      <c r="AC15" s="1357"/>
      <c r="AD15" s="1357"/>
      <c r="AE15" s="1357"/>
      <c r="AF15" s="1357"/>
      <c r="AG15" s="1357"/>
      <c r="AH15" s="1357"/>
      <c r="AI15" s="1357"/>
      <c r="AJ15" s="1357"/>
      <c r="AK15" s="1357"/>
      <c r="AL15" s="1357"/>
    </row>
    <row r="16" spans="1:38" ht="15" customHeight="1">
      <c r="A16" s="1369"/>
      <c r="B16" s="1368"/>
      <c r="C16" s="1367"/>
      <c r="D16" s="1366"/>
      <c r="E16" s="1365"/>
      <c r="F16" s="1365"/>
      <c r="G16" s="1364"/>
      <c r="H16" s="1361"/>
      <c r="I16" s="1361"/>
      <c r="J16" s="1361"/>
      <c r="K16" s="1363"/>
      <c r="L16" s="1359"/>
      <c r="M16" s="1362"/>
      <c r="N16" s="1361"/>
      <c r="O16" s="1361"/>
      <c r="P16" s="1361"/>
      <c r="Q16" s="1359"/>
      <c r="R16" s="1360"/>
      <c r="S16" s="1359"/>
      <c r="T16" s="1358"/>
      <c r="W16" s="1357"/>
      <c r="X16" s="1357"/>
      <c r="Y16" s="1357"/>
      <c r="Z16" s="1357"/>
      <c r="AA16" s="1357"/>
      <c r="AB16" s="1357"/>
      <c r="AC16" s="1357"/>
      <c r="AD16" s="1357"/>
      <c r="AE16" s="1357"/>
      <c r="AF16" s="1357"/>
      <c r="AG16" s="1357"/>
      <c r="AH16" s="1357"/>
      <c r="AI16" s="1357"/>
      <c r="AJ16" s="1357"/>
      <c r="AK16" s="1357"/>
      <c r="AL16" s="1357"/>
    </row>
    <row r="17" spans="1:38" ht="15" customHeight="1">
      <c r="A17" s="1369"/>
      <c r="B17" s="1368"/>
      <c r="C17" s="1367"/>
      <c r="D17" s="1366"/>
      <c r="E17" s="1365"/>
      <c r="F17" s="1365"/>
      <c r="G17" s="1364"/>
      <c r="H17" s="1361"/>
      <c r="I17" s="1361"/>
      <c r="J17" s="1361"/>
      <c r="K17" s="1363"/>
      <c r="L17" s="1359"/>
      <c r="M17" s="1362"/>
      <c r="N17" s="1361"/>
      <c r="O17" s="1361"/>
      <c r="P17" s="1361"/>
      <c r="Q17" s="1359"/>
      <c r="R17" s="1360"/>
      <c r="S17" s="1359"/>
      <c r="T17" s="1358"/>
      <c r="W17" s="1357"/>
      <c r="X17" s="1357"/>
      <c r="Y17" s="1357"/>
      <c r="Z17" s="1357"/>
      <c r="AA17" s="1357"/>
      <c r="AB17" s="1357"/>
      <c r="AC17" s="1357"/>
      <c r="AD17" s="1357"/>
      <c r="AE17" s="1357"/>
      <c r="AF17" s="1357"/>
      <c r="AG17" s="1357"/>
      <c r="AH17" s="1357"/>
      <c r="AI17" s="1357"/>
      <c r="AJ17" s="1357"/>
      <c r="AK17" s="1357"/>
      <c r="AL17" s="1357"/>
    </row>
    <row r="18" spans="1:38" ht="15" customHeight="1">
      <c r="A18" s="1369"/>
      <c r="B18" s="1368"/>
      <c r="C18" s="1367"/>
      <c r="D18" s="1366"/>
      <c r="E18" s="1365"/>
      <c r="F18" s="1365"/>
      <c r="G18" s="1364"/>
      <c r="H18" s="1361"/>
      <c r="I18" s="1361"/>
      <c r="J18" s="1361"/>
      <c r="K18" s="1363"/>
      <c r="L18" s="1359"/>
      <c r="M18" s="1362"/>
      <c r="N18" s="1361"/>
      <c r="O18" s="1361"/>
      <c r="P18" s="1361"/>
      <c r="Q18" s="1359"/>
      <c r="R18" s="1360"/>
      <c r="S18" s="1359"/>
      <c r="T18" s="1358"/>
      <c r="W18" s="1357"/>
      <c r="X18" s="1357"/>
      <c r="Y18" s="1357"/>
      <c r="Z18" s="1357"/>
      <c r="AA18" s="1357"/>
      <c r="AB18" s="1357"/>
      <c r="AC18" s="1357"/>
      <c r="AD18" s="1357"/>
      <c r="AE18" s="1357"/>
      <c r="AF18" s="1357"/>
      <c r="AG18" s="1357"/>
      <c r="AH18" s="1357"/>
      <c r="AI18" s="1357"/>
      <c r="AJ18" s="1357"/>
      <c r="AK18" s="1357"/>
      <c r="AL18" s="1357"/>
    </row>
    <row r="19" spans="1:38" ht="15" customHeight="1">
      <c r="A19" s="1369"/>
      <c r="B19" s="1368"/>
      <c r="C19" s="1367"/>
      <c r="D19" s="1366"/>
      <c r="E19" s="1365"/>
      <c r="F19" s="1365"/>
      <c r="G19" s="1364"/>
      <c r="H19" s="1361"/>
      <c r="I19" s="1361"/>
      <c r="J19" s="1361"/>
      <c r="K19" s="1363"/>
      <c r="L19" s="1359"/>
      <c r="M19" s="1362"/>
      <c r="N19" s="1361"/>
      <c r="O19" s="1361"/>
      <c r="P19" s="1361"/>
      <c r="Q19" s="1359"/>
      <c r="R19" s="1360"/>
      <c r="S19" s="1359"/>
      <c r="T19" s="1358"/>
      <c r="W19" s="1357"/>
      <c r="X19" s="1357"/>
      <c r="Y19" s="1357"/>
      <c r="Z19" s="1357"/>
      <c r="AA19" s="1357"/>
      <c r="AB19" s="1357"/>
      <c r="AC19" s="1357"/>
      <c r="AD19" s="1357"/>
      <c r="AE19" s="1357"/>
      <c r="AF19" s="1357"/>
      <c r="AG19" s="1357"/>
      <c r="AH19" s="1357"/>
      <c r="AI19" s="1357"/>
      <c r="AJ19" s="1357"/>
      <c r="AK19" s="1357"/>
      <c r="AL19" s="1357"/>
    </row>
    <row r="20" spans="1:38" ht="15" customHeight="1">
      <c r="A20" s="1369"/>
      <c r="B20" s="1368"/>
      <c r="C20" s="1367"/>
      <c r="D20" s="1366"/>
      <c r="E20" s="1365"/>
      <c r="F20" s="1365"/>
      <c r="G20" s="1364"/>
      <c r="H20" s="1361"/>
      <c r="I20" s="1361"/>
      <c r="J20" s="1361"/>
      <c r="K20" s="1363"/>
      <c r="L20" s="1359"/>
      <c r="M20" s="1362"/>
      <c r="N20" s="1361"/>
      <c r="O20" s="1361"/>
      <c r="P20" s="1361"/>
      <c r="Q20" s="1359"/>
      <c r="R20" s="1360"/>
      <c r="S20" s="1359"/>
      <c r="T20" s="1358"/>
      <c r="W20" s="1357"/>
      <c r="X20" s="1357"/>
      <c r="Y20" s="1357"/>
      <c r="Z20" s="1357"/>
      <c r="AA20" s="1357"/>
      <c r="AB20" s="1357"/>
      <c r="AC20" s="1357"/>
      <c r="AD20" s="1357"/>
      <c r="AE20" s="1357"/>
      <c r="AF20" s="1357"/>
      <c r="AG20" s="1357"/>
      <c r="AH20" s="1357"/>
      <c r="AI20" s="1357"/>
      <c r="AJ20" s="1357"/>
      <c r="AK20" s="1357"/>
      <c r="AL20" s="1357"/>
    </row>
    <row r="21" spans="1:38" ht="15" customHeight="1">
      <c r="A21" s="1369"/>
      <c r="B21" s="1368"/>
      <c r="C21" s="1367"/>
      <c r="D21" s="1366"/>
      <c r="E21" s="1365"/>
      <c r="F21" s="1365"/>
      <c r="G21" s="1364"/>
      <c r="H21" s="1361"/>
      <c r="I21" s="1361"/>
      <c r="J21" s="1361"/>
      <c r="K21" s="1363"/>
      <c r="L21" s="1359"/>
      <c r="M21" s="1362"/>
      <c r="N21" s="1361"/>
      <c r="O21" s="1361"/>
      <c r="P21" s="1361"/>
      <c r="Q21" s="1359"/>
      <c r="R21" s="1360"/>
      <c r="S21" s="1359"/>
      <c r="T21" s="1358"/>
      <c r="W21" s="1357"/>
      <c r="X21" s="1357"/>
      <c r="Y21" s="1357"/>
      <c r="Z21" s="1357"/>
      <c r="AA21" s="1357"/>
      <c r="AB21" s="1357"/>
      <c r="AC21" s="1357"/>
      <c r="AD21" s="1357"/>
      <c r="AE21" s="1357"/>
      <c r="AF21" s="1357"/>
      <c r="AG21" s="1357"/>
      <c r="AH21" s="1357"/>
      <c r="AI21" s="1357"/>
      <c r="AJ21" s="1357"/>
      <c r="AK21" s="1357"/>
      <c r="AL21" s="1357"/>
    </row>
    <row r="22" spans="1:38" ht="15" customHeight="1">
      <c r="A22" s="1369"/>
      <c r="B22" s="1368"/>
      <c r="C22" s="1367"/>
      <c r="D22" s="1366"/>
      <c r="E22" s="1365"/>
      <c r="F22" s="1365"/>
      <c r="G22" s="1364"/>
      <c r="H22" s="1361"/>
      <c r="I22" s="1361"/>
      <c r="J22" s="1361"/>
      <c r="K22" s="1363"/>
      <c r="L22" s="1359"/>
      <c r="M22" s="1362"/>
      <c r="N22" s="1361"/>
      <c r="O22" s="1361"/>
      <c r="P22" s="1361"/>
      <c r="Q22" s="1359"/>
      <c r="R22" s="1360"/>
      <c r="S22" s="1359"/>
      <c r="T22" s="1358"/>
      <c r="W22" s="1357"/>
      <c r="X22" s="1357"/>
      <c r="Y22" s="1357"/>
      <c r="Z22" s="1357"/>
      <c r="AA22" s="1357"/>
      <c r="AB22" s="1357"/>
      <c r="AC22" s="1357"/>
      <c r="AD22" s="1357"/>
      <c r="AE22" s="1357"/>
      <c r="AF22" s="1357"/>
      <c r="AG22" s="1357"/>
      <c r="AH22" s="1357"/>
      <c r="AI22" s="1357"/>
      <c r="AJ22" s="1357"/>
      <c r="AK22" s="1357"/>
      <c r="AL22" s="1357"/>
    </row>
    <row r="23" spans="1:38" ht="15" customHeight="1">
      <c r="A23" s="1369"/>
      <c r="B23" s="1368"/>
      <c r="C23" s="1367"/>
      <c r="D23" s="1366"/>
      <c r="E23" s="1365"/>
      <c r="F23" s="1365"/>
      <c r="G23" s="1364"/>
      <c r="H23" s="1361"/>
      <c r="I23" s="1361"/>
      <c r="J23" s="1361"/>
      <c r="K23" s="1363"/>
      <c r="L23" s="1359"/>
      <c r="M23" s="1362"/>
      <c r="N23" s="1361"/>
      <c r="O23" s="1361"/>
      <c r="P23" s="1361"/>
      <c r="Q23" s="1359"/>
      <c r="R23" s="1360"/>
      <c r="S23" s="1359"/>
      <c r="T23" s="1358"/>
      <c r="W23" s="1357"/>
      <c r="X23" s="1357"/>
      <c r="Y23" s="1357"/>
      <c r="Z23" s="1357"/>
      <c r="AA23" s="1357"/>
      <c r="AB23" s="1357"/>
      <c r="AC23" s="1357"/>
      <c r="AD23" s="1357"/>
      <c r="AE23" s="1357"/>
      <c r="AF23" s="1357"/>
      <c r="AG23" s="1357"/>
      <c r="AH23" s="1357"/>
      <c r="AI23" s="1357"/>
      <c r="AJ23" s="1357"/>
      <c r="AK23" s="1357"/>
      <c r="AL23" s="1357"/>
    </row>
    <row r="24" spans="1:38" ht="15" customHeight="1">
      <c r="A24" s="1369"/>
      <c r="B24" s="1368"/>
      <c r="C24" s="1367"/>
      <c r="D24" s="1366"/>
      <c r="E24" s="1365"/>
      <c r="F24" s="1365"/>
      <c r="G24" s="1364"/>
      <c r="H24" s="1361"/>
      <c r="I24" s="1361"/>
      <c r="J24" s="1361"/>
      <c r="K24" s="1363"/>
      <c r="L24" s="1359"/>
      <c r="M24" s="1362"/>
      <c r="N24" s="1361"/>
      <c r="O24" s="1361"/>
      <c r="P24" s="1361"/>
      <c r="Q24" s="1359"/>
      <c r="R24" s="1360"/>
      <c r="S24" s="1359"/>
      <c r="T24" s="1358"/>
      <c r="W24" s="1357"/>
      <c r="X24" s="1357"/>
      <c r="Y24" s="1357"/>
      <c r="Z24" s="1357"/>
      <c r="AA24" s="1357"/>
      <c r="AB24" s="1357"/>
      <c r="AC24" s="1357"/>
      <c r="AD24" s="1357"/>
      <c r="AE24" s="1357"/>
      <c r="AF24" s="1357"/>
      <c r="AG24" s="1357"/>
      <c r="AH24" s="1357"/>
      <c r="AI24" s="1357"/>
      <c r="AJ24" s="1357"/>
      <c r="AK24" s="1357"/>
      <c r="AL24" s="1357"/>
    </row>
    <row r="25" spans="1:38" ht="15" customHeight="1">
      <c r="A25" s="1369"/>
      <c r="B25" s="1368"/>
      <c r="C25" s="1367"/>
      <c r="D25" s="1366"/>
      <c r="E25" s="1365"/>
      <c r="F25" s="1365"/>
      <c r="G25" s="1364"/>
      <c r="H25" s="1361"/>
      <c r="I25" s="1361"/>
      <c r="J25" s="1361"/>
      <c r="K25" s="1363"/>
      <c r="L25" s="1359"/>
      <c r="M25" s="1362"/>
      <c r="N25" s="1361"/>
      <c r="O25" s="1361"/>
      <c r="P25" s="1361"/>
      <c r="Q25" s="1359"/>
      <c r="R25" s="1360"/>
      <c r="S25" s="1359"/>
      <c r="T25" s="1358"/>
      <c r="W25" s="1357"/>
      <c r="X25" s="1357"/>
      <c r="Y25" s="1357"/>
      <c r="Z25" s="1357"/>
      <c r="AA25" s="1357"/>
      <c r="AB25" s="1357"/>
      <c r="AC25" s="1357"/>
      <c r="AD25" s="1357"/>
      <c r="AE25" s="1357"/>
      <c r="AF25" s="1357"/>
      <c r="AG25" s="1357"/>
      <c r="AH25" s="1357"/>
      <c r="AI25" s="1357"/>
      <c r="AJ25" s="1357"/>
      <c r="AK25" s="1357"/>
      <c r="AL25" s="1357"/>
    </row>
    <row r="26" spans="1:38" ht="15" customHeight="1">
      <c r="A26" s="1369"/>
      <c r="B26" s="1368"/>
      <c r="C26" s="1367"/>
      <c r="D26" s="1366"/>
      <c r="E26" s="1365"/>
      <c r="F26" s="1365"/>
      <c r="G26" s="1364"/>
      <c r="H26" s="1361"/>
      <c r="I26" s="1361"/>
      <c r="J26" s="1361"/>
      <c r="K26" s="1363"/>
      <c r="L26" s="1359"/>
      <c r="M26" s="1362"/>
      <c r="N26" s="1361"/>
      <c r="O26" s="1361"/>
      <c r="P26" s="1361"/>
      <c r="Q26" s="1359"/>
      <c r="R26" s="1360"/>
      <c r="S26" s="1359"/>
      <c r="T26" s="1358"/>
      <c r="W26" s="1357"/>
      <c r="X26" s="1357"/>
      <c r="Y26" s="1357"/>
      <c r="Z26" s="1357"/>
      <c r="AA26" s="1357"/>
      <c r="AB26" s="1357"/>
      <c r="AC26" s="1357"/>
      <c r="AD26" s="1357"/>
      <c r="AE26" s="1357"/>
      <c r="AF26" s="1357"/>
      <c r="AG26" s="1357"/>
      <c r="AH26" s="1357"/>
      <c r="AI26" s="1357"/>
      <c r="AJ26" s="1357"/>
      <c r="AK26" s="1357"/>
      <c r="AL26" s="1357"/>
    </row>
    <row r="27" spans="1:38" ht="15" customHeight="1">
      <c r="A27" s="1369"/>
      <c r="B27" s="1368"/>
      <c r="C27" s="1367"/>
      <c r="D27" s="1366"/>
      <c r="E27" s="1365"/>
      <c r="F27" s="1365"/>
      <c r="G27" s="1364"/>
      <c r="H27" s="1361"/>
      <c r="I27" s="1361"/>
      <c r="J27" s="1361"/>
      <c r="K27" s="1363"/>
      <c r="L27" s="1359"/>
      <c r="M27" s="1362"/>
      <c r="N27" s="1361"/>
      <c r="O27" s="1361"/>
      <c r="P27" s="1361"/>
      <c r="Q27" s="1359"/>
      <c r="R27" s="1360"/>
      <c r="S27" s="1359"/>
      <c r="T27" s="1358"/>
      <c r="W27" s="1357"/>
      <c r="X27" s="1357"/>
      <c r="Y27" s="1357"/>
      <c r="Z27" s="1357"/>
      <c r="AA27" s="1357"/>
      <c r="AB27" s="1357"/>
      <c r="AC27" s="1357"/>
      <c r="AD27" s="1357"/>
      <c r="AE27" s="1357"/>
      <c r="AF27" s="1357"/>
      <c r="AG27" s="1357"/>
      <c r="AH27" s="1357"/>
      <c r="AI27" s="1357"/>
      <c r="AJ27" s="1357"/>
      <c r="AK27" s="1357"/>
      <c r="AL27" s="1357"/>
    </row>
    <row r="28" spans="1:38" ht="15" customHeight="1">
      <c r="A28" s="1369"/>
      <c r="B28" s="1368"/>
      <c r="C28" s="1367"/>
      <c r="D28" s="1366"/>
      <c r="E28" s="1365"/>
      <c r="F28" s="1365"/>
      <c r="G28" s="1364"/>
      <c r="H28" s="1361"/>
      <c r="I28" s="1361"/>
      <c r="J28" s="1361"/>
      <c r="K28" s="1363"/>
      <c r="L28" s="1359"/>
      <c r="M28" s="1362"/>
      <c r="N28" s="1361"/>
      <c r="O28" s="1361"/>
      <c r="P28" s="1361"/>
      <c r="Q28" s="1359"/>
      <c r="R28" s="1360"/>
      <c r="S28" s="1359"/>
      <c r="T28" s="1358"/>
      <c r="W28" s="1357"/>
      <c r="X28" s="1357"/>
      <c r="Y28" s="1357"/>
      <c r="Z28" s="1357"/>
      <c r="AA28" s="1357"/>
      <c r="AB28" s="1357"/>
      <c r="AC28" s="1357"/>
      <c r="AD28" s="1357"/>
      <c r="AE28" s="1357"/>
      <c r="AF28" s="1357"/>
      <c r="AG28" s="1357"/>
      <c r="AH28" s="1357"/>
      <c r="AI28" s="1357"/>
      <c r="AJ28" s="1357"/>
      <c r="AK28" s="1357"/>
      <c r="AL28" s="1357"/>
    </row>
    <row r="29" spans="1:38" ht="15" customHeight="1">
      <c r="A29" s="1369"/>
      <c r="B29" s="1368"/>
      <c r="C29" s="1367"/>
      <c r="D29" s="1366"/>
      <c r="E29" s="1365"/>
      <c r="F29" s="1365"/>
      <c r="G29" s="1364"/>
      <c r="H29" s="1361"/>
      <c r="I29" s="1361"/>
      <c r="J29" s="1361"/>
      <c r="K29" s="1363"/>
      <c r="L29" s="1359"/>
      <c r="M29" s="1362"/>
      <c r="N29" s="1361"/>
      <c r="O29" s="1361"/>
      <c r="P29" s="1361"/>
      <c r="Q29" s="1359"/>
      <c r="R29" s="1360"/>
      <c r="S29" s="1359"/>
      <c r="T29" s="1358"/>
      <c r="W29" s="1357"/>
      <c r="X29" s="1357"/>
      <c r="Y29" s="1357"/>
      <c r="Z29" s="1357"/>
      <c r="AA29" s="1357"/>
      <c r="AB29" s="1357"/>
      <c r="AC29" s="1357"/>
      <c r="AD29" s="1357"/>
      <c r="AE29" s="1357"/>
      <c r="AF29" s="1357"/>
      <c r="AG29" s="1357"/>
      <c r="AH29" s="1357"/>
      <c r="AI29" s="1357"/>
      <c r="AJ29" s="1357"/>
      <c r="AK29" s="1357"/>
      <c r="AL29" s="1357"/>
    </row>
    <row r="30" spans="1:38" ht="15" customHeight="1">
      <c r="A30" s="1369"/>
      <c r="B30" s="1368"/>
      <c r="C30" s="1367"/>
      <c r="D30" s="1366"/>
      <c r="E30" s="1365"/>
      <c r="F30" s="1365"/>
      <c r="G30" s="1364"/>
      <c r="H30" s="1361"/>
      <c r="I30" s="1361"/>
      <c r="J30" s="1361"/>
      <c r="K30" s="1363"/>
      <c r="L30" s="1359"/>
      <c r="M30" s="1362"/>
      <c r="N30" s="1361"/>
      <c r="O30" s="1361"/>
      <c r="P30" s="1361"/>
      <c r="Q30" s="1359"/>
      <c r="R30" s="1360"/>
      <c r="S30" s="1359"/>
      <c r="T30" s="1358"/>
      <c r="W30" s="1357"/>
      <c r="X30" s="1357"/>
      <c r="Y30" s="1357"/>
      <c r="Z30" s="1357"/>
      <c r="AA30" s="1357"/>
      <c r="AB30" s="1357"/>
      <c r="AC30" s="1357"/>
      <c r="AD30" s="1357"/>
      <c r="AE30" s="1357"/>
      <c r="AF30" s="1357"/>
      <c r="AG30" s="1357"/>
      <c r="AH30" s="1357"/>
      <c r="AI30" s="1357"/>
      <c r="AJ30" s="1357"/>
      <c r="AK30" s="1357"/>
      <c r="AL30" s="1357"/>
    </row>
    <row r="31" spans="1:38" ht="15" customHeight="1">
      <c r="A31" s="1369"/>
      <c r="B31" s="1368"/>
      <c r="C31" s="1367"/>
      <c r="D31" s="1366"/>
      <c r="E31" s="1365"/>
      <c r="F31" s="1365"/>
      <c r="G31" s="1364"/>
      <c r="H31" s="1361"/>
      <c r="I31" s="1361"/>
      <c r="J31" s="1361"/>
      <c r="K31" s="1363"/>
      <c r="L31" s="1359"/>
      <c r="M31" s="1362"/>
      <c r="N31" s="1361"/>
      <c r="O31" s="1361"/>
      <c r="P31" s="1361"/>
      <c r="Q31" s="1359"/>
      <c r="R31" s="1360"/>
      <c r="S31" s="1359"/>
      <c r="T31" s="1358"/>
      <c r="W31" s="1357"/>
      <c r="X31" s="1357"/>
      <c r="Y31" s="1357"/>
      <c r="Z31" s="1357"/>
      <c r="AA31" s="1357"/>
      <c r="AB31" s="1357"/>
      <c r="AC31" s="1357"/>
      <c r="AD31" s="1357"/>
      <c r="AE31" s="1357"/>
      <c r="AF31" s="1357"/>
      <c r="AG31" s="1357"/>
      <c r="AH31" s="1357"/>
      <c r="AI31" s="1357"/>
      <c r="AJ31" s="1357"/>
      <c r="AK31" s="1357"/>
      <c r="AL31" s="1357"/>
    </row>
    <row r="32" spans="1:38" ht="15" customHeight="1">
      <c r="A32" s="1369"/>
      <c r="B32" s="1368"/>
      <c r="C32" s="1367"/>
      <c r="D32" s="1366"/>
      <c r="E32" s="1365"/>
      <c r="F32" s="1365"/>
      <c r="G32" s="1364"/>
      <c r="H32" s="1361"/>
      <c r="I32" s="1361"/>
      <c r="J32" s="1361"/>
      <c r="K32" s="1363"/>
      <c r="L32" s="1359"/>
      <c r="M32" s="1362"/>
      <c r="N32" s="1361"/>
      <c r="O32" s="1361"/>
      <c r="P32" s="1361"/>
      <c r="Q32" s="1359"/>
      <c r="R32" s="1360"/>
      <c r="S32" s="1359"/>
      <c r="T32" s="1358"/>
      <c r="W32" s="1357"/>
      <c r="X32" s="1357"/>
      <c r="Y32" s="1357"/>
      <c r="Z32" s="1357"/>
      <c r="AA32" s="1357"/>
      <c r="AB32" s="1357"/>
      <c r="AC32" s="1357"/>
      <c r="AD32" s="1357"/>
      <c r="AE32" s="1357"/>
      <c r="AF32" s="1357"/>
      <c r="AG32" s="1357"/>
      <c r="AH32" s="1357"/>
      <c r="AI32" s="1357"/>
      <c r="AJ32" s="1357"/>
      <c r="AK32" s="1357"/>
      <c r="AL32" s="1357"/>
    </row>
    <row r="33" spans="1:38" ht="15" customHeight="1">
      <c r="A33" s="1369"/>
      <c r="B33" s="1368"/>
      <c r="C33" s="1367"/>
      <c r="D33" s="1366"/>
      <c r="E33" s="1365"/>
      <c r="F33" s="1365"/>
      <c r="G33" s="1364"/>
      <c r="H33" s="1361"/>
      <c r="I33" s="1361"/>
      <c r="J33" s="1361"/>
      <c r="K33" s="1363"/>
      <c r="L33" s="1359"/>
      <c r="M33" s="1362"/>
      <c r="N33" s="1361"/>
      <c r="O33" s="1361"/>
      <c r="P33" s="1361"/>
      <c r="Q33" s="1359"/>
      <c r="R33" s="1360"/>
      <c r="S33" s="1359"/>
      <c r="T33" s="1358"/>
      <c r="W33" s="1357"/>
      <c r="X33" s="1357"/>
      <c r="Y33" s="1357"/>
      <c r="Z33" s="1357"/>
      <c r="AA33" s="1357"/>
      <c r="AB33" s="1357"/>
      <c r="AC33" s="1357"/>
      <c r="AD33" s="1357"/>
      <c r="AE33" s="1357"/>
      <c r="AF33" s="1357"/>
      <c r="AG33" s="1357"/>
      <c r="AH33" s="1357"/>
      <c r="AI33" s="1357"/>
      <c r="AJ33" s="1357"/>
      <c r="AK33" s="1357"/>
      <c r="AL33" s="1357"/>
    </row>
    <row r="34" spans="1:38" ht="15" customHeight="1">
      <c r="A34" s="1369"/>
      <c r="B34" s="1368"/>
      <c r="C34" s="1367"/>
      <c r="D34" s="1366"/>
      <c r="E34" s="1365"/>
      <c r="F34" s="1365"/>
      <c r="G34" s="1364"/>
      <c r="H34" s="1361"/>
      <c r="I34" s="1361"/>
      <c r="J34" s="1361"/>
      <c r="K34" s="1363"/>
      <c r="L34" s="1359"/>
      <c r="M34" s="1362"/>
      <c r="N34" s="1361"/>
      <c r="O34" s="1361"/>
      <c r="P34" s="1361"/>
      <c r="Q34" s="1359"/>
      <c r="R34" s="1360"/>
      <c r="S34" s="1359"/>
      <c r="T34" s="1358"/>
      <c r="W34" s="1357"/>
      <c r="X34" s="1357"/>
      <c r="Y34" s="1357"/>
      <c r="Z34" s="1357"/>
      <c r="AA34" s="1357"/>
      <c r="AB34" s="1357"/>
      <c r="AC34" s="1357"/>
      <c r="AD34" s="1357"/>
      <c r="AE34" s="1357"/>
      <c r="AF34" s="1357"/>
      <c r="AG34" s="1357"/>
      <c r="AH34" s="1357"/>
      <c r="AI34" s="1357"/>
      <c r="AJ34" s="1357"/>
      <c r="AK34" s="1357"/>
      <c r="AL34" s="1357"/>
    </row>
    <row r="35" spans="1:38" ht="15" customHeight="1" thickBot="1">
      <c r="A35" s="1434"/>
      <c r="B35" s="1435"/>
      <c r="C35" s="1436"/>
      <c r="D35" s="1437"/>
      <c r="E35" s="1438"/>
      <c r="F35" s="1438"/>
      <c r="G35" s="1439"/>
      <c r="H35" s="1440"/>
      <c r="I35" s="1440"/>
      <c r="J35" s="1440"/>
      <c r="K35" s="1441"/>
      <c r="L35" s="1442"/>
      <c r="M35" s="1443"/>
      <c r="N35" s="1440"/>
      <c r="O35" s="1440"/>
      <c r="P35" s="1440"/>
      <c r="Q35" s="1442"/>
      <c r="R35" s="1444"/>
      <c r="S35" s="1442"/>
      <c r="T35" s="1445"/>
      <c r="W35" s="1357"/>
      <c r="X35" s="1357"/>
      <c r="Y35" s="1357"/>
      <c r="Z35" s="1357"/>
      <c r="AA35" s="1357"/>
      <c r="AB35" s="1357"/>
      <c r="AC35" s="1357"/>
      <c r="AD35" s="1357"/>
      <c r="AE35" s="1357"/>
      <c r="AF35" s="1357"/>
      <c r="AG35" s="1357"/>
      <c r="AH35" s="1357"/>
      <c r="AI35" s="1357"/>
      <c r="AJ35" s="1357"/>
      <c r="AK35" s="1357"/>
      <c r="AL35" s="1357"/>
    </row>
    <row r="36" spans="1:38" ht="21" customHeight="1" thickTop="1">
      <c r="A36" s="1451" t="s">
        <v>1096</v>
      </c>
      <c r="B36" s="1452"/>
      <c r="C36" s="1453"/>
      <c r="D36" s="1446">
        <v>71.19</v>
      </c>
      <c r="E36" s="1447"/>
      <c r="F36" s="1447">
        <v>199.4</v>
      </c>
      <c r="G36" s="1448">
        <v>8958</v>
      </c>
      <c r="H36" s="1449">
        <v>0</v>
      </c>
      <c r="I36" s="1449">
        <v>8958</v>
      </c>
      <c r="J36" s="1449">
        <v>1188</v>
      </c>
      <c r="K36" s="1449">
        <v>10146</v>
      </c>
      <c r="L36" s="1449">
        <v>1620</v>
      </c>
      <c r="M36" s="1449">
        <v>11766</v>
      </c>
      <c r="N36" s="1448">
        <v>6225</v>
      </c>
      <c r="O36" s="1449">
        <v>0</v>
      </c>
      <c r="P36" s="1449">
        <v>6225</v>
      </c>
      <c r="Q36" s="1449">
        <v>0</v>
      </c>
      <c r="R36" s="1449">
        <v>6225</v>
      </c>
      <c r="S36" s="1449">
        <v>2160</v>
      </c>
      <c r="T36" s="1450">
        <v>8385</v>
      </c>
      <c r="W36" s="1357"/>
      <c r="X36" s="1357"/>
      <c r="Y36" s="1357"/>
      <c r="Z36" s="1357"/>
      <c r="AA36" s="1357"/>
      <c r="AB36" s="1357"/>
      <c r="AC36" s="1357"/>
      <c r="AD36" s="1357"/>
      <c r="AE36" s="1357"/>
      <c r="AF36" s="1357"/>
      <c r="AG36" s="1357"/>
      <c r="AH36" s="1357"/>
      <c r="AI36" s="1357"/>
      <c r="AJ36" s="1357"/>
      <c r="AK36" s="1357"/>
      <c r="AL36" s="1357"/>
    </row>
    <row r="46" spans="1:38" ht="15" customHeight="1">
      <c r="AB46" s="1351"/>
      <c r="AC46" s="1351"/>
      <c r="AD46" s="1351"/>
      <c r="AE46" s="1351"/>
      <c r="AF46" s="1351"/>
      <c r="AG46" s="1351"/>
      <c r="AH46" s="1351"/>
      <c r="AI46" s="1351"/>
      <c r="AJ46" s="1351"/>
      <c r="AK46" s="1351"/>
      <c r="AL46" s="1351"/>
    </row>
    <row r="47" spans="1:38" s="1351" customFormat="1" ht="15" customHeight="1">
      <c r="C47" s="1355"/>
      <c r="D47" s="1355"/>
      <c r="E47" s="1355"/>
      <c r="F47" s="1355"/>
      <c r="G47" s="1355"/>
      <c r="I47" s="1352"/>
      <c r="P47" s="1352"/>
      <c r="U47" s="1350"/>
      <c r="V47" s="1350"/>
      <c r="W47" s="1350"/>
      <c r="X47" s="1350"/>
      <c r="Y47" s="1350"/>
      <c r="Z47" s="1350"/>
      <c r="AA47" s="1350"/>
    </row>
    <row r="48" spans="1:38" s="1351" customFormat="1" ht="15" customHeight="1">
      <c r="C48" s="1355"/>
      <c r="D48" s="1355"/>
      <c r="E48" s="1355"/>
      <c r="F48" s="1355"/>
      <c r="G48" s="1355"/>
      <c r="H48" s="1356"/>
      <c r="I48" s="1352"/>
      <c r="O48" s="1356"/>
      <c r="P48" s="1352"/>
      <c r="U48" s="1350"/>
      <c r="V48" s="1350"/>
      <c r="W48" s="1350"/>
      <c r="X48" s="1350"/>
      <c r="Y48" s="1350"/>
      <c r="Z48" s="1350"/>
      <c r="AA48" s="1350"/>
    </row>
    <row r="49" spans="3:38" s="1351" customFormat="1" ht="15" customHeight="1">
      <c r="C49" s="1355"/>
      <c r="D49" s="1355"/>
      <c r="E49" s="1355"/>
      <c r="F49" s="1355"/>
      <c r="G49" s="1355"/>
      <c r="H49" s="1354"/>
      <c r="I49" s="1352"/>
      <c r="O49" s="1354"/>
      <c r="P49" s="1352"/>
      <c r="U49" s="1350"/>
      <c r="V49" s="1350"/>
      <c r="W49" s="1350"/>
      <c r="X49" s="1350"/>
      <c r="Y49" s="1350"/>
      <c r="Z49" s="1350"/>
      <c r="AA49" s="1350"/>
    </row>
    <row r="50" spans="3:38" s="1351" customFormat="1" ht="15" customHeight="1">
      <c r="C50" s="1353"/>
      <c r="D50" s="1353"/>
      <c r="E50" s="1353"/>
      <c r="F50" s="1353"/>
      <c r="G50" s="1353"/>
      <c r="H50" s="1352"/>
      <c r="O50" s="1352"/>
      <c r="U50" s="1350"/>
      <c r="V50" s="1350"/>
      <c r="W50" s="1350"/>
      <c r="X50" s="1350"/>
      <c r="Y50" s="1350"/>
      <c r="Z50" s="1350"/>
      <c r="AA50" s="1350"/>
      <c r="AB50" s="1350"/>
      <c r="AC50" s="1350"/>
      <c r="AD50" s="1350"/>
      <c r="AE50" s="1350"/>
      <c r="AF50" s="1350"/>
      <c r="AG50" s="1350"/>
      <c r="AH50" s="1350"/>
      <c r="AI50" s="1350"/>
      <c r="AJ50" s="1350"/>
      <c r="AK50" s="1350"/>
      <c r="AL50" s="1350"/>
    </row>
  </sheetData>
  <mergeCells count="25">
    <mergeCell ref="A36:C36"/>
    <mergeCell ref="G4:G5"/>
    <mergeCell ref="N4:N5"/>
    <mergeCell ref="W2:AD2"/>
    <mergeCell ref="AE2:AL2"/>
    <mergeCell ref="A3:A5"/>
    <mergeCell ref="B3:B5"/>
    <mergeCell ref="C3:C5"/>
    <mergeCell ref="D3:D5"/>
    <mergeCell ref="E3:E5"/>
    <mergeCell ref="F3:F5"/>
    <mergeCell ref="G3:M3"/>
    <mergeCell ref="N3:T3"/>
    <mergeCell ref="AE3:AH3"/>
    <mergeCell ref="AI3:AL3"/>
    <mergeCell ref="J4:J5"/>
    <mergeCell ref="K4:K5"/>
    <mergeCell ref="L4:L5"/>
    <mergeCell ref="M4:M5"/>
    <mergeCell ref="Q4:Q5"/>
    <mergeCell ref="R4:R5"/>
    <mergeCell ref="S4:S5"/>
    <mergeCell ref="T4:T5"/>
    <mergeCell ref="W3:Z3"/>
    <mergeCell ref="AA3:AD3"/>
  </mergeCells>
  <phoneticPr fontId="4"/>
  <printOptions horizontalCentered="1"/>
  <pageMargins left="0.70866141732283472" right="0.70866141732283472" top="0.78740157480314965" bottom="0.55118110236220474" header="0.59055118110236227" footer="0.31496062992125984"/>
  <pageSetup paperSize="9" scale="86" orientation="landscape" horizontalDpi="1200" verticalDpi="1200" r:id="rId1"/>
  <headerFooter scaleWithDoc="0" alignWithMargins="0">
    <oddFooter>&amp;C&amp;"ＭＳ Ｐゴシック,標準"&amp;9( &amp;P / &amp;N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T59"/>
  <sheetViews>
    <sheetView showGridLines="0" zoomScale="80" zoomScaleNormal="80" workbookViewId="0">
      <pane xSplit="6" ySplit="6" topLeftCell="G7" activePane="bottomRight" state="frozenSplit"/>
      <selection pane="topRight" activeCell="Q1" sqref="Q1"/>
      <selection pane="bottomLeft" activeCell="A16" sqref="A16"/>
      <selection pane="bottomRight"/>
    </sheetView>
  </sheetViews>
  <sheetFormatPr defaultColWidth="9.140625" defaultRowHeight="13.5" customHeight="1"/>
  <cols>
    <col min="1" max="1" width="5.42578125" style="1351" customWidth="1"/>
    <col min="2" max="2" width="7.5703125" style="1351" customWidth="1"/>
    <col min="3" max="3" width="26.28515625" style="1351" customWidth="1"/>
    <col min="4" max="6" width="7.7109375" style="1351" customWidth="1"/>
    <col min="7" max="7" width="7.7109375" style="1351" hidden="1" customWidth="1"/>
    <col min="8" max="8" width="7.7109375" style="1351" customWidth="1"/>
    <col min="9" max="10" width="7.7109375" style="1351" hidden="1" customWidth="1"/>
    <col min="11" max="14" width="7.7109375" style="1351" customWidth="1"/>
    <col min="15" max="16" width="7.7109375" style="1351" hidden="1" customWidth="1"/>
    <col min="17" max="18" width="7.7109375" style="1351" customWidth="1"/>
    <col min="19" max="20" width="7.7109375" style="1351" hidden="1" customWidth="1"/>
    <col min="21" max="25" width="7.7109375" style="1351" customWidth="1"/>
    <col min="26" max="27" width="9.140625" style="1458"/>
    <col min="28" max="43" width="9.140625" style="1357"/>
    <col min="44" max="44" width="9.140625" style="1460"/>
    <col min="45" max="46" width="9.140625" style="1459"/>
    <col min="47" max="16384" width="9.140625" style="1458"/>
  </cols>
  <sheetData>
    <row r="1" spans="1:46" s="1525" customFormat="1" ht="24" customHeight="1" thickBot="1">
      <c r="A1" s="1536" t="s">
        <v>1132</v>
      </c>
      <c r="B1" s="1535"/>
      <c r="C1" s="1534"/>
      <c r="D1" s="1533"/>
      <c r="E1" s="1532"/>
      <c r="F1" s="1531"/>
      <c r="G1" s="1531"/>
      <c r="H1" s="1532"/>
      <c r="I1" s="1532"/>
      <c r="J1" s="1532"/>
      <c r="K1" s="1531"/>
      <c r="L1" s="1531"/>
      <c r="M1" s="1530"/>
      <c r="N1" s="1531"/>
      <c r="O1" s="1532"/>
      <c r="P1" s="1532"/>
      <c r="Q1" s="1531"/>
      <c r="R1" s="1531"/>
      <c r="S1" s="1530"/>
      <c r="T1" s="1530"/>
      <c r="U1" s="1530"/>
      <c r="V1" s="1530"/>
      <c r="W1" s="1530"/>
      <c r="X1" s="1530"/>
      <c r="Y1" s="1529"/>
      <c r="AB1" s="1422" t="s">
        <v>1086</v>
      </c>
      <c r="AC1" s="1528"/>
      <c r="AD1" s="1528"/>
      <c r="AE1" s="1528"/>
      <c r="AF1" s="1528"/>
      <c r="AG1" s="1528"/>
      <c r="AH1" s="1528"/>
      <c r="AI1" s="1528"/>
      <c r="AJ1" s="1528"/>
      <c r="AK1" s="1528"/>
      <c r="AL1" s="1528"/>
      <c r="AM1" s="1528"/>
      <c r="AN1" s="1528"/>
      <c r="AO1" s="1528"/>
      <c r="AP1" s="1528"/>
      <c r="AQ1" s="1528"/>
      <c r="AR1" s="1527"/>
      <c r="AS1" s="1526"/>
      <c r="AT1" s="1526"/>
    </row>
    <row r="2" spans="1:46" ht="13.5" customHeight="1">
      <c r="AB2" s="1524" t="s">
        <v>1085</v>
      </c>
      <c r="AC2" s="1523"/>
      <c r="AD2" s="1523"/>
      <c r="AE2" s="1523"/>
      <c r="AF2" s="1523"/>
      <c r="AG2" s="1523"/>
      <c r="AH2" s="1523"/>
      <c r="AI2" s="1522"/>
      <c r="AJ2" s="1521" t="s">
        <v>1131</v>
      </c>
      <c r="AK2" s="1521"/>
      <c r="AL2" s="1521"/>
      <c r="AM2" s="1521"/>
      <c r="AN2" s="1521"/>
      <c r="AO2" s="1521"/>
      <c r="AP2" s="1521"/>
      <c r="AQ2" s="1520"/>
      <c r="AS2" s="1519" t="s">
        <v>1130</v>
      </c>
      <c r="AT2" s="1518"/>
    </row>
    <row r="3" spans="1:46" ht="13.5" customHeight="1">
      <c r="G3" s="1351" t="s">
        <v>1133</v>
      </c>
      <c r="Y3" s="1517"/>
      <c r="AB3" s="1516"/>
      <c r="AC3" s="1515"/>
      <c r="AD3" s="1515"/>
      <c r="AE3" s="1515"/>
      <c r="AF3" s="1515"/>
      <c r="AG3" s="1515"/>
      <c r="AH3" s="1515"/>
      <c r="AI3" s="1514"/>
      <c r="AJ3" s="1513"/>
      <c r="AK3" s="1513"/>
      <c r="AL3" s="1513"/>
      <c r="AM3" s="1513"/>
      <c r="AN3" s="1513"/>
      <c r="AO3" s="1513"/>
      <c r="AP3" s="1513"/>
      <c r="AQ3" s="1512"/>
      <c r="AS3" s="1511"/>
      <c r="AT3" s="1510"/>
    </row>
    <row r="4" spans="1:46" ht="13.5" customHeight="1" thickBot="1">
      <c r="A4" s="1415" t="s">
        <v>394</v>
      </c>
      <c r="B4" s="1414" t="s">
        <v>370</v>
      </c>
      <c r="C4" s="1414" t="s">
        <v>1083</v>
      </c>
      <c r="D4" s="1413" t="s">
        <v>1082</v>
      </c>
      <c r="E4" s="1413" t="s">
        <v>1081</v>
      </c>
      <c r="F4" s="1412" t="s">
        <v>1080</v>
      </c>
      <c r="G4" s="1509"/>
      <c r="H4" s="1410" t="s">
        <v>1079</v>
      </c>
      <c r="I4" s="1409"/>
      <c r="J4" s="1409"/>
      <c r="K4" s="1409"/>
      <c r="L4" s="1411"/>
      <c r="M4" s="1508" t="s">
        <v>1129</v>
      </c>
      <c r="N4" s="1410" t="s">
        <v>1078</v>
      </c>
      <c r="O4" s="1409"/>
      <c r="P4" s="1409"/>
      <c r="Q4" s="1409"/>
      <c r="R4" s="1411"/>
      <c r="S4" s="1507"/>
      <c r="T4" s="1506"/>
      <c r="U4" s="1410" t="s">
        <v>1127</v>
      </c>
      <c r="V4" s="1409"/>
      <c r="W4" s="1409"/>
      <c r="X4" s="1505"/>
      <c r="Y4" s="1504" t="s">
        <v>1126</v>
      </c>
      <c r="AB4" s="1503" t="s">
        <v>1077</v>
      </c>
      <c r="AC4" s="1503"/>
      <c r="AD4" s="1503"/>
      <c r="AE4" s="1503"/>
      <c r="AF4" s="1502" t="s">
        <v>1076</v>
      </c>
      <c r="AG4" s="1502"/>
      <c r="AH4" s="1502"/>
      <c r="AI4" s="1502"/>
      <c r="AJ4" s="1503" t="s">
        <v>1077</v>
      </c>
      <c r="AK4" s="1503"/>
      <c r="AL4" s="1503"/>
      <c r="AM4" s="1503"/>
      <c r="AN4" s="1502" t="s">
        <v>1076</v>
      </c>
      <c r="AO4" s="1502"/>
      <c r="AP4" s="1502"/>
      <c r="AQ4" s="1502"/>
      <c r="AS4" s="1501"/>
      <c r="AT4" s="1500"/>
    </row>
    <row r="5" spans="1:46" ht="22.5" customHeight="1">
      <c r="A5" s="1396"/>
      <c r="B5" s="1395"/>
      <c r="C5" s="1395"/>
      <c r="D5" s="1394"/>
      <c r="E5" s="1394"/>
      <c r="F5" s="1393"/>
      <c r="G5" s="1499"/>
      <c r="H5" s="1457" t="s">
        <v>1097</v>
      </c>
      <c r="I5" s="1454"/>
      <c r="J5" s="1455"/>
      <c r="K5" s="1404" t="s">
        <v>1075</v>
      </c>
      <c r="L5" s="1498" t="s">
        <v>1072</v>
      </c>
      <c r="M5" s="1497"/>
      <c r="N5" s="1457" t="s">
        <v>1097</v>
      </c>
      <c r="O5" s="1454"/>
      <c r="P5" s="1455"/>
      <c r="Q5" s="1404" t="s">
        <v>1075</v>
      </c>
      <c r="R5" s="1405" t="s">
        <v>1072</v>
      </c>
      <c r="S5" s="1496"/>
      <c r="T5" s="1495"/>
      <c r="U5" s="1487" t="s">
        <v>1125</v>
      </c>
      <c r="V5" s="1486" t="s">
        <v>1124</v>
      </c>
      <c r="W5" s="1486" t="s">
        <v>1123</v>
      </c>
      <c r="X5" s="1403" t="s">
        <v>1122</v>
      </c>
      <c r="Y5" s="1485"/>
      <c r="AB5" s="1399" t="s">
        <v>1071</v>
      </c>
      <c r="AC5" s="1398" t="s">
        <v>1070</v>
      </c>
      <c r="AD5" s="1398" t="s">
        <v>1069</v>
      </c>
      <c r="AE5" s="1397" t="s">
        <v>1068</v>
      </c>
      <c r="AF5" s="1401" t="s">
        <v>1071</v>
      </c>
      <c r="AG5" s="1398" t="s">
        <v>1070</v>
      </c>
      <c r="AH5" s="1398" t="s">
        <v>1069</v>
      </c>
      <c r="AI5" s="1397" t="s">
        <v>1068</v>
      </c>
      <c r="AJ5" s="1401" t="s">
        <v>1071</v>
      </c>
      <c r="AK5" s="1398" t="s">
        <v>1070</v>
      </c>
      <c r="AL5" s="1398" t="s">
        <v>1069</v>
      </c>
      <c r="AM5" s="1400" t="s">
        <v>1068</v>
      </c>
      <c r="AN5" s="1399" t="s">
        <v>1071</v>
      </c>
      <c r="AO5" s="1398" t="s">
        <v>1070</v>
      </c>
      <c r="AP5" s="1398" t="s">
        <v>1069</v>
      </c>
      <c r="AQ5" s="1397" t="s">
        <v>1068</v>
      </c>
      <c r="AS5" s="1494" t="s">
        <v>1121</v>
      </c>
      <c r="AT5" s="1493" t="s">
        <v>1120</v>
      </c>
    </row>
    <row r="6" spans="1:46" ht="13.5" customHeight="1">
      <c r="A6" s="1396"/>
      <c r="B6" s="1395"/>
      <c r="C6" s="1395"/>
      <c r="D6" s="1394"/>
      <c r="E6" s="1394"/>
      <c r="F6" s="1393"/>
      <c r="G6" s="1492"/>
      <c r="H6" s="1456"/>
      <c r="I6" s="1391" t="s">
        <v>1067</v>
      </c>
      <c r="J6" s="1390" t="s">
        <v>1066</v>
      </c>
      <c r="K6" s="1389"/>
      <c r="L6" s="1491"/>
      <c r="M6" s="1490"/>
      <c r="N6" s="1456"/>
      <c r="O6" s="1391" t="s">
        <v>1067</v>
      </c>
      <c r="P6" s="1390" t="s">
        <v>1066</v>
      </c>
      <c r="Q6" s="1389"/>
      <c r="R6" s="1392"/>
      <c r="S6" s="1489" t="s">
        <v>1119</v>
      </c>
      <c r="T6" s="1488" t="s">
        <v>1118</v>
      </c>
      <c r="U6" s="1487"/>
      <c r="V6" s="1486"/>
      <c r="W6" s="1486"/>
      <c r="X6" s="1388"/>
      <c r="Y6" s="1485"/>
      <c r="AB6" s="1384" t="s">
        <v>1065</v>
      </c>
      <c r="AC6" s="1383" t="s">
        <v>1064</v>
      </c>
      <c r="AD6" s="1383" t="s">
        <v>1063</v>
      </c>
      <c r="AE6" s="1382" t="s">
        <v>1062</v>
      </c>
      <c r="AF6" s="1386" t="s">
        <v>1065</v>
      </c>
      <c r="AG6" s="1383" t="s">
        <v>1064</v>
      </c>
      <c r="AH6" s="1383" t="s">
        <v>1063</v>
      </c>
      <c r="AI6" s="1382" t="s">
        <v>1062</v>
      </c>
      <c r="AJ6" s="1386" t="s">
        <v>1065</v>
      </c>
      <c r="AK6" s="1383" t="s">
        <v>1064</v>
      </c>
      <c r="AL6" s="1383" t="s">
        <v>1063</v>
      </c>
      <c r="AM6" s="1385" t="s">
        <v>1062</v>
      </c>
      <c r="AN6" s="1384" t="s">
        <v>1065</v>
      </c>
      <c r="AO6" s="1383" t="s">
        <v>1064</v>
      </c>
      <c r="AP6" s="1383" t="s">
        <v>1063</v>
      </c>
      <c r="AQ6" s="1382" t="s">
        <v>1062</v>
      </c>
      <c r="AS6" s="1484"/>
      <c r="AT6" s="1483"/>
    </row>
    <row r="7" spans="1:46" ht="13.5" customHeight="1">
      <c r="A7" s="1381">
        <v>2</v>
      </c>
      <c r="B7" s="1380">
        <v>209</v>
      </c>
      <c r="C7" s="1379" t="s">
        <v>949</v>
      </c>
      <c r="D7" s="1378">
        <v>71.19</v>
      </c>
      <c r="E7" s="1377">
        <v>2.8</v>
      </c>
      <c r="F7" s="1482">
        <v>199.4</v>
      </c>
      <c r="G7" s="1481"/>
      <c r="H7" s="1376"/>
      <c r="I7" s="1373"/>
      <c r="J7" s="1475"/>
      <c r="K7" s="1373"/>
      <c r="L7" s="1480"/>
      <c r="M7" s="1479"/>
      <c r="N7" s="1373"/>
      <c r="O7" s="1373"/>
      <c r="P7" s="1475"/>
      <c r="Q7" s="1371"/>
      <c r="R7" s="1372"/>
      <c r="S7" s="1478"/>
      <c r="T7" s="1477">
        <v>0</v>
      </c>
      <c r="U7" s="1376">
        <v>540</v>
      </c>
      <c r="V7" s="1373"/>
      <c r="W7" s="1476"/>
      <c r="X7" s="1475">
        <v>540</v>
      </c>
      <c r="Y7" s="1474">
        <v>2.7</v>
      </c>
      <c r="AB7" s="1357">
        <v>28</v>
      </c>
      <c r="AC7" s="1357">
        <v>45</v>
      </c>
      <c r="AD7" s="1357">
        <v>55.4</v>
      </c>
      <c r="AE7" s="1357">
        <v>10.7</v>
      </c>
      <c r="AF7" s="1357">
        <v>19</v>
      </c>
      <c r="AG7" s="1357">
        <v>40</v>
      </c>
      <c r="AH7" s="1357">
        <v>33</v>
      </c>
      <c r="AI7" s="1357">
        <v>5.5</v>
      </c>
      <c r="AT7" s="1459">
        <v>540</v>
      </c>
    </row>
    <row r="8" spans="1:46" ht="13.5" customHeight="1">
      <c r="A8" s="1369"/>
      <c r="B8" s="1368"/>
      <c r="C8" s="1367"/>
      <c r="D8" s="1366"/>
      <c r="E8" s="1365"/>
      <c r="F8" s="1473"/>
      <c r="G8" s="1472"/>
      <c r="H8" s="1364"/>
      <c r="I8" s="1361"/>
      <c r="J8" s="1466"/>
      <c r="K8" s="1361"/>
      <c r="L8" s="1471"/>
      <c r="M8" s="1470"/>
      <c r="N8" s="1361"/>
      <c r="O8" s="1361"/>
      <c r="P8" s="1466"/>
      <c r="Q8" s="1359"/>
      <c r="R8" s="1360"/>
      <c r="S8" s="1469"/>
      <c r="T8" s="1468"/>
      <c r="U8" s="1364"/>
      <c r="V8" s="1361"/>
      <c r="W8" s="1467"/>
      <c r="X8" s="1466"/>
      <c r="Y8" s="1465"/>
    </row>
    <row r="9" spans="1:46" ht="13.5" customHeight="1">
      <c r="A9" s="1369"/>
      <c r="B9" s="1368"/>
      <c r="C9" s="1367"/>
      <c r="D9" s="1366"/>
      <c r="E9" s="1365"/>
      <c r="F9" s="1473"/>
      <c r="G9" s="1472"/>
      <c r="H9" s="1364"/>
      <c r="I9" s="1361"/>
      <c r="J9" s="1466"/>
      <c r="K9" s="1361"/>
      <c r="L9" s="1471"/>
      <c r="M9" s="1470"/>
      <c r="N9" s="1361"/>
      <c r="O9" s="1361"/>
      <c r="P9" s="1466"/>
      <c r="Q9" s="1359"/>
      <c r="R9" s="1360"/>
      <c r="S9" s="1469"/>
      <c r="T9" s="1468"/>
      <c r="U9" s="1364"/>
      <c r="V9" s="1361"/>
      <c r="W9" s="1467"/>
      <c r="X9" s="1466"/>
      <c r="Y9" s="1465"/>
    </row>
    <row r="10" spans="1:46" ht="13.5" customHeight="1">
      <c r="A10" s="1369"/>
      <c r="B10" s="1368"/>
      <c r="C10" s="1367"/>
      <c r="D10" s="1366"/>
      <c r="E10" s="1365"/>
      <c r="F10" s="1473"/>
      <c r="G10" s="1472"/>
      <c r="H10" s="1364"/>
      <c r="I10" s="1361"/>
      <c r="J10" s="1466"/>
      <c r="K10" s="1361"/>
      <c r="L10" s="1471"/>
      <c r="M10" s="1470"/>
      <c r="N10" s="1361"/>
      <c r="O10" s="1361"/>
      <c r="P10" s="1466"/>
      <c r="Q10" s="1359"/>
      <c r="R10" s="1360"/>
      <c r="S10" s="1469"/>
      <c r="T10" s="1468"/>
      <c r="U10" s="1364"/>
      <c r="V10" s="1361"/>
      <c r="W10" s="1467"/>
      <c r="X10" s="1466"/>
      <c r="Y10" s="1465"/>
    </row>
    <row r="11" spans="1:46" ht="13.5" customHeight="1">
      <c r="A11" s="1369"/>
      <c r="B11" s="1368"/>
      <c r="C11" s="1367"/>
      <c r="D11" s="1366"/>
      <c r="E11" s="1365"/>
      <c r="F11" s="1473"/>
      <c r="G11" s="1472"/>
      <c r="H11" s="1364"/>
      <c r="I11" s="1361"/>
      <c r="J11" s="1466"/>
      <c r="K11" s="1361"/>
      <c r="L11" s="1471"/>
      <c r="M11" s="1470"/>
      <c r="N11" s="1361"/>
      <c r="O11" s="1361"/>
      <c r="P11" s="1466"/>
      <c r="Q11" s="1359"/>
      <c r="R11" s="1360"/>
      <c r="S11" s="1469"/>
      <c r="T11" s="1468"/>
      <c r="U11" s="1364"/>
      <c r="V11" s="1361"/>
      <c r="W11" s="1467"/>
      <c r="X11" s="1466"/>
      <c r="Y11" s="1465"/>
    </row>
    <row r="12" spans="1:46" ht="13.5" customHeight="1">
      <c r="A12" s="1369"/>
      <c r="B12" s="1368"/>
      <c r="C12" s="1367"/>
      <c r="D12" s="1366"/>
      <c r="E12" s="1365"/>
      <c r="F12" s="1473"/>
      <c r="G12" s="1472"/>
      <c r="H12" s="1364"/>
      <c r="I12" s="1361"/>
      <c r="J12" s="1466"/>
      <c r="K12" s="1361"/>
      <c r="L12" s="1471"/>
      <c r="M12" s="1470"/>
      <c r="N12" s="1361"/>
      <c r="O12" s="1361"/>
      <c r="P12" s="1466"/>
      <c r="Q12" s="1359"/>
      <c r="R12" s="1360"/>
      <c r="S12" s="1469"/>
      <c r="T12" s="1468"/>
      <c r="U12" s="1364"/>
      <c r="V12" s="1361"/>
      <c r="W12" s="1467"/>
      <c r="X12" s="1466"/>
      <c r="Y12" s="1465"/>
    </row>
    <row r="13" spans="1:46" ht="13.5" customHeight="1">
      <c r="A13" s="1369"/>
      <c r="B13" s="1368"/>
      <c r="C13" s="1367"/>
      <c r="D13" s="1366"/>
      <c r="E13" s="1365"/>
      <c r="F13" s="1473"/>
      <c r="G13" s="1472"/>
      <c r="H13" s="1364"/>
      <c r="I13" s="1361"/>
      <c r="J13" s="1466"/>
      <c r="K13" s="1361"/>
      <c r="L13" s="1471"/>
      <c r="M13" s="1470"/>
      <c r="N13" s="1361"/>
      <c r="O13" s="1361"/>
      <c r="P13" s="1466"/>
      <c r="Q13" s="1359"/>
      <c r="R13" s="1360"/>
      <c r="S13" s="1469"/>
      <c r="T13" s="1468"/>
      <c r="U13" s="1364"/>
      <c r="V13" s="1361"/>
      <c r="W13" s="1467"/>
      <c r="X13" s="1466"/>
      <c r="Y13" s="1465"/>
    </row>
    <row r="14" spans="1:46" ht="13.5" customHeight="1">
      <c r="A14" s="1369"/>
      <c r="B14" s="1368"/>
      <c r="C14" s="1367"/>
      <c r="D14" s="1366"/>
      <c r="E14" s="1365"/>
      <c r="F14" s="1473"/>
      <c r="G14" s="1472"/>
      <c r="H14" s="1364"/>
      <c r="I14" s="1361"/>
      <c r="J14" s="1466"/>
      <c r="K14" s="1361"/>
      <c r="L14" s="1471"/>
      <c r="M14" s="1470"/>
      <c r="N14" s="1361"/>
      <c r="O14" s="1361"/>
      <c r="P14" s="1466"/>
      <c r="Q14" s="1359"/>
      <c r="R14" s="1360"/>
      <c r="S14" s="1469"/>
      <c r="T14" s="1468"/>
      <c r="U14" s="1364"/>
      <c r="V14" s="1361"/>
      <c r="W14" s="1467"/>
      <c r="X14" s="1466"/>
      <c r="Y14" s="1465"/>
    </row>
    <row r="15" spans="1:46" ht="13.5" customHeight="1">
      <c r="A15" s="1369"/>
      <c r="B15" s="1368"/>
      <c r="C15" s="1367"/>
      <c r="D15" s="1366"/>
      <c r="E15" s="1365"/>
      <c r="F15" s="1473"/>
      <c r="G15" s="1472"/>
      <c r="H15" s="1364"/>
      <c r="I15" s="1361"/>
      <c r="J15" s="1466"/>
      <c r="K15" s="1361"/>
      <c r="L15" s="1471"/>
      <c r="M15" s="1470"/>
      <c r="N15" s="1361"/>
      <c r="O15" s="1361"/>
      <c r="P15" s="1466"/>
      <c r="Q15" s="1359"/>
      <c r="R15" s="1360"/>
      <c r="S15" s="1469"/>
      <c r="T15" s="1468"/>
      <c r="U15" s="1364"/>
      <c r="V15" s="1361"/>
      <c r="W15" s="1467"/>
      <c r="X15" s="1466"/>
      <c r="Y15" s="1465"/>
    </row>
    <row r="16" spans="1:46" ht="13.5" customHeight="1">
      <c r="A16" s="1369"/>
      <c r="B16" s="1368"/>
      <c r="C16" s="1367"/>
      <c r="D16" s="1366"/>
      <c r="E16" s="1365"/>
      <c r="F16" s="1473"/>
      <c r="G16" s="1472"/>
      <c r="H16" s="1364"/>
      <c r="I16" s="1361"/>
      <c r="J16" s="1466"/>
      <c r="K16" s="1361"/>
      <c r="L16" s="1471"/>
      <c r="M16" s="1470"/>
      <c r="N16" s="1361"/>
      <c r="O16" s="1361"/>
      <c r="P16" s="1466"/>
      <c r="Q16" s="1359"/>
      <c r="R16" s="1360"/>
      <c r="S16" s="1469"/>
      <c r="T16" s="1468"/>
      <c r="U16" s="1364"/>
      <c r="V16" s="1361"/>
      <c r="W16" s="1467"/>
      <c r="X16" s="1466"/>
      <c r="Y16" s="1465"/>
    </row>
    <row r="17" spans="1:25" ht="13.5" customHeight="1">
      <c r="A17" s="1369"/>
      <c r="B17" s="1368"/>
      <c r="C17" s="1367"/>
      <c r="D17" s="1366"/>
      <c r="E17" s="1365"/>
      <c r="F17" s="1473"/>
      <c r="G17" s="1472"/>
      <c r="H17" s="1364"/>
      <c r="I17" s="1361"/>
      <c r="J17" s="1466"/>
      <c r="K17" s="1361"/>
      <c r="L17" s="1471"/>
      <c r="M17" s="1470"/>
      <c r="N17" s="1361"/>
      <c r="O17" s="1361"/>
      <c r="P17" s="1466"/>
      <c r="Q17" s="1359"/>
      <c r="R17" s="1360"/>
      <c r="S17" s="1469"/>
      <c r="T17" s="1468"/>
      <c r="U17" s="1364"/>
      <c r="V17" s="1361"/>
      <c r="W17" s="1467"/>
      <c r="X17" s="1466"/>
      <c r="Y17" s="1465"/>
    </row>
    <row r="18" spans="1:25" ht="13.5" customHeight="1">
      <c r="A18" s="1369"/>
      <c r="B18" s="1368"/>
      <c r="C18" s="1367"/>
      <c r="D18" s="1366"/>
      <c r="E18" s="1365"/>
      <c r="F18" s="1473"/>
      <c r="G18" s="1472"/>
      <c r="H18" s="1364"/>
      <c r="I18" s="1361"/>
      <c r="J18" s="1466"/>
      <c r="K18" s="1361"/>
      <c r="L18" s="1471"/>
      <c r="M18" s="1470"/>
      <c r="N18" s="1361"/>
      <c r="O18" s="1361"/>
      <c r="P18" s="1466"/>
      <c r="Q18" s="1359"/>
      <c r="R18" s="1360"/>
      <c r="S18" s="1469"/>
      <c r="T18" s="1468"/>
      <c r="U18" s="1364"/>
      <c r="V18" s="1361"/>
      <c r="W18" s="1467"/>
      <c r="X18" s="1466"/>
      <c r="Y18" s="1465"/>
    </row>
    <row r="19" spans="1:25" ht="13.5" customHeight="1">
      <c r="A19" s="1369"/>
      <c r="B19" s="1368"/>
      <c r="C19" s="1367"/>
      <c r="D19" s="1366"/>
      <c r="E19" s="1365"/>
      <c r="F19" s="1473"/>
      <c r="G19" s="1472"/>
      <c r="H19" s="1364"/>
      <c r="I19" s="1361"/>
      <c r="J19" s="1466"/>
      <c r="K19" s="1361"/>
      <c r="L19" s="1471"/>
      <c r="M19" s="1470"/>
      <c r="N19" s="1361"/>
      <c r="O19" s="1361"/>
      <c r="P19" s="1466"/>
      <c r="Q19" s="1359"/>
      <c r="R19" s="1360"/>
      <c r="S19" s="1469"/>
      <c r="T19" s="1468"/>
      <c r="U19" s="1364"/>
      <c r="V19" s="1361"/>
      <c r="W19" s="1467"/>
      <c r="X19" s="1466"/>
      <c r="Y19" s="1465"/>
    </row>
    <row r="20" spans="1:25" ht="13.5" customHeight="1">
      <c r="A20" s="1369"/>
      <c r="B20" s="1368"/>
      <c r="C20" s="1367"/>
      <c r="D20" s="1366"/>
      <c r="E20" s="1365"/>
      <c r="F20" s="1473"/>
      <c r="G20" s="1472"/>
      <c r="H20" s="1364"/>
      <c r="I20" s="1361"/>
      <c r="J20" s="1466"/>
      <c r="K20" s="1361"/>
      <c r="L20" s="1471"/>
      <c r="M20" s="1470"/>
      <c r="N20" s="1361"/>
      <c r="O20" s="1361"/>
      <c r="P20" s="1466"/>
      <c r="Q20" s="1359"/>
      <c r="R20" s="1360"/>
      <c r="S20" s="1469"/>
      <c r="T20" s="1468"/>
      <c r="U20" s="1364"/>
      <c r="V20" s="1361"/>
      <c r="W20" s="1467"/>
      <c r="X20" s="1466"/>
      <c r="Y20" s="1465"/>
    </row>
    <row r="21" spans="1:25" ht="13.5" customHeight="1">
      <c r="A21" s="1369"/>
      <c r="B21" s="1368"/>
      <c r="C21" s="1367"/>
      <c r="D21" s="1366"/>
      <c r="E21" s="1365"/>
      <c r="F21" s="1473"/>
      <c r="G21" s="1472"/>
      <c r="H21" s="1364"/>
      <c r="I21" s="1361"/>
      <c r="J21" s="1466"/>
      <c r="K21" s="1361"/>
      <c r="L21" s="1471"/>
      <c r="M21" s="1470"/>
      <c r="N21" s="1361"/>
      <c r="O21" s="1361"/>
      <c r="P21" s="1466"/>
      <c r="Q21" s="1359"/>
      <c r="R21" s="1360"/>
      <c r="S21" s="1469"/>
      <c r="T21" s="1468"/>
      <c r="U21" s="1364"/>
      <c r="V21" s="1361"/>
      <c r="W21" s="1467"/>
      <c r="X21" s="1466"/>
      <c r="Y21" s="1465"/>
    </row>
    <row r="22" spans="1:25" ht="13.5" customHeight="1">
      <c r="A22" s="1369"/>
      <c r="B22" s="1368"/>
      <c r="C22" s="1367"/>
      <c r="D22" s="1366"/>
      <c r="E22" s="1365"/>
      <c r="F22" s="1473"/>
      <c r="G22" s="1472"/>
      <c r="H22" s="1364"/>
      <c r="I22" s="1361"/>
      <c r="J22" s="1466"/>
      <c r="K22" s="1361"/>
      <c r="L22" s="1471"/>
      <c r="M22" s="1470"/>
      <c r="N22" s="1361"/>
      <c r="O22" s="1361"/>
      <c r="P22" s="1466"/>
      <c r="Q22" s="1359"/>
      <c r="R22" s="1360"/>
      <c r="S22" s="1469"/>
      <c r="T22" s="1468"/>
      <c r="U22" s="1364"/>
      <c r="V22" s="1361"/>
      <c r="W22" s="1467"/>
      <c r="X22" s="1466"/>
      <c r="Y22" s="1465"/>
    </row>
    <row r="23" spans="1:25" ht="13.5" customHeight="1">
      <c r="A23" s="1369"/>
      <c r="B23" s="1368"/>
      <c r="C23" s="1367"/>
      <c r="D23" s="1366"/>
      <c r="E23" s="1365"/>
      <c r="F23" s="1473"/>
      <c r="G23" s="1472"/>
      <c r="H23" s="1364"/>
      <c r="I23" s="1361"/>
      <c r="J23" s="1466"/>
      <c r="K23" s="1361"/>
      <c r="L23" s="1471"/>
      <c r="M23" s="1470"/>
      <c r="N23" s="1361"/>
      <c r="O23" s="1361"/>
      <c r="P23" s="1466"/>
      <c r="Q23" s="1359"/>
      <c r="R23" s="1360"/>
      <c r="S23" s="1469"/>
      <c r="T23" s="1468"/>
      <c r="U23" s="1364"/>
      <c r="V23" s="1361"/>
      <c r="W23" s="1467"/>
      <c r="X23" s="1466"/>
      <c r="Y23" s="1465"/>
    </row>
    <row r="24" spans="1:25" ht="13.5" customHeight="1">
      <c r="A24" s="1369"/>
      <c r="B24" s="1368"/>
      <c r="C24" s="1367"/>
      <c r="D24" s="1366"/>
      <c r="E24" s="1365"/>
      <c r="F24" s="1473"/>
      <c r="G24" s="1472"/>
      <c r="H24" s="1364"/>
      <c r="I24" s="1361"/>
      <c r="J24" s="1466"/>
      <c r="K24" s="1361"/>
      <c r="L24" s="1471"/>
      <c r="M24" s="1470"/>
      <c r="N24" s="1361"/>
      <c r="O24" s="1361"/>
      <c r="P24" s="1466"/>
      <c r="Q24" s="1359"/>
      <c r="R24" s="1360"/>
      <c r="S24" s="1469"/>
      <c r="T24" s="1468"/>
      <c r="U24" s="1364"/>
      <c r="V24" s="1361"/>
      <c r="W24" s="1467"/>
      <c r="X24" s="1466"/>
      <c r="Y24" s="1465"/>
    </row>
    <row r="25" spans="1:25" ht="13.5" customHeight="1">
      <c r="A25" s="1369"/>
      <c r="B25" s="1368"/>
      <c r="C25" s="1367"/>
      <c r="D25" s="1366"/>
      <c r="E25" s="1365"/>
      <c r="F25" s="1473"/>
      <c r="G25" s="1472"/>
      <c r="H25" s="1364"/>
      <c r="I25" s="1361"/>
      <c r="J25" s="1466"/>
      <c r="K25" s="1361"/>
      <c r="L25" s="1471"/>
      <c r="M25" s="1470"/>
      <c r="N25" s="1361"/>
      <c r="O25" s="1361"/>
      <c r="P25" s="1466"/>
      <c r="Q25" s="1359"/>
      <c r="R25" s="1360"/>
      <c r="S25" s="1469"/>
      <c r="T25" s="1468"/>
      <c r="U25" s="1364"/>
      <c r="V25" s="1361"/>
      <c r="W25" s="1467"/>
      <c r="X25" s="1466"/>
      <c r="Y25" s="1465"/>
    </row>
    <row r="26" spans="1:25" ht="13.5" customHeight="1">
      <c r="A26" s="1369"/>
      <c r="B26" s="1368"/>
      <c r="C26" s="1367"/>
      <c r="D26" s="1366"/>
      <c r="E26" s="1365"/>
      <c r="F26" s="1473"/>
      <c r="G26" s="1472"/>
      <c r="H26" s="1364"/>
      <c r="I26" s="1361"/>
      <c r="J26" s="1466"/>
      <c r="K26" s="1361"/>
      <c r="L26" s="1471"/>
      <c r="M26" s="1470"/>
      <c r="N26" s="1361"/>
      <c r="O26" s="1361"/>
      <c r="P26" s="1466"/>
      <c r="Q26" s="1359"/>
      <c r="R26" s="1360"/>
      <c r="S26" s="1469"/>
      <c r="T26" s="1468"/>
      <c r="U26" s="1364"/>
      <c r="V26" s="1361"/>
      <c r="W26" s="1467"/>
      <c r="X26" s="1466"/>
      <c r="Y26" s="1465"/>
    </row>
    <row r="27" spans="1:25" ht="13.5" customHeight="1">
      <c r="A27" s="1369"/>
      <c r="B27" s="1368"/>
      <c r="C27" s="1367"/>
      <c r="D27" s="1366"/>
      <c r="E27" s="1365"/>
      <c r="F27" s="1473"/>
      <c r="G27" s="1472"/>
      <c r="H27" s="1364"/>
      <c r="I27" s="1361"/>
      <c r="J27" s="1466"/>
      <c r="K27" s="1361"/>
      <c r="L27" s="1471"/>
      <c r="M27" s="1470"/>
      <c r="N27" s="1361"/>
      <c r="O27" s="1361"/>
      <c r="P27" s="1466"/>
      <c r="Q27" s="1359"/>
      <c r="R27" s="1360"/>
      <c r="S27" s="1469"/>
      <c r="T27" s="1468"/>
      <c r="U27" s="1364"/>
      <c r="V27" s="1361"/>
      <c r="W27" s="1467"/>
      <c r="X27" s="1466"/>
      <c r="Y27" s="1465"/>
    </row>
    <row r="28" spans="1:25" ht="13.5" customHeight="1">
      <c r="A28" s="1369"/>
      <c r="B28" s="1368"/>
      <c r="C28" s="1367"/>
      <c r="D28" s="1366"/>
      <c r="E28" s="1365"/>
      <c r="F28" s="1473"/>
      <c r="G28" s="1472"/>
      <c r="H28" s="1364"/>
      <c r="I28" s="1361"/>
      <c r="J28" s="1466"/>
      <c r="K28" s="1361"/>
      <c r="L28" s="1471"/>
      <c r="M28" s="1470"/>
      <c r="N28" s="1361"/>
      <c r="O28" s="1361"/>
      <c r="P28" s="1466"/>
      <c r="Q28" s="1359"/>
      <c r="R28" s="1360"/>
      <c r="S28" s="1469"/>
      <c r="T28" s="1468"/>
      <c r="U28" s="1364"/>
      <c r="V28" s="1361"/>
      <c r="W28" s="1467"/>
      <c r="X28" s="1466"/>
      <c r="Y28" s="1465"/>
    </row>
    <row r="29" spans="1:25" ht="13.5" customHeight="1">
      <c r="A29" s="1369"/>
      <c r="B29" s="1368"/>
      <c r="C29" s="1367"/>
      <c r="D29" s="1366"/>
      <c r="E29" s="1365"/>
      <c r="F29" s="1473"/>
      <c r="G29" s="1472"/>
      <c r="H29" s="1364"/>
      <c r="I29" s="1361"/>
      <c r="J29" s="1466"/>
      <c r="K29" s="1361"/>
      <c r="L29" s="1471"/>
      <c r="M29" s="1470"/>
      <c r="N29" s="1361"/>
      <c r="O29" s="1361"/>
      <c r="P29" s="1466"/>
      <c r="Q29" s="1359"/>
      <c r="R29" s="1360"/>
      <c r="S29" s="1469"/>
      <c r="T29" s="1468"/>
      <c r="U29" s="1364"/>
      <c r="V29" s="1361"/>
      <c r="W29" s="1467"/>
      <c r="X29" s="1466"/>
      <c r="Y29" s="1465"/>
    </row>
    <row r="30" spans="1:25" ht="13.5" customHeight="1">
      <c r="A30" s="1369"/>
      <c r="B30" s="1368"/>
      <c r="C30" s="1367"/>
      <c r="D30" s="1366"/>
      <c r="E30" s="1365"/>
      <c r="F30" s="1473"/>
      <c r="G30" s="1472"/>
      <c r="H30" s="1364"/>
      <c r="I30" s="1361"/>
      <c r="J30" s="1466"/>
      <c r="K30" s="1361"/>
      <c r="L30" s="1471"/>
      <c r="M30" s="1470"/>
      <c r="N30" s="1361"/>
      <c r="O30" s="1361"/>
      <c r="P30" s="1466"/>
      <c r="Q30" s="1359"/>
      <c r="R30" s="1360"/>
      <c r="S30" s="1469"/>
      <c r="T30" s="1468"/>
      <c r="U30" s="1364"/>
      <c r="V30" s="1361"/>
      <c r="W30" s="1467"/>
      <c r="X30" s="1466"/>
      <c r="Y30" s="1465"/>
    </row>
    <row r="31" spans="1:25" ht="13.5" customHeight="1">
      <c r="A31" s="1369"/>
      <c r="B31" s="1368"/>
      <c r="C31" s="1367"/>
      <c r="D31" s="1366"/>
      <c r="E31" s="1365"/>
      <c r="F31" s="1473"/>
      <c r="G31" s="1472"/>
      <c r="H31" s="1364"/>
      <c r="I31" s="1361"/>
      <c r="J31" s="1466"/>
      <c r="K31" s="1361"/>
      <c r="L31" s="1471"/>
      <c r="M31" s="1470"/>
      <c r="N31" s="1361"/>
      <c r="O31" s="1361"/>
      <c r="P31" s="1466"/>
      <c r="Q31" s="1359"/>
      <c r="R31" s="1360"/>
      <c r="S31" s="1469"/>
      <c r="T31" s="1468"/>
      <c r="U31" s="1364"/>
      <c r="V31" s="1361"/>
      <c r="W31" s="1467"/>
      <c r="X31" s="1466"/>
      <c r="Y31" s="1465"/>
    </row>
    <row r="32" spans="1:25" ht="13.5" customHeight="1">
      <c r="A32" s="1369"/>
      <c r="B32" s="1368"/>
      <c r="C32" s="1367"/>
      <c r="D32" s="1366"/>
      <c r="E32" s="1365"/>
      <c r="F32" s="1473"/>
      <c r="G32" s="1472"/>
      <c r="H32" s="1364"/>
      <c r="I32" s="1361"/>
      <c r="J32" s="1466"/>
      <c r="K32" s="1361"/>
      <c r="L32" s="1471"/>
      <c r="M32" s="1470"/>
      <c r="N32" s="1361"/>
      <c r="O32" s="1361"/>
      <c r="P32" s="1466"/>
      <c r="Q32" s="1359"/>
      <c r="R32" s="1360"/>
      <c r="S32" s="1469"/>
      <c r="T32" s="1468"/>
      <c r="U32" s="1364"/>
      <c r="V32" s="1361"/>
      <c r="W32" s="1467"/>
      <c r="X32" s="1466"/>
      <c r="Y32" s="1465"/>
    </row>
    <row r="33" spans="1:25" ht="13.5" customHeight="1">
      <c r="A33" s="1369"/>
      <c r="B33" s="1368"/>
      <c r="C33" s="1367"/>
      <c r="D33" s="1366"/>
      <c r="E33" s="1365"/>
      <c r="F33" s="1473"/>
      <c r="G33" s="1472"/>
      <c r="H33" s="1364"/>
      <c r="I33" s="1361"/>
      <c r="J33" s="1466"/>
      <c r="K33" s="1361"/>
      <c r="L33" s="1471"/>
      <c r="M33" s="1470"/>
      <c r="N33" s="1361"/>
      <c r="O33" s="1361"/>
      <c r="P33" s="1466"/>
      <c r="Q33" s="1359"/>
      <c r="R33" s="1360"/>
      <c r="S33" s="1469"/>
      <c r="T33" s="1468"/>
      <c r="U33" s="1364"/>
      <c r="V33" s="1361"/>
      <c r="W33" s="1467"/>
      <c r="X33" s="1466"/>
      <c r="Y33" s="1465"/>
    </row>
    <row r="34" spans="1:25" ht="13.5" customHeight="1">
      <c r="A34" s="1369"/>
      <c r="B34" s="1368"/>
      <c r="C34" s="1367"/>
      <c r="D34" s="1366"/>
      <c r="E34" s="1365"/>
      <c r="F34" s="1473"/>
      <c r="G34" s="1472"/>
      <c r="H34" s="1364"/>
      <c r="I34" s="1361"/>
      <c r="J34" s="1466"/>
      <c r="K34" s="1361"/>
      <c r="L34" s="1471"/>
      <c r="M34" s="1470"/>
      <c r="N34" s="1361"/>
      <c r="O34" s="1361"/>
      <c r="P34" s="1466"/>
      <c r="Q34" s="1359"/>
      <c r="R34" s="1360"/>
      <c r="S34" s="1469"/>
      <c r="T34" s="1468"/>
      <c r="U34" s="1364"/>
      <c r="V34" s="1361"/>
      <c r="W34" s="1467"/>
      <c r="X34" s="1466"/>
      <c r="Y34" s="1465"/>
    </row>
    <row r="35" spans="1:25" ht="13.5" customHeight="1">
      <c r="A35" s="1369"/>
      <c r="B35" s="1368"/>
      <c r="C35" s="1367"/>
      <c r="D35" s="1366"/>
      <c r="E35" s="1365"/>
      <c r="F35" s="1473"/>
      <c r="G35" s="1472"/>
      <c r="H35" s="1364"/>
      <c r="I35" s="1361"/>
      <c r="J35" s="1466"/>
      <c r="K35" s="1361"/>
      <c r="L35" s="1471"/>
      <c r="M35" s="1470"/>
      <c r="N35" s="1361"/>
      <c r="O35" s="1361"/>
      <c r="P35" s="1466"/>
      <c r="Q35" s="1359"/>
      <c r="R35" s="1360"/>
      <c r="S35" s="1469"/>
      <c r="T35" s="1468"/>
      <c r="U35" s="1364"/>
      <c r="V35" s="1361"/>
      <c r="W35" s="1467"/>
      <c r="X35" s="1466"/>
      <c r="Y35" s="1465"/>
    </row>
    <row r="36" spans="1:25" ht="13.5" customHeight="1" thickBot="1">
      <c r="A36" s="1434"/>
      <c r="B36" s="1435"/>
      <c r="C36" s="1436"/>
      <c r="D36" s="1437"/>
      <c r="E36" s="1438"/>
      <c r="F36" s="1537"/>
      <c r="G36" s="1538"/>
      <c r="H36" s="1439"/>
      <c r="I36" s="1440"/>
      <c r="J36" s="1539"/>
      <c r="K36" s="1440"/>
      <c r="L36" s="1540"/>
      <c r="M36" s="1541"/>
      <c r="N36" s="1440"/>
      <c r="O36" s="1440"/>
      <c r="P36" s="1539"/>
      <c r="Q36" s="1442"/>
      <c r="R36" s="1444"/>
      <c r="S36" s="1542"/>
      <c r="T36" s="1543"/>
      <c r="U36" s="1439"/>
      <c r="V36" s="1440"/>
      <c r="W36" s="1544"/>
      <c r="X36" s="1539"/>
      <c r="Y36" s="1545"/>
    </row>
    <row r="37" spans="1:25" ht="18.95" customHeight="1" thickTop="1">
      <c r="A37" s="1451" t="s">
        <v>1096</v>
      </c>
      <c r="B37" s="1452"/>
      <c r="C37" s="1453"/>
      <c r="D37" s="1446">
        <v>71.19</v>
      </c>
      <c r="E37" s="1447"/>
      <c r="F37" s="1447">
        <v>199.4</v>
      </c>
      <c r="G37" s="1546"/>
      <c r="H37" s="1448">
        <v>0</v>
      </c>
      <c r="I37" s="1449">
        <v>0</v>
      </c>
      <c r="J37" s="1449">
        <v>0</v>
      </c>
      <c r="K37" s="1449">
        <v>0</v>
      </c>
      <c r="L37" s="1449">
        <v>0</v>
      </c>
      <c r="M37" s="1448">
        <v>0</v>
      </c>
      <c r="N37" s="1448">
        <v>0</v>
      </c>
      <c r="O37" s="1449">
        <v>0</v>
      </c>
      <c r="P37" s="1449">
        <v>0</v>
      </c>
      <c r="Q37" s="1449">
        <v>0</v>
      </c>
      <c r="R37" s="1449">
        <v>0</v>
      </c>
      <c r="S37" s="1547"/>
      <c r="T37" s="1548"/>
      <c r="U37" s="1448">
        <v>540</v>
      </c>
      <c r="V37" s="1449"/>
      <c r="W37" s="1449">
        <v>0</v>
      </c>
      <c r="X37" s="1449">
        <v>540</v>
      </c>
      <c r="Y37" s="1549"/>
    </row>
    <row r="38" spans="1:25" ht="13.5" customHeight="1">
      <c r="A38" s="1351" t="s">
        <v>1134</v>
      </c>
      <c r="C38" s="1351" t="s">
        <v>1135</v>
      </c>
    </row>
    <row r="39" spans="1:25" ht="13.5" customHeight="1">
      <c r="C39" s="1351" t="s">
        <v>1136</v>
      </c>
    </row>
    <row r="40" spans="1:25" ht="13.5" customHeight="1">
      <c r="C40" s="1351" t="s">
        <v>1137</v>
      </c>
    </row>
    <row r="56" spans="3:46" s="1351" customFormat="1" ht="13.5" customHeight="1">
      <c r="C56" s="1464"/>
      <c r="D56" s="1464"/>
      <c r="E56" s="1464"/>
      <c r="F56" s="1464"/>
      <c r="G56" s="1464"/>
      <c r="H56" s="1464"/>
      <c r="J56" s="1352"/>
      <c r="P56" s="1352"/>
      <c r="AB56" s="1463"/>
      <c r="AC56" s="1463"/>
      <c r="AD56" s="1463"/>
      <c r="AE56" s="1463"/>
      <c r="AF56" s="1463"/>
      <c r="AG56" s="1463"/>
      <c r="AH56" s="1463"/>
      <c r="AI56" s="1463"/>
      <c r="AJ56" s="1463"/>
      <c r="AK56" s="1463"/>
      <c r="AL56" s="1463"/>
      <c r="AM56" s="1463"/>
      <c r="AN56" s="1463"/>
      <c r="AO56" s="1463"/>
      <c r="AP56" s="1463"/>
      <c r="AQ56" s="1463"/>
      <c r="AR56" s="1462"/>
      <c r="AS56" s="1461"/>
      <c r="AT56" s="1461"/>
    </row>
    <row r="57" spans="3:46" s="1351" customFormat="1" ht="13.5" customHeight="1">
      <c r="C57" s="1464"/>
      <c r="D57" s="1464"/>
      <c r="E57" s="1464"/>
      <c r="F57" s="1464"/>
      <c r="G57" s="1464"/>
      <c r="H57" s="1464"/>
      <c r="I57" s="1356"/>
      <c r="J57" s="1352"/>
      <c r="O57" s="1356"/>
      <c r="P57" s="1352"/>
      <c r="AB57" s="1463"/>
      <c r="AC57" s="1463"/>
      <c r="AD57" s="1463"/>
      <c r="AE57" s="1463"/>
      <c r="AF57" s="1463"/>
      <c r="AG57" s="1463"/>
      <c r="AH57" s="1463"/>
      <c r="AI57" s="1463"/>
      <c r="AJ57" s="1463"/>
      <c r="AK57" s="1463"/>
      <c r="AL57" s="1463"/>
      <c r="AM57" s="1463"/>
      <c r="AN57" s="1463"/>
      <c r="AO57" s="1463"/>
      <c r="AP57" s="1463"/>
      <c r="AQ57" s="1463"/>
      <c r="AR57" s="1462"/>
      <c r="AS57" s="1461"/>
      <c r="AT57" s="1461"/>
    </row>
    <row r="58" spans="3:46" s="1351" customFormat="1" ht="13.5" customHeight="1">
      <c r="C58" s="1464"/>
      <c r="D58" s="1464"/>
      <c r="E58" s="1464"/>
      <c r="F58" s="1464"/>
      <c r="G58" s="1464"/>
      <c r="H58" s="1464"/>
      <c r="I58" s="1354"/>
      <c r="J58" s="1352"/>
      <c r="O58" s="1354"/>
      <c r="P58" s="1352"/>
      <c r="AB58" s="1463"/>
      <c r="AC58" s="1463"/>
      <c r="AD58" s="1463"/>
      <c r="AE58" s="1463"/>
      <c r="AF58" s="1463"/>
      <c r="AG58" s="1463"/>
      <c r="AH58" s="1463"/>
      <c r="AI58" s="1463"/>
      <c r="AJ58" s="1463"/>
      <c r="AK58" s="1463"/>
      <c r="AL58" s="1463"/>
      <c r="AM58" s="1463"/>
      <c r="AN58" s="1463"/>
      <c r="AO58" s="1463"/>
      <c r="AP58" s="1463"/>
      <c r="AQ58" s="1463"/>
      <c r="AR58" s="1462"/>
      <c r="AS58" s="1461"/>
      <c r="AT58" s="1461"/>
    </row>
    <row r="59" spans="3:46" s="1351" customFormat="1" ht="13.5" customHeight="1">
      <c r="C59" s="1353"/>
      <c r="D59" s="1353"/>
      <c r="E59" s="1353"/>
      <c r="F59" s="1353"/>
      <c r="G59" s="1353"/>
      <c r="H59" s="1353"/>
      <c r="I59" s="1352"/>
      <c r="O59" s="1352"/>
      <c r="AB59" s="1463"/>
      <c r="AC59" s="1463"/>
      <c r="AD59" s="1463"/>
      <c r="AE59" s="1463"/>
      <c r="AF59" s="1463"/>
      <c r="AG59" s="1463"/>
      <c r="AH59" s="1463"/>
      <c r="AI59" s="1463"/>
      <c r="AJ59" s="1463"/>
      <c r="AK59" s="1463"/>
      <c r="AL59" s="1463"/>
      <c r="AM59" s="1463"/>
      <c r="AN59" s="1463"/>
      <c r="AO59" s="1463"/>
      <c r="AP59" s="1463"/>
      <c r="AQ59" s="1463"/>
      <c r="AR59" s="1462"/>
      <c r="AS59" s="1461"/>
      <c r="AT59" s="1461"/>
    </row>
  </sheetData>
  <mergeCells count="33">
    <mergeCell ref="A37:C37"/>
    <mergeCell ref="H5:H6"/>
    <mergeCell ref="N5:N6"/>
    <mergeCell ref="AB2:AI3"/>
    <mergeCell ref="AJ2:AQ3"/>
    <mergeCell ref="AS2:AT4"/>
    <mergeCell ref="A4:A6"/>
    <mergeCell ref="B4:B6"/>
    <mergeCell ref="C4:C6"/>
    <mergeCell ref="D4:D6"/>
    <mergeCell ref="E4:E6"/>
    <mergeCell ref="F4:F6"/>
    <mergeCell ref="G4:G6"/>
    <mergeCell ref="H4:L4"/>
    <mergeCell ref="M4:M6"/>
    <mergeCell ref="N4:R4"/>
    <mergeCell ref="S4:T5"/>
    <mergeCell ref="U4:X4"/>
    <mergeCell ref="Y4:Y6"/>
    <mergeCell ref="U5:U6"/>
    <mergeCell ref="V5:V6"/>
    <mergeCell ref="W5:W6"/>
    <mergeCell ref="X5:X6"/>
    <mergeCell ref="K5:K6"/>
    <mergeCell ref="L5:L6"/>
    <mergeCell ref="Q5:Q6"/>
    <mergeCell ref="R5:R6"/>
    <mergeCell ref="AS5:AS6"/>
    <mergeCell ref="AT5:AT6"/>
    <mergeCell ref="AB4:AE4"/>
    <mergeCell ref="AF4:AI4"/>
    <mergeCell ref="AJ4:AM4"/>
    <mergeCell ref="AN4:AQ4"/>
  </mergeCells>
  <phoneticPr fontId="4"/>
  <printOptions horizontalCentered="1"/>
  <pageMargins left="0.39370078740157483" right="0.39370078740157483" top="0.78740157480314965" bottom="0.47244094488188981" header="0.59055118110236227" footer="0.31496062992125984"/>
  <pageSetup paperSize="9" scale="74" orientation="landscape" horizontalDpi="1200" verticalDpi="1200" r:id="rId1"/>
  <headerFooter scaleWithDoc="0" alignWithMargins="0">
    <oddFooter>&amp;C&amp;"ＭＳ Ｐゴシック,標準"&amp;9( &amp;P / &amp;N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11111221265">
    <pageSetUpPr fitToPage="1"/>
  </sheetPr>
  <dimension ref="A1:AH32"/>
  <sheetViews>
    <sheetView showGridLines="0" zoomScaleNormal="100" workbookViewId="0"/>
  </sheetViews>
  <sheetFormatPr defaultColWidth="11.7109375" defaultRowHeight="18" customHeight="1"/>
  <cols>
    <col min="1" max="12" width="9.140625" style="1550" customWidth="1"/>
    <col min="13" max="13" width="2.5703125" style="1550" customWidth="1"/>
    <col min="14" max="16" width="9.140625" style="1550" customWidth="1"/>
    <col min="17" max="18" width="3.7109375" style="1550" customWidth="1"/>
    <col min="19" max="25" width="9.140625" style="1550" customWidth="1"/>
    <col min="26" max="27" width="3.7109375" style="1550" customWidth="1"/>
    <col min="28" max="34" width="9.140625" style="1550" customWidth="1"/>
    <col min="35" max="16384" width="11.7109375" style="1550"/>
  </cols>
  <sheetData>
    <row r="1" spans="1:34" s="1580" customFormat="1" ht="18" customHeight="1">
      <c r="A1" s="1585" t="s">
        <v>1154</v>
      </c>
      <c r="B1" s="1582"/>
      <c r="C1" s="1582"/>
      <c r="D1" s="1582"/>
      <c r="E1" s="1582"/>
      <c r="F1" s="1582"/>
      <c r="G1" s="1582"/>
      <c r="H1" s="1582"/>
      <c r="I1" s="1582"/>
      <c r="J1" s="1582"/>
      <c r="K1" s="1582"/>
      <c r="L1" s="1582"/>
      <c r="M1" s="1582"/>
      <c r="N1" s="1582"/>
      <c r="O1" s="1582"/>
      <c r="P1" s="1581"/>
      <c r="R1" s="1584" t="s">
        <v>1175</v>
      </c>
      <c r="S1" s="1583"/>
      <c r="T1" s="1582"/>
      <c r="U1" s="1582"/>
      <c r="V1" s="1582"/>
      <c r="W1" s="1582"/>
      <c r="X1" s="1582"/>
      <c r="Y1" s="1582"/>
      <c r="Z1" s="1582"/>
      <c r="AA1" s="1582"/>
      <c r="AB1" s="1582"/>
      <c r="AC1" s="1582"/>
      <c r="AD1" s="1582"/>
      <c r="AE1" s="1582"/>
      <c r="AF1" s="1582"/>
      <c r="AG1" s="1582"/>
      <c r="AH1" s="1581"/>
    </row>
    <row r="2" spans="1:34" ht="9.75" customHeight="1" thickBot="1">
      <c r="M2" s="1579"/>
      <c r="N2" s="1578"/>
      <c r="O2" s="1578"/>
      <c r="P2" s="1578"/>
    </row>
    <row r="3" spans="1:34" ht="18" customHeight="1" thickBot="1">
      <c r="A3" s="1566"/>
      <c r="B3" s="1577"/>
      <c r="C3" s="1577"/>
      <c r="D3" s="1577"/>
      <c r="E3" s="1577"/>
      <c r="F3" s="1577"/>
      <c r="G3" s="1577"/>
      <c r="H3" s="1577"/>
      <c r="I3" s="1577"/>
      <c r="J3" s="1577"/>
      <c r="K3" s="1577"/>
      <c r="L3" s="1568"/>
      <c r="M3" s="1568"/>
      <c r="N3" s="1576" t="s">
        <v>1151</v>
      </c>
      <c r="O3" s="1575"/>
      <c r="P3" s="1574"/>
      <c r="Q3" s="1566"/>
      <c r="R3" s="1588" t="s">
        <v>1155</v>
      </c>
      <c r="S3" s="1589"/>
      <c r="T3" s="1589"/>
      <c r="U3" s="1589"/>
      <c r="V3" s="1589"/>
      <c r="W3" s="1589"/>
      <c r="X3" s="1589"/>
      <c r="Y3" s="1589"/>
    </row>
    <row r="4" spans="1:34" ht="18" customHeight="1">
      <c r="A4" s="1566"/>
      <c r="B4" s="1566"/>
      <c r="C4" s="1566"/>
      <c r="D4" s="1566"/>
      <c r="E4" s="1566"/>
      <c r="F4" s="1566"/>
      <c r="G4" s="1566"/>
      <c r="H4" s="1566"/>
      <c r="I4" s="1573"/>
      <c r="J4" s="1568"/>
      <c r="K4" s="1573"/>
      <c r="L4" s="1568"/>
      <c r="M4" s="1568"/>
      <c r="N4" s="1557" t="s">
        <v>1141</v>
      </c>
      <c r="O4" s="1556"/>
      <c r="P4" s="1555"/>
      <c r="Q4" s="1566"/>
      <c r="S4" s="1590" t="s">
        <v>1156</v>
      </c>
      <c r="T4" s="1591"/>
      <c r="U4" s="1591"/>
      <c r="V4" s="1591"/>
      <c r="W4" s="1591"/>
      <c r="X4" s="1591"/>
      <c r="Y4" s="1591"/>
    </row>
    <row r="5" spans="1:34" ht="18" customHeight="1">
      <c r="A5" s="1566"/>
      <c r="B5" s="1566"/>
      <c r="C5" s="1566"/>
      <c r="D5" s="1566"/>
      <c r="E5" s="1566"/>
      <c r="F5" s="1566"/>
      <c r="G5" s="1566"/>
      <c r="H5" s="1566"/>
      <c r="I5" s="1568"/>
      <c r="J5" s="1567"/>
      <c r="K5" s="1568"/>
      <c r="L5" s="1567"/>
      <c r="M5" s="1567"/>
      <c r="N5" s="1557" t="s">
        <v>1142</v>
      </c>
      <c r="O5" s="1556"/>
      <c r="P5" s="1555"/>
      <c r="Q5" s="1566"/>
      <c r="S5" s="1586" t="s">
        <v>1140</v>
      </c>
      <c r="T5" s="1587"/>
      <c r="U5" s="1587"/>
      <c r="V5" s="1587"/>
      <c r="W5" s="1587"/>
      <c r="X5" s="1587"/>
      <c r="Y5" s="1587"/>
    </row>
    <row r="6" spans="1:34" ht="18" customHeight="1" thickBot="1">
      <c r="A6" s="1566"/>
      <c r="F6" s="1566"/>
      <c r="G6" s="1566"/>
      <c r="H6" s="1566"/>
      <c r="I6" s="1568"/>
      <c r="J6" s="1567"/>
      <c r="K6" s="1568"/>
      <c r="L6" s="1567"/>
      <c r="M6" s="1567"/>
      <c r="N6" s="1557" t="s">
        <v>1143</v>
      </c>
      <c r="O6" s="1556"/>
      <c r="P6" s="1555"/>
      <c r="Q6" s="1566"/>
      <c r="R6" s="1588" t="s">
        <v>1157</v>
      </c>
      <c r="S6" s="1589"/>
      <c r="T6" s="1589"/>
      <c r="U6" s="1589"/>
      <c r="V6" s="1589"/>
      <c r="W6" s="1589"/>
      <c r="X6" s="1589"/>
      <c r="Y6" s="1589"/>
    </row>
    <row r="7" spans="1:34" ht="18" customHeight="1">
      <c r="A7" s="1566"/>
      <c r="F7" s="1566"/>
      <c r="G7" s="1566"/>
      <c r="H7" s="1566"/>
      <c r="I7" s="1558"/>
      <c r="J7" s="1558"/>
      <c r="K7" s="1558"/>
      <c r="L7" s="1558"/>
      <c r="M7" s="1558"/>
      <c r="N7" s="1557" t="s">
        <v>1144</v>
      </c>
      <c r="O7" s="1556"/>
      <c r="P7" s="1555"/>
      <c r="Q7" s="1566"/>
      <c r="R7" s="1590" t="s">
        <v>1158</v>
      </c>
      <c r="S7" s="1591"/>
      <c r="T7" s="1591"/>
      <c r="U7" s="1591"/>
      <c r="V7" s="1591"/>
      <c r="W7" s="1591"/>
      <c r="X7" s="1591"/>
      <c r="Y7" s="1591"/>
    </row>
    <row r="8" spans="1:34" ht="18" customHeight="1">
      <c r="A8" s="1566"/>
      <c r="C8" s="1572" t="s">
        <v>1139</v>
      </c>
      <c r="D8" s="1571"/>
      <c r="F8" s="1566"/>
      <c r="G8" s="1566"/>
      <c r="H8" s="1566"/>
      <c r="I8" s="1566"/>
      <c r="J8" s="1566"/>
      <c r="K8" s="1566"/>
      <c r="L8" s="1566"/>
      <c r="M8" s="1566"/>
      <c r="N8" s="1557" t="s">
        <v>1145</v>
      </c>
      <c r="O8" s="1556"/>
      <c r="P8" s="1555"/>
      <c r="Q8" s="1566"/>
      <c r="S8" s="1586" t="s">
        <v>1159</v>
      </c>
      <c r="T8" s="1587"/>
      <c r="U8" s="1587"/>
      <c r="V8" s="1587"/>
      <c r="W8" s="1587"/>
      <c r="X8" s="1587"/>
      <c r="Y8" s="1587"/>
    </row>
    <row r="9" spans="1:34" ht="18" customHeight="1" thickBot="1">
      <c r="A9" s="1566"/>
      <c r="B9" s="1562"/>
      <c r="C9" s="1570"/>
      <c r="D9" s="1569"/>
      <c r="E9" s="1562"/>
      <c r="F9" s="1566"/>
      <c r="G9" s="1566"/>
      <c r="H9" s="1566"/>
      <c r="I9" s="1568"/>
      <c r="J9" s="1568"/>
      <c r="K9" s="1568"/>
      <c r="L9" s="1568"/>
      <c r="M9" s="1568"/>
      <c r="N9" s="1557" t="s">
        <v>1146</v>
      </c>
      <c r="O9" s="1556"/>
      <c r="P9" s="1555"/>
      <c r="Q9" s="1566"/>
      <c r="R9" s="1562"/>
      <c r="S9" s="1592" t="s">
        <v>1160</v>
      </c>
      <c r="T9" s="1587"/>
      <c r="U9" s="1587"/>
      <c r="V9" s="1587"/>
      <c r="W9" s="1587"/>
      <c r="X9" s="1587"/>
      <c r="Y9" s="1587"/>
    </row>
    <row r="10" spans="1:34" ht="18" customHeight="1">
      <c r="A10" s="1566"/>
      <c r="B10" s="1562"/>
      <c r="C10" s="1562"/>
      <c r="D10" s="1562"/>
      <c r="E10" s="1562"/>
      <c r="F10" s="1566"/>
      <c r="G10" s="1566"/>
      <c r="H10" s="1566"/>
      <c r="I10" s="1568"/>
      <c r="M10" s="1568"/>
      <c r="N10" s="1557" t="s">
        <v>1140</v>
      </c>
      <c r="O10" s="1556"/>
      <c r="P10" s="1555"/>
      <c r="Q10" s="1566"/>
      <c r="R10" s="1562"/>
      <c r="S10" s="1592" t="s">
        <v>1140</v>
      </c>
      <c r="T10" s="1587"/>
      <c r="U10" s="1587"/>
      <c r="V10" s="1587"/>
      <c r="W10" s="1587"/>
      <c r="X10" s="1587"/>
      <c r="Y10" s="1587"/>
    </row>
    <row r="11" spans="1:34" ht="18" customHeight="1" thickBot="1">
      <c r="A11" s="1566"/>
      <c r="B11" s="1562"/>
      <c r="C11" s="1562"/>
      <c r="D11" s="1562"/>
      <c r="E11" s="1562"/>
      <c r="F11" s="1566"/>
      <c r="G11" s="1566"/>
      <c r="H11" s="1566"/>
      <c r="I11" s="1568"/>
      <c r="M11" s="1567"/>
      <c r="N11" s="1557" t="s">
        <v>1147</v>
      </c>
      <c r="O11" s="1556"/>
      <c r="P11" s="1555"/>
      <c r="Q11" s="1566"/>
      <c r="R11" s="1593" t="s">
        <v>1161</v>
      </c>
      <c r="S11" s="1589"/>
      <c r="T11" s="1589"/>
      <c r="U11" s="1589"/>
      <c r="V11" s="1589"/>
      <c r="W11" s="1589"/>
      <c r="X11" s="1589"/>
      <c r="Y11" s="1589"/>
    </row>
    <row r="12" spans="1:34" ht="18" customHeight="1">
      <c r="A12" s="1566"/>
      <c r="B12" s="1562"/>
      <c r="C12" s="1562"/>
      <c r="D12" s="1562"/>
      <c r="E12" s="1562"/>
      <c r="F12" s="1566"/>
      <c r="G12" s="1566"/>
      <c r="H12" s="1566"/>
      <c r="I12" s="1568"/>
      <c r="M12" s="1567"/>
      <c r="N12" s="1557" t="s">
        <v>1148</v>
      </c>
      <c r="O12" s="1556"/>
      <c r="P12" s="1555"/>
      <c r="R12" s="1594" t="s">
        <v>1162</v>
      </c>
      <c r="S12" s="1591"/>
      <c r="T12" s="1591"/>
      <c r="U12" s="1591"/>
      <c r="V12" s="1591"/>
      <c r="W12" s="1591"/>
      <c r="X12" s="1591"/>
      <c r="Y12" s="1591"/>
    </row>
    <row r="13" spans="1:34" ht="18" customHeight="1">
      <c r="A13" s="1566"/>
      <c r="B13" s="1562"/>
      <c r="C13" s="1562"/>
      <c r="D13" s="1562"/>
      <c r="E13" s="1562"/>
      <c r="F13" s="1566"/>
      <c r="G13" s="1566"/>
      <c r="H13" s="1566"/>
      <c r="I13" s="1558"/>
      <c r="M13" s="1558"/>
      <c r="N13" s="1557" t="s">
        <v>1149</v>
      </c>
      <c r="O13" s="1556"/>
      <c r="P13" s="1555"/>
      <c r="R13" s="1562"/>
      <c r="S13" s="1592" t="s">
        <v>1163</v>
      </c>
      <c r="T13" s="1587"/>
      <c r="U13" s="1587"/>
      <c r="V13" s="1587"/>
      <c r="W13" s="1587"/>
      <c r="X13" s="1587"/>
      <c r="Y13" s="1587"/>
    </row>
    <row r="14" spans="1:34" ht="18" customHeight="1">
      <c r="A14" s="1566"/>
      <c r="B14" s="1566"/>
      <c r="C14" s="1566"/>
      <c r="D14" s="1566"/>
      <c r="E14" s="1566"/>
      <c r="F14" s="1566"/>
      <c r="G14" s="1566"/>
      <c r="H14" s="1566"/>
      <c r="I14" s="1566"/>
      <c r="M14" s="1566"/>
      <c r="N14" s="1557" t="s">
        <v>1150</v>
      </c>
      <c r="O14" s="1556"/>
      <c r="P14" s="1555"/>
      <c r="R14" s="1562"/>
      <c r="S14" s="1592" t="s">
        <v>1164</v>
      </c>
      <c r="T14" s="1587"/>
      <c r="U14" s="1587"/>
      <c r="V14" s="1587"/>
      <c r="W14" s="1587"/>
      <c r="X14" s="1587"/>
      <c r="Y14" s="1587"/>
    </row>
    <row r="15" spans="1:34" ht="18" customHeight="1">
      <c r="N15" s="1557"/>
      <c r="O15" s="1556"/>
      <c r="P15" s="1555"/>
      <c r="S15" s="1592" t="s">
        <v>1165</v>
      </c>
      <c r="T15" s="1587"/>
      <c r="U15" s="1587"/>
      <c r="V15" s="1587"/>
      <c r="W15" s="1587"/>
      <c r="X15" s="1587"/>
      <c r="Y15" s="1587"/>
    </row>
    <row r="16" spans="1:34" ht="18" customHeight="1">
      <c r="N16" s="1557"/>
      <c r="O16" s="1556"/>
      <c r="P16" s="1555"/>
      <c r="R16" s="1558"/>
      <c r="S16" s="1595" t="s">
        <v>1140</v>
      </c>
      <c r="T16" s="1587"/>
      <c r="U16" s="1587"/>
      <c r="V16" s="1587"/>
      <c r="W16" s="1587"/>
      <c r="X16" s="1587"/>
      <c r="Y16" s="1587"/>
    </row>
    <row r="17" spans="1:25" ht="18" customHeight="1">
      <c r="N17" s="1557"/>
      <c r="O17" s="1556"/>
      <c r="P17" s="1555"/>
      <c r="R17" s="1596" t="s">
        <v>1166</v>
      </c>
      <c r="S17" s="1587"/>
      <c r="T17" s="1587"/>
      <c r="U17" s="1587"/>
      <c r="V17" s="1587"/>
      <c r="W17" s="1587"/>
      <c r="X17" s="1587"/>
      <c r="Y17" s="1587"/>
    </row>
    <row r="18" spans="1:25" ht="18" customHeight="1">
      <c r="N18" s="1557"/>
      <c r="O18" s="1556"/>
      <c r="P18" s="1555"/>
      <c r="R18" s="1565"/>
      <c r="S18" s="1596" t="s">
        <v>1167</v>
      </c>
      <c r="T18" s="1587"/>
      <c r="U18" s="1587"/>
      <c r="V18" s="1587"/>
      <c r="W18" s="1587"/>
      <c r="X18" s="1587"/>
      <c r="Y18" s="1587"/>
    </row>
    <row r="19" spans="1:25" ht="18" customHeight="1">
      <c r="I19" s="1558"/>
      <c r="M19" s="1558"/>
      <c r="N19" s="1557"/>
      <c r="O19" s="1556"/>
      <c r="P19" s="1555"/>
      <c r="R19" s="1564"/>
      <c r="S19" s="1597" t="s">
        <v>1168</v>
      </c>
      <c r="T19" s="1587"/>
      <c r="U19" s="1587"/>
      <c r="V19" s="1587"/>
      <c r="W19" s="1587"/>
      <c r="X19" s="1587"/>
      <c r="Y19" s="1587"/>
    </row>
    <row r="20" spans="1:25" ht="18" customHeight="1">
      <c r="N20" s="1557"/>
      <c r="O20" s="1556"/>
      <c r="P20" s="1555"/>
      <c r="R20" s="1562"/>
      <c r="S20" s="1592" t="s">
        <v>1140</v>
      </c>
      <c r="T20" s="1587"/>
      <c r="U20" s="1587"/>
      <c r="V20" s="1587"/>
      <c r="W20" s="1587"/>
      <c r="X20" s="1587"/>
      <c r="Y20" s="1587"/>
    </row>
    <row r="21" spans="1:25" ht="18" customHeight="1" thickBot="1">
      <c r="A21" s="1563"/>
      <c r="B21" s="1562"/>
      <c r="C21" s="1562"/>
      <c r="N21" s="1557"/>
      <c r="O21" s="1556"/>
      <c r="P21" s="1555"/>
      <c r="R21" s="1599" t="s">
        <v>1169</v>
      </c>
      <c r="S21" s="1589"/>
      <c r="T21" s="1589"/>
      <c r="U21" s="1589"/>
      <c r="V21" s="1589"/>
      <c r="W21" s="1589"/>
      <c r="X21" s="1589"/>
      <c r="Y21" s="1589"/>
    </row>
    <row r="22" spans="1:25" ht="18" customHeight="1">
      <c r="A22" s="1563"/>
      <c r="B22" s="1562"/>
      <c r="C22" s="1562"/>
      <c r="N22" s="1557"/>
      <c r="O22" s="1556"/>
      <c r="P22" s="1555"/>
      <c r="R22" s="1561"/>
      <c r="S22" s="1600" t="s">
        <v>1170</v>
      </c>
      <c r="T22" s="1591"/>
      <c r="U22" s="1591"/>
      <c r="V22" s="1591"/>
      <c r="W22" s="1591"/>
      <c r="X22" s="1591"/>
      <c r="Y22" s="1591"/>
    </row>
    <row r="23" spans="1:25" ht="18" customHeight="1">
      <c r="N23" s="1557"/>
      <c r="O23" s="1556"/>
      <c r="P23" s="1555"/>
      <c r="S23" s="1586" t="s">
        <v>1171</v>
      </c>
      <c r="T23" s="1587"/>
      <c r="U23" s="1587"/>
      <c r="V23" s="1587"/>
      <c r="W23" s="1587"/>
      <c r="X23" s="1587"/>
      <c r="Y23" s="1587"/>
    </row>
    <row r="24" spans="1:25" ht="18" customHeight="1">
      <c r="N24" s="1557"/>
      <c r="O24" s="1556"/>
      <c r="P24" s="1555"/>
      <c r="S24" s="1586" t="s">
        <v>1172</v>
      </c>
      <c r="T24" s="1587"/>
      <c r="U24" s="1587"/>
      <c r="V24" s="1587"/>
      <c r="W24" s="1587"/>
      <c r="X24" s="1587"/>
      <c r="Y24" s="1587"/>
    </row>
    <row r="25" spans="1:25" ht="18" customHeight="1">
      <c r="N25" s="1557"/>
      <c r="O25" s="1556"/>
      <c r="P25" s="1555"/>
      <c r="S25" s="1586" t="s">
        <v>1173</v>
      </c>
      <c r="T25" s="1587"/>
      <c r="U25" s="1587"/>
      <c r="V25" s="1587"/>
      <c r="W25" s="1587"/>
      <c r="X25" s="1587"/>
      <c r="Y25" s="1587"/>
    </row>
    <row r="26" spans="1:25" ht="18" customHeight="1">
      <c r="N26" s="1557"/>
      <c r="O26" s="1556"/>
      <c r="P26" s="1555"/>
      <c r="S26" s="1586" t="s">
        <v>1174</v>
      </c>
      <c r="T26" s="1587"/>
      <c r="U26" s="1587"/>
      <c r="V26" s="1587"/>
      <c r="W26" s="1587"/>
      <c r="X26" s="1587"/>
      <c r="Y26" s="1587"/>
    </row>
    <row r="27" spans="1:25" ht="18" customHeight="1">
      <c r="N27" s="1557"/>
      <c r="O27" s="1556"/>
      <c r="P27" s="1555"/>
    </row>
    <row r="28" spans="1:25" ht="18" customHeight="1">
      <c r="A28" s="1558"/>
      <c r="B28" s="1558"/>
      <c r="C28" s="1558"/>
      <c r="D28" s="1558"/>
      <c r="N28" s="1557"/>
      <c r="O28" s="1556"/>
      <c r="P28" s="1555"/>
    </row>
    <row r="29" spans="1:25" ht="18" customHeight="1" thickBot="1">
      <c r="A29" s="1560" t="s">
        <v>1138</v>
      </c>
      <c r="B29" s="1560"/>
      <c r="C29" s="1560"/>
      <c r="D29" s="1560"/>
      <c r="E29" s="1560"/>
      <c r="F29" s="1560"/>
      <c r="G29" s="1560"/>
      <c r="H29" s="1560"/>
      <c r="I29" s="1560"/>
      <c r="J29" s="1560"/>
      <c r="K29" s="1560"/>
      <c r="L29" s="1560"/>
      <c r="M29" s="1558"/>
      <c r="N29" s="1557"/>
      <c r="O29" s="1556"/>
      <c r="P29" s="1555"/>
    </row>
    <row r="30" spans="1:25" ht="18" customHeight="1">
      <c r="A30" s="1559" t="s">
        <v>1152</v>
      </c>
      <c r="B30" s="1559"/>
      <c r="C30" s="1559"/>
      <c r="D30" s="1559"/>
      <c r="E30" s="1559"/>
      <c r="F30" s="1559"/>
      <c r="G30" s="1559"/>
      <c r="H30" s="1559"/>
      <c r="I30" s="1559"/>
      <c r="J30" s="1559"/>
      <c r="K30" s="1559"/>
      <c r="L30" s="1559"/>
      <c r="M30" s="1558"/>
      <c r="N30" s="1557"/>
      <c r="O30" s="1556"/>
      <c r="P30" s="1555"/>
    </row>
    <row r="31" spans="1:25" ht="18" customHeight="1">
      <c r="A31" s="1554" t="s">
        <v>1153</v>
      </c>
      <c r="B31" s="1554"/>
      <c r="C31" s="1554"/>
      <c r="D31" s="1554"/>
      <c r="E31" s="1554"/>
      <c r="F31" s="1554"/>
      <c r="G31" s="1554"/>
      <c r="H31" s="1554"/>
      <c r="I31" s="1554"/>
      <c r="J31" s="1554"/>
      <c r="K31" s="1554"/>
      <c r="L31" s="1554"/>
      <c r="N31" s="1557"/>
      <c r="O31" s="1556"/>
      <c r="P31" s="1555"/>
    </row>
    <row r="32" spans="1:25" ht="18" customHeight="1">
      <c r="A32" s="1554"/>
      <c r="B32" s="1554"/>
      <c r="C32" s="1554"/>
      <c r="D32" s="1554"/>
      <c r="E32" s="1554"/>
      <c r="F32" s="1554"/>
      <c r="G32" s="1554"/>
      <c r="H32" s="1554"/>
      <c r="I32" s="1554"/>
      <c r="J32" s="1554"/>
      <c r="K32" s="1554"/>
      <c r="L32" s="1554"/>
      <c r="N32" s="1553"/>
      <c r="O32" s="1552"/>
      <c r="P32" s="1551"/>
    </row>
  </sheetData>
  <mergeCells count="59">
    <mergeCell ref="R21:Y21"/>
    <mergeCell ref="S22:Y22"/>
    <mergeCell ref="S23:Y23"/>
    <mergeCell ref="S24:Y24"/>
    <mergeCell ref="S25:Y25"/>
    <mergeCell ref="S26:Y26"/>
    <mergeCell ref="S15:Y15"/>
    <mergeCell ref="S16:Y16"/>
    <mergeCell ref="R17:Y17"/>
    <mergeCell ref="S18:Y18"/>
    <mergeCell ref="S19:Y19"/>
    <mergeCell ref="S20:Y20"/>
    <mergeCell ref="S9:Y9"/>
    <mergeCell ref="S10:Y10"/>
    <mergeCell ref="R11:Y11"/>
    <mergeCell ref="R12:Y12"/>
    <mergeCell ref="S13:Y13"/>
    <mergeCell ref="S14:Y14"/>
    <mergeCell ref="R3:Y3"/>
    <mergeCell ref="S4:Y4"/>
    <mergeCell ref="S5:Y5"/>
    <mergeCell ref="R6:Y6"/>
    <mergeCell ref="R7:Y7"/>
    <mergeCell ref="S8:Y8"/>
    <mergeCell ref="B3:K3"/>
    <mergeCell ref="N3:P3"/>
    <mergeCell ref="N4:P4"/>
    <mergeCell ref="N5:P5"/>
    <mergeCell ref="N6:P6"/>
    <mergeCell ref="N7:P7"/>
    <mergeCell ref="C8:D9"/>
    <mergeCell ref="N8:P8"/>
    <mergeCell ref="N9:P9"/>
    <mergeCell ref="N10:P10"/>
    <mergeCell ref="N11:P11"/>
    <mergeCell ref="N12:P12"/>
    <mergeCell ref="N13:P13"/>
    <mergeCell ref="N14:P14"/>
    <mergeCell ref="N15:P15"/>
    <mergeCell ref="N16:P16"/>
    <mergeCell ref="N17:P17"/>
    <mergeCell ref="N18:P18"/>
    <mergeCell ref="N30:P30"/>
    <mergeCell ref="N19:P19"/>
    <mergeCell ref="N20:P20"/>
    <mergeCell ref="N21:P21"/>
    <mergeCell ref="N22:P22"/>
    <mergeCell ref="N23:P23"/>
    <mergeCell ref="N24:P24"/>
    <mergeCell ref="A31:L31"/>
    <mergeCell ref="N31:P31"/>
    <mergeCell ref="A32:L32"/>
    <mergeCell ref="N32:P32"/>
    <mergeCell ref="N25:P25"/>
    <mergeCell ref="N26:P26"/>
    <mergeCell ref="N27:P27"/>
    <mergeCell ref="N28:P28"/>
    <mergeCell ref="N29:P29"/>
    <mergeCell ref="A30:L30"/>
  </mergeCells>
  <phoneticPr fontId="4"/>
  <printOptions horizontalCentered="1" gridLinesSet="0"/>
  <pageMargins left="0.39370078740157483" right="0.31496062992125984" top="0.59055118110236227" bottom="0.31496062992125984" header="0.39370078740157483" footer="0.23622047244094491"/>
  <pageSetup paperSize="9" fitToWidth="0" orientation="landscape" horizontalDpi="4294967292" verticalDpi="4294967292" r:id="rId1"/>
  <headerFooter scaleWithDoc="0" alignWithMargins="0">
    <oddFooter>&amp;C&amp;"ＭＳ Ｐゴシック,標準"&amp;9( &amp;P / &amp;N )</oddFooter>
  </headerFooter>
  <colBreaks count="1" manualBreakCount="1">
    <brk id="17" max="1048575" man="1"/>
  </col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T59"/>
  <sheetViews>
    <sheetView showGridLines="0" zoomScale="80" zoomScaleNormal="80" workbookViewId="0">
      <pane xSplit="6" ySplit="6" topLeftCell="G7" activePane="bottomRight" state="frozenSplit"/>
      <selection pane="topRight" activeCell="Q1" sqref="Q1"/>
      <selection pane="bottomLeft" activeCell="A16" sqref="A16"/>
      <selection pane="bottomRight"/>
    </sheetView>
  </sheetViews>
  <sheetFormatPr defaultColWidth="9.140625" defaultRowHeight="13.5" customHeight="1"/>
  <cols>
    <col min="1" max="1" width="5.42578125" style="1351" customWidth="1"/>
    <col min="2" max="2" width="7.5703125" style="1351" customWidth="1"/>
    <col min="3" max="3" width="26.28515625" style="1351" customWidth="1"/>
    <col min="4" max="6" width="7.7109375" style="1351" customWidth="1"/>
    <col min="7" max="7" width="7.7109375" style="1351" hidden="1" customWidth="1"/>
    <col min="8" max="8" width="7.7109375" style="1351" customWidth="1"/>
    <col min="9" max="10" width="7.7109375" style="1351" hidden="1" customWidth="1"/>
    <col min="11" max="14" width="7.7109375" style="1351" customWidth="1"/>
    <col min="15" max="16" width="7.7109375" style="1351" hidden="1" customWidth="1"/>
    <col min="17" max="25" width="7.7109375" style="1351" customWidth="1"/>
    <col min="26" max="27" width="9.140625" style="1458"/>
    <col min="28" max="43" width="9.140625" style="1357"/>
    <col min="44" max="44" width="9.140625" style="1460"/>
    <col min="45" max="46" width="9.140625" style="1459"/>
    <col min="47" max="16384" width="9.140625" style="1458"/>
  </cols>
  <sheetData>
    <row r="1" spans="1:46" s="1525" customFormat="1" ht="24" customHeight="1" thickBot="1">
      <c r="A1" s="1536" t="s">
        <v>1176</v>
      </c>
      <c r="B1" s="1535"/>
      <c r="C1" s="1534"/>
      <c r="D1" s="1533"/>
      <c r="E1" s="1532"/>
      <c r="F1" s="1531"/>
      <c r="G1" s="1531"/>
      <c r="H1" s="1532"/>
      <c r="I1" s="1532"/>
      <c r="J1" s="1532"/>
      <c r="K1" s="1531"/>
      <c r="L1" s="1531"/>
      <c r="M1" s="1530"/>
      <c r="N1" s="1531"/>
      <c r="O1" s="1532"/>
      <c r="P1" s="1532"/>
      <c r="Q1" s="1531"/>
      <c r="R1" s="1531"/>
      <c r="S1" s="1530"/>
      <c r="T1" s="1530"/>
      <c r="U1" s="1530"/>
      <c r="V1" s="1530"/>
      <c r="W1" s="1530"/>
      <c r="X1" s="1530"/>
      <c r="Y1" s="1529"/>
      <c r="AB1" s="1422" t="s">
        <v>1086</v>
      </c>
      <c r="AC1" s="1528"/>
      <c r="AD1" s="1528"/>
      <c r="AE1" s="1528"/>
      <c r="AF1" s="1528"/>
      <c r="AG1" s="1528"/>
      <c r="AH1" s="1528"/>
      <c r="AI1" s="1528"/>
      <c r="AJ1" s="1528"/>
      <c r="AK1" s="1528"/>
      <c r="AL1" s="1528"/>
      <c r="AM1" s="1528"/>
      <c r="AN1" s="1528"/>
      <c r="AO1" s="1528"/>
      <c r="AP1" s="1528"/>
      <c r="AQ1" s="1528"/>
      <c r="AR1" s="1527"/>
      <c r="AS1" s="1526"/>
      <c r="AT1" s="1526"/>
    </row>
    <row r="2" spans="1:46" ht="13.5" customHeight="1">
      <c r="AB2" s="1524" t="s">
        <v>1085</v>
      </c>
      <c r="AC2" s="1523"/>
      <c r="AD2" s="1523"/>
      <c r="AE2" s="1523"/>
      <c r="AF2" s="1523"/>
      <c r="AG2" s="1523"/>
      <c r="AH2" s="1523"/>
      <c r="AI2" s="1522"/>
      <c r="AJ2" s="1521" t="s">
        <v>1131</v>
      </c>
      <c r="AK2" s="1521"/>
      <c r="AL2" s="1521"/>
      <c r="AM2" s="1521"/>
      <c r="AN2" s="1521"/>
      <c r="AO2" s="1521"/>
      <c r="AP2" s="1521"/>
      <c r="AQ2" s="1520"/>
      <c r="AS2" s="1519" t="s">
        <v>1130</v>
      </c>
      <c r="AT2" s="1518"/>
    </row>
    <row r="3" spans="1:46" ht="13.5" customHeight="1">
      <c r="H3" s="1351" t="s">
        <v>1177</v>
      </c>
      <c r="Y3" s="1517" t="s">
        <v>1178</v>
      </c>
      <c r="AB3" s="1516"/>
      <c r="AC3" s="1515"/>
      <c r="AD3" s="1515"/>
      <c r="AE3" s="1515"/>
      <c r="AF3" s="1515"/>
      <c r="AG3" s="1515"/>
      <c r="AH3" s="1515"/>
      <c r="AI3" s="1514"/>
      <c r="AJ3" s="1513"/>
      <c r="AK3" s="1513"/>
      <c r="AL3" s="1513"/>
      <c r="AM3" s="1513"/>
      <c r="AN3" s="1513"/>
      <c r="AO3" s="1513"/>
      <c r="AP3" s="1513"/>
      <c r="AQ3" s="1512"/>
      <c r="AS3" s="1511"/>
      <c r="AT3" s="1510"/>
    </row>
    <row r="4" spans="1:46" ht="13.5" customHeight="1" thickBot="1">
      <c r="A4" s="1415" t="s">
        <v>394</v>
      </c>
      <c r="B4" s="1414" t="s">
        <v>370</v>
      </c>
      <c r="C4" s="1414" t="s">
        <v>1083</v>
      </c>
      <c r="D4" s="1413" t="s">
        <v>1082</v>
      </c>
      <c r="E4" s="1413" t="s">
        <v>1081</v>
      </c>
      <c r="F4" s="1412" t="s">
        <v>1080</v>
      </c>
      <c r="G4" s="1509"/>
      <c r="H4" s="1410" t="s">
        <v>1079</v>
      </c>
      <c r="I4" s="1409"/>
      <c r="J4" s="1409"/>
      <c r="K4" s="1409"/>
      <c r="L4" s="1411"/>
      <c r="M4" s="1508" t="s">
        <v>1129</v>
      </c>
      <c r="N4" s="1410" t="s">
        <v>1078</v>
      </c>
      <c r="O4" s="1409"/>
      <c r="P4" s="1409"/>
      <c r="Q4" s="1409"/>
      <c r="R4" s="1411"/>
      <c r="S4" s="1507" t="s">
        <v>1128</v>
      </c>
      <c r="T4" s="1506"/>
      <c r="U4" s="1410" t="s">
        <v>1127</v>
      </c>
      <c r="V4" s="1409"/>
      <c r="W4" s="1409"/>
      <c r="X4" s="1505"/>
      <c r="Y4" s="1504" t="s">
        <v>1126</v>
      </c>
      <c r="AB4" s="1503" t="s">
        <v>1077</v>
      </c>
      <c r="AC4" s="1503"/>
      <c r="AD4" s="1503"/>
      <c r="AE4" s="1503"/>
      <c r="AF4" s="1502" t="s">
        <v>1076</v>
      </c>
      <c r="AG4" s="1502"/>
      <c r="AH4" s="1502"/>
      <c r="AI4" s="1502"/>
      <c r="AJ4" s="1503" t="s">
        <v>1077</v>
      </c>
      <c r="AK4" s="1503"/>
      <c r="AL4" s="1503"/>
      <c r="AM4" s="1503"/>
      <c r="AN4" s="1502" t="s">
        <v>1076</v>
      </c>
      <c r="AO4" s="1502"/>
      <c r="AP4" s="1502"/>
      <c r="AQ4" s="1502"/>
      <c r="AS4" s="1501"/>
      <c r="AT4" s="1500"/>
    </row>
    <row r="5" spans="1:46" ht="22.5" customHeight="1">
      <c r="A5" s="1396"/>
      <c r="B5" s="1395"/>
      <c r="C5" s="1395"/>
      <c r="D5" s="1394"/>
      <c r="E5" s="1394"/>
      <c r="F5" s="1393"/>
      <c r="G5" s="1499"/>
      <c r="H5" s="1457" t="s">
        <v>1097</v>
      </c>
      <c r="I5" s="1454"/>
      <c r="J5" s="1455"/>
      <c r="K5" s="1404" t="s">
        <v>1075</v>
      </c>
      <c r="L5" s="1498" t="s">
        <v>1072</v>
      </c>
      <c r="M5" s="1497"/>
      <c r="N5" s="1457" t="s">
        <v>1097</v>
      </c>
      <c r="O5" s="1454"/>
      <c r="P5" s="1455"/>
      <c r="Q5" s="1404" t="s">
        <v>1075</v>
      </c>
      <c r="R5" s="1405" t="s">
        <v>1072</v>
      </c>
      <c r="S5" s="1496"/>
      <c r="T5" s="1495"/>
      <c r="U5" s="1487" t="s">
        <v>1125</v>
      </c>
      <c r="V5" s="1486" t="s">
        <v>1124</v>
      </c>
      <c r="W5" s="1486" t="s">
        <v>1123</v>
      </c>
      <c r="X5" s="1403" t="s">
        <v>1122</v>
      </c>
      <c r="Y5" s="1485"/>
      <c r="AB5" s="1399" t="s">
        <v>1071</v>
      </c>
      <c r="AC5" s="1398" t="s">
        <v>1070</v>
      </c>
      <c r="AD5" s="1398" t="s">
        <v>1069</v>
      </c>
      <c r="AE5" s="1397" t="s">
        <v>1068</v>
      </c>
      <c r="AF5" s="1401" t="s">
        <v>1071</v>
      </c>
      <c r="AG5" s="1398" t="s">
        <v>1070</v>
      </c>
      <c r="AH5" s="1398" t="s">
        <v>1069</v>
      </c>
      <c r="AI5" s="1397" t="s">
        <v>1068</v>
      </c>
      <c r="AJ5" s="1401" t="s">
        <v>1071</v>
      </c>
      <c r="AK5" s="1398" t="s">
        <v>1070</v>
      </c>
      <c r="AL5" s="1398" t="s">
        <v>1069</v>
      </c>
      <c r="AM5" s="1400" t="s">
        <v>1068</v>
      </c>
      <c r="AN5" s="1399" t="s">
        <v>1071</v>
      </c>
      <c r="AO5" s="1398" t="s">
        <v>1070</v>
      </c>
      <c r="AP5" s="1398" t="s">
        <v>1069</v>
      </c>
      <c r="AQ5" s="1397" t="s">
        <v>1068</v>
      </c>
      <c r="AS5" s="1494" t="s">
        <v>1121</v>
      </c>
      <c r="AT5" s="1493" t="s">
        <v>1120</v>
      </c>
    </row>
    <row r="6" spans="1:46" ht="13.5" customHeight="1">
      <c r="A6" s="1396"/>
      <c r="B6" s="1395"/>
      <c r="C6" s="1395"/>
      <c r="D6" s="1394"/>
      <c r="E6" s="1394"/>
      <c r="F6" s="1393"/>
      <c r="G6" s="1492"/>
      <c r="H6" s="1456"/>
      <c r="I6" s="1391" t="s">
        <v>1067</v>
      </c>
      <c r="J6" s="1390" t="s">
        <v>1066</v>
      </c>
      <c r="K6" s="1389"/>
      <c r="L6" s="1491"/>
      <c r="M6" s="1490"/>
      <c r="N6" s="1456"/>
      <c r="O6" s="1391" t="s">
        <v>1067</v>
      </c>
      <c r="P6" s="1390" t="s">
        <v>1066</v>
      </c>
      <c r="Q6" s="1389"/>
      <c r="R6" s="1392"/>
      <c r="S6" s="1489" t="s">
        <v>1119</v>
      </c>
      <c r="T6" s="1488" t="s">
        <v>1118</v>
      </c>
      <c r="U6" s="1487"/>
      <c r="V6" s="1486"/>
      <c r="W6" s="1486"/>
      <c r="X6" s="1388"/>
      <c r="Y6" s="1485"/>
      <c r="AB6" s="1384" t="s">
        <v>1065</v>
      </c>
      <c r="AC6" s="1383" t="s">
        <v>1064</v>
      </c>
      <c r="AD6" s="1383" t="s">
        <v>1063</v>
      </c>
      <c r="AE6" s="1382" t="s">
        <v>1062</v>
      </c>
      <c r="AF6" s="1386" t="s">
        <v>1065</v>
      </c>
      <c r="AG6" s="1383" t="s">
        <v>1064</v>
      </c>
      <c r="AH6" s="1383" t="s">
        <v>1063</v>
      </c>
      <c r="AI6" s="1382" t="s">
        <v>1062</v>
      </c>
      <c r="AJ6" s="1386" t="s">
        <v>1065</v>
      </c>
      <c r="AK6" s="1383" t="s">
        <v>1064</v>
      </c>
      <c r="AL6" s="1383" t="s">
        <v>1063</v>
      </c>
      <c r="AM6" s="1385" t="s">
        <v>1062</v>
      </c>
      <c r="AN6" s="1384" t="s">
        <v>1065</v>
      </c>
      <c r="AO6" s="1383" t="s">
        <v>1064</v>
      </c>
      <c r="AP6" s="1383" t="s">
        <v>1063</v>
      </c>
      <c r="AQ6" s="1382" t="s">
        <v>1062</v>
      </c>
      <c r="AS6" s="1484"/>
      <c r="AT6" s="1483"/>
    </row>
    <row r="7" spans="1:46" ht="13.5" customHeight="1">
      <c r="A7" s="1381">
        <v>2</v>
      </c>
      <c r="B7" s="1380">
        <v>202</v>
      </c>
      <c r="C7" s="1379" t="s">
        <v>1012</v>
      </c>
      <c r="D7" s="1378">
        <v>68</v>
      </c>
      <c r="E7" s="1377">
        <v>2.8</v>
      </c>
      <c r="F7" s="1482">
        <v>190.4</v>
      </c>
      <c r="G7" s="1481"/>
      <c r="H7" s="1376">
        <v>9926</v>
      </c>
      <c r="I7" s="1373"/>
      <c r="J7" s="1475">
        <v>9926</v>
      </c>
      <c r="K7" s="1373">
        <v>160</v>
      </c>
      <c r="L7" s="1480">
        <v>10086</v>
      </c>
      <c r="M7" s="1479">
        <v>7970</v>
      </c>
      <c r="N7" s="1373">
        <v>9510</v>
      </c>
      <c r="O7" s="1373"/>
      <c r="P7" s="1475">
        <v>9510</v>
      </c>
      <c r="Q7" s="1371">
        <v>0</v>
      </c>
      <c r="R7" s="1372">
        <v>9510</v>
      </c>
      <c r="S7" s="1478">
        <v>9.11</v>
      </c>
      <c r="T7" s="1477">
        <v>8.7299999999999969</v>
      </c>
      <c r="U7" s="1376">
        <v>140</v>
      </c>
      <c r="V7" s="1373">
        <v>3250</v>
      </c>
      <c r="W7" s="1476">
        <v>2860</v>
      </c>
      <c r="X7" s="1475">
        <v>3250</v>
      </c>
      <c r="Y7" s="1474">
        <v>17.100000000000001</v>
      </c>
      <c r="AB7" s="1357">
        <v>24</v>
      </c>
      <c r="AC7" s="1357">
        <v>50</v>
      </c>
      <c r="AD7" s="1357">
        <v>47.9</v>
      </c>
      <c r="AE7" s="1357">
        <v>9.3000000000000007</v>
      </c>
      <c r="AF7" s="1357">
        <v>24</v>
      </c>
      <c r="AG7" s="1357">
        <v>50</v>
      </c>
      <c r="AH7" s="1357">
        <v>47.9</v>
      </c>
      <c r="AI7" s="1357">
        <v>9.3000000000000007</v>
      </c>
      <c r="AJ7" s="1357">
        <v>24</v>
      </c>
      <c r="AK7" s="1357">
        <v>50</v>
      </c>
      <c r="AL7" s="1357">
        <v>47.8</v>
      </c>
      <c r="AM7" s="1357">
        <v>9.3000000000000007</v>
      </c>
      <c r="AN7" s="1357">
        <v>24</v>
      </c>
      <c r="AO7" s="1357">
        <v>50</v>
      </c>
      <c r="AP7" s="1357">
        <v>47.8</v>
      </c>
      <c r="AQ7" s="1357">
        <v>9.3000000000000007</v>
      </c>
      <c r="AS7" s="1459">
        <v>3249.22</v>
      </c>
      <c r="AT7" s="1459">
        <v>3249.22</v>
      </c>
    </row>
    <row r="8" spans="1:46" ht="13.5" customHeight="1">
      <c r="A8" s="1369"/>
      <c r="B8" s="1368"/>
      <c r="C8" s="1367"/>
      <c r="D8" s="1366"/>
      <c r="E8" s="1365"/>
      <c r="F8" s="1473"/>
      <c r="G8" s="1472"/>
      <c r="H8" s="1364"/>
      <c r="I8" s="1361"/>
      <c r="J8" s="1466"/>
      <c r="K8" s="1361"/>
      <c r="L8" s="1471"/>
      <c r="M8" s="1470"/>
      <c r="N8" s="1361"/>
      <c r="O8" s="1361"/>
      <c r="P8" s="1466"/>
      <c r="Q8" s="1359"/>
      <c r="R8" s="1360"/>
      <c r="S8" s="1469"/>
      <c r="T8" s="1468"/>
      <c r="U8" s="1364"/>
      <c r="V8" s="1361"/>
      <c r="W8" s="1467"/>
      <c r="X8" s="1466"/>
      <c r="Y8" s="1465"/>
    </row>
    <row r="9" spans="1:46" ht="13.5" customHeight="1">
      <c r="A9" s="1369"/>
      <c r="B9" s="1368"/>
      <c r="C9" s="1367"/>
      <c r="D9" s="1366"/>
      <c r="E9" s="1365"/>
      <c r="F9" s="1473"/>
      <c r="G9" s="1472"/>
      <c r="H9" s="1364"/>
      <c r="I9" s="1361"/>
      <c r="J9" s="1466"/>
      <c r="K9" s="1361"/>
      <c r="L9" s="1471"/>
      <c r="M9" s="1470"/>
      <c r="N9" s="1361"/>
      <c r="O9" s="1361"/>
      <c r="P9" s="1466"/>
      <c r="Q9" s="1359"/>
      <c r="R9" s="1360"/>
      <c r="S9" s="1469"/>
      <c r="T9" s="1468"/>
      <c r="U9" s="1364"/>
      <c r="V9" s="1361"/>
      <c r="W9" s="1467"/>
      <c r="X9" s="1466"/>
      <c r="Y9" s="1465"/>
    </row>
    <row r="10" spans="1:46" ht="13.5" customHeight="1">
      <c r="A10" s="1369"/>
      <c r="B10" s="1368"/>
      <c r="C10" s="1367"/>
      <c r="D10" s="1366"/>
      <c r="E10" s="1365"/>
      <c r="F10" s="1473"/>
      <c r="G10" s="1472"/>
      <c r="H10" s="1364"/>
      <c r="I10" s="1361"/>
      <c r="J10" s="1466"/>
      <c r="K10" s="1361"/>
      <c r="L10" s="1471"/>
      <c r="M10" s="1470"/>
      <c r="N10" s="1361"/>
      <c r="O10" s="1361"/>
      <c r="P10" s="1466"/>
      <c r="Q10" s="1359"/>
      <c r="R10" s="1360"/>
      <c r="S10" s="1469"/>
      <c r="T10" s="1468"/>
      <c r="U10" s="1364"/>
      <c r="V10" s="1361"/>
      <c r="W10" s="1467"/>
      <c r="X10" s="1466"/>
      <c r="Y10" s="1465"/>
    </row>
    <row r="11" spans="1:46" ht="13.5" customHeight="1">
      <c r="A11" s="1369"/>
      <c r="B11" s="1368"/>
      <c r="C11" s="1367"/>
      <c r="D11" s="1366"/>
      <c r="E11" s="1365"/>
      <c r="F11" s="1473"/>
      <c r="G11" s="1472"/>
      <c r="H11" s="1364"/>
      <c r="I11" s="1361"/>
      <c r="J11" s="1466"/>
      <c r="K11" s="1361"/>
      <c r="L11" s="1471"/>
      <c r="M11" s="1470"/>
      <c r="N11" s="1361"/>
      <c r="O11" s="1361"/>
      <c r="P11" s="1466"/>
      <c r="Q11" s="1359"/>
      <c r="R11" s="1360"/>
      <c r="S11" s="1469"/>
      <c r="T11" s="1468"/>
      <c r="U11" s="1364"/>
      <c r="V11" s="1361"/>
      <c r="W11" s="1467"/>
      <c r="X11" s="1466"/>
      <c r="Y11" s="1465"/>
    </row>
    <row r="12" spans="1:46" ht="13.5" customHeight="1">
      <c r="A12" s="1369"/>
      <c r="B12" s="1368"/>
      <c r="C12" s="1367"/>
      <c r="D12" s="1366"/>
      <c r="E12" s="1365"/>
      <c r="F12" s="1473"/>
      <c r="G12" s="1472"/>
      <c r="H12" s="1364"/>
      <c r="I12" s="1361"/>
      <c r="J12" s="1466"/>
      <c r="K12" s="1361"/>
      <c r="L12" s="1471"/>
      <c r="M12" s="1470"/>
      <c r="N12" s="1361"/>
      <c r="O12" s="1361"/>
      <c r="P12" s="1466"/>
      <c r="Q12" s="1359"/>
      <c r="R12" s="1360"/>
      <c r="S12" s="1469"/>
      <c r="T12" s="1468"/>
      <c r="U12" s="1364"/>
      <c r="V12" s="1361"/>
      <c r="W12" s="1467"/>
      <c r="X12" s="1466"/>
      <c r="Y12" s="1465"/>
    </row>
    <row r="13" spans="1:46" ht="13.5" customHeight="1">
      <c r="A13" s="1369"/>
      <c r="B13" s="1368"/>
      <c r="C13" s="1367"/>
      <c r="D13" s="1366"/>
      <c r="E13" s="1365"/>
      <c r="F13" s="1473"/>
      <c r="G13" s="1472"/>
      <c r="H13" s="1364"/>
      <c r="I13" s="1361"/>
      <c r="J13" s="1466"/>
      <c r="K13" s="1361"/>
      <c r="L13" s="1471"/>
      <c r="M13" s="1470"/>
      <c r="N13" s="1361"/>
      <c r="O13" s="1361"/>
      <c r="P13" s="1466"/>
      <c r="Q13" s="1359"/>
      <c r="R13" s="1360"/>
      <c r="S13" s="1469"/>
      <c r="T13" s="1468"/>
      <c r="U13" s="1364"/>
      <c r="V13" s="1361"/>
      <c r="W13" s="1467"/>
      <c r="X13" s="1466"/>
      <c r="Y13" s="1465"/>
    </row>
    <row r="14" spans="1:46" ht="13.5" customHeight="1">
      <c r="A14" s="1369"/>
      <c r="B14" s="1368"/>
      <c r="C14" s="1367"/>
      <c r="D14" s="1366"/>
      <c r="E14" s="1365"/>
      <c r="F14" s="1473"/>
      <c r="G14" s="1472"/>
      <c r="H14" s="1364"/>
      <c r="I14" s="1361"/>
      <c r="J14" s="1466"/>
      <c r="K14" s="1361"/>
      <c r="L14" s="1471"/>
      <c r="M14" s="1470"/>
      <c r="N14" s="1361"/>
      <c r="O14" s="1361"/>
      <c r="P14" s="1466"/>
      <c r="Q14" s="1359"/>
      <c r="R14" s="1360"/>
      <c r="S14" s="1469"/>
      <c r="T14" s="1468"/>
      <c r="U14" s="1364"/>
      <c r="V14" s="1361"/>
      <c r="W14" s="1467"/>
      <c r="X14" s="1466"/>
      <c r="Y14" s="1465"/>
    </row>
    <row r="15" spans="1:46" ht="13.5" customHeight="1">
      <c r="A15" s="1369"/>
      <c r="B15" s="1368"/>
      <c r="C15" s="1367"/>
      <c r="D15" s="1366"/>
      <c r="E15" s="1365"/>
      <c r="F15" s="1473"/>
      <c r="G15" s="1472"/>
      <c r="H15" s="1364"/>
      <c r="I15" s="1361"/>
      <c r="J15" s="1466"/>
      <c r="K15" s="1361"/>
      <c r="L15" s="1471"/>
      <c r="M15" s="1470"/>
      <c r="N15" s="1361"/>
      <c r="O15" s="1361"/>
      <c r="P15" s="1466"/>
      <c r="Q15" s="1359"/>
      <c r="R15" s="1360"/>
      <c r="S15" s="1469"/>
      <c r="T15" s="1468"/>
      <c r="U15" s="1364"/>
      <c r="V15" s="1361"/>
      <c r="W15" s="1467"/>
      <c r="X15" s="1466"/>
      <c r="Y15" s="1465"/>
    </row>
    <row r="16" spans="1:46" ht="13.5" customHeight="1">
      <c r="A16" s="1369"/>
      <c r="B16" s="1368"/>
      <c r="C16" s="1367"/>
      <c r="D16" s="1366"/>
      <c r="E16" s="1365"/>
      <c r="F16" s="1473"/>
      <c r="G16" s="1472"/>
      <c r="H16" s="1364"/>
      <c r="I16" s="1361"/>
      <c r="J16" s="1466"/>
      <c r="K16" s="1361"/>
      <c r="L16" s="1471"/>
      <c r="M16" s="1470"/>
      <c r="N16" s="1361"/>
      <c r="O16" s="1361"/>
      <c r="P16" s="1466"/>
      <c r="Q16" s="1359"/>
      <c r="R16" s="1360"/>
      <c r="S16" s="1469"/>
      <c r="T16" s="1468"/>
      <c r="U16" s="1364"/>
      <c r="V16" s="1361"/>
      <c r="W16" s="1467"/>
      <c r="X16" s="1466"/>
      <c r="Y16" s="1465"/>
    </row>
    <row r="17" spans="1:25" ht="13.5" customHeight="1">
      <c r="A17" s="1369"/>
      <c r="B17" s="1368"/>
      <c r="C17" s="1367"/>
      <c r="D17" s="1366"/>
      <c r="E17" s="1365"/>
      <c r="F17" s="1473"/>
      <c r="G17" s="1472"/>
      <c r="H17" s="1364"/>
      <c r="I17" s="1361"/>
      <c r="J17" s="1466"/>
      <c r="K17" s="1361"/>
      <c r="L17" s="1471"/>
      <c r="M17" s="1470"/>
      <c r="N17" s="1361"/>
      <c r="O17" s="1361"/>
      <c r="P17" s="1466"/>
      <c r="Q17" s="1359"/>
      <c r="R17" s="1360"/>
      <c r="S17" s="1469"/>
      <c r="T17" s="1468"/>
      <c r="U17" s="1364"/>
      <c r="V17" s="1361"/>
      <c r="W17" s="1467"/>
      <c r="X17" s="1466"/>
      <c r="Y17" s="1465"/>
    </row>
    <row r="18" spans="1:25" ht="13.5" customHeight="1">
      <c r="A18" s="1369"/>
      <c r="B18" s="1368"/>
      <c r="C18" s="1367"/>
      <c r="D18" s="1366"/>
      <c r="E18" s="1365"/>
      <c r="F18" s="1473"/>
      <c r="G18" s="1472"/>
      <c r="H18" s="1364"/>
      <c r="I18" s="1361"/>
      <c r="J18" s="1466"/>
      <c r="K18" s="1361"/>
      <c r="L18" s="1471"/>
      <c r="M18" s="1470"/>
      <c r="N18" s="1361"/>
      <c r="O18" s="1361"/>
      <c r="P18" s="1466"/>
      <c r="Q18" s="1359"/>
      <c r="R18" s="1360"/>
      <c r="S18" s="1469"/>
      <c r="T18" s="1468"/>
      <c r="U18" s="1364"/>
      <c r="V18" s="1361"/>
      <c r="W18" s="1467"/>
      <c r="X18" s="1466"/>
      <c r="Y18" s="1465"/>
    </row>
    <row r="19" spans="1:25" ht="13.5" customHeight="1">
      <c r="A19" s="1369"/>
      <c r="B19" s="1368"/>
      <c r="C19" s="1367"/>
      <c r="D19" s="1366"/>
      <c r="E19" s="1365"/>
      <c r="F19" s="1473"/>
      <c r="G19" s="1472"/>
      <c r="H19" s="1364"/>
      <c r="I19" s="1361"/>
      <c r="J19" s="1466"/>
      <c r="K19" s="1361"/>
      <c r="L19" s="1471"/>
      <c r="M19" s="1470"/>
      <c r="N19" s="1361"/>
      <c r="O19" s="1361"/>
      <c r="P19" s="1466"/>
      <c r="Q19" s="1359"/>
      <c r="R19" s="1360"/>
      <c r="S19" s="1469"/>
      <c r="T19" s="1468"/>
      <c r="U19" s="1364"/>
      <c r="V19" s="1361"/>
      <c r="W19" s="1467"/>
      <c r="X19" s="1466"/>
      <c r="Y19" s="1465"/>
    </row>
    <row r="20" spans="1:25" ht="13.5" customHeight="1">
      <c r="A20" s="1369"/>
      <c r="B20" s="1368"/>
      <c r="C20" s="1367"/>
      <c r="D20" s="1366"/>
      <c r="E20" s="1365"/>
      <c r="F20" s="1473"/>
      <c r="G20" s="1472"/>
      <c r="H20" s="1364"/>
      <c r="I20" s="1361"/>
      <c r="J20" s="1466"/>
      <c r="K20" s="1361"/>
      <c r="L20" s="1471"/>
      <c r="M20" s="1470"/>
      <c r="N20" s="1361"/>
      <c r="O20" s="1361"/>
      <c r="P20" s="1466"/>
      <c r="Q20" s="1359"/>
      <c r="R20" s="1360"/>
      <c r="S20" s="1469"/>
      <c r="T20" s="1468"/>
      <c r="U20" s="1364"/>
      <c r="V20" s="1361"/>
      <c r="W20" s="1467"/>
      <c r="X20" s="1466"/>
      <c r="Y20" s="1465"/>
    </row>
    <row r="21" spans="1:25" ht="13.5" customHeight="1">
      <c r="A21" s="1369"/>
      <c r="B21" s="1368"/>
      <c r="C21" s="1367"/>
      <c r="D21" s="1366"/>
      <c r="E21" s="1365"/>
      <c r="F21" s="1473"/>
      <c r="G21" s="1472"/>
      <c r="H21" s="1364"/>
      <c r="I21" s="1361"/>
      <c r="J21" s="1466"/>
      <c r="K21" s="1361"/>
      <c r="L21" s="1471"/>
      <c r="M21" s="1470"/>
      <c r="N21" s="1361"/>
      <c r="O21" s="1361"/>
      <c r="P21" s="1466"/>
      <c r="Q21" s="1359"/>
      <c r="R21" s="1360"/>
      <c r="S21" s="1469"/>
      <c r="T21" s="1468"/>
      <c r="U21" s="1364"/>
      <c r="V21" s="1361"/>
      <c r="W21" s="1467"/>
      <c r="X21" s="1466"/>
      <c r="Y21" s="1465"/>
    </row>
    <row r="22" spans="1:25" ht="13.5" customHeight="1">
      <c r="A22" s="1369"/>
      <c r="B22" s="1368"/>
      <c r="C22" s="1367"/>
      <c r="D22" s="1366"/>
      <c r="E22" s="1365"/>
      <c r="F22" s="1473"/>
      <c r="G22" s="1472"/>
      <c r="H22" s="1364"/>
      <c r="I22" s="1361"/>
      <c r="J22" s="1466"/>
      <c r="K22" s="1361"/>
      <c r="L22" s="1471"/>
      <c r="M22" s="1470"/>
      <c r="N22" s="1361"/>
      <c r="O22" s="1361"/>
      <c r="P22" s="1466"/>
      <c r="Q22" s="1359"/>
      <c r="R22" s="1360"/>
      <c r="S22" s="1469"/>
      <c r="T22" s="1468"/>
      <c r="U22" s="1364"/>
      <c r="V22" s="1361"/>
      <c r="W22" s="1467"/>
      <c r="X22" s="1466"/>
      <c r="Y22" s="1465"/>
    </row>
    <row r="23" spans="1:25" ht="13.5" customHeight="1">
      <c r="A23" s="1369"/>
      <c r="B23" s="1368"/>
      <c r="C23" s="1367"/>
      <c r="D23" s="1366"/>
      <c r="E23" s="1365"/>
      <c r="F23" s="1473"/>
      <c r="G23" s="1472"/>
      <c r="H23" s="1364"/>
      <c r="I23" s="1361"/>
      <c r="J23" s="1466"/>
      <c r="K23" s="1361"/>
      <c r="L23" s="1471"/>
      <c r="M23" s="1470"/>
      <c r="N23" s="1361"/>
      <c r="O23" s="1361"/>
      <c r="P23" s="1466"/>
      <c r="Q23" s="1359"/>
      <c r="R23" s="1360"/>
      <c r="S23" s="1469"/>
      <c r="T23" s="1468"/>
      <c r="U23" s="1364"/>
      <c r="V23" s="1361"/>
      <c r="W23" s="1467"/>
      <c r="X23" s="1466"/>
      <c r="Y23" s="1465"/>
    </row>
    <row r="24" spans="1:25" ht="13.5" customHeight="1">
      <c r="A24" s="1369"/>
      <c r="B24" s="1368"/>
      <c r="C24" s="1367"/>
      <c r="D24" s="1366"/>
      <c r="E24" s="1365"/>
      <c r="F24" s="1473"/>
      <c r="G24" s="1472"/>
      <c r="H24" s="1364"/>
      <c r="I24" s="1361"/>
      <c r="J24" s="1466"/>
      <c r="K24" s="1361"/>
      <c r="L24" s="1471"/>
      <c r="M24" s="1470"/>
      <c r="N24" s="1361"/>
      <c r="O24" s="1361"/>
      <c r="P24" s="1466"/>
      <c r="Q24" s="1359"/>
      <c r="R24" s="1360"/>
      <c r="S24" s="1469"/>
      <c r="T24" s="1468"/>
      <c r="U24" s="1364"/>
      <c r="V24" s="1361"/>
      <c r="W24" s="1467"/>
      <c r="X24" s="1466"/>
      <c r="Y24" s="1465"/>
    </row>
    <row r="25" spans="1:25" ht="13.5" customHeight="1">
      <c r="A25" s="1369"/>
      <c r="B25" s="1368"/>
      <c r="C25" s="1367"/>
      <c r="D25" s="1366"/>
      <c r="E25" s="1365"/>
      <c r="F25" s="1473"/>
      <c r="G25" s="1472"/>
      <c r="H25" s="1364"/>
      <c r="I25" s="1361"/>
      <c r="J25" s="1466"/>
      <c r="K25" s="1361"/>
      <c r="L25" s="1471"/>
      <c r="M25" s="1470"/>
      <c r="N25" s="1361"/>
      <c r="O25" s="1361"/>
      <c r="P25" s="1466"/>
      <c r="Q25" s="1359"/>
      <c r="R25" s="1360"/>
      <c r="S25" s="1469"/>
      <c r="T25" s="1468"/>
      <c r="U25" s="1364"/>
      <c r="V25" s="1361"/>
      <c r="W25" s="1467"/>
      <c r="X25" s="1466"/>
      <c r="Y25" s="1465"/>
    </row>
    <row r="26" spans="1:25" ht="13.5" customHeight="1">
      <c r="A26" s="1369"/>
      <c r="B26" s="1368"/>
      <c r="C26" s="1367"/>
      <c r="D26" s="1366"/>
      <c r="E26" s="1365"/>
      <c r="F26" s="1473"/>
      <c r="G26" s="1472"/>
      <c r="H26" s="1364"/>
      <c r="I26" s="1361"/>
      <c r="J26" s="1466"/>
      <c r="K26" s="1361"/>
      <c r="L26" s="1471"/>
      <c r="M26" s="1470"/>
      <c r="N26" s="1361"/>
      <c r="O26" s="1361"/>
      <c r="P26" s="1466"/>
      <c r="Q26" s="1359"/>
      <c r="R26" s="1360"/>
      <c r="S26" s="1469"/>
      <c r="T26" s="1468"/>
      <c r="U26" s="1364"/>
      <c r="V26" s="1361"/>
      <c r="W26" s="1467"/>
      <c r="X26" s="1466"/>
      <c r="Y26" s="1465"/>
    </row>
    <row r="27" spans="1:25" ht="13.5" customHeight="1">
      <c r="A27" s="1369"/>
      <c r="B27" s="1368"/>
      <c r="C27" s="1367"/>
      <c r="D27" s="1366"/>
      <c r="E27" s="1365"/>
      <c r="F27" s="1473"/>
      <c r="G27" s="1472"/>
      <c r="H27" s="1364"/>
      <c r="I27" s="1361"/>
      <c r="J27" s="1466"/>
      <c r="K27" s="1361"/>
      <c r="L27" s="1471"/>
      <c r="M27" s="1470"/>
      <c r="N27" s="1361"/>
      <c r="O27" s="1361"/>
      <c r="P27" s="1466"/>
      <c r="Q27" s="1359"/>
      <c r="R27" s="1360"/>
      <c r="S27" s="1469"/>
      <c r="T27" s="1468"/>
      <c r="U27" s="1364"/>
      <c r="V27" s="1361"/>
      <c r="W27" s="1467"/>
      <c r="X27" s="1466"/>
      <c r="Y27" s="1465"/>
    </row>
    <row r="28" spans="1:25" ht="13.5" customHeight="1">
      <c r="A28" s="1369"/>
      <c r="B28" s="1368"/>
      <c r="C28" s="1367"/>
      <c r="D28" s="1366"/>
      <c r="E28" s="1365"/>
      <c r="F28" s="1473"/>
      <c r="G28" s="1472"/>
      <c r="H28" s="1364"/>
      <c r="I28" s="1361"/>
      <c r="J28" s="1466"/>
      <c r="K28" s="1361"/>
      <c r="L28" s="1471"/>
      <c r="M28" s="1470"/>
      <c r="N28" s="1361"/>
      <c r="O28" s="1361"/>
      <c r="P28" s="1466"/>
      <c r="Q28" s="1359"/>
      <c r="R28" s="1360"/>
      <c r="S28" s="1469"/>
      <c r="T28" s="1468"/>
      <c r="U28" s="1364"/>
      <c r="V28" s="1361"/>
      <c r="W28" s="1467"/>
      <c r="X28" s="1466"/>
      <c r="Y28" s="1465"/>
    </row>
    <row r="29" spans="1:25" ht="13.5" customHeight="1">
      <c r="A29" s="1369"/>
      <c r="B29" s="1368"/>
      <c r="C29" s="1367"/>
      <c r="D29" s="1366"/>
      <c r="E29" s="1365"/>
      <c r="F29" s="1473"/>
      <c r="G29" s="1472"/>
      <c r="H29" s="1364"/>
      <c r="I29" s="1361"/>
      <c r="J29" s="1466"/>
      <c r="K29" s="1361"/>
      <c r="L29" s="1471"/>
      <c r="M29" s="1470"/>
      <c r="N29" s="1361"/>
      <c r="O29" s="1361"/>
      <c r="P29" s="1466"/>
      <c r="Q29" s="1359"/>
      <c r="R29" s="1360"/>
      <c r="S29" s="1469"/>
      <c r="T29" s="1468"/>
      <c r="U29" s="1364"/>
      <c r="V29" s="1361"/>
      <c r="W29" s="1467"/>
      <c r="X29" s="1466"/>
      <c r="Y29" s="1465"/>
    </row>
    <row r="30" spans="1:25" ht="13.5" customHeight="1">
      <c r="A30" s="1369"/>
      <c r="B30" s="1368"/>
      <c r="C30" s="1367"/>
      <c r="D30" s="1366"/>
      <c r="E30" s="1365"/>
      <c r="F30" s="1473"/>
      <c r="G30" s="1472"/>
      <c r="H30" s="1364"/>
      <c r="I30" s="1361"/>
      <c r="J30" s="1466"/>
      <c r="K30" s="1361"/>
      <c r="L30" s="1471"/>
      <c r="M30" s="1470"/>
      <c r="N30" s="1361"/>
      <c r="O30" s="1361"/>
      <c r="P30" s="1466"/>
      <c r="Q30" s="1359"/>
      <c r="R30" s="1360"/>
      <c r="S30" s="1469"/>
      <c r="T30" s="1468"/>
      <c r="U30" s="1364"/>
      <c r="V30" s="1361"/>
      <c r="W30" s="1467"/>
      <c r="X30" s="1466"/>
      <c r="Y30" s="1465"/>
    </row>
    <row r="31" spans="1:25" ht="13.5" customHeight="1">
      <c r="A31" s="1369"/>
      <c r="B31" s="1368"/>
      <c r="C31" s="1367"/>
      <c r="D31" s="1366"/>
      <c r="E31" s="1365"/>
      <c r="F31" s="1473"/>
      <c r="G31" s="1472"/>
      <c r="H31" s="1364"/>
      <c r="I31" s="1361"/>
      <c r="J31" s="1466"/>
      <c r="K31" s="1361"/>
      <c r="L31" s="1471"/>
      <c r="M31" s="1470"/>
      <c r="N31" s="1361"/>
      <c r="O31" s="1361"/>
      <c r="P31" s="1466"/>
      <c r="Q31" s="1359"/>
      <c r="R31" s="1360"/>
      <c r="S31" s="1469"/>
      <c r="T31" s="1468"/>
      <c r="U31" s="1364"/>
      <c r="V31" s="1361"/>
      <c r="W31" s="1467"/>
      <c r="X31" s="1466"/>
      <c r="Y31" s="1465"/>
    </row>
    <row r="32" spans="1:25" ht="13.5" customHeight="1">
      <c r="A32" s="1369"/>
      <c r="B32" s="1368"/>
      <c r="C32" s="1367"/>
      <c r="D32" s="1366"/>
      <c r="E32" s="1365"/>
      <c r="F32" s="1473"/>
      <c r="G32" s="1472"/>
      <c r="H32" s="1364"/>
      <c r="I32" s="1361"/>
      <c r="J32" s="1466"/>
      <c r="K32" s="1361"/>
      <c r="L32" s="1471"/>
      <c r="M32" s="1470"/>
      <c r="N32" s="1361"/>
      <c r="O32" s="1361"/>
      <c r="P32" s="1466"/>
      <c r="Q32" s="1359"/>
      <c r="R32" s="1360"/>
      <c r="S32" s="1469"/>
      <c r="T32" s="1468"/>
      <c r="U32" s="1364"/>
      <c r="V32" s="1361"/>
      <c r="W32" s="1467"/>
      <c r="X32" s="1466"/>
      <c r="Y32" s="1465"/>
    </row>
    <row r="33" spans="1:25" ht="13.5" customHeight="1">
      <c r="A33" s="1369"/>
      <c r="B33" s="1368"/>
      <c r="C33" s="1367"/>
      <c r="D33" s="1366"/>
      <c r="E33" s="1365"/>
      <c r="F33" s="1473"/>
      <c r="G33" s="1472"/>
      <c r="H33" s="1364"/>
      <c r="I33" s="1361"/>
      <c r="J33" s="1466"/>
      <c r="K33" s="1361"/>
      <c r="L33" s="1471"/>
      <c r="M33" s="1470"/>
      <c r="N33" s="1361"/>
      <c r="O33" s="1361"/>
      <c r="P33" s="1466"/>
      <c r="Q33" s="1359"/>
      <c r="R33" s="1360"/>
      <c r="S33" s="1469"/>
      <c r="T33" s="1468"/>
      <c r="U33" s="1364"/>
      <c r="V33" s="1361"/>
      <c r="W33" s="1467"/>
      <c r="X33" s="1466"/>
      <c r="Y33" s="1465"/>
    </row>
    <row r="34" spans="1:25" ht="13.5" customHeight="1">
      <c r="A34" s="1369"/>
      <c r="B34" s="1368"/>
      <c r="C34" s="1367"/>
      <c r="D34" s="1366"/>
      <c r="E34" s="1365"/>
      <c r="F34" s="1473"/>
      <c r="G34" s="1472"/>
      <c r="H34" s="1364"/>
      <c r="I34" s="1361"/>
      <c r="J34" s="1466"/>
      <c r="K34" s="1361"/>
      <c r="L34" s="1471"/>
      <c r="M34" s="1470"/>
      <c r="N34" s="1361"/>
      <c r="O34" s="1361"/>
      <c r="P34" s="1466"/>
      <c r="Q34" s="1359"/>
      <c r="R34" s="1360"/>
      <c r="S34" s="1469"/>
      <c r="T34" s="1468"/>
      <c r="U34" s="1364"/>
      <c r="V34" s="1361"/>
      <c r="W34" s="1467"/>
      <c r="X34" s="1466"/>
      <c r="Y34" s="1465"/>
    </row>
    <row r="35" spans="1:25" ht="13.5" customHeight="1">
      <c r="A35" s="1369"/>
      <c r="B35" s="1368"/>
      <c r="C35" s="1367"/>
      <c r="D35" s="1366"/>
      <c r="E35" s="1365"/>
      <c r="F35" s="1473"/>
      <c r="G35" s="1472"/>
      <c r="H35" s="1364"/>
      <c r="I35" s="1361"/>
      <c r="J35" s="1466"/>
      <c r="K35" s="1361"/>
      <c r="L35" s="1471"/>
      <c r="M35" s="1470"/>
      <c r="N35" s="1361"/>
      <c r="O35" s="1361"/>
      <c r="P35" s="1466"/>
      <c r="Q35" s="1359"/>
      <c r="R35" s="1360"/>
      <c r="S35" s="1469"/>
      <c r="T35" s="1468"/>
      <c r="U35" s="1364"/>
      <c r="V35" s="1361"/>
      <c r="W35" s="1467"/>
      <c r="X35" s="1466"/>
      <c r="Y35" s="1465"/>
    </row>
    <row r="36" spans="1:25" ht="13.5" customHeight="1" thickBot="1">
      <c r="A36" s="1434"/>
      <c r="B36" s="1435"/>
      <c r="C36" s="1436"/>
      <c r="D36" s="1437"/>
      <c r="E36" s="1438"/>
      <c r="F36" s="1537"/>
      <c r="G36" s="1538"/>
      <c r="H36" s="1439"/>
      <c r="I36" s="1440"/>
      <c r="J36" s="1539"/>
      <c r="K36" s="1440"/>
      <c r="L36" s="1540"/>
      <c r="M36" s="1541"/>
      <c r="N36" s="1440"/>
      <c r="O36" s="1440"/>
      <c r="P36" s="1539"/>
      <c r="Q36" s="1442"/>
      <c r="R36" s="1444"/>
      <c r="S36" s="1542"/>
      <c r="T36" s="1543"/>
      <c r="U36" s="1439"/>
      <c r="V36" s="1440"/>
      <c r="W36" s="1544"/>
      <c r="X36" s="1539"/>
      <c r="Y36" s="1545"/>
    </row>
    <row r="37" spans="1:25" ht="18.95" customHeight="1" thickTop="1">
      <c r="A37" s="1451" t="s">
        <v>1096</v>
      </c>
      <c r="B37" s="1452"/>
      <c r="C37" s="1453"/>
      <c r="D37" s="1446">
        <v>68</v>
      </c>
      <c r="E37" s="1447"/>
      <c r="F37" s="1447">
        <v>190.4</v>
      </c>
      <c r="G37" s="1546"/>
      <c r="H37" s="1448">
        <v>9926</v>
      </c>
      <c r="I37" s="1449">
        <v>0</v>
      </c>
      <c r="J37" s="1449">
        <v>9926</v>
      </c>
      <c r="K37" s="1449">
        <v>160</v>
      </c>
      <c r="L37" s="1449">
        <v>10086</v>
      </c>
      <c r="M37" s="1448">
        <v>7970</v>
      </c>
      <c r="N37" s="1448">
        <v>9510</v>
      </c>
      <c r="O37" s="1449">
        <v>0</v>
      </c>
      <c r="P37" s="1449">
        <v>9510</v>
      </c>
      <c r="Q37" s="1449">
        <v>0</v>
      </c>
      <c r="R37" s="1449">
        <v>9510</v>
      </c>
      <c r="S37" s="1547"/>
      <c r="T37" s="1548"/>
      <c r="U37" s="1448">
        <v>140</v>
      </c>
      <c r="V37" s="1449">
        <v>3250</v>
      </c>
      <c r="W37" s="1449">
        <v>2860</v>
      </c>
      <c r="X37" s="1449">
        <v>3250</v>
      </c>
      <c r="Y37" s="1549"/>
    </row>
    <row r="38" spans="1:25" ht="13.5" customHeight="1">
      <c r="A38" s="1351" t="s">
        <v>1134</v>
      </c>
      <c r="C38" s="1351" t="s">
        <v>1135</v>
      </c>
    </row>
    <row r="39" spans="1:25" ht="13.5" customHeight="1">
      <c r="C39" s="1351" t="s">
        <v>1183</v>
      </c>
    </row>
    <row r="40" spans="1:25" ht="13.5" customHeight="1">
      <c r="C40" s="1351" t="s">
        <v>1184</v>
      </c>
    </row>
    <row r="56" spans="3:46" s="1351" customFormat="1" ht="13.5" customHeight="1">
      <c r="C56" s="1464"/>
      <c r="D56" s="1464"/>
      <c r="E56" s="1464"/>
      <c r="F56" s="1464"/>
      <c r="G56" s="1464"/>
      <c r="H56" s="1464"/>
      <c r="J56" s="1352"/>
      <c r="P56" s="1352"/>
      <c r="AB56" s="1463"/>
      <c r="AC56" s="1463"/>
      <c r="AD56" s="1463"/>
      <c r="AE56" s="1463"/>
      <c r="AF56" s="1463"/>
      <c r="AG56" s="1463"/>
      <c r="AH56" s="1463"/>
      <c r="AI56" s="1463"/>
      <c r="AJ56" s="1463"/>
      <c r="AK56" s="1463"/>
      <c r="AL56" s="1463"/>
      <c r="AM56" s="1463"/>
      <c r="AN56" s="1463"/>
      <c r="AO56" s="1463"/>
      <c r="AP56" s="1463"/>
      <c r="AQ56" s="1463"/>
      <c r="AR56" s="1462"/>
      <c r="AS56" s="1461"/>
      <c r="AT56" s="1461"/>
    </row>
    <row r="57" spans="3:46" s="1351" customFormat="1" ht="13.5" customHeight="1">
      <c r="C57" s="1464"/>
      <c r="D57" s="1464"/>
      <c r="E57" s="1464"/>
      <c r="F57" s="1464"/>
      <c r="G57" s="1464"/>
      <c r="H57" s="1464"/>
      <c r="I57" s="1356"/>
      <c r="J57" s="1352"/>
      <c r="O57" s="1356"/>
      <c r="P57" s="1352"/>
      <c r="AB57" s="1463"/>
      <c r="AC57" s="1463"/>
      <c r="AD57" s="1463"/>
      <c r="AE57" s="1463"/>
      <c r="AF57" s="1463"/>
      <c r="AG57" s="1463"/>
      <c r="AH57" s="1463"/>
      <c r="AI57" s="1463"/>
      <c r="AJ57" s="1463"/>
      <c r="AK57" s="1463"/>
      <c r="AL57" s="1463"/>
      <c r="AM57" s="1463"/>
      <c r="AN57" s="1463"/>
      <c r="AO57" s="1463"/>
      <c r="AP57" s="1463"/>
      <c r="AQ57" s="1463"/>
      <c r="AR57" s="1462"/>
      <c r="AS57" s="1461"/>
      <c r="AT57" s="1461"/>
    </row>
    <row r="58" spans="3:46" s="1351" customFormat="1" ht="13.5" customHeight="1">
      <c r="C58" s="1464"/>
      <c r="D58" s="1464"/>
      <c r="E58" s="1464"/>
      <c r="F58" s="1464"/>
      <c r="G58" s="1464"/>
      <c r="H58" s="1464"/>
      <c r="I58" s="1354"/>
      <c r="J58" s="1352"/>
      <c r="O58" s="1354"/>
      <c r="P58" s="1352"/>
      <c r="AB58" s="1463"/>
      <c r="AC58" s="1463"/>
      <c r="AD58" s="1463"/>
      <c r="AE58" s="1463"/>
      <c r="AF58" s="1463"/>
      <c r="AG58" s="1463"/>
      <c r="AH58" s="1463"/>
      <c r="AI58" s="1463"/>
      <c r="AJ58" s="1463"/>
      <c r="AK58" s="1463"/>
      <c r="AL58" s="1463"/>
      <c r="AM58" s="1463"/>
      <c r="AN58" s="1463"/>
      <c r="AO58" s="1463"/>
      <c r="AP58" s="1463"/>
      <c r="AQ58" s="1463"/>
      <c r="AR58" s="1462"/>
      <c r="AS58" s="1461"/>
      <c r="AT58" s="1461"/>
    </row>
    <row r="59" spans="3:46" s="1351" customFormat="1" ht="13.5" customHeight="1">
      <c r="C59" s="1353"/>
      <c r="D59" s="1353"/>
      <c r="E59" s="1353"/>
      <c r="F59" s="1353"/>
      <c r="G59" s="1353"/>
      <c r="H59" s="1353"/>
      <c r="I59" s="1352"/>
      <c r="O59" s="1352"/>
      <c r="AB59" s="1463"/>
      <c r="AC59" s="1463"/>
      <c r="AD59" s="1463"/>
      <c r="AE59" s="1463"/>
      <c r="AF59" s="1463"/>
      <c r="AG59" s="1463"/>
      <c r="AH59" s="1463"/>
      <c r="AI59" s="1463"/>
      <c r="AJ59" s="1463"/>
      <c r="AK59" s="1463"/>
      <c r="AL59" s="1463"/>
      <c r="AM59" s="1463"/>
      <c r="AN59" s="1463"/>
      <c r="AO59" s="1463"/>
      <c r="AP59" s="1463"/>
      <c r="AQ59" s="1463"/>
      <c r="AR59" s="1462"/>
      <c r="AS59" s="1461"/>
      <c r="AT59" s="1461"/>
    </row>
  </sheetData>
  <mergeCells count="33">
    <mergeCell ref="A37:C37"/>
    <mergeCell ref="H5:H6"/>
    <mergeCell ref="N5:N6"/>
    <mergeCell ref="AB2:AI3"/>
    <mergeCell ref="AJ2:AQ3"/>
    <mergeCell ref="AS2:AT4"/>
    <mergeCell ref="A4:A6"/>
    <mergeCell ref="B4:B6"/>
    <mergeCell ref="C4:C6"/>
    <mergeCell ref="D4:D6"/>
    <mergeCell ref="E4:E6"/>
    <mergeCell ref="F4:F6"/>
    <mergeCell ref="G4:G6"/>
    <mergeCell ref="H4:L4"/>
    <mergeCell ref="M4:M6"/>
    <mergeCell ref="N4:R4"/>
    <mergeCell ref="S4:T5"/>
    <mergeCell ref="U4:X4"/>
    <mergeCell ref="Y4:Y6"/>
    <mergeCell ref="U5:U6"/>
    <mergeCell ref="V5:V6"/>
    <mergeCell ref="W5:W6"/>
    <mergeCell ref="X5:X6"/>
    <mergeCell ref="K5:K6"/>
    <mergeCell ref="L5:L6"/>
    <mergeCell ref="Q5:Q6"/>
    <mergeCell ref="R5:R6"/>
    <mergeCell ref="AS5:AS6"/>
    <mergeCell ref="AT5:AT6"/>
    <mergeCell ref="AB4:AE4"/>
    <mergeCell ref="AF4:AI4"/>
    <mergeCell ref="AJ4:AM4"/>
    <mergeCell ref="AN4:AQ4"/>
  </mergeCells>
  <phoneticPr fontId="4"/>
  <printOptions horizontalCentered="1"/>
  <pageMargins left="0.39370078740157483" right="0.39370078740157483" top="0.78740157480314965" bottom="0.47244094488188981" header="0.59055118110236227" footer="0.31496062992125984"/>
  <pageSetup paperSize="9" scale="74" orientation="landscape" horizontalDpi="1200" verticalDpi="1200" r:id="rId1"/>
  <headerFooter scaleWithDoc="0" alignWithMargins="0">
    <oddFooter>&amp;C&amp;"ＭＳ Ｐゴシック,標準"&amp;9( &amp;P / &amp;N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11111221266">
    <pageSetUpPr fitToPage="1"/>
  </sheetPr>
  <dimension ref="A1:AH32"/>
  <sheetViews>
    <sheetView showGridLines="0" zoomScaleNormal="100" workbookViewId="0"/>
  </sheetViews>
  <sheetFormatPr defaultColWidth="11.7109375" defaultRowHeight="18" customHeight="1"/>
  <cols>
    <col min="1" max="12" width="9.140625" style="1550" customWidth="1"/>
    <col min="13" max="13" width="2.5703125" style="1550" customWidth="1"/>
    <col min="14" max="16" width="9.140625" style="1550" customWidth="1"/>
    <col min="17" max="18" width="3.7109375" style="1550" customWidth="1"/>
    <col min="19" max="25" width="9.140625" style="1550" customWidth="1"/>
    <col min="26" max="27" width="3.7109375" style="1550" customWidth="1"/>
    <col min="28" max="34" width="9.140625" style="1550" customWidth="1"/>
    <col min="35" max="16384" width="11.7109375" style="1550"/>
  </cols>
  <sheetData>
    <row r="1" spans="1:34" s="1580" customFormat="1" ht="18" customHeight="1">
      <c r="A1" s="1585" t="s">
        <v>1198</v>
      </c>
      <c r="B1" s="1582"/>
      <c r="C1" s="1582"/>
      <c r="D1" s="1582"/>
      <c r="E1" s="1582"/>
      <c r="F1" s="1582"/>
      <c r="G1" s="1582"/>
      <c r="H1" s="1582"/>
      <c r="I1" s="1582"/>
      <c r="J1" s="1582"/>
      <c r="K1" s="1582"/>
      <c r="L1" s="1582"/>
      <c r="M1" s="1582"/>
      <c r="N1" s="1582"/>
      <c r="O1" s="1582"/>
      <c r="P1" s="1581"/>
      <c r="R1" s="1584" t="s">
        <v>1216</v>
      </c>
      <c r="S1" s="1583"/>
      <c r="T1" s="1582"/>
      <c r="U1" s="1582"/>
      <c r="V1" s="1582"/>
      <c r="W1" s="1582"/>
      <c r="X1" s="1582"/>
      <c r="Y1" s="1582"/>
      <c r="Z1" s="1582"/>
      <c r="AA1" s="1582"/>
      <c r="AB1" s="1582"/>
      <c r="AC1" s="1582"/>
      <c r="AD1" s="1582"/>
      <c r="AE1" s="1582"/>
      <c r="AF1" s="1582"/>
      <c r="AG1" s="1582"/>
      <c r="AH1" s="1581"/>
    </row>
    <row r="2" spans="1:34" ht="9.75" customHeight="1" thickBot="1">
      <c r="M2" s="1579"/>
      <c r="N2" s="1578"/>
      <c r="O2" s="1578"/>
      <c r="P2" s="1578"/>
    </row>
    <row r="3" spans="1:34" ht="18" customHeight="1" thickBot="1">
      <c r="A3" s="1566"/>
      <c r="B3" s="1577"/>
      <c r="C3" s="1577"/>
      <c r="D3" s="1577"/>
      <c r="E3" s="1577"/>
      <c r="F3" s="1577"/>
      <c r="G3" s="1577"/>
      <c r="H3" s="1577"/>
      <c r="I3" s="1577"/>
      <c r="J3" s="1577"/>
      <c r="K3" s="1577"/>
      <c r="L3" s="1568"/>
      <c r="M3" s="1568"/>
      <c r="N3" s="1576" t="s">
        <v>1194</v>
      </c>
      <c r="O3" s="1575"/>
      <c r="P3" s="1574"/>
      <c r="Q3" s="1566"/>
      <c r="R3" s="1588" t="s">
        <v>1155</v>
      </c>
      <c r="S3" s="1589"/>
      <c r="T3" s="1589"/>
      <c r="U3" s="1589"/>
      <c r="V3" s="1589"/>
      <c r="W3" s="1589"/>
      <c r="X3" s="1589"/>
      <c r="Y3" s="1589"/>
    </row>
    <row r="4" spans="1:34" ht="18" customHeight="1">
      <c r="A4" s="1566"/>
      <c r="B4" s="1566"/>
      <c r="C4" s="1566"/>
      <c r="D4" s="1566"/>
      <c r="E4" s="1566"/>
      <c r="F4" s="1566"/>
      <c r="G4" s="1566"/>
      <c r="H4" s="1566"/>
      <c r="I4" s="1573"/>
      <c r="J4" s="1568"/>
      <c r="K4" s="1573"/>
      <c r="L4" s="1568"/>
      <c r="M4" s="1568"/>
      <c r="N4" s="1557" t="s">
        <v>1141</v>
      </c>
      <c r="O4" s="1556"/>
      <c r="P4" s="1555"/>
      <c r="Q4" s="1566"/>
      <c r="S4" s="1590" t="s">
        <v>1199</v>
      </c>
      <c r="T4" s="1591"/>
      <c r="U4" s="1591"/>
      <c r="V4" s="1591"/>
      <c r="W4" s="1591"/>
      <c r="X4" s="1591"/>
      <c r="Y4" s="1591"/>
    </row>
    <row r="5" spans="1:34" ht="18" customHeight="1">
      <c r="A5" s="1566"/>
      <c r="B5" s="1566"/>
      <c r="C5" s="1566"/>
      <c r="D5" s="1566"/>
      <c r="E5" s="1566"/>
      <c r="F5" s="1566"/>
      <c r="G5" s="1566"/>
      <c r="H5" s="1566"/>
      <c r="I5" s="1568"/>
      <c r="J5" s="1567"/>
      <c r="K5" s="1568"/>
      <c r="L5" s="1567"/>
      <c r="M5" s="1567"/>
      <c r="N5" s="1557" t="s">
        <v>1185</v>
      </c>
      <c r="O5" s="1556"/>
      <c r="P5" s="1555"/>
      <c r="Q5" s="1566"/>
      <c r="S5" s="1586" t="s">
        <v>1140</v>
      </c>
      <c r="T5" s="1587"/>
      <c r="U5" s="1587"/>
      <c r="V5" s="1587"/>
      <c r="W5" s="1587"/>
      <c r="X5" s="1587"/>
      <c r="Y5" s="1587"/>
    </row>
    <row r="6" spans="1:34" ht="18" customHeight="1" thickBot="1">
      <c r="A6" s="1566"/>
      <c r="F6" s="1566"/>
      <c r="G6" s="1566"/>
      <c r="H6" s="1566"/>
      <c r="I6" s="1568"/>
      <c r="J6" s="1567"/>
      <c r="K6" s="1568"/>
      <c r="L6" s="1567"/>
      <c r="M6" s="1567"/>
      <c r="N6" s="1557" t="s">
        <v>1186</v>
      </c>
      <c r="O6" s="1556"/>
      <c r="P6" s="1555"/>
      <c r="Q6" s="1566"/>
      <c r="R6" s="1588" t="s">
        <v>1157</v>
      </c>
      <c r="S6" s="1589"/>
      <c r="T6" s="1589"/>
      <c r="U6" s="1589"/>
      <c r="V6" s="1589"/>
      <c r="W6" s="1589"/>
      <c r="X6" s="1589"/>
      <c r="Y6" s="1589"/>
    </row>
    <row r="7" spans="1:34" ht="18" customHeight="1">
      <c r="A7" s="1566"/>
      <c r="F7" s="1566"/>
      <c r="G7" s="1566"/>
      <c r="H7" s="1566"/>
      <c r="I7" s="1558"/>
      <c r="J7" s="1558"/>
      <c r="K7" s="1558"/>
      <c r="L7" s="1558"/>
      <c r="M7" s="1558"/>
      <c r="N7" s="1557" t="s">
        <v>1187</v>
      </c>
      <c r="O7" s="1556"/>
      <c r="P7" s="1555"/>
      <c r="Q7" s="1566"/>
      <c r="R7" s="1590" t="s">
        <v>1200</v>
      </c>
      <c r="S7" s="1591"/>
      <c r="T7" s="1591"/>
      <c r="U7" s="1591"/>
      <c r="V7" s="1591"/>
      <c r="W7" s="1591"/>
      <c r="X7" s="1591"/>
      <c r="Y7" s="1591"/>
    </row>
    <row r="8" spans="1:34" ht="18" customHeight="1">
      <c r="A8" s="1566"/>
      <c r="C8" s="1572" t="s">
        <v>1139</v>
      </c>
      <c r="D8" s="1571"/>
      <c r="F8" s="1566"/>
      <c r="G8" s="1566"/>
      <c r="H8" s="1566"/>
      <c r="I8" s="1566"/>
      <c r="J8" s="1566"/>
      <c r="K8" s="1566"/>
      <c r="L8" s="1566"/>
      <c r="M8" s="1566"/>
      <c r="N8" s="1557" t="s">
        <v>1188</v>
      </c>
      <c r="O8" s="1556"/>
      <c r="P8" s="1555"/>
      <c r="Q8" s="1566"/>
      <c r="S8" s="1586" t="s">
        <v>1201</v>
      </c>
      <c r="T8" s="1587"/>
      <c r="U8" s="1587"/>
      <c r="V8" s="1587"/>
      <c r="W8" s="1587"/>
      <c r="X8" s="1587"/>
      <c r="Y8" s="1587"/>
    </row>
    <row r="9" spans="1:34" ht="18" customHeight="1" thickBot="1">
      <c r="A9" s="1566"/>
      <c r="B9" s="1562"/>
      <c r="C9" s="1570"/>
      <c r="D9" s="1569"/>
      <c r="E9" s="1562"/>
      <c r="F9" s="1566"/>
      <c r="G9" s="1566"/>
      <c r="H9" s="1566"/>
      <c r="I9" s="1568"/>
      <c r="J9" s="1568"/>
      <c r="K9" s="1568"/>
      <c r="L9" s="1568"/>
      <c r="M9" s="1568"/>
      <c r="N9" s="1557" t="s">
        <v>1140</v>
      </c>
      <c r="O9" s="1556"/>
      <c r="P9" s="1555"/>
      <c r="Q9" s="1566"/>
      <c r="R9" s="1562"/>
      <c r="S9" s="1592" t="s">
        <v>1202</v>
      </c>
      <c r="T9" s="1587"/>
      <c r="U9" s="1587"/>
      <c r="V9" s="1587"/>
      <c r="W9" s="1587"/>
      <c r="X9" s="1587"/>
      <c r="Y9" s="1587"/>
    </row>
    <row r="10" spans="1:34" ht="18" customHeight="1">
      <c r="A10" s="1566"/>
      <c r="B10" s="1562"/>
      <c r="C10" s="1562"/>
      <c r="D10" s="1562"/>
      <c r="E10" s="1562"/>
      <c r="F10" s="1566"/>
      <c r="G10" s="1566"/>
      <c r="H10" s="1566"/>
      <c r="I10" s="1568"/>
      <c r="M10" s="1568"/>
      <c r="N10" s="1557" t="s">
        <v>1189</v>
      </c>
      <c r="O10" s="1556"/>
      <c r="P10" s="1555"/>
      <c r="Q10" s="1566"/>
      <c r="R10" s="1562"/>
      <c r="S10" s="1592" t="s">
        <v>1140</v>
      </c>
      <c r="T10" s="1587"/>
      <c r="U10" s="1587"/>
      <c r="V10" s="1587"/>
      <c r="W10" s="1587"/>
      <c r="X10" s="1587"/>
      <c r="Y10" s="1587"/>
    </row>
    <row r="11" spans="1:34" ht="18" customHeight="1">
      <c r="A11" s="1566"/>
      <c r="B11" s="1562"/>
      <c r="C11" s="1562"/>
      <c r="D11" s="1562"/>
      <c r="E11" s="1562"/>
      <c r="F11" s="1566"/>
      <c r="G11" s="1566"/>
      <c r="H11" s="1566"/>
      <c r="I11" s="1568"/>
      <c r="M11" s="1567"/>
      <c r="N11" s="1557" t="s">
        <v>1190</v>
      </c>
      <c r="O11" s="1556"/>
      <c r="P11" s="1555"/>
      <c r="Q11" s="1566"/>
      <c r="R11" s="1592" t="s">
        <v>1203</v>
      </c>
      <c r="S11" s="1587"/>
      <c r="T11" s="1587"/>
      <c r="U11" s="1587"/>
      <c r="V11" s="1587"/>
      <c r="W11" s="1587"/>
      <c r="X11" s="1587"/>
      <c r="Y11" s="1587"/>
    </row>
    <row r="12" spans="1:34" ht="18" customHeight="1">
      <c r="A12" s="1566"/>
      <c r="B12" s="1562"/>
      <c r="C12" s="1562"/>
      <c r="D12" s="1562"/>
      <c r="E12" s="1562"/>
      <c r="F12" s="1566"/>
      <c r="G12" s="1566"/>
      <c r="H12" s="1566"/>
      <c r="I12" s="1568"/>
      <c r="M12" s="1567"/>
      <c r="N12" s="1557" t="s">
        <v>1191</v>
      </c>
      <c r="O12" s="1556"/>
      <c r="P12" s="1555"/>
      <c r="R12" s="1562"/>
      <c r="S12" s="1592" t="s">
        <v>1204</v>
      </c>
      <c r="T12" s="1587"/>
      <c r="U12" s="1587"/>
      <c r="V12" s="1587"/>
      <c r="W12" s="1587"/>
      <c r="X12" s="1587"/>
      <c r="Y12" s="1587"/>
    </row>
    <row r="13" spans="1:34" ht="18" customHeight="1">
      <c r="A13" s="1566"/>
      <c r="B13" s="1562"/>
      <c r="C13" s="1562"/>
      <c r="D13" s="1562"/>
      <c r="E13" s="1562"/>
      <c r="F13" s="1566"/>
      <c r="G13" s="1566"/>
      <c r="H13" s="1566"/>
      <c r="I13" s="1558"/>
      <c r="M13" s="1558"/>
      <c r="N13" s="1557" t="s">
        <v>1192</v>
      </c>
      <c r="O13" s="1556"/>
      <c r="P13" s="1555"/>
      <c r="R13" s="1562"/>
      <c r="S13" s="1592" t="s">
        <v>1205</v>
      </c>
      <c r="T13" s="1587"/>
      <c r="U13" s="1587"/>
      <c r="V13" s="1587"/>
      <c r="W13" s="1587"/>
      <c r="X13" s="1587"/>
      <c r="Y13" s="1587"/>
    </row>
    <row r="14" spans="1:34" ht="18" customHeight="1">
      <c r="A14" s="1566"/>
      <c r="B14" s="1566"/>
      <c r="C14" s="1566"/>
      <c r="D14" s="1566"/>
      <c r="E14" s="1566"/>
      <c r="F14" s="1566"/>
      <c r="G14" s="1566"/>
      <c r="H14" s="1566"/>
      <c r="I14" s="1566"/>
      <c r="M14" s="1566"/>
      <c r="N14" s="1557" t="s">
        <v>1193</v>
      </c>
      <c r="O14" s="1556"/>
      <c r="P14" s="1555"/>
      <c r="R14" s="1562"/>
      <c r="S14" s="1592" t="s">
        <v>1206</v>
      </c>
      <c r="T14" s="1587"/>
      <c r="U14" s="1587"/>
      <c r="V14" s="1587"/>
      <c r="W14" s="1587"/>
      <c r="X14" s="1587"/>
      <c r="Y14" s="1587"/>
    </row>
    <row r="15" spans="1:34" ht="18" customHeight="1">
      <c r="N15" s="1557"/>
      <c r="O15" s="1556"/>
      <c r="P15" s="1555"/>
      <c r="S15" s="1592" t="s">
        <v>1207</v>
      </c>
      <c r="T15" s="1587"/>
      <c r="U15" s="1587"/>
      <c r="V15" s="1587"/>
      <c r="W15" s="1587"/>
      <c r="X15" s="1587"/>
      <c r="Y15" s="1587"/>
    </row>
    <row r="16" spans="1:34" ht="18" customHeight="1">
      <c r="N16" s="1557"/>
      <c r="O16" s="1556"/>
      <c r="P16" s="1555"/>
      <c r="R16" s="1558"/>
      <c r="S16" s="1595" t="s">
        <v>1140</v>
      </c>
      <c r="T16" s="1587"/>
      <c r="U16" s="1587"/>
      <c r="V16" s="1587"/>
      <c r="W16" s="1587"/>
      <c r="X16" s="1587"/>
      <c r="Y16" s="1587"/>
    </row>
    <row r="17" spans="1:25" ht="18" customHeight="1" thickBot="1">
      <c r="N17" s="1557"/>
      <c r="O17" s="1556"/>
      <c r="P17" s="1555"/>
      <c r="R17" s="1601" t="s">
        <v>1161</v>
      </c>
      <c r="S17" s="1589"/>
      <c r="T17" s="1589"/>
      <c r="U17" s="1589"/>
      <c r="V17" s="1589"/>
      <c r="W17" s="1589"/>
      <c r="X17" s="1589"/>
      <c r="Y17" s="1589"/>
    </row>
    <row r="18" spans="1:25" ht="18" customHeight="1">
      <c r="N18" s="1557"/>
      <c r="O18" s="1556"/>
      <c r="P18" s="1555"/>
      <c r="R18" s="1602" t="s">
        <v>1208</v>
      </c>
      <c r="S18" s="1591"/>
      <c r="T18" s="1591"/>
      <c r="U18" s="1591"/>
      <c r="V18" s="1591"/>
      <c r="W18" s="1591"/>
      <c r="X18" s="1591"/>
      <c r="Y18" s="1591"/>
    </row>
    <row r="19" spans="1:25" ht="18" customHeight="1">
      <c r="I19" s="1558"/>
      <c r="M19" s="1558"/>
      <c r="N19" s="1557"/>
      <c r="O19" s="1556"/>
      <c r="P19" s="1555"/>
      <c r="R19" s="1564"/>
      <c r="S19" s="1597" t="s">
        <v>1209</v>
      </c>
      <c r="T19" s="1587"/>
      <c r="U19" s="1587"/>
      <c r="V19" s="1587"/>
      <c r="W19" s="1587"/>
      <c r="X19" s="1587"/>
      <c r="Y19" s="1587"/>
    </row>
    <row r="20" spans="1:25" ht="18" customHeight="1">
      <c r="N20" s="1557"/>
      <c r="O20" s="1556"/>
      <c r="P20" s="1555"/>
      <c r="R20" s="1562"/>
      <c r="S20" s="1592" t="s">
        <v>1210</v>
      </c>
      <c r="T20" s="1587"/>
      <c r="U20" s="1587"/>
      <c r="V20" s="1587"/>
      <c r="W20" s="1587"/>
      <c r="X20" s="1587"/>
      <c r="Y20" s="1587"/>
    </row>
    <row r="21" spans="1:25" ht="18" customHeight="1">
      <c r="A21" s="1563"/>
      <c r="B21" s="1562"/>
      <c r="C21" s="1562"/>
      <c r="N21" s="1557"/>
      <c r="O21" s="1556"/>
      <c r="P21" s="1555"/>
      <c r="R21" s="1561"/>
      <c r="S21" s="1598" t="s">
        <v>1211</v>
      </c>
      <c r="T21" s="1587"/>
      <c r="U21" s="1587"/>
      <c r="V21" s="1587"/>
      <c r="W21" s="1587"/>
      <c r="X21" s="1587"/>
      <c r="Y21" s="1587"/>
    </row>
    <row r="22" spans="1:25" ht="18" customHeight="1">
      <c r="A22" s="1563"/>
      <c r="B22" s="1562"/>
      <c r="C22" s="1562"/>
      <c r="N22" s="1557"/>
      <c r="O22" s="1556"/>
      <c r="P22" s="1555"/>
      <c r="R22" s="1561"/>
      <c r="S22" s="1598" t="s">
        <v>1140</v>
      </c>
      <c r="T22" s="1587"/>
      <c r="U22" s="1587"/>
      <c r="V22" s="1587"/>
      <c r="W22" s="1587"/>
      <c r="X22" s="1587"/>
      <c r="Y22" s="1587"/>
    </row>
    <row r="23" spans="1:25" ht="18" customHeight="1">
      <c r="N23" s="1557"/>
      <c r="O23" s="1556"/>
      <c r="P23" s="1555"/>
      <c r="R23" s="1586" t="s">
        <v>1212</v>
      </c>
      <c r="S23" s="1587"/>
      <c r="T23" s="1587"/>
      <c r="U23" s="1587"/>
      <c r="V23" s="1587"/>
      <c r="W23" s="1587"/>
      <c r="X23" s="1587"/>
      <c r="Y23" s="1587"/>
    </row>
    <row r="24" spans="1:25" ht="18" customHeight="1">
      <c r="N24" s="1557"/>
      <c r="O24" s="1556"/>
      <c r="P24" s="1555"/>
      <c r="S24" s="1586" t="s">
        <v>1213</v>
      </c>
      <c r="T24" s="1587"/>
      <c r="U24" s="1587"/>
      <c r="V24" s="1587"/>
      <c r="W24" s="1587"/>
      <c r="X24" s="1587"/>
      <c r="Y24" s="1587"/>
    </row>
    <row r="25" spans="1:25" ht="18" customHeight="1">
      <c r="N25" s="1557"/>
      <c r="O25" s="1556"/>
      <c r="P25" s="1555"/>
      <c r="S25" s="1586" t="s">
        <v>1214</v>
      </c>
      <c r="T25" s="1587"/>
      <c r="U25" s="1587"/>
      <c r="V25" s="1587"/>
      <c r="W25" s="1587"/>
      <c r="X25" s="1587"/>
      <c r="Y25" s="1587"/>
    </row>
    <row r="26" spans="1:25" ht="18" customHeight="1">
      <c r="N26" s="1557"/>
      <c r="O26" s="1556"/>
      <c r="P26" s="1555"/>
      <c r="S26" s="1586" t="s">
        <v>1140</v>
      </c>
      <c r="T26" s="1587"/>
      <c r="U26" s="1587"/>
      <c r="V26" s="1587"/>
      <c r="W26" s="1587"/>
      <c r="X26" s="1587"/>
      <c r="Y26" s="1587"/>
    </row>
    <row r="27" spans="1:25" ht="18" customHeight="1" thickBot="1">
      <c r="N27" s="1557"/>
      <c r="O27" s="1556"/>
      <c r="P27" s="1555"/>
      <c r="R27" s="1588" t="s">
        <v>1169</v>
      </c>
      <c r="S27" s="1589"/>
      <c r="T27" s="1589"/>
      <c r="U27" s="1589"/>
      <c r="V27" s="1589"/>
      <c r="W27" s="1589"/>
      <c r="X27" s="1589"/>
      <c r="Y27" s="1589"/>
    </row>
    <row r="28" spans="1:25" ht="18" customHeight="1">
      <c r="A28" s="1558"/>
      <c r="B28" s="1558"/>
      <c r="C28" s="1558"/>
      <c r="D28" s="1558"/>
      <c r="N28" s="1557"/>
      <c r="O28" s="1556"/>
      <c r="P28" s="1555"/>
      <c r="S28" s="1590" t="s">
        <v>1215</v>
      </c>
      <c r="T28" s="1591"/>
      <c r="U28" s="1591"/>
      <c r="V28" s="1591"/>
      <c r="W28" s="1591"/>
      <c r="X28" s="1591"/>
      <c r="Y28" s="1591"/>
    </row>
    <row r="29" spans="1:25" ht="18" customHeight="1" thickBot="1">
      <c r="A29" s="1560" t="s">
        <v>1138</v>
      </c>
      <c r="B29" s="1560"/>
      <c r="C29" s="1560"/>
      <c r="D29" s="1560"/>
      <c r="E29" s="1560"/>
      <c r="F29" s="1560"/>
      <c r="G29" s="1560"/>
      <c r="H29" s="1560"/>
      <c r="I29" s="1560"/>
      <c r="J29" s="1560"/>
      <c r="K29" s="1560"/>
      <c r="L29" s="1560"/>
      <c r="M29" s="1558"/>
      <c r="N29" s="1557"/>
      <c r="O29" s="1556"/>
      <c r="P29" s="1555"/>
      <c r="S29" s="1586" t="s">
        <v>1171</v>
      </c>
      <c r="T29" s="1587"/>
      <c r="U29" s="1587"/>
      <c r="V29" s="1587"/>
      <c r="W29" s="1587"/>
      <c r="X29" s="1587"/>
      <c r="Y29" s="1587"/>
    </row>
    <row r="30" spans="1:25" ht="18" customHeight="1">
      <c r="A30" s="1559" t="s">
        <v>1195</v>
      </c>
      <c r="B30" s="1559"/>
      <c r="C30" s="1559"/>
      <c r="D30" s="1559"/>
      <c r="E30" s="1559"/>
      <c r="F30" s="1559"/>
      <c r="G30" s="1559"/>
      <c r="H30" s="1559"/>
      <c r="I30" s="1559"/>
      <c r="J30" s="1559"/>
      <c r="K30" s="1559"/>
      <c r="L30" s="1559"/>
      <c r="M30" s="1558"/>
      <c r="N30" s="1557"/>
      <c r="O30" s="1556"/>
      <c r="P30" s="1555"/>
      <c r="S30" s="1586" t="s">
        <v>1172</v>
      </c>
      <c r="T30" s="1587"/>
      <c r="U30" s="1587"/>
      <c r="V30" s="1587"/>
      <c r="W30" s="1587"/>
      <c r="X30" s="1587"/>
      <c r="Y30" s="1587"/>
    </row>
    <row r="31" spans="1:25" ht="18" customHeight="1">
      <c r="A31" s="1554" t="s">
        <v>1196</v>
      </c>
      <c r="B31" s="1554"/>
      <c r="C31" s="1554"/>
      <c r="D31" s="1554"/>
      <c r="E31" s="1554"/>
      <c r="F31" s="1554"/>
      <c r="G31" s="1554"/>
      <c r="H31" s="1554"/>
      <c r="I31" s="1554"/>
      <c r="J31" s="1554"/>
      <c r="K31" s="1554"/>
      <c r="L31" s="1554"/>
      <c r="N31" s="1557"/>
      <c r="O31" s="1556"/>
      <c r="P31" s="1555"/>
      <c r="S31" s="1586" t="s">
        <v>1173</v>
      </c>
      <c r="T31" s="1587"/>
      <c r="U31" s="1587"/>
      <c r="V31" s="1587"/>
      <c r="W31" s="1587"/>
      <c r="X31" s="1587"/>
      <c r="Y31" s="1587"/>
    </row>
    <row r="32" spans="1:25" ht="18" customHeight="1">
      <c r="A32" s="1554" t="s">
        <v>1197</v>
      </c>
      <c r="B32" s="1554"/>
      <c r="C32" s="1554"/>
      <c r="D32" s="1554"/>
      <c r="E32" s="1554"/>
      <c r="F32" s="1554"/>
      <c r="G32" s="1554"/>
      <c r="H32" s="1554"/>
      <c r="I32" s="1554"/>
      <c r="J32" s="1554"/>
      <c r="K32" s="1554"/>
      <c r="L32" s="1554"/>
      <c r="N32" s="1553"/>
      <c r="O32" s="1552"/>
      <c r="P32" s="1551"/>
      <c r="S32" s="1586" t="s">
        <v>1174</v>
      </c>
      <c r="T32" s="1587"/>
      <c r="U32" s="1587"/>
      <c r="V32" s="1587"/>
      <c r="W32" s="1587"/>
      <c r="X32" s="1587"/>
      <c r="Y32" s="1587"/>
    </row>
  </sheetData>
  <mergeCells count="65">
    <mergeCell ref="R27:Y27"/>
    <mergeCell ref="S28:Y28"/>
    <mergeCell ref="S29:Y29"/>
    <mergeCell ref="S30:Y30"/>
    <mergeCell ref="S31:Y31"/>
    <mergeCell ref="S32:Y32"/>
    <mergeCell ref="S21:Y21"/>
    <mergeCell ref="S22:Y22"/>
    <mergeCell ref="R23:Y23"/>
    <mergeCell ref="S24:Y24"/>
    <mergeCell ref="S25:Y25"/>
    <mergeCell ref="S26:Y26"/>
    <mergeCell ref="S15:Y15"/>
    <mergeCell ref="S16:Y16"/>
    <mergeCell ref="R17:Y17"/>
    <mergeCell ref="R18:Y18"/>
    <mergeCell ref="S19:Y19"/>
    <mergeCell ref="S20:Y20"/>
    <mergeCell ref="S9:Y9"/>
    <mergeCell ref="S10:Y10"/>
    <mergeCell ref="R11:Y11"/>
    <mergeCell ref="S12:Y12"/>
    <mergeCell ref="S13:Y13"/>
    <mergeCell ref="S14:Y14"/>
    <mergeCell ref="R3:Y3"/>
    <mergeCell ref="S4:Y4"/>
    <mergeCell ref="S5:Y5"/>
    <mergeCell ref="R6:Y6"/>
    <mergeCell ref="R7:Y7"/>
    <mergeCell ref="S8:Y8"/>
    <mergeCell ref="B3:K3"/>
    <mergeCell ref="N3:P3"/>
    <mergeCell ref="N4:P4"/>
    <mergeCell ref="N5:P5"/>
    <mergeCell ref="N6:P6"/>
    <mergeCell ref="N7:P7"/>
    <mergeCell ref="C8:D9"/>
    <mergeCell ref="N8:P8"/>
    <mergeCell ref="N9:P9"/>
    <mergeCell ref="N10:P10"/>
    <mergeCell ref="N11:P11"/>
    <mergeCell ref="N12:P12"/>
    <mergeCell ref="N13:P13"/>
    <mergeCell ref="N14:P14"/>
    <mergeCell ref="N15:P15"/>
    <mergeCell ref="N16:P16"/>
    <mergeCell ref="N17:P17"/>
    <mergeCell ref="N18:P18"/>
    <mergeCell ref="N30:P30"/>
    <mergeCell ref="N19:P19"/>
    <mergeCell ref="N20:P20"/>
    <mergeCell ref="N21:P21"/>
    <mergeCell ref="N22:P22"/>
    <mergeCell ref="N23:P23"/>
    <mergeCell ref="N24:P24"/>
    <mergeCell ref="A31:L31"/>
    <mergeCell ref="N31:P31"/>
    <mergeCell ref="A32:L32"/>
    <mergeCell ref="N32:P32"/>
    <mergeCell ref="N25:P25"/>
    <mergeCell ref="N26:P26"/>
    <mergeCell ref="N27:P27"/>
    <mergeCell ref="N28:P28"/>
    <mergeCell ref="N29:P29"/>
    <mergeCell ref="A30:L30"/>
  </mergeCells>
  <phoneticPr fontId="4"/>
  <printOptions horizontalCentered="1" gridLinesSet="0"/>
  <pageMargins left="0.39370078740157483" right="0.31496062992125984" top="0.59055118110236227" bottom="0.31496062992125984" header="0.39370078740157483" footer="0.23622047244094491"/>
  <pageSetup paperSize="9" fitToWidth="0" orientation="landscape" horizontalDpi="4294967292" verticalDpi="4294967292" r:id="rId1"/>
  <headerFooter scaleWithDoc="0" alignWithMargins="0">
    <oddFooter>&amp;C&amp;"ＭＳ Ｐゴシック,標準"&amp;9( &amp;P / &amp;N )</oddFooter>
  </headerFooter>
  <colBreaks count="1" manualBreakCount="1">
    <brk id="17" max="1048575" man="1"/>
  </colBreaks>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T59"/>
  <sheetViews>
    <sheetView showGridLines="0" zoomScale="80" zoomScaleNormal="80" workbookViewId="0">
      <pane xSplit="6" ySplit="6" topLeftCell="G7" activePane="bottomRight" state="frozenSplit"/>
      <selection pane="topRight" activeCell="Q1" sqref="Q1"/>
      <selection pane="bottomLeft" activeCell="A16" sqref="A16"/>
      <selection pane="bottomRight"/>
    </sheetView>
  </sheetViews>
  <sheetFormatPr defaultColWidth="9.140625" defaultRowHeight="13.5" customHeight="1"/>
  <cols>
    <col min="1" max="1" width="5.42578125" style="1351" customWidth="1"/>
    <col min="2" max="2" width="7.5703125" style="1351" customWidth="1"/>
    <col min="3" max="3" width="26.28515625" style="1351" customWidth="1"/>
    <col min="4" max="6" width="7.7109375" style="1351" customWidth="1"/>
    <col min="7" max="7" width="7.7109375" style="1351" hidden="1" customWidth="1"/>
    <col min="8" max="8" width="7.7109375" style="1351" customWidth="1"/>
    <col min="9" max="10" width="7.7109375" style="1351" hidden="1" customWidth="1"/>
    <col min="11" max="14" width="7.7109375" style="1351" customWidth="1"/>
    <col min="15" max="16" width="7.7109375" style="1351" hidden="1" customWidth="1"/>
    <col min="17" max="18" width="7.7109375" style="1351" customWidth="1"/>
    <col min="19" max="20" width="7.7109375" style="1351" hidden="1" customWidth="1"/>
    <col min="21" max="25" width="7.7109375" style="1351" customWidth="1"/>
    <col min="26" max="27" width="9.140625" style="1458"/>
    <col min="28" max="43" width="9.140625" style="1357"/>
    <col min="44" max="44" width="9.140625" style="1460"/>
    <col min="45" max="46" width="9.140625" style="1459"/>
    <col min="47" max="16384" width="9.140625" style="1458"/>
  </cols>
  <sheetData>
    <row r="1" spans="1:46" s="1525" customFormat="1" ht="24" customHeight="1" thickBot="1">
      <c r="A1" s="1536" t="s">
        <v>1217</v>
      </c>
      <c r="B1" s="1535"/>
      <c r="C1" s="1534"/>
      <c r="D1" s="1533"/>
      <c r="E1" s="1532"/>
      <c r="F1" s="1531"/>
      <c r="G1" s="1531"/>
      <c r="H1" s="1532"/>
      <c r="I1" s="1532"/>
      <c r="J1" s="1532"/>
      <c r="K1" s="1531"/>
      <c r="L1" s="1531"/>
      <c r="M1" s="1530"/>
      <c r="N1" s="1531"/>
      <c r="O1" s="1532"/>
      <c r="P1" s="1532"/>
      <c r="Q1" s="1531"/>
      <c r="R1" s="1531"/>
      <c r="S1" s="1530"/>
      <c r="T1" s="1530"/>
      <c r="U1" s="1530"/>
      <c r="V1" s="1530"/>
      <c r="W1" s="1530"/>
      <c r="X1" s="1530"/>
      <c r="Y1" s="1529"/>
      <c r="AB1" s="1422" t="s">
        <v>1086</v>
      </c>
      <c r="AC1" s="1528"/>
      <c r="AD1" s="1528"/>
      <c r="AE1" s="1528"/>
      <c r="AF1" s="1528"/>
      <c r="AG1" s="1528"/>
      <c r="AH1" s="1528"/>
      <c r="AI1" s="1528"/>
      <c r="AJ1" s="1528"/>
      <c r="AK1" s="1528"/>
      <c r="AL1" s="1528"/>
      <c r="AM1" s="1528"/>
      <c r="AN1" s="1528"/>
      <c r="AO1" s="1528"/>
      <c r="AP1" s="1528"/>
      <c r="AQ1" s="1528"/>
      <c r="AR1" s="1527"/>
      <c r="AS1" s="1526"/>
      <c r="AT1" s="1526"/>
    </row>
    <row r="2" spans="1:46" ht="13.5" customHeight="1">
      <c r="AB2" s="1524" t="s">
        <v>1085</v>
      </c>
      <c r="AC2" s="1523"/>
      <c r="AD2" s="1523"/>
      <c r="AE2" s="1523"/>
      <c r="AF2" s="1523"/>
      <c r="AG2" s="1523"/>
      <c r="AH2" s="1523"/>
      <c r="AI2" s="1522"/>
      <c r="AJ2" s="1521" t="s">
        <v>1131</v>
      </c>
      <c r="AK2" s="1521"/>
      <c r="AL2" s="1521"/>
      <c r="AM2" s="1521"/>
      <c r="AN2" s="1521"/>
      <c r="AO2" s="1521"/>
      <c r="AP2" s="1521"/>
      <c r="AQ2" s="1520"/>
      <c r="AS2" s="1519" t="s">
        <v>1130</v>
      </c>
      <c r="AT2" s="1518"/>
    </row>
    <row r="3" spans="1:46" ht="13.5" customHeight="1">
      <c r="G3" s="1351" t="s">
        <v>1218</v>
      </c>
      <c r="Y3" s="1517"/>
      <c r="AB3" s="1516"/>
      <c r="AC3" s="1515"/>
      <c r="AD3" s="1515"/>
      <c r="AE3" s="1515"/>
      <c r="AF3" s="1515"/>
      <c r="AG3" s="1515"/>
      <c r="AH3" s="1515"/>
      <c r="AI3" s="1514"/>
      <c r="AJ3" s="1513"/>
      <c r="AK3" s="1513"/>
      <c r="AL3" s="1513"/>
      <c r="AM3" s="1513"/>
      <c r="AN3" s="1513"/>
      <c r="AO3" s="1513"/>
      <c r="AP3" s="1513"/>
      <c r="AQ3" s="1512"/>
      <c r="AS3" s="1511"/>
      <c r="AT3" s="1510"/>
    </row>
    <row r="4" spans="1:46" ht="13.5" customHeight="1" thickBot="1">
      <c r="A4" s="1415" t="s">
        <v>394</v>
      </c>
      <c r="B4" s="1414" t="s">
        <v>370</v>
      </c>
      <c r="C4" s="1414" t="s">
        <v>1083</v>
      </c>
      <c r="D4" s="1413" t="s">
        <v>1082</v>
      </c>
      <c r="E4" s="1413" t="s">
        <v>1081</v>
      </c>
      <c r="F4" s="1412" t="s">
        <v>1080</v>
      </c>
      <c r="G4" s="1509"/>
      <c r="H4" s="1410" t="s">
        <v>1079</v>
      </c>
      <c r="I4" s="1409"/>
      <c r="J4" s="1409"/>
      <c r="K4" s="1409"/>
      <c r="L4" s="1411"/>
      <c r="M4" s="1508" t="s">
        <v>1129</v>
      </c>
      <c r="N4" s="1410" t="s">
        <v>1078</v>
      </c>
      <c r="O4" s="1409"/>
      <c r="P4" s="1409"/>
      <c r="Q4" s="1409"/>
      <c r="R4" s="1411"/>
      <c r="S4" s="1507"/>
      <c r="T4" s="1506"/>
      <c r="U4" s="1410" t="s">
        <v>1127</v>
      </c>
      <c r="V4" s="1409"/>
      <c r="W4" s="1409"/>
      <c r="X4" s="1505"/>
      <c r="Y4" s="1504" t="s">
        <v>1126</v>
      </c>
      <c r="AB4" s="1503" t="s">
        <v>1077</v>
      </c>
      <c r="AC4" s="1503"/>
      <c r="AD4" s="1503"/>
      <c r="AE4" s="1503"/>
      <c r="AF4" s="1502" t="s">
        <v>1076</v>
      </c>
      <c r="AG4" s="1502"/>
      <c r="AH4" s="1502"/>
      <c r="AI4" s="1502"/>
      <c r="AJ4" s="1503" t="s">
        <v>1077</v>
      </c>
      <c r="AK4" s="1503"/>
      <c r="AL4" s="1503"/>
      <c r="AM4" s="1503"/>
      <c r="AN4" s="1502" t="s">
        <v>1076</v>
      </c>
      <c r="AO4" s="1502"/>
      <c r="AP4" s="1502"/>
      <c r="AQ4" s="1502"/>
      <c r="AS4" s="1501"/>
      <c r="AT4" s="1500"/>
    </row>
    <row r="5" spans="1:46" ht="22.5" customHeight="1">
      <c r="A5" s="1396"/>
      <c r="B5" s="1395"/>
      <c r="C5" s="1395"/>
      <c r="D5" s="1394"/>
      <c r="E5" s="1394"/>
      <c r="F5" s="1393"/>
      <c r="G5" s="1499"/>
      <c r="H5" s="1457" t="s">
        <v>1097</v>
      </c>
      <c r="I5" s="1454"/>
      <c r="J5" s="1455"/>
      <c r="K5" s="1404" t="s">
        <v>1075</v>
      </c>
      <c r="L5" s="1498" t="s">
        <v>1072</v>
      </c>
      <c r="M5" s="1497"/>
      <c r="N5" s="1457" t="s">
        <v>1097</v>
      </c>
      <c r="O5" s="1454"/>
      <c r="P5" s="1455"/>
      <c r="Q5" s="1404" t="s">
        <v>1075</v>
      </c>
      <c r="R5" s="1405" t="s">
        <v>1072</v>
      </c>
      <c r="S5" s="1496"/>
      <c r="T5" s="1495"/>
      <c r="U5" s="1487" t="s">
        <v>1125</v>
      </c>
      <c r="V5" s="1486" t="s">
        <v>1124</v>
      </c>
      <c r="W5" s="1486" t="s">
        <v>1123</v>
      </c>
      <c r="X5" s="1403" t="s">
        <v>1122</v>
      </c>
      <c r="Y5" s="1485"/>
      <c r="AB5" s="1399" t="s">
        <v>1071</v>
      </c>
      <c r="AC5" s="1398" t="s">
        <v>1070</v>
      </c>
      <c r="AD5" s="1398" t="s">
        <v>1069</v>
      </c>
      <c r="AE5" s="1397" t="s">
        <v>1068</v>
      </c>
      <c r="AF5" s="1401" t="s">
        <v>1071</v>
      </c>
      <c r="AG5" s="1398" t="s">
        <v>1070</v>
      </c>
      <c r="AH5" s="1398" t="s">
        <v>1069</v>
      </c>
      <c r="AI5" s="1397" t="s">
        <v>1068</v>
      </c>
      <c r="AJ5" s="1401" t="s">
        <v>1071</v>
      </c>
      <c r="AK5" s="1398" t="s">
        <v>1070</v>
      </c>
      <c r="AL5" s="1398" t="s">
        <v>1069</v>
      </c>
      <c r="AM5" s="1400" t="s">
        <v>1068</v>
      </c>
      <c r="AN5" s="1399" t="s">
        <v>1071</v>
      </c>
      <c r="AO5" s="1398" t="s">
        <v>1070</v>
      </c>
      <c r="AP5" s="1398" t="s">
        <v>1069</v>
      </c>
      <c r="AQ5" s="1397" t="s">
        <v>1068</v>
      </c>
      <c r="AS5" s="1494" t="s">
        <v>1121</v>
      </c>
      <c r="AT5" s="1493" t="s">
        <v>1120</v>
      </c>
    </row>
    <row r="6" spans="1:46" ht="13.5" customHeight="1">
      <c r="A6" s="1396"/>
      <c r="B6" s="1395"/>
      <c r="C6" s="1395"/>
      <c r="D6" s="1394"/>
      <c r="E6" s="1394"/>
      <c r="F6" s="1393"/>
      <c r="G6" s="1492"/>
      <c r="H6" s="1456"/>
      <c r="I6" s="1391" t="s">
        <v>1067</v>
      </c>
      <c r="J6" s="1390" t="s">
        <v>1066</v>
      </c>
      <c r="K6" s="1389"/>
      <c r="L6" s="1491"/>
      <c r="M6" s="1490"/>
      <c r="N6" s="1456"/>
      <c r="O6" s="1391" t="s">
        <v>1067</v>
      </c>
      <c r="P6" s="1390" t="s">
        <v>1066</v>
      </c>
      <c r="Q6" s="1389"/>
      <c r="R6" s="1392"/>
      <c r="S6" s="1489" t="s">
        <v>1119</v>
      </c>
      <c r="T6" s="1488" t="s">
        <v>1118</v>
      </c>
      <c r="U6" s="1487"/>
      <c r="V6" s="1486"/>
      <c r="W6" s="1486"/>
      <c r="X6" s="1388"/>
      <c r="Y6" s="1485"/>
      <c r="AB6" s="1384" t="s">
        <v>1065</v>
      </c>
      <c r="AC6" s="1383" t="s">
        <v>1064</v>
      </c>
      <c r="AD6" s="1383" t="s">
        <v>1063</v>
      </c>
      <c r="AE6" s="1382" t="s">
        <v>1062</v>
      </c>
      <c r="AF6" s="1386" t="s">
        <v>1065</v>
      </c>
      <c r="AG6" s="1383" t="s">
        <v>1064</v>
      </c>
      <c r="AH6" s="1383" t="s">
        <v>1063</v>
      </c>
      <c r="AI6" s="1382" t="s">
        <v>1062</v>
      </c>
      <c r="AJ6" s="1386" t="s">
        <v>1065</v>
      </c>
      <c r="AK6" s="1383" t="s">
        <v>1064</v>
      </c>
      <c r="AL6" s="1383" t="s">
        <v>1063</v>
      </c>
      <c r="AM6" s="1385" t="s">
        <v>1062</v>
      </c>
      <c r="AN6" s="1384" t="s">
        <v>1065</v>
      </c>
      <c r="AO6" s="1383" t="s">
        <v>1064</v>
      </c>
      <c r="AP6" s="1383" t="s">
        <v>1063</v>
      </c>
      <c r="AQ6" s="1382" t="s">
        <v>1062</v>
      </c>
      <c r="AS6" s="1484"/>
      <c r="AT6" s="1483"/>
    </row>
    <row r="7" spans="1:46" ht="13.5" customHeight="1">
      <c r="A7" s="1381">
        <v>2</v>
      </c>
      <c r="B7" s="1380" t="s">
        <v>1048</v>
      </c>
      <c r="C7" s="1379" t="s">
        <v>1049</v>
      </c>
      <c r="D7" s="1378">
        <v>0</v>
      </c>
      <c r="E7" s="1377">
        <v>0</v>
      </c>
      <c r="F7" s="1482">
        <v>0</v>
      </c>
      <c r="G7" s="1481"/>
      <c r="H7" s="1376"/>
      <c r="I7" s="1373"/>
      <c r="J7" s="1475"/>
      <c r="K7" s="1373"/>
      <c r="L7" s="1480"/>
      <c r="M7" s="1479"/>
      <c r="N7" s="1373"/>
      <c r="O7" s="1373"/>
      <c r="P7" s="1475"/>
      <c r="Q7" s="1371"/>
      <c r="R7" s="1372"/>
      <c r="S7" s="1478"/>
      <c r="T7" s="1477">
        <v>0</v>
      </c>
      <c r="U7" s="1376">
        <v>2640</v>
      </c>
      <c r="V7" s="1373"/>
      <c r="W7" s="1476"/>
      <c r="X7" s="1475">
        <v>2640</v>
      </c>
      <c r="Y7" s="1474"/>
      <c r="AB7" s="1357">
        <v>24</v>
      </c>
      <c r="AC7" s="1357">
        <v>50</v>
      </c>
      <c r="AD7" s="1357">
        <v>47.9</v>
      </c>
      <c r="AE7" s="1357">
        <v>9.3000000000000007</v>
      </c>
      <c r="AF7" s="1357">
        <v>24</v>
      </c>
      <c r="AG7" s="1357">
        <v>50</v>
      </c>
      <c r="AH7" s="1357">
        <v>47.9</v>
      </c>
      <c r="AI7" s="1357">
        <v>9.3000000000000007</v>
      </c>
      <c r="AT7" s="1459">
        <v>2640</v>
      </c>
    </row>
    <row r="8" spans="1:46" ht="13.5" customHeight="1">
      <c r="A8" s="1369"/>
      <c r="B8" s="1368"/>
      <c r="C8" s="1367"/>
      <c r="D8" s="1366"/>
      <c r="E8" s="1365"/>
      <c r="F8" s="1473"/>
      <c r="G8" s="1472"/>
      <c r="H8" s="1364"/>
      <c r="I8" s="1361"/>
      <c r="J8" s="1466"/>
      <c r="K8" s="1361"/>
      <c r="L8" s="1471"/>
      <c r="M8" s="1470"/>
      <c r="N8" s="1361"/>
      <c r="O8" s="1361"/>
      <c r="P8" s="1466"/>
      <c r="Q8" s="1359"/>
      <c r="R8" s="1360"/>
      <c r="S8" s="1469"/>
      <c r="T8" s="1468"/>
      <c r="U8" s="1364"/>
      <c r="V8" s="1361"/>
      <c r="W8" s="1467"/>
      <c r="X8" s="1466"/>
      <c r="Y8" s="1465"/>
    </row>
    <row r="9" spans="1:46" ht="13.5" customHeight="1">
      <c r="A9" s="1369"/>
      <c r="B9" s="1368"/>
      <c r="C9" s="1367"/>
      <c r="D9" s="1366"/>
      <c r="E9" s="1365"/>
      <c r="F9" s="1473"/>
      <c r="G9" s="1472"/>
      <c r="H9" s="1364"/>
      <c r="I9" s="1361"/>
      <c r="J9" s="1466"/>
      <c r="K9" s="1361"/>
      <c r="L9" s="1471"/>
      <c r="M9" s="1470"/>
      <c r="N9" s="1361"/>
      <c r="O9" s="1361"/>
      <c r="P9" s="1466"/>
      <c r="Q9" s="1359"/>
      <c r="R9" s="1360"/>
      <c r="S9" s="1469"/>
      <c r="T9" s="1468"/>
      <c r="U9" s="1364"/>
      <c r="V9" s="1361"/>
      <c r="W9" s="1467"/>
      <c r="X9" s="1466"/>
      <c r="Y9" s="1465"/>
    </row>
    <row r="10" spans="1:46" ht="13.5" customHeight="1">
      <c r="A10" s="1369"/>
      <c r="B10" s="1368"/>
      <c r="C10" s="1367"/>
      <c r="D10" s="1366"/>
      <c r="E10" s="1365"/>
      <c r="F10" s="1473"/>
      <c r="G10" s="1472"/>
      <c r="H10" s="1364"/>
      <c r="I10" s="1361"/>
      <c r="J10" s="1466"/>
      <c r="K10" s="1361"/>
      <c r="L10" s="1471"/>
      <c r="M10" s="1470"/>
      <c r="N10" s="1361"/>
      <c r="O10" s="1361"/>
      <c r="P10" s="1466"/>
      <c r="Q10" s="1359"/>
      <c r="R10" s="1360"/>
      <c r="S10" s="1469"/>
      <c r="T10" s="1468"/>
      <c r="U10" s="1364"/>
      <c r="V10" s="1361"/>
      <c r="W10" s="1467"/>
      <c r="X10" s="1466"/>
      <c r="Y10" s="1465"/>
    </row>
    <row r="11" spans="1:46" ht="13.5" customHeight="1">
      <c r="A11" s="1369"/>
      <c r="B11" s="1368"/>
      <c r="C11" s="1367"/>
      <c r="D11" s="1366"/>
      <c r="E11" s="1365"/>
      <c r="F11" s="1473"/>
      <c r="G11" s="1472"/>
      <c r="H11" s="1364"/>
      <c r="I11" s="1361"/>
      <c r="J11" s="1466"/>
      <c r="K11" s="1361"/>
      <c r="L11" s="1471"/>
      <c r="M11" s="1470"/>
      <c r="N11" s="1361"/>
      <c r="O11" s="1361"/>
      <c r="P11" s="1466"/>
      <c r="Q11" s="1359"/>
      <c r="R11" s="1360"/>
      <c r="S11" s="1469"/>
      <c r="T11" s="1468"/>
      <c r="U11" s="1364"/>
      <c r="V11" s="1361"/>
      <c r="W11" s="1467"/>
      <c r="X11" s="1466"/>
      <c r="Y11" s="1465"/>
    </row>
    <row r="12" spans="1:46" ht="13.5" customHeight="1">
      <c r="A12" s="1369"/>
      <c r="B12" s="1368"/>
      <c r="C12" s="1367"/>
      <c r="D12" s="1366"/>
      <c r="E12" s="1365"/>
      <c r="F12" s="1473"/>
      <c r="G12" s="1472"/>
      <c r="H12" s="1364"/>
      <c r="I12" s="1361"/>
      <c r="J12" s="1466"/>
      <c r="K12" s="1361"/>
      <c r="L12" s="1471"/>
      <c r="M12" s="1470"/>
      <c r="N12" s="1361"/>
      <c r="O12" s="1361"/>
      <c r="P12" s="1466"/>
      <c r="Q12" s="1359"/>
      <c r="R12" s="1360"/>
      <c r="S12" s="1469"/>
      <c r="T12" s="1468"/>
      <c r="U12" s="1364"/>
      <c r="V12" s="1361"/>
      <c r="W12" s="1467"/>
      <c r="X12" s="1466"/>
      <c r="Y12" s="1465"/>
    </row>
    <row r="13" spans="1:46" ht="13.5" customHeight="1">
      <c r="A13" s="1369"/>
      <c r="B13" s="1368"/>
      <c r="C13" s="1367"/>
      <c r="D13" s="1366"/>
      <c r="E13" s="1365"/>
      <c r="F13" s="1473"/>
      <c r="G13" s="1472"/>
      <c r="H13" s="1364"/>
      <c r="I13" s="1361"/>
      <c r="J13" s="1466"/>
      <c r="K13" s="1361"/>
      <c r="L13" s="1471"/>
      <c r="M13" s="1470"/>
      <c r="N13" s="1361"/>
      <c r="O13" s="1361"/>
      <c r="P13" s="1466"/>
      <c r="Q13" s="1359"/>
      <c r="R13" s="1360"/>
      <c r="S13" s="1469"/>
      <c r="T13" s="1468"/>
      <c r="U13" s="1364"/>
      <c r="V13" s="1361"/>
      <c r="W13" s="1467"/>
      <c r="X13" s="1466"/>
      <c r="Y13" s="1465"/>
    </row>
    <row r="14" spans="1:46" ht="13.5" customHeight="1">
      <c r="A14" s="1369"/>
      <c r="B14" s="1368"/>
      <c r="C14" s="1367"/>
      <c r="D14" s="1366"/>
      <c r="E14" s="1365"/>
      <c r="F14" s="1473"/>
      <c r="G14" s="1472"/>
      <c r="H14" s="1364"/>
      <c r="I14" s="1361"/>
      <c r="J14" s="1466"/>
      <c r="K14" s="1361"/>
      <c r="L14" s="1471"/>
      <c r="M14" s="1470"/>
      <c r="N14" s="1361"/>
      <c r="O14" s="1361"/>
      <c r="P14" s="1466"/>
      <c r="Q14" s="1359"/>
      <c r="R14" s="1360"/>
      <c r="S14" s="1469"/>
      <c r="T14" s="1468"/>
      <c r="U14" s="1364"/>
      <c r="V14" s="1361"/>
      <c r="W14" s="1467"/>
      <c r="X14" s="1466"/>
      <c r="Y14" s="1465"/>
    </row>
    <row r="15" spans="1:46" ht="13.5" customHeight="1">
      <c r="A15" s="1369"/>
      <c r="B15" s="1368"/>
      <c r="C15" s="1367"/>
      <c r="D15" s="1366"/>
      <c r="E15" s="1365"/>
      <c r="F15" s="1473"/>
      <c r="G15" s="1472"/>
      <c r="H15" s="1364"/>
      <c r="I15" s="1361"/>
      <c r="J15" s="1466"/>
      <c r="K15" s="1361"/>
      <c r="L15" s="1471"/>
      <c r="M15" s="1470"/>
      <c r="N15" s="1361"/>
      <c r="O15" s="1361"/>
      <c r="P15" s="1466"/>
      <c r="Q15" s="1359"/>
      <c r="R15" s="1360"/>
      <c r="S15" s="1469"/>
      <c r="T15" s="1468"/>
      <c r="U15" s="1364"/>
      <c r="V15" s="1361"/>
      <c r="W15" s="1467"/>
      <c r="X15" s="1466"/>
      <c r="Y15" s="1465"/>
    </row>
    <row r="16" spans="1:46" ht="13.5" customHeight="1">
      <c r="A16" s="1369"/>
      <c r="B16" s="1368"/>
      <c r="C16" s="1367"/>
      <c r="D16" s="1366"/>
      <c r="E16" s="1365"/>
      <c r="F16" s="1473"/>
      <c r="G16" s="1472"/>
      <c r="H16" s="1364"/>
      <c r="I16" s="1361"/>
      <c r="J16" s="1466"/>
      <c r="K16" s="1361"/>
      <c r="L16" s="1471"/>
      <c r="M16" s="1470"/>
      <c r="N16" s="1361"/>
      <c r="O16" s="1361"/>
      <c r="P16" s="1466"/>
      <c r="Q16" s="1359"/>
      <c r="R16" s="1360"/>
      <c r="S16" s="1469"/>
      <c r="T16" s="1468"/>
      <c r="U16" s="1364"/>
      <c r="V16" s="1361"/>
      <c r="W16" s="1467"/>
      <c r="X16" s="1466"/>
      <c r="Y16" s="1465"/>
    </row>
    <row r="17" spans="1:25" ht="13.5" customHeight="1">
      <c r="A17" s="1369"/>
      <c r="B17" s="1368"/>
      <c r="C17" s="1367"/>
      <c r="D17" s="1366"/>
      <c r="E17" s="1365"/>
      <c r="F17" s="1473"/>
      <c r="G17" s="1472"/>
      <c r="H17" s="1364"/>
      <c r="I17" s="1361"/>
      <c r="J17" s="1466"/>
      <c r="K17" s="1361"/>
      <c r="L17" s="1471"/>
      <c r="M17" s="1470"/>
      <c r="N17" s="1361"/>
      <c r="O17" s="1361"/>
      <c r="P17" s="1466"/>
      <c r="Q17" s="1359"/>
      <c r="R17" s="1360"/>
      <c r="S17" s="1469"/>
      <c r="T17" s="1468"/>
      <c r="U17" s="1364"/>
      <c r="V17" s="1361"/>
      <c r="W17" s="1467"/>
      <c r="X17" s="1466"/>
      <c r="Y17" s="1465"/>
    </row>
    <row r="18" spans="1:25" ht="13.5" customHeight="1">
      <c r="A18" s="1369"/>
      <c r="B18" s="1368"/>
      <c r="C18" s="1367"/>
      <c r="D18" s="1366"/>
      <c r="E18" s="1365"/>
      <c r="F18" s="1473"/>
      <c r="G18" s="1472"/>
      <c r="H18" s="1364"/>
      <c r="I18" s="1361"/>
      <c r="J18" s="1466"/>
      <c r="K18" s="1361"/>
      <c r="L18" s="1471"/>
      <c r="M18" s="1470"/>
      <c r="N18" s="1361"/>
      <c r="O18" s="1361"/>
      <c r="P18" s="1466"/>
      <c r="Q18" s="1359"/>
      <c r="R18" s="1360"/>
      <c r="S18" s="1469"/>
      <c r="T18" s="1468"/>
      <c r="U18" s="1364"/>
      <c r="V18" s="1361"/>
      <c r="W18" s="1467"/>
      <c r="X18" s="1466"/>
      <c r="Y18" s="1465"/>
    </row>
    <row r="19" spans="1:25" ht="13.5" customHeight="1">
      <c r="A19" s="1369"/>
      <c r="B19" s="1368"/>
      <c r="C19" s="1367"/>
      <c r="D19" s="1366"/>
      <c r="E19" s="1365"/>
      <c r="F19" s="1473"/>
      <c r="G19" s="1472"/>
      <c r="H19" s="1364"/>
      <c r="I19" s="1361"/>
      <c r="J19" s="1466"/>
      <c r="K19" s="1361"/>
      <c r="L19" s="1471"/>
      <c r="M19" s="1470"/>
      <c r="N19" s="1361"/>
      <c r="O19" s="1361"/>
      <c r="P19" s="1466"/>
      <c r="Q19" s="1359"/>
      <c r="R19" s="1360"/>
      <c r="S19" s="1469"/>
      <c r="T19" s="1468"/>
      <c r="U19" s="1364"/>
      <c r="V19" s="1361"/>
      <c r="W19" s="1467"/>
      <c r="X19" s="1466"/>
      <c r="Y19" s="1465"/>
    </row>
    <row r="20" spans="1:25" ht="13.5" customHeight="1">
      <c r="A20" s="1369"/>
      <c r="B20" s="1368"/>
      <c r="C20" s="1367"/>
      <c r="D20" s="1366"/>
      <c r="E20" s="1365"/>
      <c r="F20" s="1473"/>
      <c r="G20" s="1472"/>
      <c r="H20" s="1364"/>
      <c r="I20" s="1361"/>
      <c r="J20" s="1466"/>
      <c r="K20" s="1361"/>
      <c r="L20" s="1471"/>
      <c r="M20" s="1470"/>
      <c r="N20" s="1361"/>
      <c r="O20" s="1361"/>
      <c r="P20" s="1466"/>
      <c r="Q20" s="1359"/>
      <c r="R20" s="1360"/>
      <c r="S20" s="1469"/>
      <c r="T20" s="1468"/>
      <c r="U20" s="1364"/>
      <c r="V20" s="1361"/>
      <c r="W20" s="1467"/>
      <c r="X20" s="1466"/>
      <c r="Y20" s="1465"/>
    </row>
    <row r="21" spans="1:25" ht="13.5" customHeight="1">
      <c r="A21" s="1369"/>
      <c r="B21" s="1368"/>
      <c r="C21" s="1367"/>
      <c r="D21" s="1366"/>
      <c r="E21" s="1365"/>
      <c r="F21" s="1473"/>
      <c r="G21" s="1472"/>
      <c r="H21" s="1364"/>
      <c r="I21" s="1361"/>
      <c r="J21" s="1466"/>
      <c r="K21" s="1361"/>
      <c r="L21" s="1471"/>
      <c r="M21" s="1470"/>
      <c r="N21" s="1361"/>
      <c r="O21" s="1361"/>
      <c r="P21" s="1466"/>
      <c r="Q21" s="1359"/>
      <c r="R21" s="1360"/>
      <c r="S21" s="1469"/>
      <c r="T21" s="1468"/>
      <c r="U21" s="1364"/>
      <c r="V21" s="1361"/>
      <c r="W21" s="1467"/>
      <c r="X21" s="1466"/>
      <c r="Y21" s="1465"/>
    </row>
    <row r="22" spans="1:25" ht="13.5" customHeight="1">
      <c r="A22" s="1369"/>
      <c r="B22" s="1368"/>
      <c r="C22" s="1367"/>
      <c r="D22" s="1366"/>
      <c r="E22" s="1365"/>
      <c r="F22" s="1473"/>
      <c r="G22" s="1472"/>
      <c r="H22" s="1364"/>
      <c r="I22" s="1361"/>
      <c r="J22" s="1466"/>
      <c r="K22" s="1361"/>
      <c r="L22" s="1471"/>
      <c r="M22" s="1470"/>
      <c r="N22" s="1361"/>
      <c r="O22" s="1361"/>
      <c r="P22" s="1466"/>
      <c r="Q22" s="1359"/>
      <c r="R22" s="1360"/>
      <c r="S22" s="1469"/>
      <c r="T22" s="1468"/>
      <c r="U22" s="1364"/>
      <c r="V22" s="1361"/>
      <c r="W22" s="1467"/>
      <c r="X22" s="1466"/>
      <c r="Y22" s="1465"/>
    </row>
    <row r="23" spans="1:25" ht="13.5" customHeight="1">
      <c r="A23" s="1369"/>
      <c r="B23" s="1368"/>
      <c r="C23" s="1367"/>
      <c r="D23" s="1366"/>
      <c r="E23" s="1365"/>
      <c r="F23" s="1473"/>
      <c r="G23" s="1472"/>
      <c r="H23" s="1364"/>
      <c r="I23" s="1361"/>
      <c r="J23" s="1466"/>
      <c r="K23" s="1361"/>
      <c r="L23" s="1471"/>
      <c r="M23" s="1470"/>
      <c r="N23" s="1361"/>
      <c r="O23" s="1361"/>
      <c r="P23" s="1466"/>
      <c r="Q23" s="1359"/>
      <c r="R23" s="1360"/>
      <c r="S23" s="1469"/>
      <c r="T23" s="1468"/>
      <c r="U23" s="1364"/>
      <c r="V23" s="1361"/>
      <c r="W23" s="1467"/>
      <c r="X23" s="1466"/>
      <c r="Y23" s="1465"/>
    </row>
    <row r="24" spans="1:25" ht="13.5" customHeight="1">
      <c r="A24" s="1369"/>
      <c r="B24" s="1368"/>
      <c r="C24" s="1367"/>
      <c r="D24" s="1366"/>
      <c r="E24" s="1365"/>
      <c r="F24" s="1473"/>
      <c r="G24" s="1472"/>
      <c r="H24" s="1364"/>
      <c r="I24" s="1361"/>
      <c r="J24" s="1466"/>
      <c r="K24" s="1361"/>
      <c r="L24" s="1471"/>
      <c r="M24" s="1470"/>
      <c r="N24" s="1361"/>
      <c r="O24" s="1361"/>
      <c r="P24" s="1466"/>
      <c r="Q24" s="1359"/>
      <c r="R24" s="1360"/>
      <c r="S24" s="1469"/>
      <c r="T24" s="1468"/>
      <c r="U24" s="1364"/>
      <c r="V24" s="1361"/>
      <c r="W24" s="1467"/>
      <c r="X24" s="1466"/>
      <c r="Y24" s="1465"/>
    </row>
    <row r="25" spans="1:25" ht="13.5" customHeight="1">
      <c r="A25" s="1369"/>
      <c r="B25" s="1368"/>
      <c r="C25" s="1367"/>
      <c r="D25" s="1366"/>
      <c r="E25" s="1365"/>
      <c r="F25" s="1473"/>
      <c r="G25" s="1472"/>
      <c r="H25" s="1364"/>
      <c r="I25" s="1361"/>
      <c r="J25" s="1466"/>
      <c r="K25" s="1361"/>
      <c r="L25" s="1471"/>
      <c r="M25" s="1470"/>
      <c r="N25" s="1361"/>
      <c r="O25" s="1361"/>
      <c r="P25" s="1466"/>
      <c r="Q25" s="1359"/>
      <c r="R25" s="1360"/>
      <c r="S25" s="1469"/>
      <c r="T25" s="1468"/>
      <c r="U25" s="1364"/>
      <c r="V25" s="1361"/>
      <c r="W25" s="1467"/>
      <c r="X25" s="1466"/>
      <c r="Y25" s="1465"/>
    </row>
    <row r="26" spans="1:25" ht="13.5" customHeight="1">
      <c r="A26" s="1369"/>
      <c r="B26" s="1368"/>
      <c r="C26" s="1367"/>
      <c r="D26" s="1366"/>
      <c r="E26" s="1365"/>
      <c r="F26" s="1473"/>
      <c r="G26" s="1472"/>
      <c r="H26" s="1364"/>
      <c r="I26" s="1361"/>
      <c r="J26" s="1466"/>
      <c r="K26" s="1361"/>
      <c r="L26" s="1471"/>
      <c r="M26" s="1470"/>
      <c r="N26" s="1361"/>
      <c r="O26" s="1361"/>
      <c r="P26" s="1466"/>
      <c r="Q26" s="1359"/>
      <c r="R26" s="1360"/>
      <c r="S26" s="1469"/>
      <c r="T26" s="1468"/>
      <c r="U26" s="1364"/>
      <c r="V26" s="1361"/>
      <c r="W26" s="1467"/>
      <c r="X26" s="1466"/>
      <c r="Y26" s="1465"/>
    </row>
    <row r="27" spans="1:25" ht="13.5" customHeight="1">
      <c r="A27" s="1369"/>
      <c r="B27" s="1368"/>
      <c r="C27" s="1367"/>
      <c r="D27" s="1366"/>
      <c r="E27" s="1365"/>
      <c r="F27" s="1473"/>
      <c r="G27" s="1472"/>
      <c r="H27" s="1364"/>
      <c r="I27" s="1361"/>
      <c r="J27" s="1466"/>
      <c r="K27" s="1361"/>
      <c r="L27" s="1471"/>
      <c r="M27" s="1470"/>
      <c r="N27" s="1361"/>
      <c r="O27" s="1361"/>
      <c r="P27" s="1466"/>
      <c r="Q27" s="1359"/>
      <c r="R27" s="1360"/>
      <c r="S27" s="1469"/>
      <c r="T27" s="1468"/>
      <c r="U27" s="1364"/>
      <c r="V27" s="1361"/>
      <c r="W27" s="1467"/>
      <c r="X27" s="1466"/>
      <c r="Y27" s="1465"/>
    </row>
    <row r="28" spans="1:25" ht="13.5" customHeight="1">
      <c r="A28" s="1369"/>
      <c r="B28" s="1368"/>
      <c r="C28" s="1367"/>
      <c r="D28" s="1366"/>
      <c r="E28" s="1365"/>
      <c r="F28" s="1473"/>
      <c r="G28" s="1472"/>
      <c r="H28" s="1364"/>
      <c r="I28" s="1361"/>
      <c r="J28" s="1466"/>
      <c r="K28" s="1361"/>
      <c r="L28" s="1471"/>
      <c r="M28" s="1470"/>
      <c r="N28" s="1361"/>
      <c r="O28" s="1361"/>
      <c r="P28" s="1466"/>
      <c r="Q28" s="1359"/>
      <c r="R28" s="1360"/>
      <c r="S28" s="1469"/>
      <c r="T28" s="1468"/>
      <c r="U28" s="1364"/>
      <c r="V28" s="1361"/>
      <c r="W28" s="1467"/>
      <c r="X28" s="1466"/>
      <c r="Y28" s="1465"/>
    </row>
    <row r="29" spans="1:25" ht="13.5" customHeight="1">
      <c r="A29" s="1369"/>
      <c r="B29" s="1368"/>
      <c r="C29" s="1367"/>
      <c r="D29" s="1366"/>
      <c r="E29" s="1365"/>
      <c r="F29" s="1473"/>
      <c r="G29" s="1472"/>
      <c r="H29" s="1364"/>
      <c r="I29" s="1361"/>
      <c r="J29" s="1466"/>
      <c r="K29" s="1361"/>
      <c r="L29" s="1471"/>
      <c r="M29" s="1470"/>
      <c r="N29" s="1361"/>
      <c r="O29" s="1361"/>
      <c r="P29" s="1466"/>
      <c r="Q29" s="1359"/>
      <c r="R29" s="1360"/>
      <c r="S29" s="1469"/>
      <c r="T29" s="1468"/>
      <c r="U29" s="1364"/>
      <c r="V29" s="1361"/>
      <c r="W29" s="1467"/>
      <c r="X29" s="1466"/>
      <c r="Y29" s="1465"/>
    </row>
    <row r="30" spans="1:25" ht="13.5" customHeight="1">
      <c r="A30" s="1369"/>
      <c r="B30" s="1368"/>
      <c r="C30" s="1367"/>
      <c r="D30" s="1366"/>
      <c r="E30" s="1365"/>
      <c r="F30" s="1473"/>
      <c r="G30" s="1472"/>
      <c r="H30" s="1364"/>
      <c r="I30" s="1361"/>
      <c r="J30" s="1466"/>
      <c r="K30" s="1361"/>
      <c r="L30" s="1471"/>
      <c r="M30" s="1470"/>
      <c r="N30" s="1361"/>
      <c r="O30" s="1361"/>
      <c r="P30" s="1466"/>
      <c r="Q30" s="1359"/>
      <c r="R30" s="1360"/>
      <c r="S30" s="1469"/>
      <c r="T30" s="1468"/>
      <c r="U30" s="1364"/>
      <c r="V30" s="1361"/>
      <c r="W30" s="1467"/>
      <c r="X30" s="1466"/>
      <c r="Y30" s="1465"/>
    </row>
    <row r="31" spans="1:25" ht="13.5" customHeight="1">
      <c r="A31" s="1369"/>
      <c r="B31" s="1368"/>
      <c r="C31" s="1367"/>
      <c r="D31" s="1366"/>
      <c r="E31" s="1365"/>
      <c r="F31" s="1473"/>
      <c r="G31" s="1472"/>
      <c r="H31" s="1364"/>
      <c r="I31" s="1361"/>
      <c r="J31" s="1466"/>
      <c r="K31" s="1361"/>
      <c r="L31" s="1471"/>
      <c r="M31" s="1470"/>
      <c r="N31" s="1361"/>
      <c r="O31" s="1361"/>
      <c r="P31" s="1466"/>
      <c r="Q31" s="1359"/>
      <c r="R31" s="1360"/>
      <c r="S31" s="1469"/>
      <c r="T31" s="1468"/>
      <c r="U31" s="1364"/>
      <c r="V31" s="1361"/>
      <c r="W31" s="1467"/>
      <c r="X31" s="1466"/>
      <c r="Y31" s="1465"/>
    </row>
    <row r="32" spans="1:25" ht="13.5" customHeight="1">
      <c r="A32" s="1369"/>
      <c r="B32" s="1368"/>
      <c r="C32" s="1367"/>
      <c r="D32" s="1366"/>
      <c r="E32" s="1365"/>
      <c r="F32" s="1473"/>
      <c r="G32" s="1472"/>
      <c r="H32" s="1364"/>
      <c r="I32" s="1361"/>
      <c r="J32" s="1466"/>
      <c r="K32" s="1361"/>
      <c r="L32" s="1471"/>
      <c r="M32" s="1470"/>
      <c r="N32" s="1361"/>
      <c r="O32" s="1361"/>
      <c r="P32" s="1466"/>
      <c r="Q32" s="1359"/>
      <c r="R32" s="1360"/>
      <c r="S32" s="1469"/>
      <c r="T32" s="1468"/>
      <c r="U32" s="1364"/>
      <c r="V32" s="1361"/>
      <c r="W32" s="1467"/>
      <c r="X32" s="1466"/>
      <c r="Y32" s="1465"/>
    </row>
    <row r="33" spans="1:25" ht="13.5" customHeight="1">
      <c r="A33" s="1369"/>
      <c r="B33" s="1368"/>
      <c r="C33" s="1367"/>
      <c r="D33" s="1366"/>
      <c r="E33" s="1365"/>
      <c r="F33" s="1473"/>
      <c r="G33" s="1472"/>
      <c r="H33" s="1364"/>
      <c r="I33" s="1361"/>
      <c r="J33" s="1466"/>
      <c r="K33" s="1361"/>
      <c r="L33" s="1471"/>
      <c r="M33" s="1470"/>
      <c r="N33" s="1361"/>
      <c r="O33" s="1361"/>
      <c r="P33" s="1466"/>
      <c r="Q33" s="1359"/>
      <c r="R33" s="1360"/>
      <c r="S33" s="1469"/>
      <c r="T33" s="1468"/>
      <c r="U33" s="1364"/>
      <c r="V33" s="1361"/>
      <c r="W33" s="1467"/>
      <c r="X33" s="1466"/>
      <c r="Y33" s="1465"/>
    </row>
    <row r="34" spans="1:25" ht="13.5" customHeight="1">
      <c r="A34" s="1369"/>
      <c r="B34" s="1368"/>
      <c r="C34" s="1367"/>
      <c r="D34" s="1366"/>
      <c r="E34" s="1365"/>
      <c r="F34" s="1473"/>
      <c r="G34" s="1472"/>
      <c r="H34" s="1364"/>
      <c r="I34" s="1361"/>
      <c r="J34" s="1466"/>
      <c r="K34" s="1361"/>
      <c r="L34" s="1471"/>
      <c r="M34" s="1470"/>
      <c r="N34" s="1361"/>
      <c r="O34" s="1361"/>
      <c r="P34" s="1466"/>
      <c r="Q34" s="1359"/>
      <c r="R34" s="1360"/>
      <c r="S34" s="1469"/>
      <c r="T34" s="1468"/>
      <c r="U34" s="1364"/>
      <c r="V34" s="1361"/>
      <c r="W34" s="1467"/>
      <c r="X34" s="1466"/>
      <c r="Y34" s="1465"/>
    </row>
    <row r="35" spans="1:25" ht="13.5" customHeight="1">
      <c r="A35" s="1369"/>
      <c r="B35" s="1368"/>
      <c r="C35" s="1367"/>
      <c r="D35" s="1366"/>
      <c r="E35" s="1365"/>
      <c r="F35" s="1473"/>
      <c r="G35" s="1472"/>
      <c r="H35" s="1364"/>
      <c r="I35" s="1361"/>
      <c r="J35" s="1466"/>
      <c r="K35" s="1361"/>
      <c r="L35" s="1471"/>
      <c r="M35" s="1470"/>
      <c r="N35" s="1361"/>
      <c r="O35" s="1361"/>
      <c r="P35" s="1466"/>
      <c r="Q35" s="1359"/>
      <c r="R35" s="1360"/>
      <c r="S35" s="1469"/>
      <c r="T35" s="1468"/>
      <c r="U35" s="1364"/>
      <c r="V35" s="1361"/>
      <c r="W35" s="1467"/>
      <c r="X35" s="1466"/>
      <c r="Y35" s="1465"/>
    </row>
    <row r="36" spans="1:25" ht="13.5" customHeight="1" thickBot="1">
      <c r="A36" s="1434"/>
      <c r="B36" s="1435"/>
      <c r="C36" s="1436"/>
      <c r="D36" s="1437"/>
      <c r="E36" s="1438"/>
      <c r="F36" s="1537"/>
      <c r="G36" s="1538"/>
      <c r="H36" s="1439"/>
      <c r="I36" s="1440"/>
      <c r="J36" s="1539"/>
      <c r="K36" s="1440"/>
      <c r="L36" s="1540"/>
      <c r="M36" s="1541"/>
      <c r="N36" s="1440"/>
      <c r="O36" s="1440"/>
      <c r="P36" s="1539"/>
      <c r="Q36" s="1442"/>
      <c r="R36" s="1444"/>
      <c r="S36" s="1542"/>
      <c r="T36" s="1543"/>
      <c r="U36" s="1439"/>
      <c r="V36" s="1440"/>
      <c r="W36" s="1544"/>
      <c r="X36" s="1539"/>
      <c r="Y36" s="1545"/>
    </row>
    <row r="37" spans="1:25" ht="18.95" customHeight="1" thickTop="1">
      <c r="A37" s="1451" t="s">
        <v>1096</v>
      </c>
      <c r="B37" s="1452"/>
      <c r="C37" s="1453"/>
      <c r="D37" s="1446">
        <v>0</v>
      </c>
      <c r="E37" s="1447"/>
      <c r="F37" s="1447">
        <v>0</v>
      </c>
      <c r="G37" s="1546"/>
      <c r="H37" s="1448">
        <v>0</v>
      </c>
      <c r="I37" s="1449">
        <v>0</v>
      </c>
      <c r="J37" s="1449">
        <v>0</v>
      </c>
      <c r="K37" s="1449">
        <v>0</v>
      </c>
      <c r="L37" s="1449">
        <v>0</v>
      </c>
      <c r="M37" s="1448">
        <v>0</v>
      </c>
      <c r="N37" s="1448">
        <v>0</v>
      </c>
      <c r="O37" s="1449">
        <v>0</v>
      </c>
      <c r="P37" s="1449">
        <v>0</v>
      </c>
      <c r="Q37" s="1449">
        <v>0</v>
      </c>
      <c r="R37" s="1449">
        <v>0</v>
      </c>
      <c r="S37" s="1547"/>
      <c r="T37" s="1548"/>
      <c r="U37" s="1448">
        <v>2640</v>
      </c>
      <c r="V37" s="1449"/>
      <c r="W37" s="1449">
        <v>0</v>
      </c>
      <c r="X37" s="1449">
        <v>2640</v>
      </c>
      <c r="Y37" s="1549"/>
    </row>
    <row r="38" spans="1:25" ht="13.5" customHeight="1">
      <c r="A38" s="1351" t="s">
        <v>1134</v>
      </c>
      <c r="C38" s="1351" t="s">
        <v>1135</v>
      </c>
    </row>
    <row r="39" spans="1:25" ht="13.5" customHeight="1">
      <c r="C39" s="1351" t="s">
        <v>1219</v>
      </c>
    </row>
    <row r="40" spans="1:25" ht="13.5" customHeight="1">
      <c r="C40" s="1351" t="s">
        <v>1220</v>
      </c>
    </row>
    <row r="56" spans="3:46" s="1351" customFormat="1" ht="13.5" customHeight="1">
      <c r="C56" s="1464"/>
      <c r="D56" s="1464"/>
      <c r="E56" s="1464"/>
      <c r="F56" s="1464"/>
      <c r="G56" s="1464"/>
      <c r="H56" s="1464"/>
      <c r="J56" s="1352"/>
      <c r="P56" s="1352"/>
      <c r="AB56" s="1463"/>
      <c r="AC56" s="1463"/>
      <c r="AD56" s="1463"/>
      <c r="AE56" s="1463"/>
      <c r="AF56" s="1463"/>
      <c r="AG56" s="1463"/>
      <c r="AH56" s="1463"/>
      <c r="AI56" s="1463"/>
      <c r="AJ56" s="1463"/>
      <c r="AK56" s="1463"/>
      <c r="AL56" s="1463"/>
      <c r="AM56" s="1463"/>
      <c r="AN56" s="1463"/>
      <c r="AO56" s="1463"/>
      <c r="AP56" s="1463"/>
      <c r="AQ56" s="1463"/>
      <c r="AR56" s="1462"/>
      <c r="AS56" s="1461"/>
      <c r="AT56" s="1461"/>
    </row>
    <row r="57" spans="3:46" s="1351" customFormat="1" ht="13.5" customHeight="1">
      <c r="C57" s="1464"/>
      <c r="D57" s="1464"/>
      <c r="E57" s="1464"/>
      <c r="F57" s="1464"/>
      <c r="G57" s="1464"/>
      <c r="H57" s="1464"/>
      <c r="I57" s="1356"/>
      <c r="J57" s="1352"/>
      <c r="O57" s="1356"/>
      <c r="P57" s="1352"/>
      <c r="AB57" s="1463"/>
      <c r="AC57" s="1463"/>
      <c r="AD57" s="1463"/>
      <c r="AE57" s="1463"/>
      <c r="AF57" s="1463"/>
      <c r="AG57" s="1463"/>
      <c r="AH57" s="1463"/>
      <c r="AI57" s="1463"/>
      <c r="AJ57" s="1463"/>
      <c r="AK57" s="1463"/>
      <c r="AL57" s="1463"/>
      <c r="AM57" s="1463"/>
      <c r="AN57" s="1463"/>
      <c r="AO57" s="1463"/>
      <c r="AP57" s="1463"/>
      <c r="AQ57" s="1463"/>
      <c r="AR57" s="1462"/>
      <c r="AS57" s="1461"/>
      <c r="AT57" s="1461"/>
    </row>
    <row r="58" spans="3:46" s="1351" customFormat="1" ht="13.5" customHeight="1">
      <c r="C58" s="1464"/>
      <c r="D58" s="1464"/>
      <c r="E58" s="1464"/>
      <c r="F58" s="1464"/>
      <c r="G58" s="1464"/>
      <c r="H58" s="1464"/>
      <c r="I58" s="1354"/>
      <c r="J58" s="1352"/>
      <c r="O58" s="1354"/>
      <c r="P58" s="1352"/>
      <c r="AB58" s="1463"/>
      <c r="AC58" s="1463"/>
      <c r="AD58" s="1463"/>
      <c r="AE58" s="1463"/>
      <c r="AF58" s="1463"/>
      <c r="AG58" s="1463"/>
      <c r="AH58" s="1463"/>
      <c r="AI58" s="1463"/>
      <c r="AJ58" s="1463"/>
      <c r="AK58" s="1463"/>
      <c r="AL58" s="1463"/>
      <c r="AM58" s="1463"/>
      <c r="AN58" s="1463"/>
      <c r="AO58" s="1463"/>
      <c r="AP58" s="1463"/>
      <c r="AQ58" s="1463"/>
      <c r="AR58" s="1462"/>
      <c r="AS58" s="1461"/>
      <c r="AT58" s="1461"/>
    </row>
    <row r="59" spans="3:46" s="1351" customFormat="1" ht="13.5" customHeight="1">
      <c r="C59" s="1353"/>
      <c r="D59" s="1353"/>
      <c r="E59" s="1353"/>
      <c r="F59" s="1353"/>
      <c r="G59" s="1353"/>
      <c r="H59" s="1353"/>
      <c r="I59" s="1352"/>
      <c r="O59" s="1352"/>
      <c r="AB59" s="1463"/>
      <c r="AC59" s="1463"/>
      <c r="AD59" s="1463"/>
      <c r="AE59" s="1463"/>
      <c r="AF59" s="1463"/>
      <c r="AG59" s="1463"/>
      <c r="AH59" s="1463"/>
      <c r="AI59" s="1463"/>
      <c r="AJ59" s="1463"/>
      <c r="AK59" s="1463"/>
      <c r="AL59" s="1463"/>
      <c r="AM59" s="1463"/>
      <c r="AN59" s="1463"/>
      <c r="AO59" s="1463"/>
      <c r="AP59" s="1463"/>
      <c r="AQ59" s="1463"/>
      <c r="AR59" s="1462"/>
      <c r="AS59" s="1461"/>
      <c r="AT59" s="1461"/>
    </row>
  </sheetData>
  <mergeCells count="33">
    <mergeCell ref="A37:C37"/>
    <mergeCell ref="H5:H6"/>
    <mergeCell ref="N5:N6"/>
    <mergeCell ref="AB2:AI3"/>
    <mergeCell ref="AJ2:AQ3"/>
    <mergeCell ref="AS2:AT4"/>
    <mergeCell ref="A4:A6"/>
    <mergeCell ref="B4:B6"/>
    <mergeCell ref="C4:C6"/>
    <mergeCell ref="D4:D6"/>
    <mergeCell ref="E4:E6"/>
    <mergeCell ref="F4:F6"/>
    <mergeCell ref="G4:G6"/>
    <mergeCell ref="H4:L4"/>
    <mergeCell ref="M4:M6"/>
    <mergeCell ref="N4:R4"/>
    <mergeCell ref="S4:T5"/>
    <mergeCell ref="U4:X4"/>
    <mergeCell ref="Y4:Y6"/>
    <mergeCell ref="U5:U6"/>
    <mergeCell ref="V5:V6"/>
    <mergeCell ref="W5:W6"/>
    <mergeCell ref="X5:X6"/>
    <mergeCell ref="K5:K6"/>
    <mergeCell ref="L5:L6"/>
    <mergeCell ref="Q5:Q6"/>
    <mergeCell ref="R5:R6"/>
    <mergeCell ref="AS5:AS6"/>
    <mergeCell ref="AT5:AT6"/>
    <mergeCell ref="AB4:AE4"/>
    <mergeCell ref="AF4:AI4"/>
    <mergeCell ref="AJ4:AM4"/>
    <mergeCell ref="AN4:AQ4"/>
  </mergeCells>
  <phoneticPr fontId="4"/>
  <printOptions horizontalCentered="1"/>
  <pageMargins left="0.39370078740157483" right="0.39370078740157483" top="0.78740157480314965" bottom="0.47244094488188981" header="0.59055118110236227" footer="0.31496062992125984"/>
  <pageSetup paperSize="9" scale="74" orientation="landscape" horizontalDpi="1200" verticalDpi="1200" r:id="rId1"/>
  <headerFooter scaleWithDoc="0" alignWithMargins="0">
    <oddFooter>&amp;C&amp;"ＭＳ Ｐゴシック,標準"&amp;9( &amp;P / &amp;N )</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11111221267">
    <pageSetUpPr fitToPage="1"/>
  </sheetPr>
  <dimension ref="A1:AH32"/>
  <sheetViews>
    <sheetView showGridLines="0" zoomScaleNormal="100" workbookViewId="0"/>
  </sheetViews>
  <sheetFormatPr defaultColWidth="11.7109375" defaultRowHeight="18" customHeight="1"/>
  <cols>
    <col min="1" max="12" width="9.140625" style="1550" customWidth="1"/>
    <col min="13" max="13" width="2.5703125" style="1550" customWidth="1"/>
    <col min="14" max="16" width="9.140625" style="1550" customWidth="1"/>
    <col min="17" max="18" width="3.7109375" style="1550" customWidth="1"/>
    <col min="19" max="25" width="9.140625" style="1550" customWidth="1"/>
    <col min="26" max="27" width="3.7109375" style="1550" customWidth="1"/>
    <col min="28" max="34" width="9.140625" style="1550" customWidth="1"/>
    <col min="35" max="16384" width="11.7109375" style="1550"/>
  </cols>
  <sheetData>
    <row r="1" spans="1:34" s="1580" customFormat="1" ht="18" customHeight="1">
      <c r="A1" s="1585" t="s">
        <v>1223</v>
      </c>
      <c r="B1" s="1582"/>
      <c r="C1" s="1582"/>
      <c r="D1" s="1582"/>
      <c r="E1" s="1582"/>
      <c r="F1" s="1582"/>
      <c r="G1" s="1582"/>
      <c r="H1" s="1582"/>
      <c r="I1" s="1582"/>
      <c r="J1" s="1582"/>
      <c r="K1" s="1582"/>
      <c r="L1" s="1582"/>
      <c r="M1" s="1582"/>
      <c r="N1" s="1582"/>
      <c r="O1" s="1582"/>
      <c r="P1" s="1581"/>
      <c r="R1" s="1584" t="s">
        <v>1229</v>
      </c>
      <c r="S1" s="1583"/>
      <c r="T1" s="1582"/>
      <c r="U1" s="1582"/>
      <c r="V1" s="1582"/>
      <c r="W1" s="1582"/>
      <c r="X1" s="1582"/>
      <c r="Y1" s="1582"/>
      <c r="Z1" s="1582"/>
      <c r="AA1" s="1582"/>
      <c r="AB1" s="1582"/>
      <c r="AC1" s="1582"/>
      <c r="AD1" s="1582"/>
      <c r="AE1" s="1582"/>
      <c r="AF1" s="1582"/>
      <c r="AG1" s="1582"/>
      <c r="AH1" s="1581"/>
    </row>
    <row r="2" spans="1:34" ht="9.75" customHeight="1" thickBot="1">
      <c r="M2" s="1579"/>
      <c r="N2" s="1578"/>
      <c r="O2" s="1578"/>
      <c r="P2" s="1578"/>
    </row>
    <row r="3" spans="1:34" ht="18" customHeight="1" thickBot="1">
      <c r="A3" s="1566"/>
      <c r="B3" s="1577"/>
      <c r="C3" s="1577"/>
      <c r="D3" s="1577"/>
      <c r="E3" s="1577"/>
      <c r="F3" s="1577"/>
      <c r="G3" s="1577"/>
      <c r="H3" s="1577"/>
      <c r="I3" s="1577"/>
      <c r="J3" s="1577"/>
      <c r="K3" s="1577"/>
      <c r="L3" s="1568"/>
      <c r="M3" s="1568"/>
      <c r="N3" s="1576" t="s">
        <v>1194</v>
      </c>
      <c r="O3" s="1575"/>
      <c r="P3" s="1574"/>
      <c r="Q3" s="1566"/>
      <c r="R3" s="1588" t="s">
        <v>1155</v>
      </c>
      <c r="S3" s="1589"/>
      <c r="T3" s="1589"/>
      <c r="U3" s="1589"/>
      <c r="V3" s="1589"/>
      <c r="W3" s="1589"/>
      <c r="X3" s="1589"/>
      <c r="Y3" s="1589"/>
    </row>
    <row r="4" spans="1:34" ht="18" customHeight="1">
      <c r="A4" s="1566"/>
      <c r="B4" s="1566"/>
      <c r="C4" s="1566"/>
      <c r="D4" s="1566"/>
      <c r="E4" s="1566"/>
      <c r="F4" s="1566"/>
      <c r="G4" s="1566"/>
      <c r="H4" s="1566"/>
      <c r="I4" s="1573"/>
      <c r="J4" s="1568"/>
      <c r="K4" s="1573"/>
      <c r="L4" s="1568"/>
      <c r="M4" s="1568"/>
      <c r="N4" s="1557" t="s">
        <v>1141</v>
      </c>
      <c r="O4" s="1556"/>
      <c r="P4" s="1555"/>
      <c r="Q4" s="1566"/>
      <c r="S4" s="1590" t="s">
        <v>1224</v>
      </c>
      <c r="T4" s="1591"/>
      <c r="U4" s="1591"/>
      <c r="V4" s="1591"/>
      <c r="W4" s="1591"/>
      <c r="X4" s="1591"/>
      <c r="Y4" s="1591"/>
    </row>
    <row r="5" spans="1:34" ht="18" customHeight="1">
      <c r="A5" s="1566"/>
      <c r="B5" s="1566"/>
      <c r="C5" s="1566"/>
      <c r="D5" s="1566"/>
      <c r="E5" s="1566"/>
      <c r="F5" s="1566"/>
      <c r="G5" s="1566"/>
      <c r="H5" s="1566"/>
      <c r="I5" s="1568"/>
      <c r="J5" s="1567"/>
      <c r="K5" s="1568"/>
      <c r="L5" s="1567"/>
      <c r="M5" s="1567"/>
      <c r="N5" s="1557" t="s">
        <v>1185</v>
      </c>
      <c r="O5" s="1556"/>
      <c r="P5" s="1555"/>
      <c r="Q5" s="1566"/>
      <c r="S5" s="1586" t="s">
        <v>1140</v>
      </c>
      <c r="T5" s="1587"/>
      <c r="U5" s="1587"/>
      <c r="V5" s="1587"/>
      <c r="W5" s="1587"/>
      <c r="X5" s="1587"/>
      <c r="Y5" s="1587"/>
    </row>
    <row r="6" spans="1:34" ht="18" customHeight="1" thickBot="1">
      <c r="A6" s="1566"/>
      <c r="F6" s="1566"/>
      <c r="G6" s="1566"/>
      <c r="H6" s="1566"/>
      <c r="I6" s="1568"/>
      <c r="J6" s="1567"/>
      <c r="K6" s="1568"/>
      <c r="L6" s="1567"/>
      <c r="M6" s="1567"/>
      <c r="N6" s="1557" t="s">
        <v>1186</v>
      </c>
      <c r="O6" s="1556"/>
      <c r="P6" s="1555"/>
      <c r="Q6" s="1566"/>
      <c r="R6" s="1588" t="s">
        <v>1157</v>
      </c>
      <c r="S6" s="1589"/>
      <c r="T6" s="1589"/>
      <c r="U6" s="1589"/>
      <c r="V6" s="1589"/>
      <c r="W6" s="1589"/>
      <c r="X6" s="1589"/>
      <c r="Y6" s="1589"/>
    </row>
    <row r="7" spans="1:34" ht="18" customHeight="1">
      <c r="A7" s="1566"/>
      <c r="F7" s="1566"/>
      <c r="G7" s="1566"/>
      <c r="H7" s="1566"/>
      <c r="I7" s="1558"/>
      <c r="J7" s="1558"/>
      <c r="K7" s="1558"/>
      <c r="L7" s="1558"/>
      <c r="M7" s="1558"/>
      <c r="N7" s="1557" t="s">
        <v>1145</v>
      </c>
      <c r="O7" s="1556"/>
      <c r="P7" s="1555"/>
      <c r="Q7" s="1566"/>
      <c r="R7" s="1590" t="s">
        <v>1200</v>
      </c>
      <c r="S7" s="1591"/>
      <c r="T7" s="1591"/>
      <c r="U7" s="1591"/>
      <c r="V7" s="1591"/>
      <c r="W7" s="1591"/>
      <c r="X7" s="1591"/>
      <c r="Y7" s="1591"/>
    </row>
    <row r="8" spans="1:34" ht="18" customHeight="1">
      <c r="A8" s="1566"/>
      <c r="C8" s="1572" t="s">
        <v>1139</v>
      </c>
      <c r="D8" s="1571"/>
      <c r="F8" s="1566"/>
      <c r="G8" s="1566"/>
      <c r="H8" s="1566"/>
      <c r="I8" s="1566"/>
      <c r="J8" s="1566"/>
      <c r="K8" s="1566"/>
      <c r="L8" s="1566"/>
      <c r="M8" s="1566"/>
      <c r="N8" s="1557" t="s">
        <v>1187</v>
      </c>
      <c r="O8" s="1556"/>
      <c r="P8" s="1555"/>
      <c r="Q8" s="1566"/>
      <c r="S8" s="1586" t="s">
        <v>1225</v>
      </c>
      <c r="T8" s="1587"/>
      <c r="U8" s="1587"/>
      <c r="V8" s="1587"/>
      <c r="W8" s="1587"/>
      <c r="X8" s="1587"/>
      <c r="Y8" s="1587"/>
    </row>
    <row r="9" spans="1:34" ht="18" customHeight="1" thickBot="1">
      <c r="A9" s="1566"/>
      <c r="B9" s="1562"/>
      <c r="C9" s="1570"/>
      <c r="D9" s="1569"/>
      <c r="E9" s="1562"/>
      <c r="F9" s="1566"/>
      <c r="G9" s="1566"/>
      <c r="H9" s="1566"/>
      <c r="I9" s="1568"/>
      <c r="J9" s="1568"/>
      <c r="K9" s="1568"/>
      <c r="L9" s="1568"/>
      <c r="M9" s="1568"/>
      <c r="N9" s="1557" t="s">
        <v>1140</v>
      </c>
      <c r="O9" s="1556"/>
      <c r="P9" s="1555"/>
      <c r="Q9" s="1566"/>
      <c r="R9" s="1562"/>
      <c r="S9" s="1592" t="s">
        <v>1202</v>
      </c>
      <c r="T9" s="1587"/>
      <c r="U9" s="1587"/>
      <c r="V9" s="1587"/>
      <c r="W9" s="1587"/>
      <c r="X9" s="1587"/>
      <c r="Y9" s="1587"/>
    </row>
    <row r="10" spans="1:34" ht="18" customHeight="1">
      <c r="A10" s="1566"/>
      <c r="B10" s="1562"/>
      <c r="C10" s="1562"/>
      <c r="D10" s="1562"/>
      <c r="E10" s="1562"/>
      <c r="F10" s="1566"/>
      <c r="G10" s="1566"/>
      <c r="H10" s="1566"/>
      <c r="I10" s="1568"/>
      <c r="M10" s="1568"/>
      <c r="N10" s="1557" t="s">
        <v>1189</v>
      </c>
      <c r="O10" s="1556"/>
      <c r="P10" s="1555"/>
      <c r="Q10" s="1566"/>
      <c r="R10" s="1562"/>
      <c r="S10" s="1592" t="s">
        <v>1140</v>
      </c>
      <c r="T10" s="1587"/>
      <c r="U10" s="1587"/>
      <c r="V10" s="1587"/>
      <c r="W10" s="1587"/>
      <c r="X10" s="1587"/>
      <c r="Y10" s="1587"/>
    </row>
    <row r="11" spans="1:34" ht="18" customHeight="1" thickBot="1">
      <c r="A11" s="1566"/>
      <c r="B11" s="1562"/>
      <c r="C11" s="1562"/>
      <c r="D11" s="1562"/>
      <c r="E11" s="1562"/>
      <c r="F11" s="1566"/>
      <c r="G11" s="1566"/>
      <c r="H11" s="1566"/>
      <c r="I11" s="1568"/>
      <c r="M11" s="1567"/>
      <c r="N11" s="1557" t="s">
        <v>1221</v>
      </c>
      <c r="O11" s="1556"/>
      <c r="P11" s="1555"/>
      <c r="Q11" s="1566"/>
      <c r="R11" s="1593" t="s">
        <v>1161</v>
      </c>
      <c r="S11" s="1589"/>
      <c r="T11" s="1589"/>
      <c r="U11" s="1589"/>
      <c r="V11" s="1589"/>
      <c r="W11" s="1589"/>
      <c r="X11" s="1589"/>
      <c r="Y11" s="1589"/>
    </row>
    <row r="12" spans="1:34" ht="18" customHeight="1">
      <c r="A12" s="1566"/>
      <c r="B12" s="1562"/>
      <c r="C12" s="1562"/>
      <c r="D12" s="1562"/>
      <c r="E12" s="1562"/>
      <c r="F12" s="1566"/>
      <c r="G12" s="1566"/>
      <c r="H12" s="1566"/>
      <c r="I12" s="1568"/>
      <c r="M12" s="1567"/>
      <c r="N12" s="1557"/>
      <c r="O12" s="1556"/>
      <c r="P12" s="1555"/>
      <c r="R12" s="1594" t="s">
        <v>1208</v>
      </c>
      <c r="S12" s="1591"/>
      <c r="T12" s="1591"/>
      <c r="U12" s="1591"/>
      <c r="V12" s="1591"/>
      <c r="W12" s="1591"/>
      <c r="X12" s="1591"/>
      <c r="Y12" s="1591"/>
    </row>
    <row r="13" spans="1:34" ht="18" customHeight="1">
      <c r="A13" s="1566"/>
      <c r="B13" s="1562"/>
      <c r="C13" s="1562"/>
      <c r="D13" s="1562"/>
      <c r="E13" s="1562"/>
      <c r="F13" s="1566"/>
      <c r="G13" s="1566"/>
      <c r="H13" s="1566"/>
      <c r="I13" s="1558"/>
      <c r="M13" s="1558"/>
      <c r="N13" s="1557"/>
      <c r="O13" s="1556"/>
      <c r="P13" s="1555"/>
      <c r="R13" s="1562"/>
      <c r="S13" s="1592" t="s">
        <v>1226</v>
      </c>
      <c r="T13" s="1587"/>
      <c r="U13" s="1587"/>
      <c r="V13" s="1587"/>
      <c r="W13" s="1587"/>
      <c r="X13" s="1587"/>
      <c r="Y13" s="1587"/>
    </row>
    <row r="14" spans="1:34" ht="18" customHeight="1">
      <c r="A14" s="1566"/>
      <c r="B14" s="1566"/>
      <c r="C14" s="1566"/>
      <c r="D14" s="1566"/>
      <c r="E14" s="1566"/>
      <c r="F14" s="1566"/>
      <c r="G14" s="1566"/>
      <c r="H14" s="1566"/>
      <c r="I14" s="1566"/>
      <c r="M14" s="1566"/>
      <c r="N14" s="1557"/>
      <c r="O14" s="1556"/>
      <c r="P14" s="1555"/>
      <c r="R14" s="1562"/>
      <c r="S14" s="1592" t="s">
        <v>1227</v>
      </c>
      <c r="T14" s="1587"/>
      <c r="U14" s="1587"/>
      <c r="V14" s="1587"/>
      <c r="W14" s="1587"/>
      <c r="X14" s="1587"/>
      <c r="Y14" s="1587"/>
    </row>
    <row r="15" spans="1:34" ht="18" customHeight="1">
      <c r="N15" s="1557"/>
      <c r="O15" s="1556"/>
      <c r="P15" s="1555"/>
      <c r="S15" s="1592" t="s">
        <v>1211</v>
      </c>
      <c r="T15" s="1587"/>
      <c r="U15" s="1587"/>
      <c r="V15" s="1587"/>
      <c r="W15" s="1587"/>
      <c r="X15" s="1587"/>
      <c r="Y15" s="1587"/>
    </row>
    <row r="16" spans="1:34" ht="18" customHeight="1">
      <c r="N16" s="1557"/>
      <c r="O16" s="1556"/>
      <c r="P16" s="1555"/>
      <c r="R16" s="1558"/>
      <c r="S16" s="1595" t="s">
        <v>1140</v>
      </c>
      <c r="T16" s="1587"/>
      <c r="U16" s="1587"/>
      <c r="V16" s="1587"/>
      <c r="W16" s="1587"/>
      <c r="X16" s="1587"/>
      <c r="Y16" s="1587"/>
    </row>
    <row r="17" spans="1:25" ht="18" customHeight="1" thickBot="1">
      <c r="N17" s="1557"/>
      <c r="O17" s="1556"/>
      <c r="P17" s="1555"/>
      <c r="R17" s="1601" t="s">
        <v>1169</v>
      </c>
      <c r="S17" s="1589"/>
      <c r="T17" s="1589"/>
      <c r="U17" s="1589"/>
      <c r="V17" s="1589"/>
      <c r="W17" s="1589"/>
      <c r="X17" s="1589"/>
      <c r="Y17" s="1589"/>
    </row>
    <row r="18" spans="1:25" ht="18" customHeight="1">
      <c r="N18" s="1557"/>
      <c r="O18" s="1556"/>
      <c r="P18" s="1555"/>
      <c r="R18" s="1565"/>
      <c r="S18" s="1602" t="s">
        <v>1215</v>
      </c>
      <c r="T18" s="1591"/>
      <c r="U18" s="1591"/>
      <c r="V18" s="1591"/>
      <c r="W18" s="1591"/>
      <c r="X18" s="1591"/>
      <c r="Y18" s="1591"/>
    </row>
    <row r="19" spans="1:25" ht="18" customHeight="1">
      <c r="I19" s="1558"/>
      <c r="M19" s="1558"/>
      <c r="N19" s="1557"/>
      <c r="O19" s="1556"/>
      <c r="P19" s="1555"/>
      <c r="R19" s="1564"/>
      <c r="S19" s="1597" t="s">
        <v>1228</v>
      </c>
      <c r="T19" s="1587"/>
      <c r="U19" s="1587"/>
      <c r="V19" s="1587"/>
      <c r="W19" s="1587"/>
      <c r="X19" s="1587"/>
      <c r="Y19" s="1587"/>
    </row>
    <row r="20" spans="1:25" ht="18" customHeight="1">
      <c r="N20" s="1557"/>
      <c r="O20" s="1556"/>
      <c r="P20" s="1555"/>
      <c r="R20" s="1562"/>
      <c r="S20" s="1592" t="s">
        <v>1172</v>
      </c>
      <c r="T20" s="1587"/>
      <c r="U20" s="1587"/>
      <c r="V20" s="1587"/>
      <c r="W20" s="1587"/>
      <c r="X20" s="1587"/>
      <c r="Y20" s="1587"/>
    </row>
    <row r="21" spans="1:25" ht="18" customHeight="1">
      <c r="A21" s="1563"/>
      <c r="B21" s="1562"/>
      <c r="C21" s="1562"/>
      <c r="N21" s="1557"/>
      <c r="O21" s="1556"/>
      <c r="P21" s="1555"/>
      <c r="R21" s="1561"/>
      <c r="S21" s="1598" t="s">
        <v>1173</v>
      </c>
      <c r="T21" s="1587"/>
      <c r="U21" s="1587"/>
      <c r="V21" s="1587"/>
      <c r="W21" s="1587"/>
      <c r="X21" s="1587"/>
      <c r="Y21" s="1587"/>
    </row>
    <row r="22" spans="1:25" ht="18" customHeight="1">
      <c r="A22" s="1563"/>
      <c r="B22" s="1562"/>
      <c r="C22" s="1562"/>
      <c r="N22" s="1557"/>
      <c r="O22" s="1556"/>
      <c r="P22" s="1555"/>
      <c r="R22" s="1561"/>
      <c r="S22" s="1598" t="s">
        <v>1174</v>
      </c>
      <c r="T22" s="1587"/>
      <c r="U22" s="1587"/>
      <c r="V22" s="1587"/>
      <c r="W22" s="1587"/>
      <c r="X22" s="1587"/>
      <c r="Y22" s="1587"/>
    </row>
    <row r="23" spans="1:25" ht="18" customHeight="1">
      <c r="N23" s="1557"/>
      <c r="O23" s="1556"/>
      <c r="P23" s="1555"/>
    </row>
    <row r="24" spans="1:25" ht="18" customHeight="1">
      <c r="N24" s="1557"/>
      <c r="O24" s="1556"/>
      <c r="P24" s="1555"/>
    </row>
    <row r="25" spans="1:25" ht="18" customHeight="1">
      <c r="N25" s="1557"/>
      <c r="O25" s="1556"/>
      <c r="P25" s="1555"/>
    </row>
    <row r="26" spans="1:25" ht="18" customHeight="1">
      <c r="N26" s="1557"/>
      <c r="O26" s="1556"/>
      <c r="P26" s="1555"/>
    </row>
    <row r="27" spans="1:25" ht="18" customHeight="1">
      <c r="N27" s="1557"/>
      <c r="O27" s="1556"/>
      <c r="P27" s="1555"/>
    </row>
    <row r="28" spans="1:25" ht="18" customHeight="1">
      <c r="A28" s="1558"/>
      <c r="B28" s="1558"/>
      <c r="C28" s="1558"/>
      <c r="D28" s="1558"/>
      <c r="N28" s="1557"/>
      <c r="O28" s="1556"/>
      <c r="P28" s="1555"/>
    </row>
    <row r="29" spans="1:25" ht="18" customHeight="1" thickBot="1">
      <c r="A29" s="1560" t="s">
        <v>1138</v>
      </c>
      <c r="B29" s="1560"/>
      <c r="C29" s="1560"/>
      <c r="D29" s="1560"/>
      <c r="E29" s="1560"/>
      <c r="F29" s="1560"/>
      <c r="G29" s="1560"/>
      <c r="H29" s="1560"/>
      <c r="I29" s="1560"/>
      <c r="J29" s="1560"/>
      <c r="K29" s="1560"/>
      <c r="L29" s="1560"/>
      <c r="M29" s="1558"/>
      <c r="N29" s="1557"/>
      <c r="O29" s="1556"/>
      <c r="P29" s="1555"/>
    </row>
    <row r="30" spans="1:25" ht="18" customHeight="1">
      <c r="A30" s="1559" t="s">
        <v>1195</v>
      </c>
      <c r="B30" s="1559"/>
      <c r="C30" s="1559"/>
      <c r="D30" s="1559"/>
      <c r="E30" s="1559"/>
      <c r="F30" s="1559"/>
      <c r="G30" s="1559"/>
      <c r="H30" s="1559"/>
      <c r="I30" s="1559"/>
      <c r="J30" s="1559"/>
      <c r="K30" s="1559"/>
      <c r="L30" s="1559"/>
      <c r="M30" s="1558"/>
      <c r="N30" s="1557"/>
      <c r="O30" s="1556"/>
      <c r="P30" s="1555"/>
    </row>
    <row r="31" spans="1:25" ht="18" customHeight="1">
      <c r="A31" s="1554" t="s">
        <v>1222</v>
      </c>
      <c r="B31" s="1554"/>
      <c r="C31" s="1554"/>
      <c r="D31" s="1554"/>
      <c r="E31" s="1554"/>
      <c r="F31" s="1554"/>
      <c r="G31" s="1554"/>
      <c r="H31" s="1554"/>
      <c r="I31" s="1554"/>
      <c r="J31" s="1554"/>
      <c r="K31" s="1554"/>
      <c r="L31" s="1554"/>
      <c r="N31" s="1557"/>
      <c r="O31" s="1556"/>
      <c r="P31" s="1555"/>
    </row>
    <row r="32" spans="1:25" ht="18" customHeight="1">
      <c r="A32" s="1554"/>
      <c r="B32" s="1554"/>
      <c r="C32" s="1554"/>
      <c r="D32" s="1554"/>
      <c r="E32" s="1554"/>
      <c r="F32" s="1554"/>
      <c r="G32" s="1554"/>
      <c r="H32" s="1554"/>
      <c r="I32" s="1554"/>
      <c r="J32" s="1554"/>
      <c r="K32" s="1554"/>
      <c r="L32" s="1554"/>
      <c r="N32" s="1553"/>
      <c r="O32" s="1552"/>
      <c r="P32" s="1551"/>
    </row>
  </sheetData>
  <mergeCells count="55">
    <mergeCell ref="S21:Y21"/>
    <mergeCell ref="S22:Y22"/>
    <mergeCell ref="S15:Y15"/>
    <mergeCell ref="S16:Y16"/>
    <mergeCell ref="R17:Y17"/>
    <mergeCell ref="S18:Y18"/>
    <mergeCell ref="S19:Y19"/>
    <mergeCell ref="S20:Y20"/>
    <mergeCell ref="S9:Y9"/>
    <mergeCell ref="S10:Y10"/>
    <mergeCell ref="R11:Y11"/>
    <mergeCell ref="R12:Y12"/>
    <mergeCell ref="S13:Y13"/>
    <mergeCell ref="S14:Y14"/>
    <mergeCell ref="R3:Y3"/>
    <mergeCell ref="S4:Y4"/>
    <mergeCell ref="S5:Y5"/>
    <mergeCell ref="R6:Y6"/>
    <mergeCell ref="R7:Y7"/>
    <mergeCell ref="S8:Y8"/>
    <mergeCell ref="B3:K3"/>
    <mergeCell ref="N3:P3"/>
    <mergeCell ref="N4:P4"/>
    <mergeCell ref="N5:P5"/>
    <mergeCell ref="N6:P6"/>
    <mergeCell ref="N7:P7"/>
    <mergeCell ref="C8:D9"/>
    <mergeCell ref="N8:P8"/>
    <mergeCell ref="N9:P9"/>
    <mergeCell ref="N10:P10"/>
    <mergeCell ref="N11:P11"/>
    <mergeCell ref="N12:P12"/>
    <mergeCell ref="N13:P13"/>
    <mergeCell ref="N14:P14"/>
    <mergeCell ref="N15:P15"/>
    <mergeCell ref="N16:P16"/>
    <mergeCell ref="N17:P17"/>
    <mergeCell ref="N18:P18"/>
    <mergeCell ref="N30:P30"/>
    <mergeCell ref="N19:P19"/>
    <mergeCell ref="N20:P20"/>
    <mergeCell ref="N21:P21"/>
    <mergeCell ref="N22:P22"/>
    <mergeCell ref="N23:P23"/>
    <mergeCell ref="N24:P24"/>
    <mergeCell ref="A31:L31"/>
    <mergeCell ref="N31:P31"/>
    <mergeCell ref="A32:L32"/>
    <mergeCell ref="N32:P32"/>
    <mergeCell ref="N25:P25"/>
    <mergeCell ref="N26:P26"/>
    <mergeCell ref="N27:P27"/>
    <mergeCell ref="N28:P28"/>
    <mergeCell ref="N29:P29"/>
    <mergeCell ref="A30:L30"/>
  </mergeCells>
  <phoneticPr fontId="4"/>
  <printOptions horizontalCentered="1" gridLinesSet="0"/>
  <pageMargins left="0.39370078740157483" right="0.31496062992125984" top="0.59055118110236227" bottom="0.31496062992125984" header="0.39370078740157483" footer="0.23622047244094491"/>
  <pageSetup paperSize="9" fitToWidth="0" orientation="landscape" horizontalDpi="4294967292" verticalDpi="4294967292" r:id="rId1"/>
  <headerFooter scaleWithDoc="0" alignWithMargins="0">
    <oddFooter>&amp;C&amp;"ＭＳ Ｐゴシック,標準"&amp;9( &amp;P / &amp;N )</oddFooter>
  </headerFooter>
  <colBreaks count="1" manualBreakCount="1">
    <brk id="17" max="1048575" man="1"/>
  </colBreak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L50"/>
  <sheetViews>
    <sheetView showGridLines="0" zoomScale="80" zoomScaleNormal="80" workbookViewId="0">
      <pane xSplit="6" ySplit="5" topLeftCell="G6" activePane="bottomRight" state="frozenSplit"/>
      <selection pane="topRight"/>
      <selection pane="bottomLeft"/>
      <selection pane="bottomRight"/>
    </sheetView>
  </sheetViews>
  <sheetFormatPr defaultColWidth="9.140625" defaultRowHeight="15" customHeight="1"/>
  <cols>
    <col min="1" max="1" width="5.42578125" style="1351" customWidth="1"/>
    <col min="2" max="2" width="7.5703125" style="1351" customWidth="1"/>
    <col min="3" max="3" width="26.28515625" style="1351" customWidth="1"/>
    <col min="4" max="7" width="7.7109375" style="1351" customWidth="1"/>
    <col min="8" max="9" width="7.7109375" style="1351" hidden="1" customWidth="1"/>
    <col min="10" max="10" width="7.7109375" style="1351" customWidth="1"/>
    <col min="11" max="11" width="8.7109375" style="1351" customWidth="1"/>
    <col min="12" max="14" width="7.7109375" style="1351" customWidth="1"/>
    <col min="15" max="16" width="7.7109375" style="1351" hidden="1" customWidth="1"/>
    <col min="17" max="17" width="7.7109375" style="1351" customWidth="1"/>
    <col min="18" max="18" width="8.7109375" style="1351" customWidth="1"/>
    <col min="19" max="20" width="7.7109375" style="1351" customWidth="1"/>
    <col min="21" max="16384" width="9.140625" style="1350"/>
  </cols>
  <sheetData>
    <row r="1" spans="1:38" s="1420" customFormat="1" ht="21" customHeight="1" thickBot="1">
      <c r="A1" s="1429" t="s">
        <v>1232</v>
      </c>
      <c r="B1" s="1428"/>
      <c r="C1" s="1427"/>
      <c r="D1" s="1426"/>
      <c r="E1" s="1425"/>
      <c r="F1" s="1424"/>
      <c r="G1" s="1425"/>
      <c r="H1" s="1425"/>
      <c r="I1" s="1425"/>
      <c r="J1" s="1424"/>
      <c r="K1" s="1424"/>
      <c r="L1" s="1424"/>
      <c r="M1" s="1424"/>
      <c r="N1" s="1424"/>
      <c r="O1" s="1425"/>
      <c r="P1" s="1425"/>
      <c r="Q1" s="1424"/>
      <c r="R1" s="1424"/>
      <c r="S1" s="1424"/>
      <c r="T1" s="1423"/>
      <c r="W1" s="1422" t="s">
        <v>1086</v>
      </c>
      <c r="X1" s="1421"/>
      <c r="Y1" s="1421"/>
      <c r="Z1" s="1421"/>
      <c r="AA1" s="1421"/>
      <c r="AB1" s="1421"/>
      <c r="AC1" s="1421"/>
      <c r="AD1" s="1421"/>
      <c r="AE1" s="1421"/>
      <c r="AF1" s="1421"/>
      <c r="AG1" s="1421"/>
      <c r="AH1" s="1421"/>
      <c r="AI1" s="1421"/>
      <c r="AJ1" s="1421"/>
      <c r="AK1" s="1421"/>
      <c r="AL1" s="1421"/>
    </row>
    <row r="2" spans="1:38" ht="13.5" customHeight="1">
      <c r="W2" s="1419" t="s">
        <v>1085</v>
      </c>
      <c r="X2" s="1417"/>
      <c r="Y2" s="1417"/>
      <c r="Z2" s="1417"/>
      <c r="AA2" s="1417"/>
      <c r="AB2" s="1417"/>
      <c r="AC2" s="1417"/>
      <c r="AD2" s="1416"/>
      <c r="AE2" s="1418" t="s">
        <v>1084</v>
      </c>
      <c r="AF2" s="1417"/>
      <c r="AG2" s="1417"/>
      <c r="AH2" s="1417"/>
      <c r="AI2" s="1417"/>
      <c r="AJ2" s="1417"/>
      <c r="AK2" s="1417"/>
      <c r="AL2" s="1416"/>
    </row>
    <row r="3" spans="1:38" ht="13.5" customHeight="1" thickBot="1">
      <c r="A3" s="1415" t="s">
        <v>394</v>
      </c>
      <c r="B3" s="1414" t="s">
        <v>370</v>
      </c>
      <c r="C3" s="1414" t="s">
        <v>1083</v>
      </c>
      <c r="D3" s="1413" t="s">
        <v>1082</v>
      </c>
      <c r="E3" s="1413" t="s">
        <v>1081</v>
      </c>
      <c r="F3" s="1412" t="s">
        <v>1080</v>
      </c>
      <c r="G3" s="1410" t="s">
        <v>1079</v>
      </c>
      <c r="H3" s="1409"/>
      <c r="I3" s="1409"/>
      <c r="J3" s="1409"/>
      <c r="K3" s="1409"/>
      <c r="L3" s="1409"/>
      <c r="M3" s="1411"/>
      <c r="N3" s="1410" t="s">
        <v>1078</v>
      </c>
      <c r="O3" s="1409"/>
      <c r="P3" s="1409"/>
      <c r="Q3" s="1409"/>
      <c r="R3" s="1409"/>
      <c r="S3" s="1409"/>
      <c r="T3" s="1408"/>
      <c r="W3" s="1407" t="s">
        <v>1077</v>
      </c>
      <c r="X3" s="1407"/>
      <c r="Y3" s="1407"/>
      <c r="Z3" s="1407"/>
      <c r="AA3" s="1406" t="s">
        <v>1076</v>
      </c>
      <c r="AB3" s="1406"/>
      <c r="AC3" s="1406"/>
      <c r="AD3" s="1406"/>
      <c r="AE3" s="1407" t="s">
        <v>1077</v>
      </c>
      <c r="AF3" s="1407"/>
      <c r="AG3" s="1407"/>
      <c r="AH3" s="1407"/>
      <c r="AI3" s="1406" t="s">
        <v>1076</v>
      </c>
      <c r="AJ3" s="1406"/>
      <c r="AK3" s="1406"/>
      <c r="AL3" s="1406"/>
    </row>
    <row r="4" spans="1:38" ht="22.5" customHeight="1">
      <c r="A4" s="1396"/>
      <c r="B4" s="1395"/>
      <c r="C4" s="1395"/>
      <c r="D4" s="1394"/>
      <c r="E4" s="1394"/>
      <c r="F4" s="1393"/>
      <c r="G4" s="1457" t="s">
        <v>1097</v>
      </c>
      <c r="H4" s="1454"/>
      <c r="I4" s="1455"/>
      <c r="J4" s="1404" t="s">
        <v>1075</v>
      </c>
      <c r="K4" s="1403" t="s">
        <v>1074</v>
      </c>
      <c r="L4" s="1403" t="s">
        <v>1073</v>
      </c>
      <c r="M4" s="1405" t="s">
        <v>1072</v>
      </c>
      <c r="N4" s="1457" t="s">
        <v>1097</v>
      </c>
      <c r="O4" s="1454"/>
      <c r="P4" s="1455"/>
      <c r="Q4" s="1404" t="s">
        <v>1075</v>
      </c>
      <c r="R4" s="1403" t="s">
        <v>1074</v>
      </c>
      <c r="S4" s="1403" t="s">
        <v>1073</v>
      </c>
      <c r="T4" s="1402" t="s">
        <v>1072</v>
      </c>
      <c r="W4" s="1399" t="s">
        <v>1071</v>
      </c>
      <c r="X4" s="1398" t="s">
        <v>1070</v>
      </c>
      <c r="Y4" s="1398" t="s">
        <v>1069</v>
      </c>
      <c r="Z4" s="1397" t="s">
        <v>1068</v>
      </c>
      <c r="AA4" s="1401" t="s">
        <v>1071</v>
      </c>
      <c r="AB4" s="1398" t="s">
        <v>1070</v>
      </c>
      <c r="AC4" s="1398" t="s">
        <v>1069</v>
      </c>
      <c r="AD4" s="1397" t="s">
        <v>1068</v>
      </c>
      <c r="AE4" s="1401" t="s">
        <v>1071</v>
      </c>
      <c r="AF4" s="1398" t="s">
        <v>1070</v>
      </c>
      <c r="AG4" s="1398" t="s">
        <v>1069</v>
      </c>
      <c r="AH4" s="1400" t="s">
        <v>1068</v>
      </c>
      <c r="AI4" s="1399" t="s">
        <v>1071</v>
      </c>
      <c r="AJ4" s="1398" t="s">
        <v>1070</v>
      </c>
      <c r="AK4" s="1398" t="s">
        <v>1069</v>
      </c>
      <c r="AL4" s="1397" t="s">
        <v>1068</v>
      </c>
    </row>
    <row r="5" spans="1:38" ht="15" customHeight="1">
      <c r="A5" s="1396"/>
      <c r="B5" s="1395"/>
      <c r="C5" s="1395"/>
      <c r="D5" s="1394"/>
      <c r="E5" s="1394"/>
      <c r="F5" s="1393"/>
      <c r="G5" s="1456"/>
      <c r="H5" s="1391" t="s">
        <v>1067</v>
      </c>
      <c r="I5" s="1390" t="s">
        <v>1066</v>
      </c>
      <c r="J5" s="1389"/>
      <c r="K5" s="1388"/>
      <c r="L5" s="1388"/>
      <c r="M5" s="1392"/>
      <c r="N5" s="1456"/>
      <c r="O5" s="1391" t="s">
        <v>1067</v>
      </c>
      <c r="P5" s="1390" t="s">
        <v>1066</v>
      </c>
      <c r="Q5" s="1389"/>
      <c r="R5" s="1388"/>
      <c r="S5" s="1388"/>
      <c r="T5" s="1387"/>
      <c r="W5" s="1384" t="s">
        <v>1065</v>
      </c>
      <c r="X5" s="1383" t="s">
        <v>1064</v>
      </c>
      <c r="Y5" s="1383" t="s">
        <v>1231</v>
      </c>
      <c r="Z5" s="1382" t="s">
        <v>1062</v>
      </c>
      <c r="AA5" s="1386" t="s">
        <v>1065</v>
      </c>
      <c r="AB5" s="1383" t="s">
        <v>1064</v>
      </c>
      <c r="AC5" s="1383" t="s">
        <v>1063</v>
      </c>
      <c r="AD5" s="1382" t="s">
        <v>1062</v>
      </c>
      <c r="AE5" s="1386" t="s">
        <v>1065</v>
      </c>
      <c r="AF5" s="1383" t="s">
        <v>1064</v>
      </c>
      <c r="AG5" s="1383" t="s">
        <v>1230</v>
      </c>
      <c r="AH5" s="1385" t="s">
        <v>1062</v>
      </c>
      <c r="AI5" s="1384" t="s">
        <v>1065</v>
      </c>
      <c r="AJ5" s="1383" t="s">
        <v>1064</v>
      </c>
      <c r="AK5" s="1383" t="s">
        <v>1063</v>
      </c>
      <c r="AL5" s="1382" t="s">
        <v>1062</v>
      </c>
    </row>
    <row r="6" spans="1:38" ht="15" customHeight="1">
      <c r="A6" s="1381" t="s">
        <v>362</v>
      </c>
      <c r="B6" s="1380" t="s">
        <v>361</v>
      </c>
      <c r="C6" s="1379" t="s">
        <v>363</v>
      </c>
      <c r="D6" s="1378">
        <v>13</v>
      </c>
      <c r="E6" s="1377">
        <v>2.8</v>
      </c>
      <c r="F6" s="1377">
        <v>36.4</v>
      </c>
      <c r="G6" s="1376">
        <v>715</v>
      </c>
      <c r="H6" s="1373"/>
      <c r="I6" s="1373">
        <v>715</v>
      </c>
      <c r="J6" s="1373">
        <v>94</v>
      </c>
      <c r="K6" s="1375">
        <v>809</v>
      </c>
      <c r="L6" s="1371">
        <v>154</v>
      </c>
      <c r="M6" s="1374">
        <v>963</v>
      </c>
      <c r="N6" s="1373">
        <v>1849</v>
      </c>
      <c r="O6" s="1373"/>
      <c r="P6" s="1373">
        <v>1849</v>
      </c>
      <c r="Q6" s="1371">
        <v>0</v>
      </c>
      <c r="R6" s="1372">
        <v>1849</v>
      </c>
      <c r="S6" s="1371">
        <v>178</v>
      </c>
      <c r="T6" s="1370">
        <v>2027</v>
      </c>
      <c r="W6" s="1357">
        <v>28</v>
      </c>
      <c r="X6" s="1357">
        <v>45</v>
      </c>
      <c r="Y6" s="1357">
        <v>55.4</v>
      </c>
      <c r="Z6" s="1357">
        <v>10.7</v>
      </c>
      <c r="AA6" s="1357">
        <v>19</v>
      </c>
      <c r="AB6" s="1357">
        <v>40</v>
      </c>
      <c r="AC6" s="1357">
        <v>33</v>
      </c>
      <c r="AD6" s="1357">
        <v>5.5</v>
      </c>
      <c r="AE6" s="1357">
        <v>28</v>
      </c>
      <c r="AF6" s="1357">
        <v>45</v>
      </c>
      <c r="AG6" s="1357">
        <v>55.4</v>
      </c>
      <c r="AH6" s="1357">
        <v>10.7</v>
      </c>
      <c r="AI6" s="1357">
        <v>19</v>
      </c>
      <c r="AJ6" s="1357">
        <v>40</v>
      </c>
      <c r="AK6" s="1357">
        <v>33</v>
      </c>
      <c r="AL6" s="1357">
        <v>5.5</v>
      </c>
    </row>
    <row r="7" spans="1:38" ht="15" customHeight="1">
      <c r="A7" s="1369"/>
      <c r="B7" s="1368"/>
      <c r="C7" s="1367"/>
      <c r="D7" s="1366"/>
      <c r="E7" s="1365"/>
      <c r="F7" s="1365"/>
      <c r="G7" s="1364"/>
      <c r="H7" s="1361"/>
      <c r="I7" s="1361"/>
      <c r="J7" s="1361"/>
      <c r="K7" s="1363"/>
      <c r="L7" s="1359"/>
      <c r="M7" s="1362"/>
      <c r="N7" s="1361"/>
      <c r="O7" s="1361"/>
      <c r="P7" s="1361"/>
      <c r="Q7" s="1359"/>
      <c r="R7" s="1360"/>
      <c r="S7" s="1359"/>
      <c r="T7" s="1358"/>
      <c r="W7" s="1357"/>
      <c r="X7" s="1357"/>
      <c r="Y7" s="1357"/>
      <c r="Z7" s="1357"/>
      <c r="AA7" s="1357"/>
      <c r="AB7" s="1357"/>
      <c r="AC7" s="1357"/>
      <c r="AD7" s="1357"/>
      <c r="AE7" s="1357"/>
      <c r="AF7" s="1357"/>
      <c r="AG7" s="1357"/>
      <c r="AH7" s="1357"/>
      <c r="AI7" s="1357"/>
      <c r="AJ7" s="1357"/>
      <c r="AK7" s="1357"/>
      <c r="AL7" s="1357"/>
    </row>
    <row r="8" spans="1:38" ht="15" customHeight="1">
      <c r="A8" s="1369"/>
      <c r="B8" s="1368"/>
      <c r="C8" s="1367"/>
      <c r="D8" s="1366"/>
      <c r="E8" s="1365"/>
      <c r="F8" s="1365"/>
      <c r="G8" s="1364"/>
      <c r="H8" s="1361"/>
      <c r="I8" s="1361"/>
      <c r="J8" s="1361"/>
      <c r="K8" s="1363"/>
      <c r="L8" s="1359"/>
      <c r="M8" s="1362"/>
      <c r="N8" s="1361"/>
      <c r="O8" s="1361"/>
      <c r="P8" s="1361"/>
      <c r="Q8" s="1359"/>
      <c r="R8" s="1360"/>
      <c r="S8" s="1359"/>
      <c r="T8" s="1358"/>
      <c r="W8" s="1357"/>
      <c r="X8" s="1357"/>
      <c r="Y8" s="1357"/>
      <c r="Z8" s="1357"/>
      <c r="AA8" s="1357"/>
      <c r="AB8" s="1357"/>
      <c r="AC8" s="1357"/>
      <c r="AD8" s="1357"/>
      <c r="AE8" s="1357"/>
      <c r="AF8" s="1357"/>
      <c r="AG8" s="1357"/>
      <c r="AH8" s="1357"/>
      <c r="AI8" s="1357"/>
      <c r="AJ8" s="1357"/>
      <c r="AK8" s="1357"/>
      <c r="AL8" s="1357"/>
    </row>
    <row r="9" spans="1:38" ht="15" customHeight="1">
      <c r="A9" s="1369"/>
      <c r="B9" s="1368"/>
      <c r="C9" s="1367"/>
      <c r="D9" s="1366"/>
      <c r="E9" s="1365"/>
      <c r="F9" s="1365"/>
      <c r="G9" s="1364"/>
      <c r="H9" s="1361"/>
      <c r="I9" s="1361"/>
      <c r="J9" s="1361"/>
      <c r="K9" s="1363"/>
      <c r="L9" s="1359"/>
      <c r="M9" s="1362"/>
      <c r="N9" s="1361"/>
      <c r="O9" s="1361"/>
      <c r="P9" s="1361"/>
      <c r="Q9" s="1359"/>
      <c r="R9" s="1360"/>
      <c r="S9" s="1359"/>
      <c r="T9" s="1358"/>
      <c r="W9" s="1357"/>
      <c r="X9" s="1357"/>
      <c r="Y9" s="1357"/>
      <c r="Z9" s="1357"/>
      <c r="AA9" s="1357"/>
      <c r="AB9" s="1357"/>
      <c r="AC9" s="1357"/>
      <c r="AD9" s="1357"/>
      <c r="AE9" s="1357"/>
      <c r="AF9" s="1357"/>
      <c r="AG9" s="1357"/>
      <c r="AH9" s="1357"/>
      <c r="AI9" s="1357"/>
      <c r="AJ9" s="1357"/>
      <c r="AK9" s="1357"/>
      <c r="AL9" s="1357"/>
    </row>
    <row r="10" spans="1:38" ht="15" customHeight="1">
      <c r="A10" s="1369"/>
      <c r="B10" s="1368"/>
      <c r="C10" s="1367"/>
      <c r="D10" s="1366"/>
      <c r="E10" s="1365"/>
      <c r="F10" s="1365"/>
      <c r="G10" s="1364"/>
      <c r="H10" s="1361"/>
      <c r="I10" s="1361"/>
      <c r="J10" s="1361"/>
      <c r="K10" s="1363"/>
      <c r="L10" s="1359"/>
      <c r="M10" s="1362"/>
      <c r="N10" s="1361"/>
      <c r="O10" s="1361"/>
      <c r="P10" s="1361"/>
      <c r="Q10" s="1359"/>
      <c r="R10" s="1360"/>
      <c r="S10" s="1359"/>
      <c r="T10" s="1358"/>
      <c r="W10" s="1357"/>
      <c r="X10" s="1357"/>
      <c r="Y10" s="1357"/>
      <c r="Z10" s="1357"/>
      <c r="AA10" s="1357"/>
      <c r="AB10" s="1357"/>
      <c r="AC10" s="1357"/>
      <c r="AD10" s="1357"/>
      <c r="AE10" s="1357"/>
      <c r="AF10" s="1357"/>
      <c r="AG10" s="1357"/>
      <c r="AH10" s="1357"/>
      <c r="AI10" s="1357"/>
      <c r="AJ10" s="1357"/>
      <c r="AK10" s="1357"/>
      <c r="AL10" s="1357"/>
    </row>
    <row r="11" spans="1:38" ht="15" customHeight="1">
      <c r="A11" s="1369"/>
      <c r="B11" s="1368"/>
      <c r="C11" s="1367"/>
      <c r="D11" s="1366"/>
      <c r="E11" s="1365"/>
      <c r="F11" s="1365"/>
      <c r="G11" s="1364"/>
      <c r="H11" s="1361"/>
      <c r="I11" s="1361"/>
      <c r="J11" s="1361"/>
      <c r="K11" s="1363"/>
      <c r="L11" s="1359"/>
      <c r="M11" s="1362"/>
      <c r="N11" s="1361"/>
      <c r="O11" s="1361"/>
      <c r="P11" s="1361"/>
      <c r="Q11" s="1359"/>
      <c r="R11" s="1360"/>
      <c r="S11" s="1359"/>
      <c r="T11" s="1358"/>
      <c r="W11" s="1357"/>
      <c r="X11" s="1357"/>
      <c r="Y11" s="1357"/>
      <c r="Z11" s="1357"/>
      <c r="AA11" s="1357"/>
      <c r="AB11" s="1357"/>
      <c r="AC11" s="1357"/>
      <c r="AD11" s="1357"/>
      <c r="AE11" s="1357"/>
      <c r="AF11" s="1357"/>
      <c r="AG11" s="1357"/>
      <c r="AH11" s="1357"/>
      <c r="AI11" s="1357"/>
      <c r="AJ11" s="1357"/>
      <c r="AK11" s="1357"/>
      <c r="AL11" s="1357"/>
    </row>
    <row r="12" spans="1:38" ht="15" customHeight="1">
      <c r="A12" s="1369"/>
      <c r="B12" s="1368"/>
      <c r="C12" s="1367"/>
      <c r="D12" s="1366"/>
      <c r="E12" s="1365"/>
      <c r="F12" s="1365"/>
      <c r="G12" s="1364"/>
      <c r="H12" s="1361"/>
      <c r="I12" s="1361"/>
      <c r="J12" s="1361"/>
      <c r="K12" s="1363"/>
      <c r="L12" s="1359"/>
      <c r="M12" s="1362"/>
      <c r="N12" s="1361"/>
      <c r="O12" s="1361"/>
      <c r="P12" s="1361"/>
      <c r="Q12" s="1359"/>
      <c r="R12" s="1360"/>
      <c r="S12" s="1359"/>
      <c r="T12" s="1358"/>
      <c r="W12" s="1357"/>
      <c r="X12" s="1357"/>
      <c r="Y12" s="1357"/>
      <c r="Z12" s="1357"/>
      <c r="AA12" s="1357"/>
      <c r="AB12" s="1357"/>
      <c r="AC12" s="1357"/>
      <c r="AD12" s="1357"/>
      <c r="AE12" s="1357"/>
      <c r="AF12" s="1357"/>
      <c r="AG12" s="1357"/>
      <c r="AH12" s="1357"/>
      <c r="AI12" s="1357"/>
      <c r="AJ12" s="1357"/>
      <c r="AK12" s="1357"/>
      <c r="AL12" s="1357"/>
    </row>
    <row r="13" spans="1:38" ht="15" customHeight="1">
      <c r="A13" s="1369"/>
      <c r="B13" s="1368"/>
      <c r="C13" s="1367"/>
      <c r="D13" s="1366"/>
      <c r="E13" s="1365"/>
      <c r="F13" s="1365"/>
      <c r="G13" s="1364"/>
      <c r="H13" s="1361"/>
      <c r="I13" s="1361"/>
      <c r="J13" s="1361"/>
      <c r="K13" s="1363"/>
      <c r="L13" s="1359"/>
      <c r="M13" s="1362"/>
      <c r="N13" s="1361"/>
      <c r="O13" s="1361"/>
      <c r="P13" s="1361"/>
      <c r="Q13" s="1359"/>
      <c r="R13" s="1360"/>
      <c r="S13" s="1359"/>
      <c r="T13" s="1358"/>
      <c r="W13" s="1357"/>
      <c r="X13" s="1357"/>
      <c r="Y13" s="1357"/>
      <c r="Z13" s="1357"/>
      <c r="AA13" s="1357"/>
      <c r="AB13" s="1357"/>
      <c r="AC13" s="1357"/>
      <c r="AD13" s="1357"/>
      <c r="AE13" s="1357"/>
      <c r="AF13" s="1357"/>
      <c r="AG13" s="1357"/>
      <c r="AH13" s="1357"/>
      <c r="AI13" s="1357"/>
      <c r="AJ13" s="1357"/>
      <c r="AK13" s="1357"/>
      <c r="AL13" s="1357"/>
    </row>
    <row r="14" spans="1:38" ht="15" customHeight="1">
      <c r="A14" s="1369"/>
      <c r="B14" s="1368"/>
      <c r="C14" s="1367"/>
      <c r="D14" s="1366"/>
      <c r="E14" s="1365"/>
      <c r="F14" s="1365"/>
      <c r="G14" s="1364"/>
      <c r="H14" s="1361"/>
      <c r="I14" s="1361"/>
      <c r="J14" s="1361"/>
      <c r="K14" s="1363"/>
      <c r="L14" s="1359"/>
      <c r="M14" s="1362"/>
      <c r="N14" s="1361"/>
      <c r="O14" s="1361"/>
      <c r="P14" s="1361"/>
      <c r="Q14" s="1359"/>
      <c r="R14" s="1360"/>
      <c r="S14" s="1359"/>
      <c r="T14" s="1358"/>
      <c r="W14" s="1357"/>
      <c r="X14" s="1357"/>
      <c r="Y14" s="1357"/>
      <c r="Z14" s="1357"/>
      <c r="AA14" s="1357"/>
      <c r="AB14" s="1357"/>
      <c r="AC14" s="1357"/>
      <c r="AD14" s="1357"/>
      <c r="AE14" s="1357"/>
      <c r="AF14" s="1357"/>
      <c r="AG14" s="1357"/>
      <c r="AH14" s="1357"/>
      <c r="AI14" s="1357"/>
      <c r="AJ14" s="1357"/>
      <c r="AK14" s="1357"/>
      <c r="AL14" s="1357"/>
    </row>
    <row r="15" spans="1:38" ht="15" customHeight="1">
      <c r="A15" s="1369"/>
      <c r="B15" s="1368"/>
      <c r="C15" s="1367"/>
      <c r="D15" s="1366"/>
      <c r="E15" s="1365"/>
      <c r="F15" s="1365"/>
      <c r="G15" s="1364"/>
      <c r="H15" s="1361"/>
      <c r="I15" s="1361"/>
      <c r="J15" s="1361"/>
      <c r="K15" s="1363"/>
      <c r="L15" s="1359"/>
      <c r="M15" s="1362"/>
      <c r="N15" s="1361"/>
      <c r="O15" s="1361"/>
      <c r="P15" s="1361"/>
      <c r="Q15" s="1359"/>
      <c r="R15" s="1360"/>
      <c r="S15" s="1359"/>
      <c r="T15" s="1358"/>
      <c r="W15" s="1357"/>
      <c r="X15" s="1357"/>
      <c r="Y15" s="1357"/>
      <c r="Z15" s="1357"/>
      <c r="AA15" s="1357"/>
      <c r="AB15" s="1357"/>
      <c r="AC15" s="1357"/>
      <c r="AD15" s="1357"/>
      <c r="AE15" s="1357"/>
      <c r="AF15" s="1357"/>
      <c r="AG15" s="1357"/>
      <c r="AH15" s="1357"/>
      <c r="AI15" s="1357"/>
      <c r="AJ15" s="1357"/>
      <c r="AK15" s="1357"/>
      <c r="AL15" s="1357"/>
    </row>
    <row r="16" spans="1:38" ht="15" customHeight="1">
      <c r="A16" s="1369"/>
      <c r="B16" s="1368"/>
      <c r="C16" s="1367"/>
      <c r="D16" s="1366"/>
      <c r="E16" s="1365"/>
      <c r="F16" s="1365"/>
      <c r="G16" s="1364"/>
      <c r="H16" s="1361"/>
      <c r="I16" s="1361"/>
      <c r="J16" s="1361"/>
      <c r="K16" s="1363"/>
      <c r="L16" s="1359"/>
      <c r="M16" s="1362"/>
      <c r="N16" s="1361"/>
      <c r="O16" s="1361"/>
      <c r="P16" s="1361"/>
      <c r="Q16" s="1359"/>
      <c r="R16" s="1360"/>
      <c r="S16" s="1359"/>
      <c r="T16" s="1358"/>
      <c r="W16" s="1357"/>
      <c r="X16" s="1357"/>
      <c r="Y16" s="1357"/>
      <c r="Z16" s="1357"/>
      <c r="AA16" s="1357"/>
      <c r="AB16" s="1357"/>
      <c r="AC16" s="1357"/>
      <c r="AD16" s="1357"/>
      <c r="AE16" s="1357"/>
      <c r="AF16" s="1357"/>
      <c r="AG16" s="1357"/>
      <c r="AH16" s="1357"/>
      <c r="AI16" s="1357"/>
      <c r="AJ16" s="1357"/>
      <c r="AK16" s="1357"/>
      <c r="AL16" s="1357"/>
    </row>
    <row r="17" spans="1:38" ht="15" customHeight="1">
      <c r="A17" s="1369"/>
      <c r="B17" s="1368"/>
      <c r="C17" s="1367"/>
      <c r="D17" s="1366"/>
      <c r="E17" s="1365"/>
      <c r="F17" s="1365"/>
      <c r="G17" s="1364"/>
      <c r="H17" s="1361"/>
      <c r="I17" s="1361"/>
      <c r="J17" s="1361"/>
      <c r="K17" s="1363"/>
      <c r="L17" s="1359"/>
      <c r="M17" s="1362"/>
      <c r="N17" s="1361"/>
      <c r="O17" s="1361"/>
      <c r="P17" s="1361"/>
      <c r="Q17" s="1359"/>
      <c r="R17" s="1360"/>
      <c r="S17" s="1359"/>
      <c r="T17" s="1358"/>
      <c r="W17" s="1357"/>
      <c r="X17" s="1357"/>
      <c r="Y17" s="1357"/>
      <c r="Z17" s="1357"/>
      <c r="AA17" s="1357"/>
      <c r="AB17" s="1357"/>
      <c r="AC17" s="1357"/>
      <c r="AD17" s="1357"/>
      <c r="AE17" s="1357"/>
      <c r="AF17" s="1357"/>
      <c r="AG17" s="1357"/>
      <c r="AH17" s="1357"/>
      <c r="AI17" s="1357"/>
      <c r="AJ17" s="1357"/>
      <c r="AK17" s="1357"/>
      <c r="AL17" s="1357"/>
    </row>
    <row r="18" spans="1:38" ht="15" customHeight="1">
      <c r="A18" s="1369"/>
      <c r="B18" s="1368"/>
      <c r="C18" s="1367"/>
      <c r="D18" s="1366"/>
      <c r="E18" s="1365"/>
      <c r="F18" s="1365"/>
      <c r="G18" s="1364"/>
      <c r="H18" s="1361"/>
      <c r="I18" s="1361"/>
      <c r="J18" s="1361"/>
      <c r="K18" s="1363"/>
      <c r="L18" s="1359"/>
      <c r="M18" s="1362"/>
      <c r="N18" s="1361"/>
      <c r="O18" s="1361"/>
      <c r="P18" s="1361"/>
      <c r="Q18" s="1359"/>
      <c r="R18" s="1360"/>
      <c r="S18" s="1359"/>
      <c r="T18" s="1358"/>
      <c r="W18" s="1357"/>
      <c r="X18" s="1357"/>
      <c r="Y18" s="1357"/>
      <c r="Z18" s="1357"/>
      <c r="AA18" s="1357"/>
      <c r="AB18" s="1357"/>
      <c r="AC18" s="1357"/>
      <c r="AD18" s="1357"/>
      <c r="AE18" s="1357"/>
      <c r="AF18" s="1357"/>
      <c r="AG18" s="1357"/>
      <c r="AH18" s="1357"/>
      <c r="AI18" s="1357"/>
      <c r="AJ18" s="1357"/>
      <c r="AK18" s="1357"/>
      <c r="AL18" s="1357"/>
    </row>
    <row r="19" spans="1:38" ht="15" customHeight="1">
      <c r="A19" s="1369"/>
      <c r="B19" s="1368"/>
      <c r="C19" s="1367"/>
      <c r="D19" s="1366"/>
      <c r="E19" s="1365"/>
      <c r="F19" s="1365"/>
      <c r="G19" s="1364"/>
      <c r="H19" s="1361"/>
      <c r="I19" s="1361"/>
      <c r="J19" s="1361"/>
      <c r="K19" s="1363"/>
      <c r="L19" s="1359"/>
      <c r="M19" s="1362"/>
      <c r="N19" s="1361"/>
      <c r="O19" s="1361"/>
      <c r="P19" s="1361"/>
      <c r="Q19" s="1359"/>
      <c r="R19" s="1360"/>
      <c r="S19" s="1359"/>
      <c r="T19" s="1358"/>
      <c r="W19" s="1357"/>
      <c r="X19" s="1357"/>
      <c r="Y19" s="1357"/>
      <c r="Z19" s="1357"/>
      <c r="AA19" s="1357"/>
      <c r="AB19" s="1357"/>
      <c r="AC19" s="1357"/>
      <c r="AD19" s="1357"/>
      <c r="AE19" s="1357"/>
      <c r="AF19" s="1357"/>
      <c r="AG19" s="1357"/>
      <c r="AH19" s="1357"/>
      <c r="AI19" s="1357"/>
      <c r="AJ19" s="1357"/>
      <c r="AK19" s="1357"/>
      <c r="AL19" s="1357"/>
    </row>
    <row r="20" spans="1:38" ht="15" customHeight="1">
      <c r="A20" s="1369"/>
      <c r="B20" s="1368"/>
      <c r="C20" s="1367"/>
      <c r="D20" s="1366"/>
      <c r="E20" s="1365"/>
      <c r="F20" s="1365"/>
      <c r="G20" s="1364"/>
      <c r="H20" s="1361"/>
      <c r="I20" s="1361"/>
      <c r="J20" s="1361"/>
      <c r="K20" s="1363"/>
      <c r="L20" s="1359"/>
      <c r="M20" s="1362"/>
      <c r="N20" s="1361"/>
      <c r="O20" s="1361"/>
      <c r="P20" s="1361"/>
      <c r="Q20" s="1359"/>
      <c r="R20" s="1360"/>
      <c r="S20" s="1359"/>
      <c r="T20" s="1358"/>
      <c r="W20" s="1357"/>
      <c r="X20" s="1357"/>
      <c r="Y20" s="1357"/>
      <c r="Z20" s="1357"/>
      <c r="AA20" s="1357"/>
      <c r="AB20" s="1357"/>
      <c r="AC20" s="1357"/>
      <c r="AD20" s="1357"/>
      <c r="AE20" s="1357"/>
      <c r="AF20" s="1357"/>
      <c r="AG20" s="1357"/>
      <c r="AH20" s="1357"/>
      <c r="AI20" s="1357"/>
      <c r="AJ20" s="1357"/>
      <c r="AK20" s="1357"/>
      <c r="AL20" s="1357"/>
    </row>
    <row r="21" spans="1:38" ht="15" customHeight="1">
      <c r="A21" s="1369"/>
      <c r="B21" s="1368"/>
      <c r="C21" s="1367"/>
      <c r="D21" s="1366"/>
      <c r="E21" s="1365"/>
      <c r="F21" s="1365"/>
      <c r="G21" s="1364"/>
      <c r="H21" s="1361"/>
      <c r="I21" s="1361"/>
      <c r="J21" s="1361"/>
      <c r="K21" s="1363"/>
      <c r="L21" s="1359"/>
      <c r="M21" s="1362"/>
      <c r="N21" s="1361"/>
      <c r="O21" s="1361"/>
      <c r="P21" s="1361"/>
      <c r="Q21" s="1359"/>
      <c r="R21" s="1360"/>
      <c r="S21" s="1359"/>
      <c r="T21" s="1358"/>
      <c r="W21" s="1357"/>
      <c r="X21" s="1357"/>
      <c r="Y21" s="1357"/>
      <c r="Z21" s="1357"/>
      <c r="AA21" s="1357"/>
      <c r="AB21" s="1357"/>
      <c r="AC21" s="1357"/>
      <c r="AD21" s="1357"/>
      <c r="AE21" s="1357"/>
      <c r="AF21" s="1357"/>
      <c r="AG21" s="1357"/>
      <c r="AH21" s="1357"/>
      <c r="AI21" s="1357"/>
      <c r="AJ21" s="1357"/>
      <c r="AK21" s="1357"/>
      <c r="AL21" s="1357"/>
    </row>
    <row r="22" spans="1:38" ht="15" customHeight="1">
      <c r="A22" s="1369"/>
      <c r="B22" s="1368"/>
      <c r="C22" s="1367"/>
      <c r="D22" s="1366"/>
      <c r="E22" s="1365"/>
      <c r="F22" s="1365"/>
      <c r="G22" s="1364"/>
      <c r="H22" s="1361"/>
      <c r="I22" s="1361"/>
      <c r="J22" s="1361"/>
      <c r="K22" s="1363"/>
      <c r="L22" s="1359"/>
      <c r="M22" s="1362"/>
      <c r="N22" s="1361"/>
      <c r="O22" s="1361"/>
      <c r="P22" s="1361"/>
      <c r="Q22" s="1359"/>
      <c r="R22" s="1360"/>
      <c r="S22" s="1359"/>
      <c r="T22" s="1358"/>
      <c r="W22" s="1357"/>
      <c r="X22" s="1357"/>
      <c r="Y22" s="1357"/>
      <c r="Z22" s="1357"/>
      <c r="AA22" s="1357"/>
      <c r="AB22" s="1357"/>
      <c r="AC22" s="1357"/>
      <c r="AD22" s="1357"/>
      <c r="AE22" s="1357"/>
      <c r="AF22" s="1357"/>
      <c r="AG22" s="1357"/>
      <c r="AH22" s="1357"/>
      <c r="AI22" s="1357"/>
      <c r="AJ22" s="1357"/>
      <c r="AK22" s="1357"/>
      <c r="AL22" s="1357"/>
    </row>
    <row r="23" spans="1:38" ht="15" customHeight="1">
      <c r="A23" s="1369"/>
      <c r="B23" s="1368"/>
      <c r="C23" s="1367"/>
      <c r="D23" s="1366"/>
      <c r="E23" s="1365"/>
      <c r="F23" s="1365"/>
      <c r="G23" s="1364"/>
      <c r="H23" s="1361"/>
      <c r="I23" s="1361"/>
      <c r="J23" s="1361"/>
      <c r="K23" s="1363"/>
      <c r="L23" s="1359"/>
      <c r="M23" s="1362"/>
      <c r="N23" s="1361"/>
      <c r="O23" s="1361"/>
      <c r="P23" s="1361"/>
      <c r="Q23" s="1359"/>
      <c r="R23" s="1360"/>
      <c r="S23" s="1359"/>
      <c r="T23" s="1358"/>
      <c r="W23" s="1357"/>
      <c r="X23" s="1357"/>
      <c r="Y23" s="1357"/>
      <c r="Z23" s="1357"/>
      <c r="AA23" s="1357"/>
      <c r="AB23" s="1357"/>
      <c r="AC23" s="1357"/>
      <c r="AD23" s="1357"/>
      <c r="AE23" s="1357"/>
      <c r="AF23" s="1357"/>
      <c r="AG23" s="1357"/>
      <c r="AH23" s="1357"/>
      <c r="AI23" s="1357"/>
      <c r="AJ23" s="1357"/>
      <c r="AK23" s="1357"/>
      <c r="AL23" s="1357"/>
    </row>
    <row r="24" spans="1:38" ht="15" customHeight="1">
      <c r="A24" s="1369"/>
      <c r="B24" s="1368"/>
      <c r="C24" s="1367"/>
      <c r="D24" s="1366"/>
      <c r="E24" s="1365"/>
      <c r="F24" s="1365"/>
      <c r="G24" s="1364"/>
      <c r="H24" s="1361"/>
      <c r="I24" s="1361"/>
      <c r="J24" s="1361"/>
      <c r="K24" s="1363"/>
      <c r="L24" s="1359"/>
      <c r="M24" s="1362"/>
      <c r="N24" s="1361"/>
      <c r="O24" s="1361"/>
      <c r="P24" s="1361"/>
      <c r="Q24" s="1359"/>
      <c r="R24" s="1360"/>
      <c r="S24" s="1359"/>
      <c r="T24" s="1358"/>
      <c r="W24" s="1357"/>
      <c r="X24" s="1357"/>
      <c r="Y24" s="1357"/>
      <c r="Z24" s="1357"/>
      <c r="AA24" s="1357"/>
      <c r="AB24" s="1357"/>
      <c r="AC24" s="1357"/>
      <c r="AD24" s="1357"/>
      <c r="AE24" s="1357"/>
      <c r="AF24" s="1357"/>
      <c r="AG24" s="1357"/>
      <c r="AH24" s="1357"/>
      <c r="AI24" s="1357"/>
      <c r="AJ24" s="1357"/>
      <c r="AK24" s="1357"/>
      <c r="AL24" s="1357"/>
    </row>
    <row r="25" spans="1:38" ht="15" customHeight="1">
      <c r="A25" s="1369"/>
      <c r="B25" s="1368"/>
      <c r="C25" s="1367"/>
      <c r="D25" s="1366"/>
      <c r="E25" s="1365"/>
      <c r="F25" s="1365"/>
      <c r="G25" s="1364"/>
      <c r="H25" s="1361"/>
      <c r="I25" s="1361"/>
      <c r="J25" s="1361"/>
      <c r="K25" s="1363"/>
      <c r="L25" s="1359"/>
      <c r="M25" s="1362"/>
      <c r="N25" s="1361"/>
      <c r="O25" s="1361"/>
      <c r="P25" s="1361"/>
      <c r="Q25" s="1359"/>
      <c r="R25" s="1360"/>
      <c r="S25" s="1359"/>
      <c r="T25" s="1358"/>
      <c r="W25" s="1357"/>
      <c r="X25" s="1357"/>
      <c r="Y25" s="1357"/>
      <c r="Z25" s="1357"/>
      <c r="AA25" s="1357"/>
      <c r="AB25" s="1357"/>
      <c r="AC25" s="1357"/>
      <c r="AD25" s="1357"/>
      <c r="AE25" s="1357"/>
      <c r="AF25" s="1357"/>
      <c r="AG25" s="1357"/>
      <c r="AH25" s="1357"/>
      <c r="AI25" s="1357"/>
      <c r="AJ25" s="1357"/>
      <c r="AK25" s="1357"/>
      <c r="AL25" s="1357"/>
    </row>
    <row r="26" spans="1:38" ht="15" customHeight="1">
      <c r="A26" s="1369"/>
      <c r="B26" s="1368"/>
      <c r="C26" s="1367"/>
      <c r="D26" s="1366"/>
      <c r="E26" s="1365"/>
      <c r="F26" s="1365"/>
      <c r="G26" s="1364"/>
      <c r="H26" s="1361"/>
      <c r="I26" s="1361"/>
      <c r="J26" s="1361"/>
      <c r="K26" s="1363"/>
      <c r="L26" s="1359"/>
      <c r="M26" s="1362"/>
      <c r="N26" s="1361"/>
      <c r="O26" s="1361"/>
      <c r="P26" s="1361"/>
      <c r="Q26" s="1359"/>
      <c r="R26" s="1360"/>
      <c r="S26" s="1359"/>
      <c r="T26" s="1358"/>
      <c r="W26" s="1357"/>
      <c r="X26" s="1357"/>
      <c r="Y26" s="1357"/>
      <c r="Z26" s="1357"/>
      <c r="AA26" s="1357"/>
      <c r="AB26" s="1357"/>
      <c r="AC26" s="1357"/>
      <c r="AD26" s="1357"/>
      <c r="AE26" s="1357"/>
      <c r="AF26" s="1357"/>
      <c r="AG26" s="1357"/>
      <c r="AH26" s="1357"/>
      <c r="AI26" s="1357"/>
      <c r="AJ26" s="1357"/>
      <c r="AK26" s="1357"/>
      <c r="AL26" s="1357"/>
    </row>
    <row r="27" spans="1:38" ht="15" customHeight="1">
      <c r="A27" s="1369"/>
      <c r="B27" s="1368"/>
      <c r="C27" s="1367"/>
      <c r="D27" s="1366"/>
      <c r="E27" s="1365"/>
      <c r="F27" s="1365"/>
      <c r="G27" s="1364"/>
      <c r="H27" s="1361"/>
      <c r="I27" s="1361"/>
      <c r="J27" s="1361"/>
      <c r="K27" s="1363"/>
      <c r="L27" s="1359"/>
      <c r="M27" s="1362"/>
      <c r="N27" s="1361"/>
      <c r="O27" s="1361"/>
      <c r="P27" s="1361"/>
      <c r="Q27" s="1359"/>
      <c r="R27" s="1360"/>
      <c r="S27" s="1359"/>
      <c r="T27" s="1358"/>
      <c r="W27" s="1357"/>
      <c r="X27" s="1357"/>
      <c r="Y27" s="1357"/>
      <c r="Z27" s="1357"/>
      <c r="AA27" s="1357"/>
      <c r="AB27" s="1357"/>
      <c r="AC27" s="1357"/>
      <c r="AD27" s="1357"/>
      <c r="AE27" s="1357"/>
      <c r="AF27" s="1357"/>
      <c r="AG27" s="1357"/>
      <c r="AH27" s="1357"/>
      <c r="AI27" s="1357"/>
      <c r="AJ27" s="1357"/>
      <c r="AK27" s="1357"/>
      <c r="AL27" s="1357"/>
    </row>
    <row r="28" spans="1:38" ht="15" customHeight="1">
      <c r="A28" s="1369"/>
      <c r="B28" s="1368"/>
      <c r="C28" s="1367"/>
      <c r="D28" s="1366"/>
      <c r="E28" s="1365"/>
      <c r="F28" s="1365"/>
      <c r="G28" s="1364"/>
      <c r="H28" s="1361"/>
      <c r="I28" s="1361"/>
      <c r="J28" s="1361"/>
      <c r="K28" s="1363"/>
      <c r="L28" s="1359"/>
      <c r="M28" s="1362"/>
      <c r="N28" s="1361"/>
      <c r="O28" s="1361"/>
      <c r="P28" s="1361"/>
      <c r="Q28" s="1359"/>
      <c r="R28" s="1360"/>
      <c r="S28" s="1359"/>
      <c r="T28" s="1358"/>
      <c r="W28" s="1357"/>
      <c r="X28" s="1357"/>
      <c r="Y28" s="1357"/>
      <c r="Z28" s="1357"/>
      <c r="AA28" s="1357"/>
      <c r="AB28" s="1357"/>
      <c r="AC28" s="1357"/>
      <c r="AD28" s="1357"/>
      <c r="AE28" s="1357"/>
      <c r="AF28" s="1357"/>
      <c r="AG28" s="1357"/>
      <c r="AH28" s="1357"/>
      <c r="AI28" s="1357"/>
      <c r="AJ28" s="1357"/>
      <c r="AK28" s="1357"/>
      <c r="AL28" s="1357"/>
    </row>
    <row r="29" spans="1:38" ht="15" customHeight="1">
      <c r="A29" s="1369"/>
      <c r="B29" s="1368"/>
      <c r="C29" s="1367"/>
      <c r="D29" s="1366"/>
      <c r="E29" s="1365"/>
      <c r="F29" s="1365"/>
      <c r="G29" s="1364"/>
      <c r="H29" s="1361"/>
      <c r="I29" s="1361"/>
      <c r="J29" s="1361"/>
      <c r="K29" s="1363"/>
      <c r="L29" s="1359"/>
      <c r="M29" s="1362"/>
      <c r="N29" s="1361"/>
      <c r="O29" s="1361"/>
      <c r="P29" s="1361"/>
      <c r="Q29" s="1359"/>
      <c r="R29" s="1360"/>
      <c r="S29" s="1359"/>
      <c r="T29" s="1358"/>
      <c r="W29" s="1357"/>
      <c r="X29" s="1357"/>
      <c r="Y29" s="1357"/>
      <c r="Z29" s="1357"/>
      <c r="AA29" s="1357"/>
      <c r="AB29" s="1357"/>
      <c r="AC29" s="1357"/>
      <c r="AD29" s="1357"/>
      <c r="AE29" s="1357"/>
      <c r="AF29" s="1357"/>
      <c r="AG29" s="1357"/>
      <c r="AH29" s="1357"/>
      <c r="AI29" s="1357"/>
      <c r="AJ29" s="1357"/>
      <c r="AK29" s="1357"/>
      <c r="AL29" s="1357"/>
    </row>
    <row r="30" spans="1:38" ht="15" customHeight="1">
      <c r="A30" s="1369"/>
      <c r="B30" s="1368"/>
      <c r="C30" s="1367"/>
      <c r="D30" s="1366"/>
      <c r="E30" s="1365"/>
      <c r="F30" s="1365"/>
      <c r="G30" s="1364"/>
      <c r="H30" s="1361"/>
      <c r="I30" s="1361"/>
      <c r="J30" s="1361"/>
      <c r="K30" s="1363"/>
      <c r="L30" s="1359"/>
      <c r="M30" s="1362"/>
      <c r="N30" s="1361"/>
      <c r="O30" s="1361"/>
      <c r="P30" s="1361"/>
      <c r="Q30" s="1359"/>
      <c r="R30" s="1360"/>
      <c r="S30" s="1359"/>
      <c r="T30" s="1358"/>
      <c r="W30" s="1357"/>
      <c r="X30" s="1357"/>
      <c r="Y30" s="1357"/>
      <c r="Z30" s="1357"/>
      <c r="AA30" s="1357"/>
      <c r="AB30" s="1357"/>
      <c r="AC30" s="1357"/>
      <c r="AD30" s="1357"/>
      <c r="AE30" s="1357"/>
      <c r="AF30" s="1357"/>
      <c r="AG30" s="1357"/>
      <c r="AH30" s="1357"/>
      <c r="AI30" s="1357"/>
      <c r="AJ30" s="1357"/>
      <c r="AK30" s="1357"/>
      <c r="AL30" s="1357"/>
    </row>
    <row r="31" spans="1:38" ht="15" customHeight="1">
      <c r="A31" s="1369"/>
      <c r="B31" s="1368"/>
      <c r="C31" s="1367"/>
      <c r="D31" s="1366"/>
      <c r="E31" s="1365"/>
      <c r="F31" s="1365"/>
      <c r="G31" s="1364"/>
      <c r="H31" s="1361"/>
      <c r="I31" s="1361"/>
      <c r="J31" s="1361"/>
      <c r="K31" s="1363"/>
      <c r="L31" s="1359"/>
      <c r="M31" s="1362"/>
      <c r="N31" s="1361"/>
      <c r="O31" s="1361"/>
      <c r="P31" s="1361"/>
      <c r="Q31" s="1359"/>
      <c r="R31" s="1360"/>
      <c r="S31" s="1359"/>
      <c r="T31" s="1358"/>
      <c r="W31" s="1357"/>
      <c r="X31" s="1357"/>
      <c r="Y31" s="1357"/>
      <c r="Z31" s="1357"/>
      <c r="AA31" s="1357"/>
      <c r="AB31" s="1357"/>
      <c r="AC31" s="1357"/>
      <c r="AD31" s="1357"/>
      <c r="AE31" s="1357"/>
      <c r="AF31" s="1357"/>
      <c r="AG31" s="1357"/>
      <c r="AH31" s="1357"/>
      <c r="AI31" s="1357"/>
      <c r="AJ31" s="1357"/>
      <c r="AK31" s="1357"/>
      <c r="AL31" s="1357"/>
    </row>
    <row r="32" spans="1:38" ht="15" customHeight="1">
      <c r="A32" s="1369"/>
      <c r="B32" s="1368"/>
      <c r="C32" s="1367"/>
      <c r="D32" s="1366"/>
      <c r="E32" s="1365"/>
      <c r="F32" s="1365"/>
      <c r="G32" s="1364"/>
      <c r="H32" s="1361"/>
      <c r="I32" s="1361"/>
      <c r="J32" s="1361"/>
      <c r="K32" s="1363"/>
      <c r="L32" s="1359"/>
      <c r="M32" s="1362"/>
      <c r="N32" s="1361"/>
      <c r="O32" s="1361"/>
      <c r="P32" s="1361"/>
      <c r="Q32" s="1359"/>
      <c r="R32" s="1360"/>
      <c r="S32" s="1359"/>
      <c r="T32" s="1358"/>
      <c r="W32" s="1357"/>
      <c r="X32" s="1357"/>
      <c r="Y32" s="1357"/>
      <c r="Z32" s="1357"/>
      <c r="AA32" s="1357"/>
      <c r="AB32" s="1357"/>
      <c r="AC32" s="1357"/>
      <c r="AD32" s="1357"/>
      <c r="AE32" s="1357"/>
      <c r="AF32" s="1357"/>
      <c r="AG32" s="1357"/>
      <c r="AH32" s="1357"/>
      <c r="AI32" s="1357"/>
      <c r="AJ32" s="1357"/>
      <c r="AK32" s="1357"/>
      <c r="AL32" s="1357"/>
    </row>
    <row r="33" spans="1:38" ht="15" customHeight="1">
      <c r="A33" s="1369"/>
      <c r="B33" s="1368"/>
      <c r="C33" s="1367"/>
      <c r="D33" s="1366"/>
      <c r="E33" s="1365"/>
      <c r="F33" s="1365"/>
      <c r="G33" s="1364"/>
      <c r="H33" s="1361"/>
      <c r="I33" s="1361"/>
      <c r="J33" s="1361"/>
      <c r="K33" s="1363"/>
      <c r="L33" s="1359"/>
      <c r="M33" s="1362"/>
      <c r="N33" s="1361"/>
      <c r="O33" s="1361"/>
      <c r="P33" s="1361"/>
      <c r="Q33" s="1359"/>
      <c r="R33" s="1360"/>
      <c r="S33" s="1359"/>
      <c r="T33" s="1358"/>
      <c r="W33" s="1357"/>
      <c r="X33" s="1357"/>
      <c r="Y33" s="1357"/>
      <c r="Z33" s="1357"/>
      <c r="AA33" s="1357"/>
      <c r="AB33" s="1357"/>
      <c r="AC33" s="1357"/>
      <c r="AD33" s="1357"/>
      <c r="AE33" s="1357"/>
      <c r="AF33" s="1357"/>
      <c r="AG33" s="1357"/>
      <c r="AH33" s="1357"/>
      <c r="AI33" s="1357"/>
      <c r="AJ33" s="1357"/>
      <c r="AK33" s="1357"/>
      <c r="AL33" s="1357"/>
    </row>
    <row r="34" spans="1:38" ht="15" customHeight="1">
      <c r="A34" s="1369"/>
      <c r="B34" s="1368"/>
      <c r="C34" s="1367"/>
      <c r="D34" s="1366"/>
      <c r="E34" s="1365"/>
      <c r="F34" s="1365"/>
      <c r="G34" s="1364"/>
      <c r="H34" s="1361"/>
      <c r="I34" s="1361"/>
      <c r="J34" s="1361"/>
      <c r="K34" s="1363"/>
      <c r="L34" s="1359"/>
      <c r="M34" s="1362"/>
      <c r="N34" s="1361"/>
      <c r="O34" s="1361"/>
      <c r="P34" s="1361"/>
      <c r="Q34" s="1359"/>
      <c r="R34" s="1360"/>
      <c r="S34" s="1359"/>
      <c r="T34" s="1358"/>
      <c r="W34" s="1357"/>
      <c r="X34" s="1357"/>
      <c r="Y34" s="1357"/>
      <c r="Z34" s="1357"/>
      <c r="AA34" s="1357"/>
      <c r="AB34" s="1357"/>
      <c r="AC34" s="1357"/>
      <c r="AD34" s="1357"/>
      <c r="AE34" s="1357"/>
      <c r="AF34" s="1357"/>
      <c r="AG34" s="1357"/>
      <c r="AH34" s="1357"/>
      <c r="AI34" s="1357"/>
      <c r="AJ34" s="1357"/>
      <c r="AK34" s="1357"/>
      <c r="AL34" s="1357"/>
    </row>
    <row r="35" spans="1:38" ht="15" customHeight="1" thickBot="1">
      <c r="A35" s="1434"/>
      <c r="B35" s="1435"/>
      <c r="C35" s="1436"/>
      <c r="D35" s="1437"/>
      <c r="E35" s="1438"/>
      <c r="F35" s="1438"/>
      <c r="G35" s="1439"/>
      <c r="H35" s="1440"/>
      <c r="I35" s="1440"/>
      <c r="J35" s="1440"/>
      <c r="K35" s="1441"/>
      <c r="L35" s="1442"/>
      <c r="M35" s="1443"/>
      <c r="N35" s="1440"/>
      <c r="O35" s="1440"/>
      <c r="P35" s="1440"/>
      <c r="Q35" s="1442"/>
      <c r="R35" s="1444"/>
      <c r="S35" s="1442"/>
      <c r="T35" s="1445"/>
      <c r="W35" s="1357"/>
      <c r="X35" s="1357"/>
      <c r="Y35" s="1357"/>
      <c r="Z35" s="1357"/>
      <c r="AA35" s="1357"/>
      <c r="AB35" s="1357"/>
      <c r="AC35" s="1357"/>
      <c r="AD35" s="1357"/>
      <c r="AE35" s="1357"/>
      <c r="AF35" s="1357"/>
      <c r="AG35" s="1357"/>
      <c r="AH35" s="1357"/>
      <c r="AI35" s="1357"/>
      <c r="AJ35" s="1357"/>
      <c r="AK35" s="1357"/>
      <c r="AL35" s="1357"/>
    </row>
    <row r="36" spans="1:38" ht="21" customHeight="1" thickTop="1">
      <c r="A36" s="1451" t="s">
        <v>1096</v>
      </c>
      <c r="B36" s="1452"/>
      <c r="C36" s="1453"/>
      <c r="D36" s="1446">
        <v>13</v>
      </c>
      <c r="E36" s="1447"/>
      <c r="F36" s="1447">
        <v>36.4</v>
      </c>
      <c r="G36" s="1448">
        <v>715</v>
      </c>
      <c r="H36" s="1449">
        <v>0</v>
      </c>
      <c r="I36" s="1449">
        <v>715</v>
      </c>
      <c r="J36" s="1449">
        <v>94</v>
      </c>
      <c r="K36" s="1449">
        <v>809</v>
      </c>
      <c r="L36" s="1449">
        <v>154</v>
      </c>
      <c r="M36" s="1449">
        <v>963</v>
      </c>
      <c r="N36" s="1448">
        <v>1849</v>
      </c>
      <c r="O36" s="1449">
        <v>0</v>
      </c>
      <c r="P36" s="1449">
        <v>1849</v>
      </c>
      <c r="Q36" s="1449">
        <v>0</v>
      </c>
      <c r="R36" s="1449">
        <v>1849</v>
      </c>
      <c r="S36" s="1449">
        <v>178</v>
      </c>
      <c r="T36" s="1450">
        <v>2027</v>
      </c>
      <c r="W36" s="1357"/>
      <c r="X36" s="1357"/>
      <c r="Y36" s="1357"/>
      <c r="Z36" s="1357"/>
      <c r="AA36" s="1357"/>
      <c r="AB36" s="1357"/>
      <c r="AC36" s="1357"/>
      <c r="AD36" s="1357"/>
      <c r="AE36" s="1357"/>
      <c r="AF36" s="1357"/>
      <c r="AG36" s="1357"/>
      <c r="AH36" s="1357"/>
      <c r="AI36" s="1357"/>
      <c r="AJ36" s="1357"/>
      <c r="AK36" s="1357"/>
      <c r="AL36" s="1357"/>
    </row>
    <row r="46" spans="1:38" ht="15" customHeight="1">
      <c r="AB46" s="1351"/>
      <c r="AC46" s="1351"/>
      <c r="AD46" s="1351"/>
      <c r="AE46" s="1351"/>
      <c r="AF46" s="1351"/>
      <c r="AG46" s="1351"/>
      <c r="AH46" s="1351"/>
      <c r="AI46" s="1351"/>
      <c r="AJ46" s="1351"/>
      <c r="AK46" s="1351"/>
      <c r="AL46" s="1351"/>
    </row>
    <row r="47" spans="1:38" s="1351" customFormat="1" ht="15" customHeight="1">
      <c r="C47" s="1355"/>
      <c r="D47" s="1355"/>
      <c r="E47" s="1355"/>
      <c r="F47" s="1355"/>
      <c r="G47" s="1355"/>
      <c r="I47" s="1352"/>
      <c r="P47" s="1352"/>
      <c r="U47" s="1350"/>
      <c r="V47" s="1350"/>
      <c r="W47" s="1350"/>
      <c r="X47" s="1350"/>
      <c r="Y47" s="1350"/>
      <c r="Z47" s="1350"/>
      <c r="AA47" s="1350"/>
    </row>
    <row r="48" spans="1:38" s="1351" customFormat="1" ht="15" customHeight="1">
      <c r="C48" s="1355"/>
      <c r="D48" s="1355"/>
      <c r="E48" s="1355"/>
      <c r="F48" s="1355"/>
      <c r="G48" s="1355"/>
      <c r="H48" s="1356"/>
      <c r="I48" s="1352"/>
      <c r="O48" s="1356"/>
      <c r="P48" s="1352"/>
      <c r="U48" s="1350"/>
      <c r="V48" s="1350"/>
      <c r="W48" s="1350"/>
      <c r="X48" s="1350"/>
      <c r="Y48" s="1350"/>
      <c r="Z48" s="1350"/>
      <c r="AA48" s="1350"/>
    </row>
    <row r="49" spans="3:38" s="1351" customFormat="1" ht="15" customHeight="1">
      <c r="C49" s="1355"/>
      <c r="D49" s="1355"/>
      <c r="E49" s="1355"/>
      <c r="F49" s="1355"/>
      <c r="G49" s="1355"/>
      <c r="H49" s="1354"/>
      <c r="I49" s="1352"/>
      <c r="O49" s="1354"/>
      <c r="P49" s="1352"/>
      <c r="U49" s="1350"/>
      <c r="V49" s="1350"/>
      <c r="W49" s="1350"/>
      <c r="X49" s="1350"/>
      <c r="Y49" s="1350"/>
      <c r="Z49" s="1350"/>
      <c r="AA49" s="1350"/>
    </row>
    <row r="50" spans="3:38" s="1351" customFormat="1" ht="15" customHeight="1">
      <c r="C50" s="1353"/>
      <c r="D50" s="1353"/>
      <c r="E50" s="1353"/>
      <c r="F50" s="1353"/>
      <c r="G50" s="1353"/>
      <c r="H50" s="1352"/>
      <c r="O50" s="1352"/>
      <c r="U50" s="1350"/>
      <c r="V50" s="1350"/>
      <c r="W50" s="1350"/>
      <c r="X50" s="1350"/>
      <c r="Y50" s="1350"/>
      <c r="Z50" s="1350"/>
      <c r="AA50" s="1350"/>
      <c r="AB50" s="1350"/>
      <c r="AC50" s="1350"/>
      <c r="AD50" s="1350"/>
      <c r="AE50" s="1350"/>
      <c r="AF50" s="1350"/>
      <c r="AG50" s="1350"/>
      <c r="AH50" s="1350"/>
      <c r="AI50" s="1350"/>
      <c r="AJ50" s="1350"/>
      <c r="AK50" s="1350"/>
      <c r="AL50" s="1350"/>
    </row>
  </sheetData>
  <mergeCells count="25">
    <mergeCell ref="A36:C36"/>
    <mergeCell ref="G4:G5"/>
    <mergeCell ref="N4:N5"/>
    <mergeCell ref="W2:AD2"/>
    <mergeCell ref="AE2:AL2"/>
    <mergeCell ref="A3:A5"/>
    <mergeCell ref="B3:B5"/>
    <mergeCell ref="C3:C5"/>
    <mergeCell ref="D3:D5"/>
    <mergeCell ref="E3:E5"/>
    <mergeCell ref="F3:F5"/>
    <mergeCell ref="G3:M3"/>
    <mergeCell ref="N3:T3"/>
    <mergeCell ref="AE3:AH3"/>
    <mergeCell ref="AI3:AL3"/>
    <mergeCell ref="J4:J5"/>
    <mergeCell ref="K4:K5"/>
    <mergeCell ref="L4:L5"/>
    <mergeCell ref="M4:M5"/>
    <mergeCell ref="Q4:Q5"/>
    <mergeCell ref="R4:R5"/>
    <mergeCell ref="S4:S5"/>
    <mergeCell ref="T4:T5"/>
    <mergeCell ref="W3:Z3"/>
    <mergeCell ref="AA3:AD3"/>
  </mergeCells>
  <phoneticPr fontId="4"/>
  <printOptions horizontalCentered="1"/>
  <pageMargins left="0.70866141732283472" right="0.70866141732283472" top="0.78740157480314965" bottom="0.55118110236220474" header="0.59055118110236227" footer="0.31496062992125984"/>
  <pageSetup paperSize="9" scale="86" orientation="landscape" horizontalDpi="1200" verticalDpi="1200" r:id="rId1"/>
  <headerFooter scaleWithDoc="0" alignWithMargins="0">
    <oddFooter>&amp;C&amp;"ＭＳ Ｐゴシック,標準"&amp;9( &amp;P / &amp;N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13"/>
  <sheetViews>
    <sheetView showGridLines="0" zoomScale="90" zoomScaleNormal="90" workbookViewId="0"/>
  </sheetViews>
  <sheetFormatPr defaultColWidth="9.140625" defaultRowHeight="30" customHeight="1"/>
  <cols>
    <col min="1" max="1" width="69.28515625" style="9" customWidth="1"/>
    <col min="2" max="5" width="8" style="5" customWidth="1"/>
    <col min="6" max="16384" width="9.140625" style="5"/>
  </cols>
  <sheetData>
    <row r="1" spans="1:5" ht="30" customHeight="1">
      <c r="A1" s="1"/>
      <c r="B1" s="2"/>
      <c r="C1" s="3"/>
      <c r="D1" s="4" t="s">
        <v>0</v>
      </c>
      <c r="E1" s="2"/>
    </row>
    <row r="2" spans="1:5" ht="30" customHeight="1">
      <c r="A2" s="6"/>
    </row>
    <row r="3" spans="1:5" ht="30" customHeight="1">
      <c r="A3" s="6"/>
      <c r="D3" s="7"/>
    </row>
    <row r="4" spans="1:5" ht="30" customHeight="1">
      <c r="A4" s="6"/>
    </row>
    <row r="5" spans="1:5" ht="30" customHeight="1">
      <c r="A5" s="8" t="s">
        <v>1233</v>
      </c>
    </row>
    <row r="6" spans="1:5" ht="30" customHeight="1">
      <c r="A6" s="6"/>
    </row>
    <row r="7" spans="1:5" ht="30" customHeight="1">
      <c r="A7" s="6" t="s">
        <v>1234</v>
      </c>
    </row>
    <row r="8" spans="1:5" ht="30" customHeight="1">
      <c r="A8" s="6"/>
    </row>
    <row r="9" spans="1:5" ht="30" customHeight="1">
      <c r="A9" s="6"/>
    </row>
    <row r="10" spans="1:5" ht="30" customHeight="1">
      <c r="A10" s="6"/>
    </row>
    <row r="11" spans="1:5" ht="30" customHeight="1">
      <c r="A11" s="6"/>
    </row>
    <row r="12" spans="1:5" ht="30" customHeight="1">
      <c r="A12" s="6"/>
    </row>
    <row r="13" spans="1:5" ht="30" customHeight="1">
      <c r="A13" s="6"/>
    </row>
  </sheetData>
  <sheetProtection insertRows="0" deleteRows="0" sort="0" autoFilter="0"/>
  <phoneticPr fontId="4"/>
  <printOptions horizontalCentered="1"/>
  <pageMargins left="0.70866141732283472" right="0.70866141732283472" top="0.98425196850393704" bottom="0.51181102362204722" header="0.78740157480314965" footer="0.35433070866141736"/>
  <pageSetup paperSize="9" orientation="landscape" horizontalDpi="300" verticalDpi="300" r:id="rId1"/>
  <headerFooter scaleWithDoc="0" alignWithMargins="0">
    <oddFooter>&amp;C&amp;"ＭＳ Ｐゴシック,標準"&amp;9( &amp;P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54"/>
  <sheetViews>
    <sheetView showGridLines="0" zoomScale="80" zoomScaleNormal="80" workbookViewId="0"/>
  </sheetViews>
  <sheetFormatPr defaultColWidth="7.5703125" defaultRowHeight="15.95" customHeight="1"/>
  <cols>
    <col min="1" max="1" width="17.28515625" style="111" customWidth="1"/>
    <col min="2" max="6" width="7.7109375" style="54" customWidth="1"/>
    <col min="7" max="7" width="7.7109375" style="72" customWidth="1"/>
    <col min="8" max="12" width="7.7109375" style="54" customWidth="1"/>
    <col min="13" max="13" width="7.7109375" style="72" customWidth="1"/>
    <col min="14" max="18" width="7.7109375" style="54" customWidth="1"/>
    <col min="19" max="19" width="7.7109375" style="72" customWidth="1"/>
    <col min="20" max="23" width="7.7109375" style="54" customWidth="1"/>
    <col min="24" max="24" width="7.7109375" style="72" customWidth="1"/>
    <col min="25" max="25" width="7.7109375" style="54" customWidth="1"/>
    <col min="26" max="16384" width="7.5703125" style="54"/>
  </cols>
  <sheetData>
    <row r="1" spans="1:25" s="53" customFormat="1" ht="27.95" customHeight="1">
      <c r="A1" s="10" t="s">
        <v>26</v>
      </c>
      <c r="B1" s="50"/>
      <c r="C1" s="50"/>
      <c r="D1" s="50"/>
      <c r="E1" s="50"/>
      <c r="F1" s="50"/>
      <c r="G1" s="51"/>
      <c r="H1" s="50"/>
      <c r="I1" s="50"/>
      <c r="J1" s="50"/>
      <c r="K1" s="50"/>
      <c r="L1" s="50"/>
      <c r="M1" s="51"/>
      <c r="N1" s="50"/>
      <c r="O1" s="50"/>
      <c r="P1" s="50"/>
      <c r="Q1" s="50"/>
      <c r="R1" s="50"/>
      <c r="S1" s="51"/>
      <c r="T1" s="50"/>
      <c r="U1" s="50"/>
      <c r="V1" s="50"/>
      <c r="W1" s="50"/>
      <c r="X1" s="51"/>
      <c r="Y1" s="52"/>
    </row>
    <row r="2" spans="1:25" ht="8.1" customHeight="1">
      <c r="A2" s="54"/>
      <c r="G2" s="54"/>
      <c r="M2" s="54"/>
      <c r="S2" s="54"/>
      <c r="X2" s="54"/>
    </row>
    <row r="3" spans="1:25" ht="15.95" customHeight="1">
      <c r="A3" s="55" t="s">
        <v>27</v>
      </c>
      <c r="B3" s="55" t="s">
        <v>62</v>
      </c>
      <c r="C3" s="55"/>
      <c r="D3" s="56"/>
      <c r="E3" s="56"/>
      <c r="F3" s="56"/>
      <c r="G3" s="56"/>
      <c r="H3" s="56"/>
      <c r="I3" s="56"/>
      <c r="J3" s="56"/>
      <c r="K3" s="56"/>
      <c r="L3" s="56"/>
      <c r="M3" s="56"/>
      <c r="N3" s="56"/>
      <c r="O3" s="56"/>
      <c r="P3" s="56"/>
      <c r="Q3" s="56"/>
      <c r="R3" s="56"/>
      <c r="S3" s="56"/>
      <c r="T3" s="56"/>
      <c r="U3" s="56"/>
      <c r="V3" s="56"/>
      <c r="W3" s="56"/>
      <c r="X3" s="57"/>
      <c r="Y3" s="57"/>
    </row>
    <row r="4" spans="1:25" ht="15.95" customHeight="1" thickBot="1">
      <c r="A4" s="54"/>
      <c r="G4" s="54"/>
      <c r="M4" s="54"/>
      <c r="S4" s="54"/>
      <c r="X4" s="54"/>
    </row>
    <row r="5" spans="1:25" ht="15.95" customHeight="1">
      <c r="A5" s="58" t="s">
        <v>28</v>
      </c>
      <c r="B5" s="59"/>
      <c r="C5" s="60"/>
      <c r="G5" s="54"/>
      <c r="M5" s="54"/>
      <c r="S5" s="54"/>
      <c r="X5" s="54"/>
    </row>
    <row r="6" spans="1:25" ht="15.95" customHeight="1" thickBot="1">
      <c r="A6" s="54"/>
      <c r="G6" s="54"/>
      <c r="M6" s="54"/>
      <c r="S6" s="54"/>
      <c r="X6" s="54"/>
    </row>
    <row r="7" spans="1:25" ht="15.95" customHeight="1">
      <c r="A7" s="37" t="s">
        <v>29</v>
      </c>
      <c r="B7" s="61"/>
      <c r="C7" s="61"/>
      <c r="D7" s="61"/>
      <c r="E7" s="62"/>
      <c r="F7" s="61"/>
      <c r="G7" s="61"/>
      <c r="H7" s="61"/>
      <c r="I7" s="61"/>
      <c r="J7" s="61"/>
      <c r="K7" s="62"/>
      <c r="L7" s="61"/>
      <c r="M7" s="61"/>
      <c r="N7" s="61"/>
      <c r="O7" s="61"/>
      <c r="P7" s="61"/>
      <c r="Q7" s="62"/>
      <c r="R7" s="61"/>
      <c r="S7" s="61"/>
      <c r="T7" s="61"/>
      <c r="U7" s="61"/>
      <c r="V7" s="62"/>
      <c r="X7" s="54"/>
      <c r="Y7" s="63" t="s">
        <v>30</v>
      </c>
    </row>
    <row r="8" spans="1:25" ht="15.95" customHeight="1">
      <c r="A8" s="64"/>
      <c r="B8" s="65">
        <v>1</v>
      </c>
      <c r="C8" s="66">
        <v>2</v>
      </c>
      <c r="D8" s="66">
        <v>3</v>
      </c>
      <c r="E8" s="66">
        <v>4</v>
      </c>
      <c r="F8" s="66">
        <v>5</v>
      </c>
      <c r="G8" s="66">
        <v>6</v>
      </c>
      <c r="H8" s="66">
        <v>7</v>
      </c>
      <c r="I8" s="66">
        <v>8</v>
      </c>
      <c r="J8" s="66">
        <v>9</v>
      </c>
      <c r="K8" s="66">
        <v>10</v>
      </c>
      <c r="L8" s="66">
        <v>11</v>
      </c>
      <c r="M8" s="66">
        <v>12</v>
      </c>
      <c r="N8" s="66">
        <v>13</v>
      </c>
      <c r="O8" s="66">
        <v>14</v>
      </c>
      <c r="P8" s="66">
        <v>15</v>
      </c>
      <c r="Q8" s="66">
        <v>16</v>
      </c>
      <c r="R8" s="66">
        <v>17</v>
      </c>
      <c r="S8" s="66">
        <v>18</v>
      </c>
      <c r="T8" s="66">
        <v>19</v>
      </c>
      <c r="U8" s="66">
        <v>20</v>
      </c>
      <c r="V8" s="66">
        <v>21</v>
      </c>
      <c r="W8" s="66">
        <v>22</v>
      </c>
      <c r="X8" s="66">
        <v>23</v>
      </c>
      <c r="Y8" s="67">
        <v>24</v>
      </c>
    </row>
    <row r="9" spans="1:25" ht="15.95" customHeight="1">
      <c r="A9" s="68" t="s">
        <v>31</v>
      </c>
      <c r="B9" s="69">
        <v>28.5</v>
      </c>
      <c r="C9" s="70">
        <v>28.1</v>
      </c>
      <c r="D9" s="70">
        <v>27.9</v>
      </c>
      <c r="E9" s="70">
        <v>27.7</v>
      </c>
      <c r="F9" s="70">
        <v>27.6</v>
      </c>
      <c r="G9" s="70">
        <v>27.9</v>
      </c>
      <c r="H9" s="70">
        <v>28.9</v>
      </c>
      <c r="I9" s="70">
        <v>30</v>
      </c>
      <c r="J9" s="70">
        <v>31.3</v>
      </c>
      <c r="K9" s="70">
        <v>32.5</v>
      </c>
      <c r="L9" s="70">
        <v>33.200000000000003</v>
      </c>
      <c r="M9" s="141">
        <v>33.700000000000003</v>
      </c>
      <c r="N9" s="70">
        <v>33.9</v>
      </c>
      <c r="O9" s="70">
        <v>33.9</v>
      </c>
      <c r="P9" s="70">
        <v>33.4</v>
      </c>
      <c r="Q9" s="70">
        <v>32.9</v>
      </c>
      <c r="R9" s="70">
        <v>32</v>
      </c>
      <c r="S9" s="70">
        <v>31.3</v>
      </c>
      <c r="T9" s="70">
        <v>30.4</v>
      </c>
      <c r="U9" s="70">
        <v>29.8</v>
      </c>
      <c r="V9" s="70">
        <v>29.5</v>
      </c>
      <c r="W9" s="70">
        <v>29.2</v>
      </c>
      <c r="X9" s="70">
        <v>28.9</v>
      </c>
      <c r="Y9" s="71">
        <v>28.8</v>
      </c>
    </row>
    <row r="10" spans="1:25" ht="15.95" customHeight="1">
      <c r="A10" s="68" t="s">
        <v>32</v>
      </c>
      <c r="B10" s="69">
        <v>19.100000000000001</v>
      </c>
      <c r="C10" s="70">
        <v>19.100000000000001</v>
      </c>
      <c r="D10" s="70">
        <v>19.100000000000001</v>
      </c>
      <c r="E10" s="70">
        <v>19</v>
      </c>
      <c r="F10" s="70">
        <v>18.899999999999999</v>
      </c>
      <c r="G10" s="70">
        <v>19</v>
      </c>
      <c r="H10" s="70">
        <v>18.899999999999999</v>
      </c>
      <c r="I10" s="70">
        <v>18.8</v>
      </c>
      <c r="J10" s="70">
        <v>18.600000000000001</v>
      </c>
      <c r="K10" s="70">
        <v>18.5</v>
      </c>
      <c r="L10" s="70">
        <v>18.3</v>
      </c>
      <c r="M10" s="141">
        <v>18.600000000000001</v>
      </c>
      <c r="N10" s="70">
        <v>18.399999999999999</v>
      </c>
      <c r="O10" s="70">
        <v>18.100000000000001</v>
      </c>
      <c r="P10" s="70">
        <v>18.3</v>
      </c>
      <c r="Q10" s="70">
        <v>18.399999999999999</v>
      </c>
      <c r="R10" s="70">
        <v>18.5</v>
      </c>
      <c r="S10" s="70">
        <v>18.5</v>
      </c>
      <c r="T10" s="70">
        <v>18.5</v>
      </c>
      <c r="U10" s="70">
        <v>18.600000000000001</v>
      </c>
      <c r="V10" s="70">
        <v>18.8</v>
      </c>
      <c r="W10" s="70">
        <v>18.899999999999999</v>
      </c>
      <c r="X10" s="70">
        <v>19</v>
      </c>
      <c r="Y10" s="71">
        <v>19.100000000000001</v>
      </c>
    </row>
    <row r="11" spans="1:25" ht="15.95" customHeight="1">
      <c r="A11" s="68" t="s">
        <v>33</v>
      </c>
      <c r="B11" s="69">
        <v>77.400000000000006</v>
      </c>
      <c r="C11" s="70">
        <v>77</v>
      </c>
      <c r="D11" s="70">
        <v>76.8</v>
      </c>
      <c r="E11" s="70">
        <v>76.3</v>
      </c>
      <c r="F11" s="70">
        <v>76</v>
      </c>
      <c r="G11" s="70">
        <v>76.5</v>
      </c>
      <c r="H11" s="70">
        <v>77.3</v>
      </c>
      <c r="I11" s="70">
        <v>78.2</v>
      </c>
      <c r="J11" s="70">
        <v>79.099999999999994</v>
      </c>
      <c r="K11" s="70">
        <v>80</v>
      </c>
      <c r="L11" s="70">
        <v>80.3</v>
      </c>
      <c r="M11" s="141">
        <v>81.599999999999994</v>
      </c>
      <c r="N11" s="70">
        <v>81.2</v>
      </c>
      <c r="O11" s="70">
        <v>80.5</v>
      </c>
      <c r="P11" s="70">
        <v>80.5</v>
      </c>
      <c r="Q11" s="70">
        <v>80.2</v>
      </c>
      <c r="R11" s="70">
        <v>79.5</v>
      </c>
      <c r="S11" s="70">
        <v>78.8</v>
      </c>
      <c r="T11" s="70">
        <v>77.900000000000006</v>
      </c>
      <c r="U11" s="70">
        <v>77.5</v>
      </c>
      <c r="V11" s="70">
        <v>77.7</v>
      </c>
      <c r="W11" s="70">
        <v>77.599999999999994</v>
      </c>
      <c r="X11" s="70">
        <v>77.599999999999994</v>
      </c>
      <c r="Y11" s="71">
        <v>77.7</v>
      </c>
    </row>
    <row r="12" spans="1:25" ht="15.95" customHeight="1" thickBot="1">
      <c r="A12" s="54"/>
    </row>
    <row r="13" spans="1:25" ht="15.95" customHeight="1">
      <c r="A13" s="38" t="s">
        <v>34</v>
      </c>
      <c r="B13" s="61"/>
      <c r="C13" s="61"/>
      <c r="D13" s="61"/>
      <c r="E13" s="62"/>
      <c r="F13" s="61"/>
      <c r="G13" s="61"/>
      <c r="H13" s="61"/>
      <c r="I13" s="61"/>
      <c r="J13" s="61"/>
      <c r="K13" s="62"/>
      <c r="L13" s="61"/>
      <c r="M13" s="61"/>
      <c r="N13" s="61"/>
      <c r="O13" s="61"/>
      <c r="P13" s="61"/>
      <c r="Q13" s="62"/>
      <c r="R13" s="61"/>
      <c r="S13" s="61"/>
      <c r="T13" s="61"/>
      <c r="U13" s="61"/>
      <c r="V13" s="62"/>
      <c r="X13" s="54"/>
      <c r="Y13" s="63" t="s">
        <v>30</v>
      </c>
    </row>
    <row r="14" spans="1:25" ht="15.95" customHeight="1">
      <c r="A14" s="64"/>
      <c r="B14" s="65">
        <v>1</v>
      </c>
      <c r="C14" s="66">
        <v>2</v>
      </c>
      <c r="D14" s="66">
        <v>3</v>
      </c>
      <c r="E14" s="66">
        <v>4</v>
      </c>
      <c r="F14" s="66">
        <v>5</v>
      </c>
      <c r="G14" s="66">
        <v>6</v>
      </c>
      <c r="H14" s="66">
        <v>7</v>
      </c>
      <c r="I14" s="66">
        <v>8</v>
      </c>
      <c r="J14" s="66">
        <v>9</v>
      </c>
      <c r="K14" s="66">
        <v>10</v>
      </c>
      <c r="L14" s="66">
        <v>11</v>
      </c>
      <c r="M14" s="66">
        <v>12</v>
      </c>
      <c r="N14" s="66">
        <v>13</v>
      </c>
      <c r="O14" s="66">
        <v>14</v>
      </c>
      <c r="P14" s="66">
        <v>15</v>
      </c>
      <c r="Q14" s="66">
        <v>16</v>
      </c>
      <c r="R14" s="66">
        <v>17</v>
      </c>
      <c r="S14" s="66">
        <v>18</v>
      </c>
      <c r="T14" s="66">
        <v>19</v>
      </c>
      <c r="U14" s="66">
        <v>20</v>
      </c>
      <c r="V14" s="66">
        <v>21</v>
      </c>
      <c r="W14" s="66">
        <v>22</v>
      </c>
      <c r="X14" s="66">
        <v>23</v>
      </c>
      <c r="Y14" s="67">
        <v>24</v>
      </c>
    </row>
    <row r="15" spans="1:25" ht="15.95" customHeight="1">
      <c r="A15" s="68" t="s">
        <v>31</v>
      </c>
      <c r="B15" s="69">
        <v>27.8</v>
      </c>
      <c r="C15" s="70">
        <v>27.5</v>
      </c>
      <c r="D15" s="70">
        <v>27.3</v>
      </c>
      <c r="E15" s="70">
        <v>27.1</v>
      </c>
      <c r="F15" s="70">
        <v>27</v>
      </c>
      <c r="G15" s="70">
        <v>27.3</v>
      </c>
      <c r="H15" s="70">
        <v>28.4</v>
      </c>
      <c r="I15" s="70">
        <v>29.8</v>
      </c>
      <c r="J15" s="70">
        <v>31.1</v>
      </c>
      <c r="K15" s="70">
        <v>32.1</v>
      </c>
      <c r="L15" s="70">
        <v>33</v>
      </c>
      <c r="M15" s="70">
        <v>33.4</v>
      </c>
      <c r="N15" s="141">
        <v>33.6</v>
      </c>
      <c r="O15" s="70">
        <v>33.4</v>
      </c>
      <c r="P15" s="70">
        <v>32.9</v>
      </c>
      <c r="Q15" s="70">
        <v>32.5</v>
      </c>
      <c r="R15" s="70">
        <v>32</v>
      </c>
      <c r="S15" s="70">
        <v>31.1</v>
      </c>
      <c r="T15" s="70">
        <v>29.9</v>
      </c>
      <c r="U15" s="70">
        <v>29.1</v>
      </c>
      <c r="V15" s="70">
        <v>28.7</v>
      </c>
      <c r="W15" s="70">
        <v>28.4</v>
      </c>
      <c r="X15" s="70">
        <v>28.3</v>
      </c>
      <c r="Y15" s="71">
        <v>28</v>
      </c>
    </row>
    <row r="16" spans="1:25" ht="15.95" customHeight="1">
      <c r="A16" s="68" t="s">
        <v>32</v>
      </c>
      <c r="B16" s="69">
        <v>17.3</v>
      </c>
      <c r="C16" s="70">
        <v>17.399999999999999</v>
      </c>
      <c r="D16" s="70">
        <v>17.399999999999999</v>
      </c>
      <c r="E16" s="70">
        <v>17.399999999999999</v>
      </c>
      <c r="F16" s="70">
        <v>17.3</v>
      </c>
      <c r="G16" s="70">
        <v>17.3</v>
      </c>
      <c r="H16" s="70">
        <v>17.100000000000001</v>
      </c>
      <c r="I16" s="70">
        <v>16.899999999999999</v>
      </c>
      <c r="J16" s="70">
        <v>16.7</v>
      </c>
      <c r="K16" s="70">
        <v>16.600000000000001</v>
      </c>
      <c r="L16" s="70">
        <v>16.600000000000001</v>
      </c>
      <c r="M16" s="70">
        <v>16.7</v>
      </c>
      <c r="N16" s="141">
        <v>16.8</v>
      </c>
      <c r="O16" s="70">
        <v>16.600000000000001</v>
      </c>
      <c r="P16" s="70">
        <v>16.7</v>
      </c>
      <c r="Q16" s="70">
        <v>16.8</v>
      </c>
      <c r="R16" s="70">
        <v>17</v>
      </c>
      <c r="S16" s="70">
        <v>17.100000000000001</v>
      </c>
      <c r="T16" s="70">
        <v>17.2</v>
      </c>
      <c r="U16" s="70">
        <v>17.2</v>
      </c>
      <c r="V16" s="70">
        <v>17.2</v>
      </c>
      <c r="W16" s="70">
        <v>17.2</v>
      </c>
      <c r="X16" s="70">
        <v>17.3</v>
      </c>
      <c r="Y16" s="71">
        <v>17.399999999999999</v>
      </c>
    </row>
    <row r="17" spans="1:25" ht="15.95" customHeight="1">
      <c r="A17" s="68" t="s">
        <v>33</v>
      </c>
      <c r="B17" s="69">
        <v>72.099999999999994</v>
      </c>
      <c r="C17" s="70">
        <v>72</v>
      </c>
      <c r="D17" s="70">
        <v>71.8</v>
      </c>
      <c r="E17" s="70">
        <v>71.599999999999994</v>
      </c>
      <c r="F17" s="70">
        <v>71.3</v>
      </c>
      <c r="G17" s="70">
        <v>71.599999999999994</v>
      </c>
      <c r="H17" s="70">
        <v>72.2</v>
      </c>
      <c r="I17" s="70">
        <v>73.2</v>
      </c>
      <c r="J17" s="70">
        <v>74</v>
      </c>
      <c r="K17" s="70">
        <v>74.8</v>
      </c>
      <c r="L17" s="70">
        <v>75.7</v>
      </c>
      <c r="M17" s="70">
        <v>76.400000000000006</v>
      </c>
      <c r="N17" s="141">
        <v>76.8</v>
      </c>
      <c r="O17" s="70">
        <v>76.099999999999994</v>
      </c>
      <c r="P17" s="70">
        <v>75.900000000000006</v>
      </c>
      <c r="Q17" s="70">
        <v>75.7</v>
      </c>
      <c r="R17" s="70">
        <v>75.7</v>
      </c>
      <c r="S17" s="70">
        <v>75</v>
      </c>
      <c r="T17" s="70">
        <v>74</v>
      </c>
      <c r="U17" s="70">
        <v>73.2</v>
      </c>
      <c r="V17" s="70">
        <v>72.8</v>
      </c>
      <c r="W17" s="70">
        <v>72.5</v>
      </c>
      <c r="X17" s="70">
        <v>72.599999999999994</v>
      </c>
      <c r="Y17" s="71">
        <v>72.599999999999994</v>
      </c>
    </row>
    <row r="18" spans="1:25" ht="15.95" customHeight="1" thickBot="1">
      <c r="A18" s="54"/>
    </row>
    <row r="19" spans="1:25" ht="15.95" customHeight="1">
      <c r="A19" s="39" t="s">
        <v>19</v>
      </c>
      <c r="B19" s="61"/>
      <c r="C19" s="61"/>
      <c r="D19" s="61"/>
      <c r="E19" s="62"/>
      <c r="F19" s="61"/>
      <c r="G19" s="61"/>
      <c r="H19" s="61"/>
      <c r="I19" s="61"/>
      <c r="J19" s="61"/>
      <c r="K19" s="62"/>
      <c r="L19" s="61"/>
      <c r="M19" s="61"/>
      <c r="N19" s="61"/>
      <c r="O19" s="61"/>
      <c r="P19" s="61"/>
      <c r="Q19" s="62"/>
      <c r="R19" s="61"/>
      <c r="S19" s="61"/>
      <c r="T19" s="61"/>
      <c r="U19" s="61"/>
      <c r="V19" s="62"/>
      <c r="X19" s="54"/>
      <c r="Y19" s="63" t="s">
        <v>30</v>
      </c>
    </row>
    <row r="20" spans="1:25" ht="15.95" customHeight="1">
      <c r="A20" s="64"/>
      <c r="B20" s="65">
        <v>1</v>
      </c>
      <c r="C20" s="66">
        <v>2</v>
      </c>
      <c r="D20" s="66">
        <v>3</v>
      </c>
      <c r="E20" s="66">
        <v>4</v>
      </c>
      <c r="F20" s="66">
        <v>5</v>
      </c>
      <c r="G20" s="66">
        <v>6</v>
      </c>
      <c r="H20" s="66">
        <v>7</v>
      </c>
      <c r="I20" s="66">
        <v>8</v>
      </c>
      <c r="J20" s="66">
        <v>9</v>
      </c>
      <c r="K20" s="66">
        <v>10</v>
      </c>
      <c r="L20" s="66">
        <v>11</v>
      </c>
      <c r="M20" s="66">
        <v>12</v>
      </c>
      <c r="N20" s="66">
        <v>13</v>
      </c>
      <c r="O20" s="66">
        <v>14</v>
      </c>
      <c r="P20" s="66">
        <v>15</v>
      </c>
      <c r="Q20" s="66">
        <v>16</v>
      </c>
      <c r="R20" s="66">
        <v>17</v>
      </c>
      <c r="S20" s="66">
        <v>18</v>
      </c>
      <c r="T20" s="66">
        <v>19</v>
      </c>
      <c r="U20" s="66">
        <v>20</v>
      </c>
      <c r="V20" s="66">
        <v>21</v>
      </c>
      <c r="W20" s="66">
        <v>22</v>
      </c>
      <c r="X20" s="66">
        <v>23</v>
      </c>
      <c r="Y20" s="67">
        <v>24</v>
      </c>
    </row>
    <row r="21" spans="1:25" ht="15.95" customHeight="1">
      <c r="A21" s="68" t="s">
        <v>31</v>
      </c>
      <c r="B21" s="69">
        <v>25.8</v>
      </c>
      <c r="C21" s="70">
        <v>25.5</v>
      </c>
      <c r="D21" s="70">
        <v>25.3</v>
      </c>
      <c r="E21" s="70">
        <v>25.1</v>
      </c>
      <c r="F21" s="70">
        <v>24.9</v>
      </c>
      <c r="G21" s="70">
        <v>25.1</v>
      </c>
      <c r="H21" s="70">
        <v>26</v>
      </c>
      <c r="I21" s="70">
        <v>27.5</v>
      </c>
      <c r="J21" s="70">
        <v>28.8</v>
      </c>
      <c r="K21" s="70">
        <v>30.1</v>
      </c>
      <c r="L21" s="70">
        <v>30.9</v>
      </c>
      <c r="M21" s="140">
        <v>31.6</v>
      </c>
      <c r="N21" s="70">
        <v>31.8</v>
      </c>
      <c r="O21" s="70">
        <v>31.5</v>
      </c>
      <c r="P21" s="70">
        <v>31.1</v>
      </c>
      <c r="Q21" s="70">
        <v>30.7</v>
      </c>
      <c r="R21" s="70">
        <v>29.7</v>
      </c>
      <c r="S21" s="70">
        <v>28.7</v>
      </c>
      <c r="T21" s="70">
        <v>27.9</v>
      </c>
      <c r="U21" s="70">
        <v>27.3</v>
      </c>
      <c r="V21" s="70">
        <v>27</v>
      </c>
      <c r="W21" s="142">
        <v>26.8</v>
      </c>
      <c r="X21" s="70">
        <v>26.6</v>
      </c>
      <c r="Y21" s="71">
        <v>26.2</v>
      </c>
    </row>
    <row r="22" spans="1:25" ht="15.95" customHeight="1">
      <c r="A22" s="68" t="s">
        <v>32</v>
      </c>
      <c r="B22" s="69">
        <v>16.100000000000001</v>
      </c>
      <c r="C22" s="70">
        <v>16</v>
      </c>
      <c r="D22" s="70">
        <v>15.9</v>
      </c>
      <c r="E22" s="70">
        <v>15.7</v>
      </c>
      <c r="F22" s="70">
        <v>15.4</v>
      </c>
      <c r="G22" s="70">
        <v>15.2</v>
      </c>
      <c r="H22" s="70">
        <v>15</v>
      </c>
      <c r="I22" s="70">
        <v>14.6</v>
      </c>
      <c r="J22" s="70">
        <v>14.2</v>
      </c>
      <c r="K22" s="70">
        <v>14.1</v>
      </c>
      <c r="L22" s="70">
        <v>13.8</v>
      </c>
      <c r="M22" s="140">
        <v>13.7</v>
      </c>
      <c r="N22" s="70">
        <v>13.5</v>
      </c>
      <c r="O22" s="70">
        <v>13.4</v>
      </c>
      <c r="P22" s="70">
        <v>13.5</v>
      </c>
      <c r="Q22" s="70">
        <v>13.7</v>
      </c>
      <c r="R22" s="70">
        <v>13.9</v>
      </c>
      <c r="S22" s="70">
        <v>14.5</v>
      </c>
      <c r="T22" s="70">
        <v>15.2</v>
      </c>
      <c r="U22" s="70">
        <v>16</v>
      </c>
      <c r="V22" s="70">
        <v>16.5</v>
      </c>
      <c r="W22" s="142">
        <v>16.600000000000001</v>
      </c>
      <c r="X22" s="70">
        <v>16.399999999999999</v>
      </c>
      <c r="Y22" s="71">
        <v>16.3</v>
      </c>
    </row>
    <row r="23" spans="1:25" ht="15.95" customHeight="1">
      <c r="A23" s="68" t="s">
        <v>33</v>
      </c>
      <c r="B23" s="69">
        <v>67</v>
      </c>
      <c r="C23" s="70">
        <v>66.400000000000006</v>
      </c>
      <c r="D23" s="70">
        <v>65.900000000000006</v>
      </c>
      <c r="E23" s="70">
        <v>65.2</v>
      </c>
      <c r="F23" s="70">
        <v>64.3</v>
      </c>
      <c r="G23" s="70">
        <v>64</v>
      </c>
      <c r="H23" s="70">
        <v>64.400000000000006</v>
      </c>
      <c r="I23" s="70">
        <v>64.900000000000006</v>
      </c>
      <c r="J23" s="70">
        <v>65.2</v>
      </c>
      <c r="K23" s="70">
        <v>66.3</v>
      </c>
      <c r="L23" s="70">
        <v>66.400000000000006</v>
      </c>
      <c r="M23" s="140">
        <v>66.8</v>
      </c>
      <c r="N23" s="70">
        <v>66.5</v>
      </c>
      <c r="O23" s="70">
        <v>66</v>
      </c>
      <c r="P23" s="70">
        <v>65.8</v>
      </c>
      <c r="Q23" s="70">
        <v>65.900000000000006</v>
      </c>
      <c r="R23" s="70">
        <v>65.400000000000006</v>
      </c>
      <c r="S23" s="70">
        <v>65.900000000000006</v>
      </c>
      <c r="T23" s="70">
        <v>66.8</v>
      </c>
      <c r="U23" s="70">
        <v>68.3</v>
      </c>
      <c r="V23" s="70">
        <v>69.2</v>
      </c>
      <c r="W23" s="142">
        <v>69.3</v>
      </c>
      <c r="X23" s="70">
        <v>68.599999999999994</v>
      </c>
      <c r="Y23" s="71">
        <v>67.900000000000006</v>
      </c>
    </row>
    <row r="24" spans="1:25" ht="15.95" customHeight="1" thickBot="1">
      <c r="A24" s="73"/>
    </row>
    <row r="25" spans="1:25" ht="15.95" customHeight="1">
      <c r="A25" s="74" t="s">
        <v>35</v>
      </c>
      <c r="B25" s="75"/>
      <c r="C25" s="76"/>
    </row>
    <row r="26" spans="1:25" ht="15.95" customHeight="1" thickBot="1">
      <c r="A26" s="54"/>
    </row>
    <row r="27" spans="1:25" ht="15.95" customHeight="1">
      <c r="A27" s="77" t="s">
        <v>36</v>
      </c>
      <c r="B27" s="61"/>
      <c r="C27" s="61"/>
      <c r="D27" s="61"/>
      <c r="E27" s="62"/>
      <c r="F27" s="61"/>
      <c r="G27" s="61"/>
      <c r="H27" s="61"/>
      <c r="I27" s="61"/>
      <c r="J27" s="61"/>
      <c r="K27" s="62"/>
      <c r="L27" s="61"/>
      <c r="M27" s="61"/>
      <c r="N27" s="61"/>
      <c r="O27" s="61"/>
      <c r="P27" s="61"/>
      <c r="Q27" s="62"/>
      <c r="R27" s="61"/>
      <c r="S27" s="61"/>
      <c r="T27" s="61"/>
      <c r="U27" s="61"/>
      <c r="V27" s="62"/>
      <c r="X27" s="54"/>
    </row>
    <row r="28" spans="1:25" ht="15.95" customHeight="1">
      <c r="A28" s="78"/>
      <c r="B28" s="79" t="s">
        <v>37</v>
      </c>
      <c r="C28" s="80"/>
      <c r="D28" s="80"/>
      <c r="E28" s="81"/>
      <c r="F28" s="79" t="s">
        <v>38</v>
      </c>
      <c r="G28" s="80"/>
      <c r="H28" s="80"/>
      <c r="I28" s="80"/>
      <c r="J28" s="80"/>
      <c r="K28" s="81"/>
      <c r="L28" s="79" t="s">
        <v>39</v>
      </c>
      <c r="M28" s="80"/>
      <c r="N28" s="80"/>
      <c r="O28" s="81"/>
      <c r="S28" s="54"/>
      <c r="X28" s="54"/>
    </row>
    <row r="29" spans="1:25" ht="15.95" customHeight="1">
      <c r="A29" s="82"/>
      <c r="B29" s="83" t="s">
        <v>40</v>
      </c>
      <c r="C29" s="84"/>
      <c r="D29" s="83" t="s">
        <v>41</v>
      </c>
      <c r="E29" s="84"/>
      <c r="F29" s="83" t="s">
        <v>42</v>
      </c>
      <c r="G29" s="85"/>
      <c r="H29" s="83" t="s">
        <v>43</v>
      </c>
      <c r="I29" s="84"/>
      <c r="J29" s="85" t="s">
        <v>44</v>
      </c>
      <c r="K29" s="84"/>
      <c r="L29" s="83" t="s">
        <v>40</v>
      </c>
      <c r="M29" s="84"/>
      <c r="N29" s="83" t="s">
        <v>41</v>
      </c>
      <c r="O29" s="84"/>
      <c r="Q29" s="86"/>
      <c r="S29" s="54"/>
      <c r="X29" s="54"/>
    </row>
    <row r="30" spans="1:25" ht="15.95" customHeight="1">
      <c r="A30" s="87"/>
      <c r="B30" s="88" t="s">
        <v>45</v>
      </c>
      <c r="C30" s="89" t="s">
        <v>46</v>
      </c>
      <c r="D30" s="90" t="s">
        <v>45</v>
      </c>
      <c r="E30" s="91" t="s">
        <v>46</v>
      </c>
      <c r="F30" s="88" t="s">
        <v>40</v>
      </c>
      <c r="G30" s="92" t="s">
        <v>41</v>
      </c>
      <c r="H30" s="88" t="s">
        <v>40</v>
      </c>
      <c r="I30" s="93" t="s">
        <v>41</v>
      </c>
      <c r="J30" s="94" t="s">
        <v>40</v>
      </c>
      <c r="K30" s="95" t="s">
        <v>41</v>
      </c>
      <c r="L30" s="88" t="s">
        <v>45</v>
      </c>
      <c r="M30" s="96" t="s">
        <v>46</v>
      </c>
      <c r="N30" s="90" t="s">
        <v>45</v>
      </c>
      <c r="O30" s="97" t="s">
        <v>46</v>
      </c>
      <c r="Q30" s="98"/>
      <c r="S30" s="54"/>
      <c r="X30" s="54"/>
    </row>
    <row r="31" spans="1:25" ht="15.95" customHeight="1">
      <c r="A31" s="68" t="s">
        <v>31</v>
      </c>
      <c r="B31" s="99">
        <v>9</v>
      </c>
      <c r="C31" s="100">
        <v>2</v>
      </c>
      <c r="D31" s="101">
        <v>5</v>
      </c>
      <c r="E31" s="100">
        <v>-0.3</v>
      </c>
      <c r="F31" s="102">
        <v>2</v>
      </c>
      <c r="G31" s="100">
        <v>-0.3</v>
      </c>
      <c r="H31" s="100">
        <v>2</v>
      </c>
      <c r="I31" s="100">
        <v>-0.3</v>
      </c>
      <c r="J31" s="100">
        <v>2</v>
      </c>
      <c r="K31" s="100">
        <v>-0.3</v>
      </c>
      <c r="L31" s="103">
        <v>9</v>
      </c>
      <c r="M31" s="100">
        <v>2</v>
      </c>
      <c r="N31" s="101">
        <v>5</v>
      </c>
      <c r="O31" s="104">
        <v>-0.3</v>
      </c>
      <c r="Q31" s="98"/>
      <c r="S31" s="54"/>
      <c r="X31" s="54"/>
    </row>
    <row r="32" spans="1:25" ht="15.95" customHeight="1">
      <c r="A32" s="68" t="s">
        <v>32</v>
      </c>
      <c r="B32" s="105"/>
      <c r="C32" s="106">
        <v>1.4</v>
      </c>
      <c r="D32" s="101"/>
      <c r="E32" s="106">
        <v>1.4</v>
      </c>
      <c r="F32" s="107"/>
      <c r="G32" s="107"/>
      <c r="H32" s="107"/>
      <c r="I32" s="107"/>
      <c r="J32" s="108"/>
      <c r="K32" s="107"/>
      <c r="L32" s="101"/>
      <c r="M32" s="106">
        <v>1.4</v>
      </c>
      <c r="N32" s="101"/>
      <c r="O32" s="104">
        <v>1.4</v>
      </c>
      <c r="S32" s="54"/>
      <c r="X32" s="54"/>
    </row>
    <row r="33" spans="1:28" ht="15.95" customHeight="1">
      <c r="A33" s="68" t="s">
        <v>33</v>
      </c>
      <c r="B33" s="109"/>
      <c r="C33" s="106">
        <v>5.5</v>
      </c>
      <c r="D33" s="110"/>
      <c r="E33" s="106">
        <v>3.2</v>
      </c>
      <c r="F33" s="107"/>
      <c r="G33" s="107"/>
      <c r="H33" s="107"/>
      <c r="I33" s="107"/>
      <c r="J33" s="108"/>
      <c r="K33" s="107"/>
      <c r="L33" s="110"/>
      <c r="M33" s="106">
        <v>5.5</v>
      </c>
      <c r="N33" s="110"/>
      <c r="O33" s="104">
        <v>3.2</v>
      </c>
      <c r="S33" s="54"/>
      <c r="X33" s="54"/>
    </row>
    <row r="34" spans="1:28" ht="15.95" customHeight="1" thickBot="1">
      <c r="G34" s="54"/>
      <c r="I34" s="72"/>
      <c r="M34" s="54"/>
      <c r="Q34" s="72"/>
      <c r="S34" s="54"/>
      <c r="W34" s="72"/>
      <c r="X34" s="54"/>
      <c r="AB34" s="72"/>
    </row>
    <row r="35" spans="1:28" ht="15.95" customHeight="1">
      <c r="A35" s="112" t="s">
        <v>47</v>
      </c>
      <c r="B35" s="61"/>
      <c r="C35" s="61"/>
      <c r="D35" s="61"/>
      <c r="E35" s="61"/>
      <c r="F35" s="61"/>
      <c r="G35" s="62"/>
      <c r="H35" s="61"/>
      <c r="I35" s="61"/>
      <c r="J35" s="61"/>
      <c r="K35" s="61"/>
      <c r="L35" s="61"/>
      <c r="M35" s="61"/>
      <c r="N35" s="61"/>
      <c r="O35" s="62"/>
      <c r="P35" s="61"/>
      <c r="Q35" s="61"/>
      <c r="R35" s="61"/>
      <c r="S35" s="61"/>
      <c r="T35" s="61"/>
      <c r="U35" s="62"/>
      <c r="V35" s="61"/>
      <c r="W35" s="61"/>
      <c r="X35" s="61"/>
      <c r="Y35" s="61"/>
      <c r="Z35" s="62"/>
    </row>
    <row r="36" spans="1:28" ht="15.95" customHeight="1">
      <c r="A36" s="78"/>
      <c r="B36" s="79" t="s">
        <v>37</v>
      </c>
      <c r="C36" s="80"/>
      <c r="D36" s="80"/>
      <c r="E36" s="81"/>
      <c r="F36" s="79" t="s">
        <v>38</v>
      </c>
      <c r="G36" s="80"/>
      <c r="H36" s="80"/>
      <c r="I36" s="80"/>
      <c r="J36" s="80"/>
      <c r="K36" s="81"/>
      <c r="L36" s="79" t="s">
        <v>39</v>
      </c>
      <c r="M36" s="80"/>
      <c r="N36" s="80"/>
      <c r="O36" s="81"/>
      <c r="S36" s="54"/>
      <c r="X36" s="54"/>
    </row>
    <row r="37" spans="1:28" ht="15.95" customHeight="1">
      <c r="A37" s="82"/>
      <c r="B37" s="83" t="s">
        <v>40</v>
      </c>
      <c r="C37" s="84"/>
      <c r="D37" s="83" t="s">
        <v>41</v>
      </c>
      <c r="E37" s="84"/>
      <c r="F37" s="83" t="s">
        <v>42</v>
      </c>
      <c r="G37" s="85"/>
      <c r="H37" s="83" t="s">
        <v>43</v>
      </c>
      <c r="I37" s="84"/>
      <c r="J37" s="85" t="s">
        <v>44</v>
      </c>
      <c r="K37" s="84"/>
      <c r="L37" s="83" t="s">
        <v>40</v>
      </c>
      <c r="M37" s="84"/>
      <c r="N37" s="83" t="s">
        <v>41</v>
      </c>
      <c r="O37" s="84"/>
      <c r="S37" s="54"/>
      <c r="X37" s="54"/>
    </row>
    <row r="38" spans="1:28" ht="15.95" customHeight="1">
      <c r="A38" s="87"/>
      <c r="B38" s="88" t="s">
        <v>45</v>
      </c>
      <c r="C38" s="89" t="s">
        <v>46</v>
      </c>
      <c r="D38" s="90" t="s">
        <v>45</v>
      </c>
      <c r="E38" s="91" t="s">
        <v>46</v>
      </c>
      <c r="F38" s="88" t="s">
        <v>40</v>
      </c>
      <c r="G38" s="92" t="s">
        <v>41</v>
      </c>
      <c r="H38" s="88" t="s">
        <v>40</v>
      </c>
      <c r="I38" s="93" t="s">
        <v>41</v>
      </c>
      <c r="J38" s="94" t="s">
        <v>40</v>
      </c>
      <c r="K38" s="95" t="s">
        <v>41</v>
      </c>
      <c r="L38" s="88" t="s">
        <v>45</v>
      </c>
      <c r="M38" s="96" t="s">
        <v>46</v>
      </c>
      <c r="N38" s="90" t="s">
        <v>45</v>
      </c>
      <c r="O38" s="97" t="s">
        <v>46</v>
      </c>
      <c r="S38" s="54"/>
      <c r="X38" s="54"/>
    </row>
    <row r="39" spans="1:28" ht="15.95" customHeight="1">
      <c r="A39" s="68" t="s">
        <v>31</v>
      </c>
      <c r="B39" s="99">
        <v>9</v>
      </c>
      <c r="C39" s="100">
        <v>1.5</v>
      </c>
      <c r="D39" s="101">
        <v>8</v>
      </c>
      <c r="E39" s="100">
        <v>1.4</v>
      </c>
      <c r="F39" s="102">
        <v>1.5</v>
      </c>
      <c r="G39" s="100">
        <v>1.4</v>
      </c>
      <c r="H39" s="100">
        <v>1.5</v>
      </c>
      <c r="I39" s="100">
        <v>1.4</v>
      </c>
      <c r="J39" s="100">
        <v>1.5</v>
      </c>
      <c r="K39" s="100">
        <v>1.4</v>
      </c>
      <c r="L39" s="103">
        <v>9</v>
      </c>
      <c r="M39" s="100">
        <v>1.5</v>
      </c>
      <c r="N39" s="101">
        <v>5</v>
      </c>
      <c r="O39" s="104">
        <v>1.6</v>
      </c>
      <c r="S39" s="54"/>
      <c r="X39" s="54"/>
    </row>
    <row r="40" spans="1:28" ht="15.95" customHeight="1">
      <c r="A40" s="68" t="s">
        <v>32</v>
      </c>
      <c r="B40" s="105"/>
      <c r="C40" s="106">
        <v>3.1</v>
      </c>
      <c r="D40" s="101"/>
      <c r="E40" s="106">
        <v>3</v>
      </c>
      <c r="F40" s="107"/>
      <c r="G40" s="107"/>
      <c r="H40" s="107"/>
      <c r="I40" s="107"/>
      <c r="J40" s="108"/>
      <c r="K40" s="107"/>
      <c r="L40" s="101"/>
      <c r="M40" s="106">
        <v>3.1</v>
      </c>
      <c r="N40" s="101"/>
      <c r="O40" s="104">
        <v>2.8</v>
      </c>
      <c r="S40" s="54"/>
      <c r="X40" s="54"/>
    </row>
    <row r="41" spans="1:28" ht="15.95" customHeight="1">
      <c r="A41" s="68" t="s">
        <v>48</v>
      </c>
      <c r="B41" s="109"/>
      <c r="C41" s="106">
        <v>9.3000000000000007</v>
      </c>
      <c r="D41" s="110"/>
      <c r="E41" s="106">
        <v>8.9</v>
      </c>
      <c r="F41" s="107"/>
      <c r="G41" s="107"/>
      <c r="H41" s="107"/>
      <c r="I41" s="107"/>
      <c r="J41" s="108"/>
      <c r="K41" s="107"/>
      <c r="L41" s="110"/>
      <c r="M41" s="106">
        <v>9.3000000000000007</v>
      </c>
      <c r="N41" s="110"/>
      <c r="O41" s="104">
        <v>8.6</v>
      </c>
      <c r="Q41" s="86"/>
      <c r="S41" s="54"/>
      <c r="X41" s="54"/>
    </row>
    <row r="42" spans="1:28" ht="15.95" customHeight="1">
      <c r="A42" s="54" t="s">
        <v>49</v>
      </c>
    </row>
    <row r="43" spans="1:28" ht="15.95" customHeight="1">
      <c r="A43" s="86" t="s">
        <v>63</v>
      </c>
    </row>
    <row r="44" spans="1:28" ht="15.95" customHeight="1">
      <c r="A44" s="98" t="s">
        <v>64</v>
      </c>
    </row>
    <row r="45" spans="1:28" ht="15.95" customHeight="1">
      <c r="A45" s="98"/>
    </row>
    <row r="46" spans="1:28" ht="15.95" customHeight="1" thickBot="1">
      <c r="A46" s="54"/>
    </row>
    <row r="47" spans="1:28" ht="15.95" customHeight="1">
      <c r="A47" s="58" t="s">
        <v>50</v>
      </c>
      <c r="B47" s="59"/>
      <c r="C47" s="60"/>
    </row>
    <row r="48" spans="1:28" ht="15.95" customHeight="1">
      <c r="A48" s="54" t="s">
        <v>51</v>
      </c>
      <c r="J48" s="72"/>
      <c r="K48" s="72"/>
      <c r="M48" s="54" t="s">
        <v>52</v>
      </c>
      <c r="S48" s="54"/>
      <c r="U48" s="72"/>
      <c r="X48" s="63" t="s">
        <v>53</v>
      </c>
      <c r="Z48" s="72"/>
    </row>
    <row r="49" spans="1:28" ht="15.95" customHeight="1">
      <c r="A49" s="113"/>
      <c r="B49" s="114" t="s">
        <v>54</v>
      </c>
      <c r="C49" s="115"/>
      <c r="D49" s="116" t="s">
        <v>55</v>
      </c>
      <c r="E49" s="117"/>
      <c r="F49" s="118" t="s">
        <v>56</v>
      </c>
      <c r="G49" s="117"/>
      <c r="H49" s="115" t="s">
        <v>57</v>
      </c>
      <c r="I49" s="119"/>
      <c r="M49" s="120" t="s">
        <v>58</v>
      </c>
      <c r="N49" s="121"/>
      <c r="O49" s="122">
        <v>1</v>
      </c>
      <c r="P49" s="122">
        <v>2</v>
      </c>
      <c r="Q49" s="122">
        <v>3</v>
      </c>
      <c r="R49" s="122">
        <v>4</v>
      </c>
      <c r="S49" s="122">
        <v>5</v>
      </c>
      <c r="T49" s="122">
        <v>6</v>
      </c>
      <c r="U49" s="122">
        <v>7</v>
      </c>
      <c r="V49" s="122">
        <v>8</v>
      </c>
      <c r="W49" s="123">
        <v>9</v>
      </c>
      <c r="X49" s="124">
        <v>10</v>
      </c>
    </row>
    <row r="50" spans="1:28" ht="15.95" customHeight="1">
      <c r="A50" s="125" t="s">
        <v>59</v>
      </c>
      <c r="B50" s="126">
        <v>15.9</v>
      </c>
      <c r="C50" s="126"/>
      <c r="D50" s="127">
        <v>2.6</v>
      </c>
      <c r="E50" s="128"/>
      <c r="F50" s="126">
        <v>2.6</v>
      </c>
      <c r="G50" s="128"/>
      <c r="H50" s="126">
        <v>15.9</v>
      </c>
      <c r="I50" s="128"/>
      <c r="M50" s="129" t="s">
        <v>59</v>
      </c>
      <c r="N50" s="130"/>
      <c r="O50" s="131">
        <v>7.5</v>
      </c>
      <c r="P50" s="131">
        <v>9.3000000000000007</v>
      </c>
      <c r="Q50" s="131">
        <v>11</v>
      </c>
      <c r="R50" s="131">
        <v>12.1</v>
      </c>
      <c r="S50" s="131">
        <v>13.2</v>
      </c>
      <c r="T50" s="131">
        <v>13.9</v>
      </c>
      <c r="U50" s="131">
        <v>14.6</v>
      </c>
      <c r="V50" s="131">
        <v>15.1</v>
      </c>
      <c r="W50" s="132">
        <v>15.5</v>
      </c>
      <c r="X50" s="133">
        <v>16</v>
      </c>
    </row>
    <row r="51" spans="1:28" ht="15.95" customHeight="1">
      <c r="A51" s="134" t="s">
        <v>60</v>
      </c>
      <c r="B51" s="135">
        <v>15.9</v>
      </c>
      <c r="C51" s="135"/>
      <c r="D51" s="136">
        <v>2.6</v>
      </c>
      <c r="E51" s="137"/>
      <c r="F51" s="135">
        <v>2.6</v>
      </c>
      <c r="G51" s="137"/>
      <c r="H51" s="135">
        <v>15.9</v>
      </c>
      <c r="I51" s="137"/>
      <c r="M51" s="138" t="s">
        <v>60</v>
      </c>
      <c r="N51" s="139"/>
      <c r="O51" s="131">
        <v>7.5</v>
      </c>
      <c r="P51" s="131">
        <v>9.3000000000000007</v>
      </c>
      <c r="Q51" s="131">
        <v>11</v>
      </c>
      <c r="R51" s="131">
        <v>12.1</v>
      </c>
      <c r="S51" s="131">
        <v>13.2</v>
      </c>
      <c r="T51" s="131">
        <v>13.9</v>
      </c>
      <c r="U51" s="131">
        <v>14.6</v>
      </c>
      <c r="V51" s="131">
        <v>15.1</v>
      </c>
      <c r="W51" s="132">
        <v>15.5</v>
      </c>
      <c r="X51" s="133">
        <v>16</v>
      </c>
      <c r="AB51" s="72"/>
    </row>
    <row r="52" spans="1:28" ht="15.95" customHeight="1">
      <c r="A52" s="54" t="s">
        <v>49</v>
      </c>
      <c r="B52" s="54" t="s">
        <v>61</v>
      </c>
      <c r="M52" s="54" t="s">
        <v>49</v>
      </c>
      <c r="O52" s="54" t="s">
        <v>65</v>
      </c>
    </row>
    <row r="53" spans="1:28" ht="15.95" customHeight="1">
      <c r="A53" s="54"/>
    </row>
    <row r="54" spans="1:28" ht="15.95" customHeight="1">
      <c r="A54" s="54"/>
    </row>
  </sheetData>
  <mergeCells count="48">
    <mergeCell ref="B51:C51"/>
    <mergeCell ref="D51:E51"/>
    <mergeCell ref="F51:G51"/>
    <mergeCell ref="H51:I51"/>
    <mergeCell ref="M51:N51"/>
    <mergeCell ref="B49:C49"/>
    <mergeCell ref="D49:E49"/>
    <mergeCell ref="F49:G49"/>
    <mergeCell ref="H49:I49"/>
    <mergeCell ref="M49:N49"/>
    <mergeCell ref="B50:C50"/>
    <mergeCell ref="D50:E50"/>
    <mergeCell ref="F50:G50"/>
    <mergeCell ref="H50:I50"/>
    <mergeCell ref="M50:N50"/>
    <mergeCell ref="N37:O37"/>
    <mergeCell ref="B39:B41"/>
    <mergeCell ref="D39:D41"/>
    <mergeCell ref="L39:L41"/>
    <mergeCell ref="N39:N41"/>
    <mergeCell ref="A47:C47"/>
    <mergeCell ref="A36:A38"/>
    <mergeCell ref="B36:E36"/>
    <mergeCell ref="F36:K36"/>
    <mergeCell ref="L36:O36"/>
    <mergeCell ref="B37:C37"/>
    <mergeCell ref="D37:E37"/>
    <mergeCell ref="F37:G37"/>
    <mergeCell ref="H37:I37"/>
    <mergeCell ref="J37:K37"/>
    <mergeCell ref="L37:M37"/>
    <mergeCell ref="J29:K29"/>
    <mergeCell ref="L29:M29"/>
    <mergeCell ref="N29:O29"/>
    <mergeCell ref="B31:B33"/>
    <mergeCell ref="D31:D33"/>
    <mergeCell ref="L31:L33"/>
    <mergeCell ref="N31:N33"/>
    <mergeCell ref="A5:C5"/>
    <mergeCell ref="A25:C25"/>
    <mergeCell ref="A28:A30"/>
    <mergeCell ref="B28:E28"/>
    <mergeCell ref="F28:K28"/>
    <mergeCell ref="L28:O28"/>
    <mergeCell ref="B29:C29"/>
    <mergeCell ref="D29:E29"/>
    <mergeCell ref="F29:G29"/>
    <mergeCell ref="H29:I29"/>
  </mergeCells>
  <phoneticPr fontId="4"/>
  <printOptions horizontalCentered="1"/>
  <pageMargins left="0.70866141732283472" right="0.70866141732283472" top="0.78740157480314965" bottom="0.47244094488188981" header="0.59055118110236227" footer="0.31496062992125984"/>
  <pageSetup paperSize="9" scale="65" orientation="landscape" horizontalDpi="400" verticalDpi="400" r:id="rId1"/>
  <headerFooter scaleWithDoc="0" alignWithMargins="0">
    <oddFooter>&amp;C&amp;"ＭＳ Ｐゴシック,標準"&amp;9( &amp;P / &amp;N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C68"/>
  <sheetViews>
    <sheetView showGridLines="0" zoomScale="80" zoomScaleNormal="80" workbookViewId="0">
      <pane xSplit="4" ySplit="5" topLeftCell="E6" activePane="bottomRight" state="frozenSplit"/>
      <selection pane="topRight" activeCell="P1" sqref="P1"/>
      <selection pane="bottomLeft" activeCell="A17" sqref="A17"/>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28" width="7.7109375" style="1351" customWidth="1"/>
    <col min="29" max="29" width="14.7109375" style="1351" customWidth="1"/>
    <col min="30" max="16384" width="9.140625" style="1458"/>
  </cols>
  <sheetData>
    <row r="1" spans="1:29" s="1615" customFormat="1" ht="30" customHeight="1">
      <c r="A1" s="1623" t="s">
        <v>1237</v>
      </c>
      <c r="B1" s="1622"/>
      <c r="C1" s="1621"/>
      <c r="D1" s="1620"/>
      <c r="E1" s="1619"/>
      <c r="F1" s="1619"/>
      <c r="G1" s="1619"/>
      <c r="H1" s="1618"/>
      <c r="I1" s="1618"/>
      <c r="J1" s="1619"/>
      <c r="K1" s="1619"/>
      <c r="L1" s="1618"/>
      <c r="M1" s="1618"/>
      <c r="N1" s="1619"/>
      <c r="O1" s="1618"/>
      <c r="P1" s="1619"/>
      <c r="Q1" s="1619"/>
      <c r="R1" s="1618"/>
      <c r="S1" s="1619"/>
      <c r="T1" s="1619"/>
      <c r="U1" s="1618"/>
      <c r="V1" s="1619"/>
      <c r="W1" s="1619"/>
      <c r="X1" s="1618"/>
      <c r="Y1" s="1618"/>
      <c r="Z1" s="1619"/>
      <c r="AA1" s="1618"/>
      <c r="AB1" s="1617"/>
      <c r="AC1" s="1616"/>
    </row>
    <row r="4" spans="1:29" ht="13.5" customHeight="1">
      <c r="A4" s="1415" t="s">
        <v>394</v>
      </c>
      <c r="B4" s="1414" t="s">
        <v>370</v>
      </c>
      <c r="C4" s="1614" t="s">
        <v>1083</v>
      </c>
      <c r="D4" s="1613" t="s">
        <v>1082</v>
      </c>
      <c r="E4" s="1612" t="s">
        <v>1236</v>
      </c>
      <c r="F4" s="1611"/>
      <c r="G4" s="1611"/>
      <c r="H4" s="1611"/>
      <c r="I4" s="1611"/>
      <c r="J4" s="1611"/>
      <c r="K4" s="1611"/>
      <c r="L4" s="1611"/>
      <c r="M4" s="1611"/>
      <c r="N4" s="1611"/>
      <c r="O4" s="1611"/>
      <c r="P4" s="1611"/>
      <c r="Q4" s="1611"/>
      <c r="R4" s="1611"/>
      <c r="S4" s="1611"/>
      <c r="T4" s="1611"/>
      <c r="U4" s="1611"/>
      <c r="V4" s="1611"/>
      <c r="W4" s="1611"/>
      <c r="X4" s="1611"/>
      <c r="Y4" s="1611"/>
      <c r="Z4" s="1611"/>
      <c r="AA4" s="1611"/>
      <c r="AB4" s="1610"/>
      <c r="AC4" s="1609" t="s">
        <v>1235</v>
      </c>
    </row>
    <row r="5" spans="1:29" ht="13.5" customHeight="1">
      <c r="A5" s="1396"/>
      <c r="B5" s="1395"/>
      <c r="C5" s="1624"/>
      <c r="D5" s="1625"/>
      <c r="E5" s="1608">
        <v>1</v>
      </c>
      <c r="F5" s="1607">
        <v>2</v>
      </c>
      <c r="G5" s="1607">
        <v>3</v>
      </c>
      <c r="H5" s="1607">
        <v>4</v>
      </c>
      <c r="I5" s="1607">
        <v>5</v>
      </c>
      <c r="J5" s="1607">
        <v>6</v>
      </c>
      <c r="K5" s="1607">
        <v>7</v>
      </c>
      <c r="L5" s="1607">
        <v>8</v>
      </c>
      <c r="M5" s="1607">
        <v>9</v>
      </c>
      <c r="N5" s="1607">
        <v>10</v>
      </c>
      <c r="O5" s="1607">
        <v>11</v>
      </c>
      <c r="P5" s="1607">
        <v>12</v>
      </c>
      <c r="Q5" s="1607">
        <v>13</v>
      </c>
      <c r="R5" s="1607">
        <v>14</v>
      </c>
      <c r="S5" s="1607">
        <v>15</v>
      </c>
      <c r="T5" s="1607">
        <v>16</v>
      </c>
      <c r="U5" s="1607">
        <v>17</v>
      </c>
      <c r="V5" s="1607">
        <v>18</v>
      </c>
      <c r="W5" s="1607">
        <v>19</v>
      </c>
      <c r="X5" s="1607">
        <v>20</v>
      </c>
      <c r="Y5" s="1607">
        <v>21</v>
      </c>
      <c r="Z5" s="1607">
        <v>22</v>
      </c>
      <c r="AA5" s="1607">
        <v>23</v>
      </c>
      <c r="AB5" s="1606">
        <v>24</v>
      </c>
      <c r="AC5" s="1626"/>
    </row>
    <row r="6" spans="1:29" ht="13.5" customHeight="1">
      <c r="A6" s="1632" t="s">
        <v>420</v>
      </c>
      <c r="B6" s="1633"/>
      <c r="C6" s="1633"/>
      <c r="D6" s="1633"/>
      <c r="E6" s="1633"/>
      <c r="F6" s="1633"/>
      <c r="G6" s="1633"/>
      <c r="H6" s="1633"/>
      <c r="I6" s="1633"/>
      <c r="J6" s="1633"/>
      <c r="K6" s="1633"/>
      <c r="L6" s="1633"/>
      <c r="M6" s="1633"/>
      <c r="N6" s="1633"/>
      <c r="O6" s="1633"/>
      <c r="P6" s="1633"/>
      <c r="Q6" s="1633"/>
      <c r="R6" s="1633"/>
      <c r="S6" s="1633"/>
      <c r="T6" s="1633"/>
      <c r="U6" s="1633"/>
      <c r="V6" s="1633"/>
      <c r="W6" s="1633"/>
      <c r="X6" s="1633"/>
      <c r="Y6" s="1633"/>
      <c r="Z6" s="1633"/>
      <c r="AA6" s="1633"/>
      <c r="AB6" s="1633"/>
      <c r="AC6" s="1634"/>
    </row>
    <row r="7" spans="1:29" ht="13.5" customHeight="1">
      <c r="A7" s="1641" t="s">
        <v>1238</v>
      </c>
      <c r="B7" s="1642"/>
      <c r="C7" s="1643"/>
      <c r="D7" s="1636"/>
      <c r="E7" s="1637"/>
      <c r="F7" s="1638"/>
      <c r="G7" s="1638"/>
      <c r="H7" s="1638"/>
      <c r="I7" s="1638"/>
      <c r="J7" s="1638"/>
      <c r="K7" s="1638"/>
      <c r="L7" s="1638"/>
      <c r="M7" s="1638"/>
      <c r="N7" s="1638"/>
      <c r="O7" s="1638"/>
      <c r="P7" s="1638"/>
      <c r="Q7" s="1638"/>
      <c r="R7" s="1638"/>
      <c r="S7" s="1638"/>
      <c r="T7" s="1638"/>
      <c r="U7" s="1638"/>
      <c r="V7" s="1638"/>
      <c r="W7" s="1638"/>
      <c r="X7" s="1638"/>
      <c r="Y7" s="1638"/>
      <c r="Z7" s="1638"/>
      <c r="AA7" s="1638"/>
      <c r="AB7" s="1639"/>
      <c r="AC7" s="1640"/>
    </row>
    <row r="8" spans="1:29" ht="13.5" customHeight="1">
      <c r="A8" s="1369">
        <v>1</v>
      </c>
      <c r="B8" s="1368">
        <v>101</v>
      </c>
      <c r="C8" s="1627" t="s">
        <v>644</v>
      </c>
      <c r="D8" s="1366">
        <v>194.8</v>
      </c>
      <c r="E8" s="1364">
        <v>14165</v>
      </c>
      <c r="F8" s="1361">
        <v>13919</v>
      </c>
      <c r="G8" s="1361">
        <v>13867</v>
      </c>
      <c r="H8" s="1361">
        <v>13714</v>
      </c>
      <c r="I8" s="1361">
        <v>13617</v>
      </c>
      <c r="J8" s="1361">
        <v>14036</v>
      </c>
      <c r="K8" s="1361">
        <v>16259</v>
      </c>
      <c r="L8" s="1361">
        <v>17131</v>
      </c>
      <c r="M8" s="1361">
        <v>28379</v>
      </c>
      <c r="N8" s="1361">
        <v>28411</v>
      </c>
      <c r="O8" s="1361">
        <v>29090</v>
      </c>
      <c r="P8" s="1361">
        <v>30000</v>
      </c>
      <c r="Q8" s="1361">
        <v>30364</v>
      </c>
      <c r="R8" s="1361">
        <v>30290</v>
      </c>
      <c r="S8" s="1361">
        <v>29805</v>
      </c>
      <c r="T8" s="1361">
        <v>29065</v>
      </c>
      <c r="U8" s="1361">
        <v>28026</v>
      </c>
      <c r="V8" s="1361">
        <v>27068</v>
      </c>
      <c r="W8" s="1361">
        <v>24762</v>
      </c>
      <c r="X8" s="1361">
        <v>24295</v>
      </c>
      <c r="Y8" s="1361">
        <v>24122</v>
      </c>
      <c r="Z8" s="1361">
        <v>23937</v>
      </c>
      <c r="AA8" s="1361">
        <v>14436</v>
      </c>
      <c r="AB8" s="1604">
        <v>14316</v>
      </c>
      <c r="AC8" s="1603"/>
    </row>
    <row r="9" spans="1:29" ht="13.5" customHeight="1" thickBot="1">
      <c r="A9" s="1434">
        <v>1</v>
      </c>
      <c r="B9" s="1435">
        <v>102</v>
      </c>
      <c r="C9" s="1629" t="s">
        <v>760</v>
      </c>
      <c r="D9" s="1437">
        <v>73.8</v>
      </c>
      <c r="E9" s="1439">
        <v>4760</v>
      </c>
      <c r="F9" s="1440">
        <v>4666</v>
      </c>
      <c r="G9" s="1440">
        <v>4634</v>
      </c>
      <c r="H9" s="1440">
        <v>4569</v>
      </c>
      <c r="I9" s="1440">
        <v>4559</v>
      </c>
      <c r="J9" s="1440">
        <v>4697</v>
      </c>
      <c r="K9" s="1440">
        <v>4955</v>
      </c>
      <c r="L9" s="1440">
        <v>5251</v>
      </c>
      <c r="M9" s="1440">
        <v>7928</v>
      </c>
      <c r="N9" s="1440">
        <v>7935</v>
      </c>
      <c r="O9" s="1440">
        <v>8247</v>
      </c>
      <c r="P9" s="1440">
        <v>8142</v>
      </c>
      <c r="Q9" s="1440">
        <v>8938</v>
      </c>
      <c r="R9" s="1440">
        <v>8973</v>
      </c>
      <c r="S9" s="1440">
        <v>8848</v>
      </c>
      <c r="T9" s="1440">
        <v>8599</v>
      </c>
      <c r="U9" s="1440">
        <v>8179</v>
      </c>
      <c r="V9" s="1440">
        <v>7734</v>
      </c>
      <c r="W9" s="1440">
        <v>5407</v>
      </c>
      <c r="X9" s="1440">
        <v>5181</v>
      </c>
      <c r="Y9" s="1440">
        <v>5042</v>
      </c>
      <c r="Z9" s="1440">
        <v>4956</v>
      </c>
      <c r="AA9" s="1440">
        <v>4867</v>
      </c>
      <c r="AB9" s="1630">
        <v>4806</v>
      </c>
      <c r="AC9" s="1631"/>
    </row>
    <row r="10" spans="1:29" ht="13.5" customHeight="1" thickTop="1">
      <c r="A10" s="1651" t="s">
        <v>1239</v>
      </c>
      <c r="B10" s="1652"/>
      <c r="C10" s="1653"/>
      <c r="D10" s="1647">
        <v>268.60000000000002</v>
      </c>
      <c r="E10" s="1648">
        <v>18925</v>
      </c>
      <c r="F10" s="1649">
        <v>18585</v>
      </c>
      <c r="G10" s="1649">
        <v>18501</v>
      </c>
      <c r="H10" s="1649">
        <v>18283</v>
      </c>
      <c r="I10" s="1649">
        <v>18176</v>
      </c>
      <c r="J10" s="1649">
        <v>18733</v>
      </c>
      <c r="K10" s="1649">
        <v>21214</v>
      </c>
      <c r="L10" s="1649">
        <v>22382</v>
      </c>
      <c r="M10" s="1649">
        <v>36307</v>
      </c>
      <c r="N10" s="1649">
        <v>36346</v>
      </c>
      <c r="O10" s="1649">
        <v>37337</v>
      </c>
      <c r="P10" s="1649">
        <v>38142</v>
      </c>
      <c r="Q10" s="1649">
        <v>39302</v>
      </c>
      <c r="R10" s="1649">
        <v>39263</v>
      </c>
      <c r="S10" s="1649">
        <v>38653</v>
      </c>
      <c r="T10" s="1649">
        <v>37664</v>
      </c>
      <c r="U10" s="1649">
        <v>36205</v>
      </c>
      <c r="V10" s="1649">
        <v>34802</v>
      </c>
      <c r="W10" s="1649">
        <v>30169</v>
      </c>
      <c r="X10" s="1649">
        <v>29476</v>
      </c>
      <c r="Y10" s="1649">
        <v>29164</v>
      </c>
      <c r="Z10" s="1649">
        <v>28893</v>
      </c>
      <c r="AA10" s="1649">
        <v>19303</v>
      </c>
      <c r="AB10" s="1649">
        <v>19122</v>
      </c>
      <c r="AC10" s="1650"/>
    </row>
    <row r="11" spans="1:29" ht="13.5" customHeight="1" thickBot="1">
      <c r="A11" s="1434"/>
      <c r="B11" s="1435"/>
      <c r="C11" s="1654"/>
      <c r="D11" s="1437"/>
      <c r="E11" s="1439"/>
      <c r="F11" s="1440"/>
      <c r="G11" s="1440"/>
      <c r="H11" s="1440"/>
      <c r="I11" s="1440"/>
      <c r="J11" s="1440"/>
      <c r="K11" s="1440"/>
      <c r="L11" s="1440"/>
      <c r="M11" s="1440"/>
      <c r="N11" s="1440"/>
      <c r="O11" s="1440"/>
      <c r="P11" s="1440"/>
      <c r="Q11" s="1440"/>
      <c r="R11" s="1440"/>
      <c r="S11" s="1440"/>
      <c r="T11" s="1440"/>
      <c r="U11" s="1440"/>
      <c r="V11" s="1440"/>
      <c r="W11" s="1440"/>
      <c r="X11" s="1440"/>
      <c r="Y11" s="1440"/>
      <c r="Z11" s="1440"/>
      <c r="AA11" s="1440"/>
      <c r="AB11" s="1630"/>
      <c r="AC11" s="1631"/>
    </row>
    <row r="12" spans="1:29" ht="13.5" customHeight="1" thickTop="1">
      <c r="A12" s="1659" t="s">
        <v>1241</v>
      </c>
      <c r="B12" s="1660"/>
      <c r="C12" s="1660"/>
      <c r="D12" s="1655">
        <v>268.60000000000002</v>
      </c>
      <c r="E12" s="1656">
        <v>18925</v>
      </c>
      <c r="F12" s="1657">
        <v>18585</v>
      </c>
      <c r="G12" s="1657">
        <v>18501</v>
      </c>
      <c r="H12" s="1657">
        <v>18283</v>
      </c>
      <c r="I12" s="1657">
        <v>18176</v>
      </c>
      <c r="J12" s="1657">
        <v>18733</v>
      </c>
      <c r="K12" s="1657">
        <v>21214</v>
      </c>
      <c r="L12" s="1657">
        <v>22382</v>
      </c>
      <c r="M12" s="1657">
        <v>36307</v>
      </c>
      <c r="N12" s="1657">
        <v>36346</v>
      </c>
      <c r="O12" s="1657">
        <v>37337</v>
      </c>
      <c r="P12" s="1657">
        <v>38142</v>
      </c>
      <c r="Q12" s="1657">
        <v>39302</v>
      </c>
      <c r="R12" s="1657">
        <v>39263</v>
      </c>
      <c r="S12" s="1657">
        <v>38653</v>
      </c>
      <c r="T12" s="1657">
        <v>37664</v>
      </c>
      <c r="U12" s="1657">
        <v>36205</v>
      </c>
      <c r="V12" s="1657">
        <v>34802</v>
      </c>
      <c r="W12" s="1657">
        <v>30169</v>
      </c>
      <c r="X12" s="1657">
        <v>29476</v>
      </c>
      <c r="Y12" s="1657">
        <v>29164</v>
      </c>
      <c r="Z12" s="1657">
        <v>28893</v>
      </c>
      <c r="AA12" s="1657">
        <v>19303</v>
      </c>
      <c r="AB12" s="1657">
        <v>19122</v>
      </c>
      <c r="AC12" s="1658"/>
    </row>
    <row r="13" spans="1:29" ht="13.5" customHeight="1">
      <c r="A13" s="1434"/>
      <c r="B13" s="1435"/>
      <c r="C13" s="1654"/>
      <c r="D13" s="1437"/>
      <c r="E13" s="1439"/>
      <c r="F13" s="1440"/>
      <c r="G13" s="1440"/>
      <c r="H13" s="1440"/>
      <c r="I13" s="1440"/>
      <c r="J13" s="1440"/>
      <c r="K13" s="1440"/>
      <c r="L13" s="1440"/>
      <c r="M13" s="1440"/>
      <c r="N13" s="1440"/>
      <c r="O13" s="1440"/>
      <c r="P13" s="1440"/>
      <c r="Q13" s="1440"/>
      <c r="R13" s="1440"/>
      <c r="S13" s="1440"/>
      <c r="T13" s="1440"/>
      <c r="U13" s="1440"/>
      <c r="V13" s="1440"/>
      <c r="W13" s="1440"/>
      <c r="X13" s="1440"/>
      <c r="Y13" s="1440"/>
      <c r="Z13" s="1440"/>
      <c r="AA13" s="1440"/>
      <c r="AB13" s="1630"/>
      <c r="AC13" s="1631"/>
    </row>
    <row r="14" spans="1:29" ht="13.5" customHeight="1">
      <c r="A14" s="1644" t="s">
        <v>421</v>
      </c>
      <c r="B14" s="1633"/>
      <c r="C14" s="1633"/>
      <c r="D14" s="1633"/>
      <c r="E14" s="1633"/>
      <c r="F14" s="1633"/>
      <c r="G14" s="1633"/>
      <c r="H14" s="1633"/>
      <c r="I14" s="1633"/>
      <c r="J14" s="1633"/>
      <c r="K14" s="1633"/>
      <c r="L14" s="1633"/>
      <c r="M14" s="1633"/>
      <c r="N14" s="1633"/>
      <c r="O14" s="1633"/>
      <c r="P14" s="1633"/>
      <c r="Q14" s="1633"/>
      <c r="R14" s="1633"/>
      <c r="S14" s="1633"/>
      <c r="T14" s="1633"/>
      <c r="U14" s="1633"/>
      <c r="V14" s="1633"/>
      <c r="W14" s="1633"/>
      <c r="X14" s="1633"/>
      <c r="Y14" s="1633"/>
      <c r="Z14" s="1633"/>
      <c r="AA14" s="1633"/>
      <c r="AB14" s="1633"/>
      <c r="AC14" s="1634"/>
    </row>
    <row r="15" spans="1:29" ht="13.5" customHeight="1">
      <c r="A15" s="1641" t="s">
        <v>1238</v>
      </c>
      <c r="B15" s="1642"/>
      <c r="C15" s="1643"/>
      <c r="D15" s="1636"/>
      <c r="E15" s="1637"/>
      <c r="F15" s="1638"/>
      <c r="G15" s="1638"/>
      <c r="H15" s="1638"/>
      <c r="I15" s="1638"/>
      <c r="J15" s="1638"/>
      <c r="K15" s="1638"/>
      <c r="L15" s="1638"/>
      <c r="M15" s="1638"/>
      <c r="N15" s="1638"/>
      <c r="O15" s="1638"/>
      <c r="P15" s="1638"/>
      <c r="Q15" s="1638"/>
      <c r="R15" s="1638"/>
      <c r="S15" s="1638"/>
      <c r="T15" s="1638"/>
      <c r="U15" s="1638"/>
      <c r="V15" s="1638"/>
      <c r="W15" s="1638"/>
      <c r="X15" s="1638"/>
      <c r="Y15" s="1638"/>
      <c r="Z15" s="1638"/>
      <c r="AA15" s="1638"/>
      <c r="AB15" s="1639"/>
      <c r="AC15" s="1640"/>
    </row>
    <row r="16" spans="1:29" ht="13.5" customHeight="1">
      <c r="A16" s="1369">
        <v>1</v>
      </c>
      <c r="B16" s="1368">
        <v>101</v>
      </c>
      <c r="C16" s="1627" t="s">
        <v>644</v>
      </c>
      <c r="D16" s="1366">
        <v>194.8</v>
      </c>
      <c r="E16" s="1364">
        <v>13455</v>
      </c>
      <c r="F16" s="1361">
        <v>13315</v>
      </c>
      <c r="G16" s="1361">
        <v>13183</v>
      </c>
      <c r="H16" s="1361">
        <v>13054</v>
      </c>
      <c r="I16" s="1361">
        <v>13053</v>
      </c>
      <c r="J16" s="1361">
        <v>13425</v>
      </c>
      <c r="K16" s="1361">
        <v>15456</v>
      </c>
      <c r="L16" s="1361">
        <v>16482</v>
      </c>
      <c r="M16" s="1361">
        <v>27714</v>
      </c>
      <c r="N16" s="1361">
        <v>27603</v>
      </c>
      <c r="O16" s="1361">
        <v>28508</v>
      </c>
      <c r="P16" s="1361">
        <v>29531</v>
      </c>
      <c r="Q16" s="1361">
        <v>30070</v>
      </c>
      <c r="R16" s="1361">
        <v>30064</v>
      </c>
      <c r="S16" s="1361">
        <v>29612</v>
      </c>
      <c r="T16" s="1361">
        <v>28814</v>
      </c>
      <c r="U16" s="1361">
        <v>27901</v>
      </c>
      <c r="V16" s="1361">
        <v>26644</v>
      </c>
      <c r="W16" s="1361">
        <v>24090</v>
      </c>
      <c r="X16" s="1361">
        <v>23453</v>
      </c>
      <c r="Y16" s="1361">
        <v>23176</v>
      </c>
      <c r="Z16" s="1361">
        <v>22950</v>
      </c>
      <c r="AA16" s="1361">
        <v>13759</v>
      </c>
      <c r="AB16" s="1604">
        <v>13618</v>
      </c>
      <c r="AC16" s="1603"/>
    </row>
    <row r="17" spans="1:29" ht="13.5" customHeight="1" thickBot="1">
      <c r="A17" s="1434">
        <v>1</v>
      </c>
      <c r="B17" s="1435">
        <v>102</v>
      </c>
      <c r="C17" s="1629" t="s">
        <v>760</v>
      </c>
      <c r="D17" s="1437">
        <v>73.8</v>
      </c>
      <c r="E17" s="1439">
        <v>4501</v>
      </c>
      <c r="F17" s="1440">
        <v>4435</v>
      </c>
      <c r="G17" s="1440">
        <v>4400</v>
      </c>
      <c r="H17" s="1440">
        <v>4346</v>
      </c>
      <c r="I17" s="1440">
        <v>4342</v>
      </c>
      <c r="J17" s="1440">
        <v>4481</v>
      </c>
      <c r="K17" s="1440">
        <v>4725</v>
      </c>
      <c r="L17" s="1440">
        <v>5038</v>
      </c>
      <c r="M17" s="1440">
        <v>7415</v>
      </c>
      <c r="N17" s="1440">
        <v>7355</v>
      </c>
      <c r="O17" s="1440">
        <v>7782</v>
      </c>
      <c r="P17" s="1440">
        <v>7748</v>
      </c>
      <c r="Q17" s="1440">
        <v>8706</v>
      </c>
      <c r="R17" s="1440">
        <v>8793</v>
      </c>
      <c r="S17" s="1440">
        <v>8764</v>
      </c>
      <c r="T17" s="1440">
        <v>8551</v>
      </c>
      <c r="U17" s="1440">
        <v>8220</v>
      </c>
      <c r="V17" s="1440">
        <v>7695</v>
      </c>
      <c r="W17" s="1440">
        <v>5494</v>
      </c>
      <c r="X17" s="1440">
        <v>5144</v>
      </c>
      <c r="Y17" s="1440">
        <v>4918</v>
      </c>
      <c r="Z17" s="1440">
        <v>4754</v>
      </c>
      <c r="AA17" s="1440">
        <v>4673</v>
      </c>
      <c r="AB17" s="1630">
        <v>4586</v>
      </c>
      <c r="AC17" s="1631"/>
    </row>
    <row r="18" spans="1:29" ht="13.5" customHeight="1" thickTop="1">
      <c r="A18" s="1651" t="s">
        <v>1239</v>
      </c>
      <c r="B18" s="1652"/>
      <c r="C18" s="1653"/>
      <c r="D18" s="1647">
        <v>268.60000000000002</v>
      </c>
      <c r="E18" s="1648">
        <v>17956</v>
      </c>
      <c r="F18" s="1649">
        <v>17750</v>
      </c>
      <c r="G18" s="1649">
        <v>17583</v>
      </c>
      <c r="H18" s="1649">
        <v>17400</v>
      </c>
      <c r="I18" s="1649">
        <v>17395</v>
      </c>
      <c r="J18" s="1649">
        <v>17906</v>
      </c>
      <c r="K18" s="1649">
        <v>20181</v>
      </c>
      <c r="L18" s="1649">
        <v>21520</v>
      </c>
      <c r="M18" s="1649">
        <v>35129</v>
      </c>
      <c r="N18" s="1649">
        <v>34958</v>
      </c>
      <c r="O18" s="1649">
        <v>36290</v>
      </c>
      <c r="P18" s="1649">
        <v>37279</v>
      </c>
      <c r="Q18" s="1649">
        <v>38776</v>
      </c>
      <c r="R18" s="1649">
        <v>38857</v>
      </c>
      <c r="S18" s="1649">
        <v>38376</v>
      </c>
      <c r="T18" s="1649">
        <v>37365</v>
      </c>
      <c r="U18" s="1649">
        <v>36121</v>
      </c>
      <c r="V18" s="1649">
        <v>34339</v>
      </c>
      <c r="W18" s="1649">
        <v>29584</v>
      </c>
      <c r="X18" s="1649">
        <v>28597</v>
      </c>
      <c r="Y18" s="1649">
        <v>28094</v>
      </c>
      <c r="Z18" s="1649">
        <v>27704</v>
      </c>
      <c r="AA18" s="1649">
        <v>18432</v>
      </c>
      <c r="AB18" s="1649">
        <v>18204</v>
      </c>
      <c r="AC18" s="1650"/>
    </row>
    <row r="19" spans="1:29" ht="13.5" customHeight="1" thickBot="1">
      <c r="A19" s="1434"/>
      <c r="B19" s="1435"/>
      <c r="C19" s="1654"/>
      <c r="D19" s="1437"/>
      <c r="E19" s="1439"/>
      <c r="F19" s="1440"/>
      <c r="G19" s="1440"/>
      <c r="H19" s="1440"/>
      <c r="I19" s="1440"/>
      <c r="J19" s="1440"/>
      <c r="K19" s="1440"/>
      <c r="L19" s="1440"/>
      <c r="M19" s="1440"/>
      <c r="N19" s="1440"/>
      <c r="O19" s="1440"/>
      <c r="P19" s="1440"/>
      <c r="Q19" s="1440"/>
      <c r="R19" s="1440"/>
      <c r="S19" s="1440"/>
      <c r="T19" s="1440"/>
      <c r="U19" s="1440"/>
      <c r="V19" s="1440"/>
      <c r="W19" s="1440"/>
      <c r="X19" s="1440"/>
      <c r="Y19" s="1440"/>
      <c r="Z19" s="1440"/>
      <c r="AA19" s="1440"/>
      <c r="AB19" s="1630"/>
      <c r="AC19" s="1631"/>
    </row>
    <row r="20" spans="1:29" ht="13.5" customHeight="1" thickTop="1">
      <c r="A20" s="1665" t="s">
        <v>1243</v>
      </c>
      <c r="B20" s="1666"/>
      <c r="C20" s="1666"/>
      <c r="D20" s="1661">
        <v>268.60000000000002</v>
      </c>
      <c r="E20" s="1662">
        <v>17956</v>
      </c>
      <c r="F20" s="1663">
        <v>17750</v>
      </c>
      <c r="G20" s="1663">
        <v>17583</v>
      </c>
      <c r="H20" s="1663">
        <v>17400</v>
      </c>
      <c r="I20" s="1663">
        <v>17395</v>
      </c>
      <c r="J20" s="1663">
        <v>17906</v>
      </c>
      <c r="K20" s="1663">
        <v>20181</v>
      </c>
      <c r="L20" s="1663">
        <v>21520</v>
      </c>
      <c r="M20" s="1663">
        <v>35129</v>
      </c>
      <c r="N20" s="1663">
        <v>34958</v>
      </c>
      <c r="O20" s="1663">
        <v>36290</v>
      </c>
      <c r="P20" s="1663">
        <v>37279</v>
      </c>
      <c r="Q20" s="1663">
        <v>38776</v>
      </c>
      <c r="R20" s="1663">
        <v>38857</v>
      </c>
      <c r="S20" s="1663">
        <v>38376</v>
      </c>
      <c r="T20" s="1663">
        <v>37365</v>
      </c>
      <c r="U20" s="1663">
        <v>36121</v>
      </c>
      <c r="V20" s="1663">
        <v>34339</v>
      </c>
      <c r="W20" s="1663">
        <v>29584</v>
      </c>
      <c r="X20" s="1663">
        <v>28597</v>
      </c>
      <c r="Y20" s="1663">
        <v>28094</v>
      </c>
      <c r="Z20" s="1663">
        <v>27704</v>
      </c>
      <c r="AA20" s="1663">
        <v>18432</v>
      </c>
      <c r="AB20" s="1663">
        <v>18204</v>
      </c>
      <c r="AC20" s="1664"/>
    </row>
    <row r="21" spans="1:29" ht="13.5" customHeight="1">
      <c r="A21" s="1434"/>
      <c r="B21" s="1435"/>
      <c r="C21" s="1654"/>
      <c r="D21" s="1437"/>
      <c r="E21" s="1439"/>
      <c r="F21" s="1440"/>
      <c r="G21" s="1440"/>
      <c r="H21" s="1440"/>
      <c r="I21" s="1440"/>
      <c r="J21" s="1440"/>
      <c r="K21" s="1440"/>
      <c r="L21" s="1440"/>
      <c r="M21" s="1440"/>
      <c r="N21" s="1440"/>
      <c r="O21" s="1440"/>
      <c r="P21" s="1440"/>
      <c r="Q21" s="1440"/>
      <c r="R21" s="1440"/>
      <c r="S21" s="1440"/>
      <c r="T21" s="1440"/>
      <c r="U21" s="1440"/>
      <c r="V21" s="1440"/>
      <c r="W21" s="1440"/>
      <c r="X21" s="1440"/>
      <c r="Y21" s="1440"/>
      <c r="Z21" s="1440"/>
      <c r="AA21" s="1440"/>
      <c r="AB21" s="1630"/>
      <c r="AC21" s="1631"/>
    </row>
    <row r="22" spans="1:29" ht="13.5" customHeight="1">
      <c r="A22" s="1645" t="s">
        <v>422</v>
      </c>
      <c r="B22" s="1633"/>
      <c r="C22" s="1633"/>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633"/>
      <c r="AB22" s="1633"/>
      <c r="AC22" s="1634"/>
    </row>
    <row r="23" spans="1:29" ht="13.5" customHeight="1">
      <c r="A23" s="1641" t="s">
        <v>1238</v>
      </c>
      <c r="B23" s="1642"/>
      <c r="C23" s="1643"/>
      <c r="D23" s="1636"/>
      <c r="E23" s="1637"/>
      <c r="F23" s="1638"/>
      <c r="G23" s="1638"/>
      <c r="H23" s="1638"/>
      <c r="I23" s="1638"/>
      <c r="J23" s="1638"/>
      <c r="K23" s="1638"/>
      <c r="L23" s="1638"/>
      <c r="M23" s="1638"/>
      <c r="N23" s="1638"/>
      <c r="O23" s="1638"/>
      <c r="P23" s="1638"/>
      <c r="Q23" s="1638"/>
      <c r="R23" s="1638"/>
      <c r="S23" s="1638"/>
      <c r="T23" s="1638"/>
      <c r="U23" s="1638"/>
      <c r="V23" s="1638"/>
      <c r="W23" s="1638"/>
      <c r="X23" s="1638"/>
      <c r="Y23" s="1638"/>
      <c r="Z23" s="1638"/>
      <c r="AA23" s="1638"/>
      <c r="AB23" s="1639"/>
      <c r="AC23" s="1640"/>
    </row>
    <row r="24" spans="1:29" ht="13.5" customHeight="1">
      <c r="A24" s="1369">
        <v>1</v>
      </c>
      <c r="B24" s="1368">
        <v>101</v>
      </c>
      <c r="C24" s="1627" t="s">
        <v>644</v>
      </c>
      <c r="D24" s="1366">
        <v>194.8</v>
      </c>
      <c r="E24" s="1364">
        <v>12275</v>
      </c>
      <c r="F24" s="1361">
        <v>12202</v>
      </c>
      <c r="G24" s="1361">
        <v>12140</v>
      </c>
      <c r="H24" s="1361">
        <v>12080</v>
      </c>
      <c r="I24" s="1361">
        <v>12017</v>
      </c>
      <c r="J24" s="1361">
        <v>12129</v>
      </c>
      <c r="K24" s="1361">
        <v>13174</v>
      </c>
      <c r="L24" s="1361">
        <v>14220</v>
      </c>
      <c r="M24" s="1361">
        <v>25478</v>
      </c>
      <c r="N24" s="1361">
        <v>26074</v>
      </c>
      <c r="O24" s="1361">
        <v>27713</v>
      </c>
      <c r="P24" s="1361">
        <v>28833</v>
      </c>
      <c r="Q24" s="1361">
        <v>29223</v>
      </c>
      <c r="R24" s="1361">
        <v>29013</v>
      </c>
      <c r="S24" s="1361">
        <v>28301</v>
      </c>
      <c r="T24" s="1361">
        <v>27255</v>
      </c>
      <c r="U24" s="1361">
        <v>25685</v>
      </c>
      <c r="V24" s="1361">
        <v>24288</v>
      </c>
      <c r="W24" s="1361">
        <v>22215</v>
      </c>
      <c r="X24" s="1361">
        <v>21970</v>
      </c>
      <c r="Y24" s="1361">
        <v>21873</v>
      </c>
      <c r="Z24" s="1361">
        <v>21715</v>
      </c>
      <c r="AA24" s="1361">
        <v>12666</v>
      </c>
      <c r="AB24" s="1604">
        <v>12468</v>
      </c>
      <c r="AC24" s="1603"/>
    </row>
    <row r="25" spans="1:29" ht="13.5" customHeight="1" thickBot="1">
      <c r="A25" s="1434">
        <v>1</v>
      </c>
      <c r="B25" s="1435">
        <v>102</v>
      </c>
      <c r="C25" s="1629" t="s">
        <v>760</v>
      </c>
      <c r="D25" s="1437">
        <v>73.8</v>
      </c>
      <c r="E25" s="1439">
        <v>4080</v>
      </c>
      <c r="F25" s="1440">
        <v>4036</v>
      </c>
      <c r="G25" s="1440">
        <v>3998</v>
      </c>
      <c r="H25" s="1440">
        <v>3969</v>
      </c>
      <c r="I25" s="1440">
        <v>3945</v>
      </c>
      <c r="J25" s="1440">
        <v>4003</v>
      </c>
      <c r="K25" s="1440">
        <v>4112</v>
      </c>
      <c r="L25" s="1440">
        <v>4382</v>
      </c>
      <c r="M25" s="1440">
        <v>6277</v>
      </c>
      <c r="N25" s="1440">
        <v>6557</v>
      </c>
      <c r="O25" s="1440">
        <v>7336</v>
      </c>
      <c r="P25" s="1440">
        <v>7369</v>
      </c>
      <c r="Q25" s="1440">
        <v>8183</v>
      </c>
      <c r="R25" s="1440">
        <v>8208</v>
      </c>
      <c r="S25" s="1440">
        <v>8048</v>
      </c>
      <c r="T25" s="1440">
        <v>7669</v>
      </c>
      <c r="U25" s="1440">
        <v>7021</v>
      </c>
      <c r="V25" s="1440">
        <v>6383</v>
      </c>
      <c r="W25" s="1440">
        <v>4801</v>
      </c>
      <c r="X25" s="1440">
        <v>4593</v>
      </c>
      <c r="Y25" s="1440">
        <v>4456</v>
      </c>
      <c r="Z25" s="1440">
        <v>4344</v>
      </c>
      <c r="AA25" s="1440">
        <v>4265</v>
      </c>
      <c r="AB25" s="1630">
        <v>4169</v>
      </c>
      <c r="AC25" s="1631"/>
    </row>
    <row r="26" spans="1:29" ht="13.5" customHeight="1" thickTop="1">
      <c r="A26" s="1651" t="s">
        <v>1239</v>
      </c>
      <c r="B26" s="1652"/>
      <c r="C26" s="1653"/>
      <c r="D26" s="1647">
        <v>268.60000000000002</v>
      </c>
      <c r="E26" s="1648">
        <v>16355</v>
      </c>
      <c r="F26" s="1649">
        <v>16238</v>
      </c>
      <c r="G26" s="1649">
        <v>16138</v>
      </c>
      <c r="H26" s="1649">
        <v>16049</v>
      </c>
      <c r="I26" s="1649">
        <v>15962</v>
      </c>
      <c r="J26" s="1649">
        <v>16132</v>
      </c>
      <c r="K26" s="1649">
        <v>17286</v>
      </c>
      <c r="L26" s="1649">
        <v>18602</v>
      </c>
      <c r="M26" s="1649">
        <v>31755</v>
      </c>
      <c r="N26" s="1649">
        <v>32631</v>
      </c>
      <c r="O26" s="1649">
        <v>35049</v>
      </c>
      <c r="P26" s="1649">
        <v>36202</v>
      </c>
      <c r="Q26" s="1649">
        <v>37406</v>
      </c>
      <c r="R26" s="1649">
        <v>37221</v>
      </c>
      <c r="S26" s="1649">
        <v>36349</v>
      </c>
      <c r="T26" s="1649">
        <v>34924</v>
      </c>
      <c r="U26" s="1649">
        <v>32706</v>
      </c>
      <c r="V26" s="1649">
        <v>30671</v>
      </c>
      <c r="W26" s="1649">
        <v>27016</v>
      </c>
      <c r="X26" s="1649">
        <v>26563</v>
      </c>
      <c r="Y26" s="1649">
        <v>26329</v>
      </c>
      <c r="Z26" s="1649">
        <v>26059</v>
      </c>
      <c r="AA26" s="1649">
        <v>16931</v>
      </c>
      <c r="AB26" s="1649">
        <v>16637</v>
      </c>
      <c r="AC26" s="1650"/>
    </row>
    <row r="27" spans="1:29" ht="13.5" customHeight="1" thickBot="1">
      <c r="A27" s="1434"/>
      <c r="B27" s="1435"/>
      <c r="C27" s="1654"/>
      <c r="D27" s="1437"/>
      <c r="E27" s="1439"/>
      <c r="F27" s="1440"/>
      <c r="G27" s="1440"/>
      <c r="H27" s="1440"/>
      <c r="I27" s="1440"/>
      <c r="J27" s="1440"/>
      <c r="K27" s="1440"/>
      <c r="L27" s="1440"/>
      <c r="M27" s="1440"/>
      <c r="N27" s="1440"/>
      <c r="O27" s="1440"/>
      <c r="P27" s="1440"/>
      <c r="Q27" s="1440"/>
      <c r="R27" s="1440"/>
      <c r="S27" s="1440"/>
      <c r="T27" s="1440"/>
      <c r="U27" s="1440"/>
      <c r="V27" s="1440"/>
      <c r="W27" s="1440"/>
      <c r="X27" s="1440"/>
      <c r="Y27" s="1440"/>
      <c r="Z27" s="1440"/>
      <c r="AA27" s="1440"/>
      <c r="AB27" s="1630"/>
      <c r="AC27" s="1631"/>
    </row>
    <row r="28" spans="1:29" ht="13.5" customHeight="1" thickTop="1">
      <c r="A28" s="1671" t="s">
        <v>1244</v>
      </c>
      <c r="B28" s="1672"/>
      <c r="C28" s="1672"/>
      <c r="D28" s="1667">
        <v>268.60000000000002</v>
      </c>
      <c r="E28" s="1668">
        <v>16355</v>
      </c>
      <c r="F28" s="1669">
        <v>16238</v>
      </c>
      <c r="G28" s="1669">
        <v>16138</v>
      </c>
      <c r="H28" s="1669">
        <v>16049</v>
      </c>
      <c r="I28" s="1669">
        <v>15962</v>
      </c>
      <c r="J28" s="1669">
        <v>16132</v>
      </c>
      <c r="K28" s="1669">
        <v>17286</v>
      </c>
      <c r="L28" s="1669">
        <v>18602</v>
      </c>
      <c r="M28" s="1669">
        <v>31755</v>
      </c>
      <c r="N28" s="1669">
        <v>32631</v>
      </c>
      <c r="O28" s="1669">
        <v>35049</v>
      </c>
      <c r="P28" s="1669">
        <v>36202</v>
      </c>
      <c r="Q28" s="1669">
        <v>37406</v>
      </c>
      <c r="R28" s="1669">
        <v>37221</v>
      </c>
      <c r="S28" s="1669">
        <v>36349</v>
      </c>
      <c r="T28" s="1669">
        <v>34924</v>
      </c>
      <c r="U28" s="1669">
        <v>32706</v>
      </c>
      <c r="V28" s="1669">
        <v>30671</v>
      </c>
      <c r="W28" s="1669">
        <v>27016</v>
      </c>
      <c r="X28" s="1669">
        <v>26563</v>
      </c>
      <c r="Y28" s="1669">
        <v>26329</v>
      </c>
      <c r="Z28" s="1669">
        <v>26059</v>
      </c>
      <c r="AA28" s="1669">
        <v>16931</v>
      </c>
      <c r="AB28" s="1669">
        <v>16637</v>
      </c>
      <c r="AC28" s="1670"/>
    </row>
    <row r="29" spans="1:29" ht="13.5" customHeight="1">
      <c r="A29" s="1369"/>
      <c r="B29" s="1368"/>
      <c r="C29" s="1627"/>
      <c r="D29" s="1366"/>
      <c r="E29" s="1364"/>
      <c r="F29" s="1361"/>
      <c r="G29" s="1361"/>
      <c r="H29" s="1361"/>
      <c r="I29" s="1361"/>
      <c r="J29" s="1361"/>
      <c r="K29" s="1361"/>
      <c r="L29" s="1361"/>
      <c r="M29" s="1361"/>
      <c r="N29" s="1361"/>
      <c r="O29" s="1361"/>
      <c r="P29" s="1361"/>
      <c r="Q29" s="1361"/>
      <c r="R29" s="1361"/>
      <c r="S29" s="1361"/>
      <c r="T29" s="1361"/>
      <c r="U29" s="1361"/>
      <c r="V29" s="1361"/>
      <c r="W29" s="1361"/>
      <c r="X29" s="1361"/>
      <c r="Y29" s="1361"/>
      <c r="Z29" s="1361"/>
      <c r="AA29" s="1361"/>
      <c r="AB29" s="1604"/>
      <c r="AC29" s="1603"/>
    </row>
    <row r="30" spans="1:29" ht="13.5" customHeight="1">
      <c r="A30" s="1369"/>
      <c r="B30" s="1368"/>
      <c r="C30" s="1605"/>
      <c r="D30" s="1366"/>
      <c r="E30" s="1364"/>
      <c r="F30" s="1361"/>
      <c r="G30" s="1361"/>
      <c r="H30" s="1361"/>
      <c r="I30" s="1361"/>
      <c r="J30" s="1361"/>
      <c r="K30" s="1361"/>
      <c r="L30" s="1361"/>
      <c r="M30" s="1361"/>
      <c r="N30" s="1361"/>
      <c r="O30" s="1361"/>
      <c r="P30" s="1361"/>
      <c r="Q30" s="1361"/>
      <c r="R30" s="1361"/>
      <c r="S30" s="1361"/>
      <c r="T30" s="1361"/>
      <c r="U30" s="1361"/>
      <c r="V30" s="1361"/>
      <c r="W30" s="1361"/>
      <c r="X30" s="1361"/>
      <c r="Y30" s="1361"/>
      <c r="Z30" s="1361"/>
      <c r="AA30" s="1361"/>
      <c r="AB30" s="1604"/>
      <c r="AC30" s="1603"/>
    </row>
    <row r="31" spans="1:29" ht="13.5" customHeight="1">
      <c r="A31" s="1369"/>
      <c r="B31" s="1368"/>
      <c r="C31" s="1605"/>
      <c r="D31" s="1366"/>
      <c r="E31" s="1364"/>
      <c r="F31" s="1361"/>
      <c r="G31" s="1361"/>
      <c r="H31" s="1361"/>
      <c r="I31" s="1361"/>
      <c r="J31" s="1361"/>
      <c r="K31" s="1361"/>
      <c r="L31" s="1361"/>
      <c r="M31" s="1361"/>
      <c r="N31" s="1361"/>
      <c r="O31" s="1361"/>
      <c r="P31" s="1361"/>
      <c r="Q31" s="1361"/>
      <c r="R31" s="1361"/>
      <c r="S31" s="1361"/>
      <c r="T31" s="1361"/>
      <c r="U31" s="1361"/>
      <c r="V31" s="1361"/>
      <c r="W31" s="1361"/>
      <c r="X31" s="1361"/>
      <c r="Y31" s="1361"/>
      <c r="Z31" s="1361"/>
      <c r="AA31" s="1361"/>
      <c r="AB31" s="1604"/>
      <c r="AC31" s="1603"/>
    </row>
    <row r="32" spans="1:29" ht="13.5" customHeight="1">
      <c r="A32" s="1369"/>
      <c r="B32" s="1368"/>
      <c r="C32" s="1605"/>
      <c r="D32" s="1366"/>
      <c r="E32" s="1364"/>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604"/>
      <c r="AC32" s="1603"/>
    </row>
    <row r="33" spans="1:29" ht="13.5" customHeight="1">
      <c r="A33" s="1369"/>
      <c r="B33" s="1368"/>
      <c r="C33" s="1605"/>
      <c r="D33" s="1366"/>
      <c r="E33" s="1364"/>
      <c r="F33" s="1361"/>
      <c r="G33" s="1361"/>
      <c r="H33" s="1361"/>
      <c r="I33" s="1361"/>
      <c r="J33" s="1361"/>
      <c r="K33" s="1361"/>
      <c r="L33" s="1361"/>
      <c r="M33" s="1361"/>
      <c r="N33" s="1361"/>
      <c r="O33" s="1361"/>
      <c r="P33" s="1361"/>
      <c r="Q33" s="1361"/>
      <c r="R33" s="1361"/>
      <c r="S33" s="1361"/>
      <c r="T33" s="1361"/>
      <c r="U33" s="1361"/>
      <c r="V33" s="1361"/>
      <c r="W33" s="1361"/>
      <c r="X33" s="1361"/>
      <c r="Y33" s="1361"/>
      <c r="Z33" s="1361"/>
      <c r="AA33" s="1361"/>
      <c r="AB33" s="1604"/>
      <c r="AC33" s="1603"/>
    </row>
    <row r="34" spans="1:29" ht="13.5" customHeight="1">
      <c r="A34" s="1369"/>
      <c r="B34" s="1368"/>
      <c r="C34" s="1605"/>
      <c r="D34" s="1366"/>
      <c r="E34" s="1364"/>
      <c r="F34" s="1361"/>
      <c r="G34" s="1361"/>
      <c r="H34" s="1361"/>
      <c r="I34" s="1361"/>
      <c r="J34" s="1361"/>
      <c r="K34" s="1361"/>
      <c r="L34" s="1361"/>
      <c r="M34" s="1361"/>
      <c r="N34" s="1361"/>
      <c r="O34" s="1361"/>
      <c r="P34" s="1361"/>
      <c r="Q34" s="1361"/>
      <c r="R34" s="1361"/>
      <c r="S34" s="1361"/>
      <c r="T34" s="1361"/>
      <c r="U34" s="1361"/>
      <c r="V34" s="1361"/>
      <c r="W34" s="1361"/>
      <c r="X34" s="1361"/>
      <c r="Y34" s="1361"/>
      <c r="Z34" s="1361"/>
      <c r="AA34" s="1361"/>
      <c r="AB34" s="1604"/>
      <c r="AC34" s="1603"/>
    </row>
    <row r="35" spans="1:29" ht="13.5" customHeight="1">
      <c r="A35" s="1369"/>
      <c r="B35" s="1368"/>
      <c r="C35" s="1605"/>
      <c r="D35" s="1366"/>
      <c r="E35" s="1364"/>
      <c r="F35" s="1361"/>
      <c r="G35" s="1361"/>
      <c r="H35" s="1361"/>
      <c r="I35" s="1361"/>
      <c r="J35" s="1361"/>
      <c r="K35" s="1361"/>
      <c r="L35" s="1361"/>
      <c r="M35" s="1361"/>
      <c r="N35" s="1361"/>
      <c r="O35" s="1361"/>
      <c r="P35" s="1361"/>
      <c r="Q35" s="1361"/>
      <c r="R35" s="1361"/>
      <c r="S35" s="1361"/>
      <c r="T35" s="1361"/>
      <c r="U35" s="1361"/>
      <c r="V35" s="1361"/>
      <c r="W35" s="1361"/>
      <c r="X35" s="1361"/>
      <c r="Y35" s="1361"/>
      <c r="Z35" s="1361"/>
      <c r="AA35" s="1361"/>
      <c r="AB35" s="1604"/>
      <c r="AC35" s="1603"/>
    </row>
    <row r="36" spans="1:29" ht="13.5" customHeight="1">
      <c r="A36" s="1369"/>
      <c r="B36" s="1368"/>
      <c r="C36" s="1605"/>
      <c r="D36" s="1366"/>
      <c r="E36" s="1364"/>
      <c r="F36" s="1361"/>
      <c r="G36" s="1361"/>
      <c r="H36" s="1361"/>
      <c r="I36" s="1361"/>
      <c r="J36" s="1361"/>
      <c r="K36" s="1361"/>
      <c r="L36" s="1361"/>
      <c r="M36" s="1361"/>
      <c r="N36" s="1361"/>
      <c r="O36" s="1361"/>
      <c r="P36" s="1361"/>
      <c r="Q36" s="1361"/>
      <c r="R36" s="1361"/>
      <c r="S36" s="1361"/>
      <c r="T36" s="1361"/>
      <c r="U36" s="1361"/>
      <c r="V36" s="1361"/>
      <c r="W36" s="1361"/>
      <c r="X36" s="1361"/>
      <c r="Y36" s="1361"/>
      <c r="Z36" s="1361"/>
      <c r="AA36" s="1361"/>
      <c r="AB36" s="1604"/>
      <c r="AC36" s="1603"/>
    </row>
    <row r="37" spans="1:29" ht="13.5" customHeight="1">
      <c r="A37" s="1369"/>
      <c r="B37" s="1368"/>
      <c r="C37" s="1605"/>
      <c r="D37" s="1366"/>
      <c r="E37" s="1364"/>
      <c r="F37" s="1361"/>
      <c r="G37" s="1361"/>
      <c r="H37" s="1361"/>
      <c r="I37" s="1361"/>
      <c r="J37" s="1361"/>
      <c r="K37" s="1361"/>
      <c r="L37" s="1361"/>
      <c r="M37" s="1361"/>
      <c r="N37" s="1361"/>
      <c r="O37" s="1361"/>
      <c r="P37" s="1361"/>
      <c r="Q37" s="1361"/>
      <c r="R37" s="1361"/>
      <c r="S37" s="1361"/>
      <c r="T37" s="1361"/>
      <c r="U37" s="1361"/>
      <c r="V37" s="1361"/>
      <c r="W37" s="1361"/>
      <c r="X37" s="1361"/>
      <c r="Y37" s="1361"/>
      <c r="Z37" s="1361"/>
      <c r="AA37" s="1361"/>
      <c r="AB37" s="1604"/>
      <c r="AC37" s="1603"/>
    </row>
    <row r="38" spans="1:29" ht="13.5" customHeight="1">
      <c r="A38" s="1369"/>
      <c r="B38" s="1368"/>
      <c r="C38" s="1605"/>
      <c r="D38" s="1366"/>
      <c r="E38" s="1364"/>
      <c r="F38" s="1361"/>
      <c r="G38" s="1361"/>
      <c r="H38" s="1361"/>
      <c r="I38" s="1361"/>
      <c r="J38" s="1361"/>
      <c r="K38" s="1361"/>
      <c r="L38" s="1361"/>
      <c r="M38" s="1361"/>
      <c r="N38" s="1361"/>
      <c r="O38" s="1361"/>
      <c r="P38" s="1361"/>
      <c r="Q38" s="1361"/>
      <c r="R38" s="1361"/>
      <c r="S38" s="1361"/>
      <c r="T38" s="1361"/>
      <c r="U38" s="1361"/>
      <c r="V38" s="1361"/>
      <c r="W38" s="1361"/>
      <c r="X38" s="1361"/>
      <c r="Y38" s="1361"/>
      <c r="Z38" s="1361"/>
      <c r="AA38" s="1361"/>
      <c r="AB38" s="1604"/>
      <c r="AC38" s="1603"/>
    </row>
    <row r="39" spans="1:29" ht="13.5" customHeight="1">
      <c r="A39" s="1369"/>
      <c r="B39" s="1368"/>
      <c r="C39" s="1605"/>
      <c r="D39" s="1366"/>
      <c r="E39" s="1364"/>
      <c r="F39" s="1361"/>
      <c r="G39" s="1361"/>
      <c r="H39" s="1361"/>
      <c r="I39" s="1361"/>
      <c r="J39" s="1361"/>
      <c r="K39" s="1361"/>
      <c r="L39" s="1361"/>
      <c r="M39" s="1361"/>
      <c r="N39" s="1361"/>
      <c r="O39" s="1361"/>
      <c r="P39" s="1361"/>
      <c r="Q39" s="1361"/>
      <c r="R39" s="1361"/>
      <c r="S39" s="1361"/>
      <c r="T39" s="1361"/>
      <c r="U39" s="1361"/>
      <c r="V39" s="1361"/>
      <c r="W39" s="1361"/>
      <c r="X39" s="1361"/>
      <c r="Y39" s="1361"/>
      <c r="Z39" s="1361"/>
      <c r="AA39" s="1361"/>
      <c r="AB39" s="1604"/>
      <c r="AC39" s="1603"/>
    </row>
    <row r="40" spans="1:29" ht="13.5" customHeight="1">
      <c r="A40" s="1369"/>
      <c r="B40" s="1368"/>
      <c r="C40" s="1605"/>
      <c r="D40" s="1366"/>
      <c r="E40" s="1364"/>
      <c r="F40" s="1361"/>
      <c r="G40" s="1361"/>
      <c r="H40" s="1361"/>
      <c r="I40" s="1361"/>
      <c r="J40" s="1361"/>
      <c r="K40" s="1361"/>
      <c r="L40" s="1361"/>
      <c r="M40" s="1361"/>
      <c r="N40" s="1361"/>
      <c r="O40" s="1361"/>
      <c r="P40" s="1361"/>
      <c r="Q40" s="1361"/>
      <c r="R40" s="1361"/>
      <c r="S40" s="1361"/>
      <c r="T40" s="1361"/>
      <c r="U40" s="1361"/>
      <c r="V40" s="1361"/>
      <c r="W40" s="1361"/>
      <c r="X40" s="1361"/>
      <c r="Y40" s="1361"/>
      <c r="Z40" s="1361"/>
      <c r="AA40" s="1361"/>
      <c r="AB40" s="1604"/>
      <c r="AC40" s="1603"/>
    </row>
    <row r="41" spans="1:29" ht="13.5" customHeight="1">
      <c r="A41" s="1369"/>
      <c r="B41" s="1368"/>
      <c r="C41" s="1605"/>
      <c r="D41" s="1366"/>
      <c r="E41" s="1364"/>
      <c r="F41" s="1361"/>
      <c r="G41" s="1361"/>
      <c r="H41" s="1361"/>
      <c r="I41" s="1361"/>
      <c r="J41" s="1361"/>
      <c r="K41" s="1361"/>
      <c r="L41" s="1361"/>
      <c r="M41" s="1361"/>
      <c r="N41" s="1361"/>
      <c r="O41" s="1361"/>
      <c r="P41" s="1361"/>
      <c r="Q41" s="1361"/>
      <c r="R41" s="1361"/>
      <c r="S41" s="1361"/>
      <c r="T41" s="1361"/>
      <c r="U41" s="1361"/>
      <c r="V41" s="1361"/>
      <c r="W41" s="1361"/>
      <c r="X41" s="1361"/>
      <c r="Y41" s="1361"/>
      <c r="Z41" s="1361"/>
      <c r="AA41" s="1361"/>
      <c r="AB41" s="1604"/>
      <c r="AC41" s="1603"/>
    </row>
    <row r="42" spans="1:29" ht="13.5" customHeight="1">
      <c r="A42" s="1369"/>
      <c r="B42" s="1368"/>
      <c r="C42" s="1605"/>
      <c r="D42" s="1366"/>
      <c r="E42" s="1364"/>
      <c r="F42" s="1361"/>
      <c r="G42" s="1361"/>
      <c r="H42" s="1361"/>
      <c r="I42" s="1361"/>
      <c r="J42" s="1361"/>
      <c r="K42" s="1361"/>
      <c r="L42" s="1361"/>
      <c r="M42" s="1361"/>
      <c r="N42" s="1361"/>
      <c r="O42" s="1361"/>
      <c r="P42" s="1361"/>
      <c r="Q42" s="1361"/>
      <c r="R42" s="1361"/>
      <c r="S42" s="1361"/>
      <c r="T42" s="1361"/>
      <c r="U42" s="1361"/>
      <c r="V42" s="1361"/>
      <c r="W42" s="1361"/>
      <c r="X42" s="1361"/>
      <c r="Y42" s="1361"/>
      <c r="Z42" s="1361"/>
      <c r="AA42" s="1361"/>
      <c r="AB42" s="1604"/>
      <c r="AC42" s="1603"/>
    </row>
    <row r="43" spans="1:29" ht="13.5" customHeight="1">
      <c r="A43" s="1369"/>
      <c r="B43" s="1368"/>
      <c r="C43" s="1605"/>
      <c r="D43" s="1366"/>
      <c r="E43" s="1364"/>
      <c r="F43" s="1361"/>
      <c r="G43" s="1361"/>
      <c r="H43" s="1361"/>
      <c r="I43" s="1361"/>
      <c r="J43" s="1361"/>
      <c r="K43" s="1361"/>
      <c r="L43" s="1361"/>
      <c r="M43" s="1361"/>
      <c r="N43" s="1361"/>
      <c r="O43" s="1361"/>
      <c r="P43" s="1361"/>
      <c r="Q43" s="1361"/>
      <c r="R43" s="1361"/>
      <c r="S43" s="1361"/>
      <c r="T43" s="1361"/>
      <c r="U43" s="1361"/>
      <c r="V43" s="1361"/>
      <c r="W43" s="1361"/>
      <c r="X43" s="1361"/>
      <c r="Y43" s="1361"/>
      <c r="Z43" s="1361"/>
      <c r="AA43" s="1361"/>
      <c r="AB43" s="1604"/>
      <c r="AC43" s="1603"/>
    </row>
    <row r="44" spans="1:29" ht="13.5" customHeight="1">
      <c r="A44" s="1369"/>
      <c r="B44" s="1368"/>
      <c r="C44" s="1605"/>
      <c r="D44" s="1366"/>
      <c r="E44" s="1364"/>
      <c r="F44" s="1361"/>
      <c r="G44" s="1361"/>
      <c r="H44" s="1361"/>
      <c r="I44" s="1361"/>
      <c r="J44" s="1361"/>
      <c r="K44" s="1361"/>
      <c r="L44" s="1361"/>
      <c r="M44" s="1361"/>
      <c r="N44" s="1361"/>
      <c r="O44" s="1361"/>
      <c r="P44" s="1361"/>
      <c r="Q44" s="1361"/>
      <c r="R44" s="1361"/>
      <c r="S44" s="1361"/>
      <c r="T44" s="1361"/>
      <c r="U44" s="1361"/>
      <c r="V44" s="1361"/>
      <c r="W44" s="1361"/>
      <c r="X44" s="1361"/>
      <c r="Y44" s="1361"/>
      <c r="Z44" s="1361"/>
      <c r="AA44" s="1361"/>
      <c r="AB44" s="1604"/>
      <c r="AC44" s="1603"/>
    </row>
    <row r="45" spans="1:29" ht="13.5" customHeight="1">
      <c r="A45" s="1369"/>
      <c r="B45" s="1368"/>
      <c r="C45" s="1605"/>
      <c r="D45" s="1366"/>
      <c r="E45" s="1364"/>
      <c r="F45" s="1361"/>
      <c r="G45" s="1361"/>
      <c r="H45" s="1361"/>
      <c r="I45" s="1361"/>
      <c r="J45" s="1361"/>
      <c r="K45" s="1361"/>
      <c r="L45" s="1361"/>
      <c r="M45" s="1361"/>
      <c r="N45" s="1361"/>
      <c r="O45" s="1361"/>
      <c r="P45" s="1361"/>
      <c r="Q45" s="1361"/>
      <c r="R45" s="1361"/>
      <c r="S45" s="1361"/>
      <c r="T45" s="1361"/>
      <c r="U45" s="1361"/>
      <c r="V45" s="1361"/>
      <c r="W45" s="1361"/>
      <c r="X45" s="1361"/>
      <c r="Y45" s="1361"/>
      <c r="Z45" s="1361"/>
      <c r="AA45" s="1361"/>
      <c r="AB45" s="1604"/>
      <c r="AC45" s="1603"/>
    </row>
    <row r="46" spans="1:29" ht="13.5" customHeight="1">
      <c r="A46" s="1369"/>
      <c r="B46" s="1368"/>
      <c r="C46" s="1605"/>
      <c r="D46" s="1366"/>
      <c r="E46" s="1364"/>
      <c r="F46" s="1361"/>
      <c r="G46" s="1361"/>
      <c r="H46" s="1361"/>
      <c r="I46" s="1361"/>
      <c r="J46" s="1361"/>
      <c r="K46" s="1361"/>
      <c r="L46" s="1361"/>
      <c r="M46" s="1361"/>
      <c r="N46" s="1361"/>
      <c r="O46" s="1361"/>
      <c r="P46" s="1361"/>
      <c r="Q46" s="1361"/>
      <c r="R46" s="1361"/>
      <c r="S46" s="1361"/>
      <c r="T46" s="1361"/>
      <c r="U46" s="1361"/>
      <c r="V46" s="1361"/>
      <c r="W46" s="1361"/>
      <c r="X46" s="1361"/>
      <c r="Y46" s="1361"/>
      <c r="Z46" s="1361"/>
      <c r="AA46" s="1361"/>
      <c r="AB46" s="1604"/>
      <c r="AC46" s="1603"/>
    </row>
    <row r="47" spans="1:29" ht="13.5" customHeight="1">
      <c r="A47" s="1369"/>
      <c r="B47" s="1368"/>
      <c r="C47" s="1605"/>
      <c r="D47" s="1366"/>
      <c r="E47" s="1364"/>
      <c r="F47" s="1361"/>
      <c r="G47" s="1361"/>
      <c r="H47" s="1361"/>
      <c r="I47" s="1361"/>
      <c r="J47" s="1361"/>
      <c r="K47" s="1361"/>
      <c r="L47" s="1361"/>
      <c r="M47" s="1361"/>
      <c r="N47" s="1361"/>
      <c r="O47" s="1361"/>
      <c r="P47" s="1361"/>
      <c r="Q47" s="1361"/>
      <c r="R47" s="1361"/>
      <c r="S47" s="1361"/>
      <c r="T47" s="1361"/>
      <c r="U47" s="1361"/>
      <c r="V47" s="1361"/>
      <c r="W47" s="1361"/>
      <c r="X47" s="1361"/>
      <c r="Y47" s="1361"/>
      <c r="Z47" s="1361"/>
      <c r="AA47" s="1361"/>
      <c r="AB47" s="1604"/>
      <c r="AC47" s="1603"/>
    </row>
    <row r="48" spans="1:29" ht="13.5" customHeight="1">
      <c r="A48" s="1369"/>
      <c r="B48" s="1368"/>
      <c r="C48" s="1605"/>
      <c r="D48" s="1366"/>
      <c r="E48" s="1364"/>
      <c r="F48" s="1361"/>
      <c r="G48" s="1361"/>
      <c r="H48" s="1361"/>
      <c r="I48" s="1361"/>
      <c r="J48" s="1361"/>
      <c r="K48" s="1361"/>
      <c r="L48" s="1361"/>
      <c r="M48" s="1361"/>
      <c r="N48" s="1361"/>
      <c r="O48" s="1361"/>
      <c r="P48" s="1361"/>
      <c r="Q48" s="1361"/>
      <c r="R48" s="1361"/>
      <c r="S48" s="1361"/>
      <c r="T48" s="1361"/>
      <c r="U48" s="1361"/>
      <c r="V48" s="1361"/>
      <c r="W48" s="1361"/>
      <c r="X48" s="1361"/>
      <c r="Y48" s="1361"/>
      <c r="Z48" s="1361"/>
      <c r="AA48" s="1361"/>
      <c r="AB48" s="1604"/>
      <c r="AC48" s="1603"/>
    </row>
    <row r="49" spans="1:29" ht="13.5" customHeight="1">
      <c r="A49" s="1369"/>
      <c r="B49" s="1368"/>
      <c r="C49" s="1605"/>
      <c r="D49" s="1366"/>
      <c r="E49" s="1364"/>
      <c r="F49" s="1361"/>
      <c r="G49" s="1361"/>
      <c r="H49" s="1361"/>
      <c r="I49" s="1361"/>
      <c r="J49" s="1361"/>
      <c r="K49" s="1361"/>
      <c r="L49" s="1361"/>
      <c r="M49" s="1361"/>
      <c r="N49" s="1361"/>
      <c r="O49" s="1361"/>
      <c r="P49" s="1361"/>
      <c r="Q49" s="1361"/>
      <c r="R49" s="1361"/>
      <c r="S49" s="1361"/>
      <c r="T49" s="1361"/>
      <c r="U49" s="1361"/>
      <c r="V49" s="1361"/>
      <c r="W49" s="1361"/>
      <c r="X49" s="1361"/>
      <c r="Y49" s="1361"/>
      <c r="Z49" s="1361"/>
      <c r="AA49" s="1361"/>
      <c r="AB49" s="1604"/>
      <c r="AC49" s="1603"/>
    </row>
    <row r="50" spans="1:29" ht="13.5" customHeight="1">
      <c r="A50" s="1369"/>
      <c r="B50" s="1368"/>
      <c r="C50" s="1605"/>
      <c r="D50" s="1366"/>
      <c r="E50" s="1364"/>
      <c r="F50" s="1361"/>
      <c r="G50" s="1361"/>
      <c r="H50" s="1361"/>
      <c r="I50" s="1361"/>
      <c r="J50" s="1361"/>
      <c r="K50" s="1361"/>
      <c r="L50" s="1361"/>
      <c r="M50" s="1361"/>
      <c r="N50" s="1361"/>
      <c r="O50" s="1361"/>
      <c r="P50" s="1361"/>
      <c r="Q50" s="1361"/>
      <c r="R50" s="1361"/>
      <c r="S50" s="1361"/>
      <c r="T50" s="1361"/>
      <c r="U50" s="1361"/>
      <c r="V50" s="1361"/>
      <c r="W50" s="1361"/>
      <c r="X50" s="1361"/>
      <c r="Y50" s="1361"/>
      <c r="Z50" s="1361"/>
      <c r="AA50" s="1361"/>
      <c r="AB50" s="1604"/>
      <c r="AC50" s="1603"/>
    </row>
    <row r="51" spans="1:29" ht="13.5" customHeight="1">
      <c r="A51" s="1369"/>
      <c r="B51" s="1368"/>
      <c r="C51" s="1605"/>
      <c r="D51" s="1366"/>
      <c r="E51" s="1364"/>
      <c r="F51" s="1361"/>
      <c r="G51" s="1361"/>
      <c r="H51" s="1361"/>
      <c r="I51" s="1361"/>
      <c r="J51" s="1361"/>
      <c r="K51" s="1361"/>
      <c r="L51" s="1361"/>
      <c r="M51" s="1361"/>
      <c r="N51" s="1361"/>
      <c r="O51" s="1361"/>
      <c r="P51" s="1361"/>
      <c r="Q51" s="1361"/>
      <c r="R51" s="1361"/>
      <c r="S51" s="1361"/>
      <c r="T51" s="1361"/>
      <c r="U51" s="1361"/>
      <c r="V51" s="1361"/>
      <c r="W51" s="1361"/>
      <c r="X51" s="1361"/>
      <c r="Y51" s="1361"/>
      <c r="Z51" s="1361"/>
      <c r="AA51" s="1361"/>
      <c r="AB51" s="1604"/>
      <c r="AC51" s="1603"/>
    </row>
    <row r="52" spans="1:29" ht="13.5" customHeight="1">
      <c r="A52" s="1369"/>
      <c r="B52" s="1368"/>
      <c r="C52" s="1605"/>
      <c r="D52" s="1366"/>
      <c r="E52" s="1364"/>
      <c r="F52" s="1361"/>
      <c r="G52" s="1361"/>
      <c r="H52" s="1361"/>
      <c r="I52" s="1361"/>
      <c r="J52" s="1361"/>
      <c r="K52" s="1361"/>
      <c r="L52" s="1361"/>
      <c r="M52" s="1361"/>
      <c r="N52" s="1361"/>
      <c r="O52" s="1361"/>
      <c r="P52" s="1361"/>
      <c r="Q52" s="1361"/>
      <c r="R52" s="1361"/>
      <c r="S52" s="1361"/>
      <c r="T52" s="1361"/>
      <c r="U52" s="1361"/>
      <c r="V52" s="1361"/>
      <c r="W52" s="1361"/>
      <c r="X52" s="1361"/>
      <c r="Y52" s="1361"/>
      <c r="Z52" s="1361"/>
      <c r="AA52" s="1361"/>
      <c r="AB52" s="1604"/>
      <c r="AC52" s="1603"/>
    </row>
    <row r="53" spans="1:29" ht="13.5" customHeight="1">
      <c r="A53" s="1369"/>
      <c r="B53" s="1368"/>
      <c r="C53" s="1605"/>
      <c r="D53" s="1366"/>
      <c r="E53" s="1364"/>
      <c r="F53" s="1361"/>
      <c r="G53" s="1361"/>
      <c r="H53" s="1361"/>
      <c r="I53" s="1361"/>
      <c r="J53" s="1361"/>
      <c r="K53" s="1361"/>
      <c r="L53" s="1361"/>
      <c r="M53" s="1361"/>
      <c r="N53" s="1361"/>
      <c r="O53" s="1361"/>
      <c r="P53" s="1361"/>
      <c r="Q53" s="1361"/>
      <c r="R53" s="1361"/>
      <c r="S53" s="1361"/>
      <c r="T53" s="1361"/>
      <c r="U53" s="1361"/>
      <c r="V53" s="1361"/>
      <c r="W53" s="1361"/>
      <c r="X53" s="1361"/>
      <c r="Y53" s="1361"/>
      <c r="Z53" s="1361"/>
      <c r="AA53" s="1361"/>
      <c r="AB53" s="1604"/>
      <c r="AC53" s="1603"/>
    </row>
    <row r="54" spans="1:29" ht="13.5" customHeight="1">
      <c r="A54" s="1369"/>
      <c r="B54" s="1368"/>
      <c r="C54" s="1605"/>
      <c r="D54" s="1366"/>
      <c r="E54" s="1364"/>
      <c r="F54" s="1361"/>
      <c r="G54" s="1361"/>
      <c r="H54" s="1361"/>
      <c r="I54" s="1361"/>
      <c r="J54" s="1361"/>
      <c r="K54" s="1361"/>
      <c r="L54" s="1361"/>
      <c r="M54" s="1361"/>
      <c r="N54" s="1361"/>
      <c r="O54" s="1361"/>
      <c r="P54" s="1361"/>
      <c r="Q54" s="1361"/>
      <c r="R54" s="1361"/>
      <c r="S54" s="1361"/>
      <c r="T54" s="1361"/>
      <c r="U54" s="1361"/>
      <c r="V54" s="1361"/>
      <c r="W54" s="1361"/>
      <c r="X54" s="1361"/>
      <c r="Y54" s="1361"/>
      <c r="Z54" s="1361"/>
      <c r="AA54" s="1361"/>
      <c r="AB54" s="1604"/>
      <c r="AC54" s="1603"/>
    </row>
    <row r="55" spans="1:29" ht="13.5" customHeight="1" thickBot="1">
      <c r="A55" s="1434"/>
      <c r="B55" s="1435"/>
      <c r="C55" s="1629"/>
      <c r="D55" s="1437"/>
      <c r="E55" s="1439"/>
      <c r="F55" s="1440"/>
      <c r="G55" s="1440"/>
      <c r="H55" s="1440"/>
      <c r="I55" s="1440"/>
      <c r="J55" s="1440"/>
      <c r="K55" s="1440"/>
      <c r="L55" s="1440"/>
      <c r="M55" s="1440"/>
      <c r="N55" s="1440"/>
      <c r="O55" s="1440"/>
      <c r="P55" s="1440"/>
      <c r="Q55" s="1440"/>
      <c r="R55" s="1440"/>
      <c r="S55" s="1440"/>
      <c r="T55" s="1440"/>
      <c r="U55" s="1440"/>
      <c r="V55" s="1440"/>
      <c r="W55" s="1440"/>
      <c r="X55" s="1440"/>
      <c r="Y55" s="1440"/>
      <c r="Z55" s="1440"/>
      <c r="AA55" s="1440"/>
      <c r="AB55" s="1630"/>
      <c r="AC55" s="1631"/>
    </row>
    <row r="56" spans="1:29" ht="18.95" customHeight="1" thickTop="1" thickBot="1">
      <c r="A56" s="1673" t="s">
        <v>1246</v>
      </c>
      <c r="B56" s="1674"/>
      <c r="C56" s="1675"/>
      <c r="D56" s="1676">
        <v>268.60000000000002</v>
      </c>
      <c r="E56" s="1677">
        <v>18925</v>
      </c>
      <c r="F56" s="1678">
        <v>18585</v>
      </c>
      <c r="G56" s="1678">
        <v>18501</v>
      </c>
      <c r="H56" s="1678">
        <v>18283</v>
      </c>
      <c r="I56" s="1678">
        <v>18176</v>
      </c>
      <c r="J56" s="1678">
        <v>18733</v>
      </c>
      <c r="K56" s="1678">
        <v>21214</v>
      </c>
      <c r="L56" s="1678">
        <v>22382</v>
      </c>
      <c r="M56" s="1678">
        <v>36307</v>
      </c>
      <c r="N56" s="1678">
        <v>36346</v>
      </c>
      <c r="O56" s="1678">
        <v>37337</v>
      </c>
      <c r="P56" s="1678">
        <v>38142</v>
      </c>
      <c r="Q56" s="1679">
        <v>39302</v>
      </c>
      <c r="R56" s="1678">
        <v>39263</v>
      </c>
      <c r="S56" s="1678">
        <v>38653</v>
      </c>
      <c r="T56" s="1678">
        <v>37664</v>
      </c>
      <c r="U56" s="1678">
        <v>36205</v>
      </c>
      <c r="V56" s="1678">
        <v>34802</v>
      </c>
      <c r="W56" s="1678">
        <v>30169</v>
      </c>
      <c r="X56" s="1678">
        <v>29476</v>
      </c>
      <c r="Y56" s="1678">
        <v>29164</v>
      </c>
      <c r="Z56" s="1678">
        <v>28893</v>
      </c>
      <c r="AA56" s="1678">
        <v>19303</v>
      </c>
      <c r="AB56" s="1678">
        <v>19122</v>
      </c>
      <c r="AC56" s="1680"/>
    </row>
    <row r="57" spans="1:29" ht="13.5" customHeight="1" thickTop="1">
      <c r="A57" s="1681" t="s">
        <v>1247</v>
      </c>
      <c r="B57" s="1674"/>
      <c r="C57" s="1675"/>
      <c r="D57" s="1682">
        <v>268.60000000000002</v>
      </c>
      <c r="E57" s="1683">
        <v>19</v>
      </c>
      <c r="F57" s="1684">
        <v>19</v>
      </c>
      <c r="G57" s="1684">
        <v>19</v>
      </c>
      <c r="H57" s="1684">
        <v>19</v>
      </c>
      <c r="I57" s="1684">
        <v>19</v>
      </c>
      <c r="J57" s="1684">
        <v>19</v>
      </c>
      <c r="K57" s="1684">
        <v>22</v>
      </c>
      <c r="L57" s="1684">
        <v>23</v>
      </c>
      <c r="M57" s="1684">
        <v>37</v>
      </c>
      <c r="N57" s="1684">
        <v>37</v>
      </c>
      <c r="O57" s="1684">
        <v>38</v>
      </c>
      <c r="P57" s="1684">
        <v>39</v>
      </c>
      <c r="Q57" s="1685">
        <v>40</v>
      </c>
      <c r="R57" s="1684">
        <v>40</v>
      </c>
      <c r="S57" s="1684">
        <v>39</v>
      </c>
      <c r="T57" s="1684">
        <v>38</v>
      </c>
      <c r="U57" s="1684">
        <v>37</v>
      </c>
      <c r="V57" s="1684">
        <v>35</v>
      </c>
      <c r="W57" s="1684">
        <v>31</v>
      </c>
      <c r="X57" s="1684">
        <v>30</v>
      </c>
      <c r="Y57" s="1684">
        <v>30</v>
      </c>
      <c r="Z57" s="1684">
        <v>29</v>
      </c>
      <c r="AA57" s="1684">
        <v>20</v>
      </c>
      <c r="AB57" s="1684">
        <v>20</v>
      </c>
      <c r="AC57" s="1686"/>
    </row>
    <row r="58" spans="1:29" ht="13.5" customHeight="1">
      <c r="A58" s="1687" t="s">
        <v>1248</v>
      </c>
      <c r="B58" s="1628"/>
      <c r="C58" s="1688"/>
      <c r="D58" s="1689">
        <v>268.60000000000002</v>
      </c>
      <c r="E58" s="1690">
        <v>70</v>
      </c>
      <c r="F58" s="1691">
        <v>69</v>
      </c>
      <c r="G58" s="1691">
        <v>69</v>
      </c>
      <c r="H58" s="1691">
        <v>68</v>
      </c>
      <c r="I58" s="1691">
        <v>68</v>
      </c>
      <c r="J58" s="1691">
        <v>70</v>
      </c>
      <c r="K58" s="1691">
        <v>79</v>
      </c>
      <c r="L58" s="1691">
        <v>83</v>
      </c>
      <c r="M58" s="1691">
        <v>135</v>
      </c>
      <c r="N58" s="1691">
        <v>135</v>
      </c>
      <c r="O58" s="1691">
        <v>139</v>
      </c>
      <c r="P58" s="1691">
        <v>142</v>
      </c>
      <c r="Q58" s="1693">
        <v>146</v>
      </c>
      <c r="R58" s="1691">
        <v>146</v>
      </c>
      <c r="S58" s="1691">
        <v>144</v>
      </c>
      <c r="T58" s="1691">
        <v>140</v>
      </c>
      <c r="U58" s="1691">
        <v>135</v>
      </c>
      <c r="V58" s="1691">
        <v>130</v>
      </c>
      <c r="W58" s="1691">
        <v>112</v>
      </c>
      <c r="X58" s="1691">
        <v>110</v>
      </c>
      <c r="Y58" s="1691">
        <v>109</v>
      </c>
      <c r="Z58" s="1691">
        <v>108</v>
      </c>
      <c r="AA58" s="1691">
        <v>72</v>
      </c>
      <c r="AB58" s="1691">
        <v>71</v>
      </c>
      <c r="AC58" s="1692"/>
    </row>
    <row r="65" spans="3:26" s="1351" customFormat="1" ht="13.5" customHeight="1">
      <c r="C65" s="1464"/>
      <c r="D65" s="1464"/>
      <c r="E65" s="1464"/>
      <c r="G65" s="1352"/>
      <c r="K65" s="1352"/>
      <c r="N65" s="1352"/>
      <c r="Q65" s="1352"/>
      <c r="S65" s="1352"/>
      <c r="T65" s="1352"/>
      <c r="W65" s="1352"/>
      <c r="Z65" s="1352"/>
    </row>
    <row r="66" spans="3:26" s="1351" customFormat="1" ht="13.5" customHeight="1">
      <c r="C66" s="1464"/>
      <c r="D66" s="1464"/>
      <c r="E66" s="1464"/>
      <c r="F66" s="1356"/>
      <c r="G66" s="1352"/>
      <c r="J66" s="1356"/>
      <c r="K66" s="1352"/>
      <c r="N66" s="1352"/>
      <c r="P66" s="1356"/>
      <c r="Q66" s="1352"/>
      <c r="S66" s="1352"/>
      <c r="T66" s="1352"/>
      <c r="V66" s="1356"/>
      <c r="W66" s="1352"/>
      <c r="Z66" s="1352"/>
    </row>
    <row r="67" spans="3:26" s="1351" customFormat="1" ht="13.5" customHeight="1">
      <c r="C67" s="1464"/>
      <c r="D67" s="1464"/>
      <c r="E67" s="1464"/>
      <c r="F67" s="1354"/>
      <c r="G67" s="1352"/>
      <c r="J67" s="1354"/>
      <c r="K67" s="1352"/>
      <c r="N67" s="1352"/>
      <c r="P67" s="1354"/>
      <c r="Q67" s="1352"/>
      <c r="S67" s="1352"/>
      <c r="T67" s="1352"/>
      <c r="V67" s="1354"/>
      <c r="W67" s="1352"/>
      <c r="Z67" s="1352"/>
    </row>
    <row r="68" spans="3:26" s="1351" customFormat="1" ht="13.5" customHeight="1">
      <c r="C68" s="1353"/>
      <c r="D68" s="1353"/>
      <c r="E68" s="1353"/>
      <c r="F68" s="1352"/>
      <c r="J68" s="1352"/>
      <c r="P68" s="1352"/>
      <c r="V68" s="1352"/>
    </row>
  </sheetData>
  <mergeCells count="21">
    <mergeCell ref="A58:C58"/>
    <mergeCell ref="A26:C26"/>
    <mergeCell ref="A12:C12"/>
    <mergeCell ref="A20:C20"/>
    <mergeCell ref="A28:C28"/>
    <mergeCell ref="A56:C56"/>
    <mergeCell ref="A57:C57"/>
    <mergeCell ref="A6:AC6"/>
    <mergeCell ref="A14:AC14"/>
    <mergeCell ref="A22:AC22"/>
    <mergeCell ref="A7:C7"/>
    <mergeCell ref="A15:C15"/>
    <mergeCell ref="A23:C23"/>
    <mergeCell ref="A10:C10"/>
    <mergeCell ref="A18:C18"/>
    <mergeCell ref="A4:A5"/>
    <mergeCell ref="B4:B5"/>
    <mergeCell ref="C4:C5"/>
    <mergeCell ref="D4:D5"/>
    <mergeCell ref="E4:AB4"/>
    <mergeCell ref="AC4:AC5"/>
  </mergeCells>
  <phoneticPr fontId="4"/>
  <pageMargins left="0.39370078740157483" right="0.39370078740157483" top="0.78740157480314965" bottom="0.55118110236220474" header="0.59055118110236227" footer="0.31496062992125984"/>
  <pageSetup paperSize="9" scale="54" fitToHeight="0" orientation="landscape" horizontalDpi="1200" verticalDpi="1200" r:id="rId1"/>
  <headerFooter scaleWithDoc="0" alignWithMargins="0">
    <oddFooter>&amp;C&amp;"ＭＳ Ｐゴシック,標準"&amp;9( &amp;P / &amp;N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C68"/>
  <sheetViews>
    <sheetView showGridLines="0" zoomScale="80" zoomScaleNormal="80" workbookViewId="0">
      <pane xSplit="4" ySplit="5" topLeftCell="E6" activePane="bottomRight" state="frozenSplit"/>
      <selection pane="topRight" activeCell="P1" sqref="P1"/>
      <selection pane="bottomLeft" activeCell="A17" sqref="A17"/>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28" width="7.7109375" style="1351" customWidth="1"/>
    <col min="29" max="29" width="14.7109375" style="1351" customWidth="1"/>
    <col min="30" max="16384" width="9.140625" style="1458"/>
  </cols>
  <sheetData>
    <row r="1" spans="1:29" s="1615" customFormat="1" ht="30" customHeight="1">
      <c r="A1" s="1623" t="s">
        <v>1250</v>
      </c>
      <c r="B1" s="1622"/>
      <c r="C1" s="1621"/>
      <c r="D1" s="1620"/>
      <c r="E1" s="1619"/>
      <c r="F1" s="1619"/>
      <c r="G1" s="1619"/>
      <c r="H1" s="1618"/>
      <c r="I1" s="1618"/>
      <c r="J1" s="1619"/>
      <c r="K1" s="1619"/>
      <c r="L1" s="1618"/>
      <c r="M1" s="1618"/>
      <c r="N1" s="1619"/>
      <c r="O1" s="1618"/>
      <c r="P1" s="1619"/>
      <c r="Q1" s="1619"/>
      <c r="R1" s="1618"/>
      <c r="S1" s="1619"/>
      <c r="T1" s="1619"/>
      <c r="U1" s="1618"/>
      <c r="V1" s="1619"/>
      <c r="W1" s="1619"/>
      <c r="X1" s="1618"/>
      <c r="Y1" s="1618"/>
      <c r="Z1" s="1619"/>
      <c r="AA1" s="1618"/>
      <c r="AB1" s="1617"/>
      <c r="AC1" s="1616"/>
    </row>
    <row r="4" spans="1:29" ht="13.5" customHeight="1">
      <c r="A4" s="1415" t="s">
        <v>394</v>
      </c>
      <c r="B4" s="1414" t="s">
        <v>370</v>
      </c>
      <c r="C4" s="1614" t="s">
        <v>1083</v>
      </c>
      <c r="D4" s="1613" t="s">
        <v>1249</v>
      </c>
      <c r="E4" s="1612" t="s">
        <v>1236</v>
      </c>
      <c r="F4" s="1611"/>
      <c r="G4" s="1611"/>
      <c r="H4" s="1611"/>
      <c r="I4" s="1611"/>
      <c r="J4" s="1611"/>
      <c r="K4" s="1611"/>
      <c r="L4" s="1611"/>
      <c r="M4" s="1611"/>
      <c r="N4" s="1611"/>
      <c r="O4" s="1611"/>
      <c r="P4" s="1611"/>
      <c r="Q4" s="1611"/>
      <c r="R4" s="1611"/>
      <c r="S4" s="1611"/>
      <c r="T4" s="1611"/>
      <c r="U4" s="1611"/>
      <c r="V4" s="1611"/>
      <c r="W4" s="1611"/>
      <c r="X4" s="1611"/>
      <c r="Y4" s="1611"/>
      <c r="Z4" s="1611"/>
      <c r="AA4" s="1611"/>
      <c r="AB4" s="1610"/>
      <c r="AC4" s="1609" t="s">
        <v>1235</v>
      </c>
    </row>
    <row r="5" spans="1:29" ht="13.5" customHeight="1">
      <c r="A5" s="1396"/>
      <c r="B5" s="1395"/>
      <c r="C5" s="1624"/>
      <c r="D5" s="1625"/>
      <c r="E5" s="1608">
        <v>1</v>
      </c>
      <c r="F5" s="1607">
        <v>2</v>
      </c>
      <c r="G5" s="1607">
        <v>3</v>
      </c>
      <c r="H5" s="1607">
        <v>4</v>
      </c>
      <c r="I5" s="1607">
        <v>5</v>
      </c>
      <c r="J5" s="1607">
        <v>6</v>
      </c>
      <c r="K5" s="1607">
        <v>7</v>
      </c>
      <c r="L5" s="1607">
        <v>8</v>
      </c>
      <c r="M5" s="1607">
        <v>9</v>
      </c>
      <c r="N5" s="1607">
        <v>10</v>
      </c>
      <c r="O5" s="1607">
        <v>11</v>
      </c>
      <c r="P5" s="1607">
        <v>12</v>
      </c>
      <c r="Q5" s="1607">
        <v>13</v>
      </c>
      <c r="R5" s="1607">
        <v>14</v>
      </c>
      <c r="S5" s="1607">
        <v>15</v>
      </c>
      <c r="T5" s="1607">
        <v>16</v>
      </c>
      <c r="U5" s="1607">
        <v>17</v>
      </c>
      <c r="V5" s="1607">
        <v>18</v>
      </c>
      <c r="W5" s="1607">
        <v>19</v>
      </c>
      <c r="X5" s="1607">
        <v>20</v>
      </c>
      <c r="Y5" s="1607">
        <v>21</v>
      </c>
      <c r="Z5" s="1607">
        <v>22</v>
      </c>
      <c r="AA5" s="1607">
        <v>23</v>
      </c>
      <c r="AB5" s="1606">
        <v>24</v>
      </c>
      <c r="AC5" s="1626"/>
    </row>
    <row r="6" spans="1:29" ht="13.5" customHeight="1">
      <c r="A6" s="1632" t="s">
        <v>420</v>
      </c>
      <c r="B6" s="1633"/>
      <c r="C6" s="1633"/>
      <c r="D6" s="1633"/>
      <c r="E6" s="1633"/>
      <c r="F6" s="1633"/>
      <c r="G6" s="1633"/>
      <c r="H6" s="1633"/>
      <c r="I6" s="1633"/>
      <c r="J6" s="1633"/>
      <c r="K6" s="1633"/>
      <c r="L6" s="1633"/>
      <c r="M6" s="1633"/>
      <c r="N6" s="1633"/>
      <c r="O6" s="1633"/>
      <c r="P6" s="1633"/>
      <c r="Q6" s="1633"/>
      <c r="R6" s="1633"/>
      <c r="S6" s="1633"/>
      <c r="T6" s="1633"/>
      <c r="U6" s="1633"/>
      <c r="V6" s="1633"/>
      <c r="W6" s="1633"/>
      <c r="X6" s="1633"/>
      <c r="Y6" s="1633"/>
      <c r="Z6" s="1633"/>
      <c r="AA6" s="1633"/>
      <c r="AB6" s="1633"/>
      <c r="AC6" s="1634"/>
    </row>
    <row r="7" spans="1:29" ht="13.5" customHeight="1">
      <c r="A7" s="1641" t="s">
        <v>1251</v>
      </c>
      <c r="B7" s="1642"/>
      <c r="C7" s="1643"/>
      <c r="D7" s="1636"/>
      <c r="E7" s="1637"/>
      <c r="F7" s="1638"/>
      <c r="G7" s="1638"/>
      <c r="H7" s="1638"/>
      <c r="I7" s="1638"/>
      <c r="J7" s="1638"/>
      <c r="K7" s="1638"/>
      <c r="L7" s="1638"/>
      <c r="M7" s="1638"/>
      <c r="N7" s="1638"/>
      <c r="O7" s="1638"/>
      <c r="P7" s="1638"/>
      <c r="Q7" s="1638"/>
      <c r="R7" s="1638"/>
      <c r="S7" s="1638"/>
      <c r="T7" s="1638"/>
      <c r="U7" s="1638"/>
      <c r="V7" s="1638"/>
      <c r="W7" s="1638"/>
      <c r="X7" s="1638"/>
      <c r="Y7" s="1638"/>
      <c r="Z7" s="1638"/>
      <c r="AA7" s="1638"/>
      <c r="AB7" s="1639"/>
      <c r="AC7" s="1640"/>
    </row>
    <row r="8" spans="1:29" ht="13.5" customHeight="1">
      <c r="A8" s="1369">
        <v>1</v>
      </c>
      <c r="B8" s="1368">
        <v>104</v>
      </c>
      <c r="C8" s="1627" t="s">
        <v>810</v>
      </c>
      <c r="D8" s="1366">
        <v>62.09</v>
      </c>
      <c r="E8" s="1364">
        <v>0</v>
      </c>
      <c r="F8" s="1361">
        <v>0</v>
      </c>
      <c r="G8" s="1361">
        <v>0</v>
      </c>
      <c r="H8" s="1361">
        <v>0</v>
      </c>
      <c r="I8" s="1361">
        <v>0</v>
      </c>
      <c r="J8" s="1361">
        <v>0</v>
      </c>
      <c r="K8" s="1361">
        <v>0</v>
      </c>
      <c r="L8" s="1361">
        <v>0</v>
      </c>
      <c r="M8" s="1361">
        <v>4224</v>
      </c>
      <c r="N8" s="1361">
        <v>4081</v>
      </c>
      <c r="O8" s="1361">
        <v>4210</v>
      </c>
      <c r="P8" s="1361">
        <v>4342</v>
      </c>
      <c r="Q8" s="1361">
        <v>4357</v>
      </c>
      <c r="R8" s="1361">
        <v>4324</v>
      </c>
      <c r="S8" s="1361">
        <v>4243</v>
      </c>
      <c r="T8" s="1361">
        <v>4143</v>
      </c>
      <c r="U8" s="1361">
        <v>3947</v>
      </c>
      <c r="V8" s="1361">
        <v>3779</v>
      </c>
      <c r="W8" s="1361">
        <v>0</v>
      </c>
      <c r="X8" s="1361">
        <v>0</v>
      </c>
      <c r="Y8" s="1361">
        <v>0</v>
      </c>
      <c r="Z8" s="1361">
        <v>0</v>
      </c>
      <c r="AA8" s="1361">
        <v>0</v>
      </c>
      <c r="AB8" s="1604">
        <v>0</v>
      </c>
      <c r="AC8" s="1603"/>
    </row>
    <row r="9" spans="1:29" ht="13.5" customHeight="1">
      <c r="A9" s="1369">
        <v>2</v>
      </c>
      <c r="B9" s="1368">
        <v>201</v>
      </c>
      <c r="C9" s="1605" t="s">
        <v>866</v>
      </c>
      <c r="D9" s="1366">
        <v>54.81</v>
      </c>
      <c r="E9" s="1364">
        <v>0</v>
      </c>
      <c r="F9" s="1361">
        <v>0</v>
      </c>
      <c r="G9" s="1361">
        <v>0</v>
      </c>
      <c r="H9" s="1361">
        <v>0</v>
      </c>
      <c r="I9" s="1361">
        <v>0</v>
      </c>
      <c r="J9" s="1361">
        <v>0</v>
      </c>
      <c r="K9" s="1361">
        <v>0</v>
      </c>
      <c r="L9" s="1361">
        <v>0</v>
      </c>
      <c r="M9" s="1361">
        <v>6148</v>
      </c>
      <c r="N9" s="1361">
        <v>5913</v>
      </c>
      <c r="O9" s="1361">
        <v>6216</v>
      </c>
      <c r="P9" s="1361">
        <v>5906</v>
      </c>
      <c r="Q9" s="1361">
        <v>6919</v>
      </c>
      <c r="R9" s="1361">
        <v>6892</v>
      </c>
      <c r="S9" s="1361">
        <v>6634</v>
      </c>
      <c r="T9" s="1361">
        <v>6234</v>
      </c>
      <c r="U9" s="1361">
        <v>5703</v>
      </c>
      <c r="V9" s="1361">
        <v>4849</v>
      </c>
      <c r="W9" s="1361">
        <v>0</v>
      </c>
      <c r="X9" s="1361">
        <v>0</v>
      </c>
      <c r="Y9" s="1361">
        <v>0</v>
      </c>
      <c r="Z9" s="1361">
        <v>0</v>
      </c>
      <c r="AA9" s="1361">
        <v>0</v>
      </c>
      <c r="AB9" s="1604">
        <v>0</v>
      </c>
      <c r="AC9" s="1603"/>
    </row>
    <row r="10" spans="1:29" ht="13.5" customHeight="1">
      <c r="A10" s="1369">
        <v>2</v>
      </c>
      <c r="B10" s="1368">
        <v>204</v>
      </c>
      <c r="C10" s="1605" t="s">
        <v>897</v>
      </c>
      <c r="D10" s="1366">
        <v>13.23</v>
      </c>
      <c r="E10" s="1364">
        <v>0</v>
      </c>
      <c r="F10" s="1361">
        <v>0</v>
      </c>
      <c r="G10" s="1361">
        <v>0</v>
      </c>
      <c r="H10" s="1361">
        <v>0</v>
      </c>
      <c r="I10" s="1361">
        <v>0</v>
      </c>
      <c r="J10" s="1361">
        <v>0</v>
      </c>
      <c r="K10" s="1361">
        <v>0</v>
      </c>
      <c r="L10" s="1361">
        <v>0</v>
      </c>
      <c r="M10" s="1361">
        <v>1730</v>
      </c>
      <c r="N10" s="1361">
        <v>1724</v>
      </c>
      <c r="O10" s="1361">
        <v>1766</v>
      </c>
      <c r="P10" s="1361">
        <v>1827</v>
      </c>
      <c r="Q10" s="1361">
        <v>1822</v>
      </c>
      <c r="R10" s="1361">
        <v>1794</v>
      </c>
      <c r="S10" s="1361">
        <v>1773</v>
      </c>
      <c r="T10" s="1361">
        <v>1749</v>
      </c>
      <c r="U10" s="1361">
        <v>1835</v>
      </c>
      <c r="V10" s="1361">
        <v>1786</v>
      </c>
      <c r="W10" s="1361">
        <v>0</v>
      </c>
      <c r="X10" s="1361">
        <v>0</v>
      </c>
      <c r="Y10" s="1361">
        <v>0</v>
      </c>
      <c r="Z10" s="1361">
        <v>0</v>
      </c>
      <c r="AA10" s="1361">
        <v>0</v>
      </c>
      <c r="AB10" s="1604">
        <v>0</v>
      </c>
      <c r="AC10" s="1603"/>
    </row>
    <row r="11" spans="1:29" ht="13.5" customHeight="1">
      <c r="A11" s="1369">
        <v>2</v>
      </c>
      <c r="B11" s="1368">
        <v>205</v>
      </c>
      <c r="C11" s="1605" t="s">
        <v>920</v>
      </c>
      <c r="D11" s="1366">
        <v>13.23</v>
      </c>
      <c r="E11" s="1364">
        <v>0</v>
      </c>
      <c r="F11" s="1361">
        <v>0</v>
      </c>
      <c r="G11" s="1361">
        <v>0</v>
      </c>
      <c r="H11" s="1361">
        <v>0</v>
      </c>
      <c r="I11" s="1361">
        <v>0</v>
      </c>
      <c r="J11" s="1361">
        <v>0</v>
      </c>
      <c r="K11" s="1361">
        <v>0</v>
      </c>
      <c r="L11" s="1361">
        <v>0</v>
      </c>
      <c r="M11" s="1361">
        <v>1829</v>
      </c>
      <c r="N11" s="1361">
        <v>1855</v>
      </c>
      <c r="O11" s="1361">
        <v>1916</v>
      </c>
      <c r="P11" s="1361">
        <v>1981</v>
      </c>
      <c r="Q11" s="1361">
        <v>1964</v>
      </c>
      <c r="R11" s="1361">
        <v>1925</v>
      </c>
      <c r="S11" s="1361">
        <v>1900</v>
      </c>
      <c r="T11" s="1361">
        <v>1868</v>
      </c>
      <c r="U11" s="1361">
        <v>1945</v>
      </c>
      <c r="V11" s="1361">
        <v>1880</v>
      </c>
      <c r="W11" s="1361">
        <v>0</v>
      </c>
      <c r="X11" s="1361">
        <v>0</v>
      </c>
      <c r="Y11" s="1361">
        <v>0</v>
      </c>
      <c r="Z11" s="1361">
        <v>0</v>
      </c>
      <c r="AA11" s="1361">
        <v>0</v>
      </c>
      <c r="AB11" s="1604">
        <v>0</v>
      </c>
      <c r="AC11" s="1603"/>
    </row>
    <row r="12" spans="1:29" ht="13.5" customHeight="1">
      <c r="A12" s="1369">
        <v>2</v>
      </c>
      <c r="B12" s="1368">
        <v>208</v>
      </c>
      <c r="C12" s="1605" t="s">
        <v>935</v>
      </c>
      <c r="D12" s="1366">
        <v>53.34</v>
      </c>
      <c r="E12" s="1364">
        <v>0</v>
      </c>
      <c r="F12" s="1361">
        <v>0</v>
      </c>
      <c r="G12" s="1361">
        <v>0</v>
      </c>
      <c r="H12" s="1361">
        <v>0</v>
      </c>
      <c r="I12" s="1361">
        <v>0</v>
      </c>
      <c r="J12" s="1361">
        <v>0</v>
      </c>
      <c r="K12" s="1361">
        <v>0</v>
      </c>
      <c r="L12" s="1361">
        <v>0</v>
      </c>
      <c r="M12" s="1361">
        <v>4147</v>
      </c>
      <c r="N12" s="1361">
        <v>3887</v>
      </c>
      <c r="O12" s="1361">
        <v>4003</v>
      </c>
      <c r="P12" s="1361">
        <v>4095</v>
      </c>
      <c r="Q12" s="1361">
        <v>4096</v>
      </c>
      <c r="R12" s="1361">
        <v>4047</v>
      </c>
      <c r="S12" s="1361">
        <v>3950</v>
      </c>
      <c r="T12" s="1361">
        <v>3826</v>
      </c>
      <c r="U12" s="1361">
        <v>3628</v>
      </c>
      <c r="V12" s="1361">
        <v>3420</v>
      </c>
      <c r="W12" s="1361">
        <v>0</v>
      </c>
      <c r="X12" s="1361">
        <v>0</v>
      </c>
      <c r="Y12" s="1361">
        <v>0</v>
      </c>
      <c r="Z12" s="1361">
        <v>0</v>
      </c>
      <c r="AA12" s="1361">
        <v>0</v>
      </c>
      <c r="AB12" s="1604">
        <v>0</v>
      </c>
      <c r="AC12" s="1603"/>
    </row>
    <row r="13" spans="1:29" ht="13.5" customHeight="1">
      <c r="A13" s="1369">
        <v>2</v>
      </c>
      <c r="B13" s="1368">
        <v>210</v>
      </c>
      <c r="C13" s="1605" t="s">
        <v>972</v>
      </c>
      <c r="D13" s="1366">
        <v>13.23</v>
      </c>
      <c r="E13" s="1364">
        <v>0</v>
      </c>
      <c r="F13" s="1361">
        <v>0</v>
      </c>
      <c r="G13" s="1361">
        <v>0</v>
      </c>
      <c r="H13" s="1361">
        <v>0</v>
      </c>
      <c r="I13" s="1361">
        <v>0</v>
      </c>
      <c r="J13" s="1361">
        <v>0</v>
      </c>
      <c r="K13" s="1361">
        <v>0</v>
      </c>
      <c r="L13" s="1361">
        <v>0</v>
      </c>
      <c r="M13" s="1361">
        <v>2543</v>
      </c>
      <c r="N13" s="1361">
        <v>2505</v>
      </c>
      <c r="O13" s="1361">
        <v>2570</v>
      </c>
      <c r="P13" s="1361">
        <v>2649</v>
      </c>
      <c r="Q13" s="1361">
        <v>2680</v>
      </c>
      <c r="R13" s="1361">
        <v>2887</v>
      </c>
      <c r="S13" s="1361">
        <v>3036</v>
      </c>
      <c r="T13" s="1361">
        <v>2996</v>
      </c>
      <c r="U13" s="1361">
        <v>2775</v>
      </c>
      <c r="V13" s="1361">
        <v>2318</v>
      </c>
      <c r="W13" s="1361">
        <v>0</v>
      </c>
      <c r="X13" s="1361">
        <v>0</v>
      </c>
      <c r="Y13" s="1361">
        <v>0</v>
      </c>
      <c r="Z13" s="1361">
        <v>0</v>
      </c>
      <c r="AA13" s="1361">
        <v>0</v>
      </c>
      <c r="AB13" s="1604">
        <v>0</v>
      </c>
      <c r="AC13" s="1603"/>
    </row>
    <row r="14" spans="1:29" ht="13.5" customHeight="1" thickBot="1">
      <c r="A14" s="1434">
        <v>2</v>
      </c>
      <c r="B14" s="1435">
        <v>211</v>
      </c>
      <c r="C14" s="1629" t="s">
        <v>992</v>
      </c>
      <c r="D14" s="1437">
        <v>13.23</v>
      </c>
      <c r="E14" s="1439">
        <v>0</v>
      </c>
      <c r="F14" s="1440">
        <v>0</v>
      </c>
      <c r="G14" s="1440">
        <v>0</v>
      </c>
      <c r="H14" s="1440">
        <v>0</v>
      </c>
      <c r="I14" s="1440">
        <v>0</v>
      </c>
      <c r="J14" s="1440">
        <v>0</v>
      </c>
      <c r="K14" s="1440">
        <v>0</v>
      </c>
      <c r="L14" s="1440">
        <v>0</v>
      </c>
      <c r="M14" s="1440">
        <v>1927</v>
      </c>
      <c r="N14" s="1440">
        <v>1901</v>
      </c>
      <c r="O14" s="1440">
        <v>1927</v>
      </c>
      <c r="P14" s="1440">
        <v>1981</v>
      </c>
      <c r="Q14" s="1440">
        <v>1969</v>
      </c>
      <c r="R14" s="1440">
        <v>1941</v>
      </c>
      <c r="S14" s="1440">
        <v>1932</v>
      </c>
      <c r="T14" s="1440">
        <v>1915</v>
      </c>
      <c r="U14" s="1440">
        <v>1871</v>
      </c>
      <c r="V14" s="1440">
        <v>1834</v>
      </c>
      <c r="W14" s="1440">
        <v>0</v>
      </c>
      <c r="X14" s="1440">
        <v>0</v>
      </c>
      <c r="Y14" s="1440">
        <v>0</v>
      </c>
      <c r="Z14" s="1440">
        <v>0</v>
      </c>
      <c r="AA14" s="1440">
        <v>0</v>
      </c>
      <c r="AB14" s="1630">
        <v>0</v>
      </c>
      <c r="AC14" s="1631"/>
    </row>
    <row r="15" spans="1:29" ht="13.5" customHeight="1" thickTop="1">
      <c r="A15" s="1651" t="s">
        <v>1252</v>
      </c>
      <c r="B15" s="1652"/>
      <c r="C15" s="1653"/>
      <c r="D15" s="1647">
        <v>223.15999999999997</v>
      </c>
      <c r="E15" s="1648">
        <v>0</v>
      </c>
      <c r="F15" s="1649">
        <v>0</v>
      </c>
      <c r="G15" s="1649">
        <v>0</v>
      </c>
      <c r="H15" s="1649">
        <v>0</v>
      </c>
      <c r="I15" s="1649">
        <v>0</v>
      </c>
      <c r="J15" s="1649">
        <v>0</v>
      </c>
      <c r="K15" s="1649">
        <v>0</v>
      </c>
      <c r="L15" s="1649">
        <v>0</v>
      </c>
      <c r="M15" s="1649">
        <v>22548</v>
      </c>
      <c r="N15" s="1649">
        <v>21866</v>
      </c>
      <c r="O15" s="1649">
        <v>22608</v>
      </c>
      <c r="P15" s="1649">
        <v>22781</v>
      </c>
      <c r="Q15" s="1649">
        <v>23807</v>
      </c>
      <c r="R15" s="1649">
        <v>23810</v>
      </c>
      <c r="S15" s="1649">
        <v>23468</v>
      </c>
      <c r="T15" s="1649">
        <v>22731</v>
      </c>
      <c r="U15" s="1649">
        <v>21704</v>
      </c>
      <c r="V15" s="1649">
        <v>19866</v>
      </c>
      <c r="W15" s="1649">
        <v>0</v>
      </c>
      <c r="X15" s="1649">
        <v>0</v>
      </c>
      <c r="Y15" s="1649">
        <v>0</v>
      </c>
      <c r="Z15" s="1649">
        <v>0</v>
      </c>
      <c r="AA15" s="1649">
        <v>0</v>
      </c>
      <c r="AB15" s="1649">
        <v>0</v>
      </c>
      <c r="AC15" s="1650"/>
    </row>
    <row r="16" spans="1:29" ht="13.5" customHeight="1" thickBot="1">
      <c r="A16" s="1434"/>
      <c r="B16" s="1435"/>
      <c r="C16" s="1654"/>
      <c r="D16" s="1437"/>
      <c r="E16" s="1439"/>
      <c r="F16" s="1440"/>
      <c r="G16" s="1440"/>
      <c r="H16" s="1440"/>
      <c r="I16" s="1440"/>
      <c r="J16" s="1440"/>
      <c r="K16" s="1440"/>
      <c r="L16" s="1440"/>
      <c r="M16" s="1440"/>
      <c r="N16" s="1440"/>
      <c r="O16" s="1440"/>
      <c r="P16" s="1440"/>
      <c r="Q16" s="1440"/>
      <c r="R16" s="1440"/>
      <c r="S16" s="1440"/>
      <c r="T16" s="1440"/>
      <c r="U16" s="1440"/>
      <c r="V16" s="1440"/>
      <c r="W16" s="1440"/>
      <c r="X16" s="1440"/>
      <c r="Y16" s="1440"/>
      <c r="Z16" s="1440"/>
      <c r="AA16" s="1440"/>
      <c r="AB16" s="1630"/>
      <c r="AC16" s="1631"/>
    </row>
    <row r="17" spans="1:29" ht="13.5" customHeight="1" thickTop="1">
      <c r="A17" s="1659" t="s">
        <v>1240</v>
      </c>
      <c r="B17" s="1660"/>
      <c r="C17" s="1660"/>
      <c r="D17" s="1655">
        <v>223.15999999999997</v>
      </c>
      <c r="E17" s="1656">
        <v>0</v>
      </c>
      <c r="F17" s="1657">
        <v>0</v>
      </c>
      <c r="G17" s="1657">
        <v>0</v>
      </c>
      <c r="H17" s="1657">
        <v>0</v>
      </c>
      <c r="I17" s="1657">
        <v>0</v>
      </c>
      <c r="J17" s="1657">
        <v>0</v>
      </c>
      <c r="K17" s="1657">
        <v>0</v>
      </c>
      <c r="L17" s="1657">
        <v>0</v>
      </c>
      <c r="M17" s="1657">
        <v>22548</v>
      </c>
      <c r="N17" s="1657">
        <v>21866</v>
      </c>
      <c r="O17" s="1657">
        <v>22608</v>
      </c>
      <c r="P17" s="1657">
        <v>22781</v>
      </c>
      <c r="Q17" s="1657">
        <v>23807</v>
      </c>
      <c r="R17" s="1657">
        <v>23810</v>
      </c>
      <c r="S17" s="1657">
        <v>23468</v>
      </c>
      <c r="T17" s="1657">
        <v>22731</v>
      </c>
      <c r="U17" s="1657">
        <v>21704</v>
      </c>
      <c r="V17" s="1657">
        <v>19866</v>
      </c>
      <c r="W17" s="1657">
        <v>0</v>
      </c>
      <c r="X17" s="1657">
        <v>0</v>
      </c>
      <c r="Y17" s="1657">
        <v>0</v>
      </c>
      <c r="Z17" s="1657">
        <v>0</v>
      </c>
      <c r="AA17" s="1657">
        <v>0</v>
      </c>
      <c r="AB17" s="1657">
        <v>0</v>
      </c>
      <c r="AC17" s="1658"/>
    </row>
    <row r="18" spans="1:29" ht="13.5" customHeight="1">
      <c r="A18" s="1434"/>
      <c r="B18" s="1435"/>
      <c r="C18" s="1654"/>
      <c r="D18" s="1437"/>
      <c r="E18" s="1439"/>
      <c r="F18" s="1440"/>
      <c r="G18" s="1440"/>
      <c r="H18" s="1440"/>
      <c r="I18" s="1440"/>
      <c r="J18" s="1440"/>
      <c r="K18" s="1440"/>
      <c r="L18" s="1440"/>
      <c r="M18" s="1440"/>
      <c r="N18" s="1440"/>
      <c r="O18" s="1440"/>
      <c r="P18" s="1440"/>
      <c r="Q18" s="1440"/>
      <c r="R18" s="1440"/>
      <c r="S18" s="1440"/>
      <c r="T18" s="1440"/>
      <c r="U18" s="1440"/>
      <c r="V18" s="1440"/>
      <c r="W18" s="1440"/>
      <c r="X18" s="1440"/>
      <c r="Y18" s="1440"/>
      <c r="Z18" s="1440"/>
      <c r="AA18" s="1440"/>
      <c r="AB18" s="1630"/>
      <c r="AC18" s="1631"/>
    </row>
    <row r="19" spans="1:29" ht="13.5" customHeight="1">
      <c r="A19" s="1644" t="s">
        <v>421</v>
      </c>
      <c r="B19" s="1633"/>
      <c r="C19" s="1633"/>
      <c r="D19" s="1633"/>
      <c r="E19" s="1633"/>
      <c r="F19" s="1633"/>
      <c r="G19" s="1633"/>
      <c r="H19" s="1633"/>
      <c r="I19" s="1633"/>
      <c r="J19" s="1633"/>
      <c r="K19" s="1633"/>
      <c r="L19" s="1633"/>
      <c r="M19" s="1633"/>
      <c r="N19" s="1633"/>
      <c r="O19" s="1633"/>
      <c r="P19" s="1633"/>
      <c r="Q19" s="1633"/>
      <c r="R19" s="1633"/>
      <c r="S19" s="1633"/>
      <c r="T19" s="1633"/>
      <c r="U19" s="1633"/>
      <c r="V19" s="1633"/>
      <c r="W19" s="1633"/>
      <c r="X19" s="1633"/>
      <c r="Y19" s="1633"/>
      <c r="Z19" s="1633"/>
      <c r="AA19" s="1633"/>
      <c r="AB19" s="1633"/>
      <c r="AC19" s="1634"/>
    </row>
    <row r="20" spans="1:29" ht="13.5" customHeight="1">
      <c r="A20" s="1641" t="s">
        <v>1251</v>
      </c>
      <c r="B20" s="1642"/>
      <c r="C20" s="1643"/>
      <c r="D20" s="1636"/>
      <c r="E20" s="1637"/>
      <c r="F20" s="1638"/>
      <c r="G20" s="1638"/>
      <c r="H20" s="1638"/>
      <c r="I20" s="1638"/>
      <c r="J20" s="1638"/>
      <c r="K20" s="1638"/>
      <c r="L20" s="1638"/>
      <c r="M20" s="1638"/>
      <c r="N20" s="1638"/>
      <c r="O20" s="1638"/>
      <c r="P20" s="1638"/>
      <c r="Q20" s="1638"/>
      <c r="R20" s="1638"/>
      <c r="S20" s="1638"/>
      <c r="T20" s="1638"/>
      <c r="U20" s="1638"/>
      <c r="V20" s="1638"/>
      <c r="W20" s="1638"/>
      <c r="X20" s="1638"/>
      <c r="Y20" s="1638"/>
      <c r="Z20" s="1638"/>
      <c r="AA20" s="1638"/>
      <c r="AB20" s="1639"/>
      <c r="AC20" s="1640"/>
    </row>
    <row r="21" spans="1:29" ht="13.5" customHeight="1">
      <c r="A21" s="1369">
        <v>1</v>
      </c>
      <c r="B21" s="1368">
        <v>104</v>
      </c>
      <c r="C21" s="1627" t="s">
        <v>810</v>
      </c>
      <c r="D21" s="1366">
        <v>62.09</v>
      </c>
      <c r="E21" s="1364">
        <v>0</v>
      </c>
      <c r="F21" s="1361">
        <v>0</v>
      </c>
      <c r="G21" s="1361">
        <v>0</v>
      </c>
      <c r="H21" s="1361">
        <v>0</v>
      </c>
      <c r="I21" s="1361">
        <v>0</v>
      </c>
      <c r="J21" s="1361">
        <v>0</v>
      </c>
      <c r="K21" s="1361">
        <v>0</v>
      </c>
      <c r="L21" s="1361">
        <v>0</v>
      </c>
      <c r="M21" s="1361">
        <v>4026</v>
      </c>
      <c r="N21" s="1361">
        <v>3837</v>
      </c>
      <c r="O21" s="1361">
        <v>3991</v>
      </c>
      <c r="P21" s="1361">
        <v>4068</v>
      </c>
      <c r="Q21" s="1361">
        <v>4108</v>
      </c>
      <c r="R21" s="1361">
        <v>4039</v>
      </c>
      <c r="S21" s="1361">
        <v>3951</v>
      </c>
      <c r="T21" s="1361">
        <v>3866</v>
      </c>
      <c r="U21" s="1361">
        <v>3761</v>
      </c>
      <c r="V21" s="1361">
        <v>3575</v>
      </c>
      <c r="W21" s="1361">
        <v>0</v>
      </c>
      <c r="X21" s="1361">
        <v>0</v>
      </c>
      <c r="Y21" s="1361">
        <v>0</v>
      </c>
      <c r="Z21" s="1361">
        <v>0</v>
      </c>
      <c r="AA21" s="1361">
        <v>0</v>
      </c>
      <c r="AB21" s="1604">
        <v>0</v>
      </c>
      <c r="AC21" s="1603"/>
    </row>
    <row r="22" spans="1:29" ht="13.5" customHeight="1">
      <c r="A22" s="1369">
        <v>2</v>
      </c>
      <c r="B22" s="1368">
        <v>201</v>
      </c>
      <c r="C22" s="1605" t="s">
        <v>866</v>
      </c>
      <c r="D22" s="1366">
        <v>54.81</v>
      </c>
      <c r="E22" s="1364">
        <v>0</v>
      </c>
      <c r="F22" s="1361">
        <v>0</v>
      </c>
      <c r="G22" s="1361">
        <v>0</v>
      </c>
      <c r="H22" s="1361">
        <v>0</v>
      </c>
      <c r="I22" s="1361">
        <v>0</v>
      </c>
      <c r="J22" s="1361">
        <v>0</v>
      </c>
      <c r="K22" s="1361">
        <v>0</v>
      </c>
      <c r="L22" s="1361">
        <v>0</v>
      </c>
      <c r="M22" s="1361">
        <v>5732</v>
      </c>
      <c r="N22" s="1361">
        <v>5440</v>
      </c>
      <c r="O22" s="1361">
        <v>5854</v>
      </c>
      <c r="P22" s="1361">
        <v>5667</v>
      </c>
      <c r="Q22" s="1361">
        <v>6848</v>
      </c>
      <c r="R22" s="1361">
        <v>6876</v>
      </c>
      <c r="S22" s="1361">
        <v>6681</v>
      </c>
      <c r="T22" s="1361">
        <v>6234</v>
      </c>
      <c r="U22" s="1361">
        <v>5729</v>
      </c>
      <c r="V22" s="1361">
        <v>4695</v>
      </c>
      <c r="W22" s="1361">
        <v>0</v>
      </c>
      <c r="X22" s="1361">
        <v>0</v>
      </c>
      <c r="Y22" s="1361">
        <v>0</v>
      </c>
      <c r="Z22" s="1361">
        <v>0</v>
      </c>
      <c r="AA22" s="1361">
        <v>0</v>
      </c>
      <c r="AB22" s="1604">
        <v>0</v>
      </c>
      <c r="AC22" s="1603"/>
    </row>
    <row r="23" spans="1:29" ht="13.5" customHeight="1">
      <c r="A23" s="1369">
        <v>2</v>
      </c>
      <c r="B23" s="1368">
        <v>204</v>
      </c>
      <c r="C23" s="1605" t="s">
        <v>897</v>
      </c>
      <c r="D23" s="1366">
        <v>13.23</v>
      </c>
      <c r="E23" s="1364">
        <v>0</v>
      </c>
      <c r="F23" s="1361">
        <v>0</v>
      </c>
      <c r="G23" s="1361">
        <v>0</v>
      </c>
      <c r="H23" s="1361">
        <v>0</v>
      </c>
      <c r="I23" s="1361">
        <v>0</v>
      </c>
      <c r="J23" s="1361">
        <v>0</v>
      </c>
      <c r="K23" s="1361">
        <v>0</v>
      </c>
      <c r="L23" s="1361">
        <v>0</v>
      </c>
      <c r="M23" s="1361">
        <v>1516</v>
      </c>
      <c r="N23" s="1361">
        <v>1502</v>
      </c>
      <c r="O23" s="1361">
        <v>1569</v>
      </c>
      <c r="P23" s="1361">
        <v>1606</v>
      </c>
      <c r="Q23" s="1361">
        <v>1630</v>
      </c>
      <c r="R23" s="1361">
        <v>1592</v>
      </c>
      <c r="S23" s="1361">
        <v>1574</v>
      </c>
      <c r="T23" s="1361">
        <v>1547</v>
      </c>
      <c r="U23" s="1361">
        <v>1684</v>
      </c>
      <c r="V23" s="1361">
        <v>1624</v>
      </c>
      <c r="W23" s="1361">
        <v>0</v>
      </c>
      <c r="X23" s="1361">
        <v>0</v>
      </c>
      <c r="Y23" s="1361">
        <v>0</v>
      </c>
      <c r="Z23" s="1361">
        <v>0</v>
      </c>
      <c r="AA23" s="1361">
        <v>0</v>
      </c>
      <c r="AB23" s="1604">
        <v>0</v>
      </c>
      <c r="AC23" s="1603"/>
    </row>
    <row r="24" spans="1:29" ht="13.5" customHeight="1">
      <c r="A24" s="1369">
        <v>2</v>
      </c>
      <c r="B24" s="1368">
        <v>205</v>
      </c>
      <c r="C24" s="1605" t="s">
        <v>920</v>
      </c>
      <c r="D24" s="1366">
        <v>13.23</v>
      </c>
      <c r="E24" s="1364">
        <v>0</v>
      </c>
      <c r="F24" s="1361">
        <v>0</v>
      </c>
      <c r="G24" s="1361">
        <v>0</v>
      </c>
      <c r="H24" s="1361">
        <v>0</v>
      </c>
      <c r="I24" s="1361">
        <v>0</v>
      </c>
      <c r="J24" s="1361">
        <v>0</v>
      </c>
      <c r="K24" s="1361">
        <v>0</v>
      </c>
      <c r="L24" s="1361">
        <v>0</v>
      </c>
      <c r="M24" s="1361">
        <v>1695</v>
      </c>
      <c r="N24" s="1361">
        <v>1716</v>
      </c>
      <c r="O24" s="1361">
        <v>1791</v>
      </c>
      <c r="P24" s="1361">
        <v>1814</v>
      </c>
      <c r="Q24" s="1361">
        <v>1804</v>
      </c>
      <c r="R24" s="1361">
        <v>1741</v>
      </c>
      <c r="S24" s="1361">
        <v>1706</v>
      </c>
      <c r="T24" s="1361">
        <v>1667</v>
      </c>
      <c r="U24" s="1361">
        <v>1788</v>
      </c>
      <c r="V24" s="1361">
        <v>1718</v>
      </c>
      <c r="W24" s="1361">
        <v>0</v>
      </c>
      <c r="X24" s="1361">
        <v>0</v>
      </c>
      <c r="Y24" s="1361">
        <v>0</v>
      </c>
      <c r="Z24" s="1361">
        <v>0</v>
      </c>
      <c r="AA24" s="1361">
        <v>0</v>
      </c>
      <c r="AB24" s="1604">
        <v>0</v>
      </c>
      <c r="AC24" s="1603"/>
    </row>
    <row r="25" spans="1:29" ht="13.5" customHeight="1">
      <c r="A25" s="1369">
        <v>2</v>
      </c>
      <c r="B25" s="1368">
        <v>208</v>
      </c>
      <c r="C25" s="1605" t="s">
        <v>935</v>
      </c>
      <c r="D25" s="1366">
        <v>53.34</v>
      </c>
      <c r="E25" s="1364">
        <v>0</v>
      </c>
      <c r="F25" s="1361">
        <v>0</v>
      </c>
      <c r="G25" s="1361">
        <v>0</v>
      </c>
      <c r="H25" s="1361">
        <v>0</v>
      </c>
      <c r="I25" s="1361">
        <v>0</v>
      </c>
      <c r="J25" s="1361">
        <v>0</v>
      </c>
      <c r="K25" s="1361">
        <v>0</v>
      </c>
      <c r="L25" s="1361">
        <v>0</v>
      </c>
      <c r="M25" s="1361">
        <v>4022</v>
      </c>
      <c r="N25" s="1361">
        <v>3721</v>
      </c>
      <c r="O25" s="1361">
        <v>3823</v>
      </c>
      <c r="P25" s="1361">
        <v>3851</v>
      </c>
      <c r="Q25" s="1361">
        <v>3864</v>
      </c>
      <c r="R25" s="1361">
        <v>3787</v>
      </c>
      <c r="S25" s="1361">
        <v>3699</v>
      </c>
      <c r="T25" s="1361">
        <v>3588</v>
      </c>
      <c r="U25" s="1361">
        <v>3470</v>
      </c>
      <c r="V25" s="1361">
        <v>3268</v>
      </c>
      <c r="W25" s="1361">
        <v>0</v>
      </c>
      <c r="X25" s="1361">
        <v>0</v>
      </c>
      <c r="Y25" s="1361">
        <v>0</v>
      </c>
      <c r="Z25" s="1361">
        <v>0</v>
      </c>
      <c r="AA25" s="1361">
        <v>0</v>
      </c>
      <c r="AB25" s="1604">
        <v>0</v>
      </c>
      <c r="AC25" s="1603"/>
    </row>
    <row r="26" spans="1:29" ht="13.5" customHeight="1">
      <c r="A26" s="1369">
        <v>2</v>
      </c>
      <c r="B26" s="1368">
        <v>210</v>
      </c>
      <c r="C26" s="1605" t="s">
        <v>972</v>
      </c>
      <c r="D26" s="1366">
        <v>13.23</v>
      </c>
      <c r="E26" s="1364">
        <v>0</v>
      </c>
      <c r="F26" s="1361">
        <v>0</v>
      </c>
      <c r="G26" s="1361">
        <v>0</v>
      </c>
      <c r="H26" s="1361">
        <v>0</v>
      </c>
      <c r="I26" s="1361">
        <v>0</v>
      </c>
      <c r="J26" s="1361">
        <v>0</v>
      </c>
      <c r="K26" s="1361">
        <v>0</v>
      </c>
      <c r="L26" s="1361">
        <v>0</v>
      </c>
      <c r="M26" s="1361">
        <v>2294</v>
      </c>
      <c r="N26" s="1361">
        <v>2228</v>
      </c>
      <c r="O26" s="1361">
        <v>2311</v>
      </c>
      <c r="P26" s="1361">
        <v>2357</v>
      </c>
      <c r="Q26" s="1361">
        <v>2448</v>
      </c>
      <c r="R26" s="1361">
        <v>2807</v>
      </c>
      <c r="S26" s="1361">
        <v>3161</v>
      </c>
      <c r="T26" s="1361">
        <v>3277</v>
      </c>
      <c r="U26" s="1361">
        <v>3233</v>
      </c>
      <c r="V26" s="1361">
        <v>2651</v>
      </c>
      <c r="W26" s="1361">
        <v>0</v>
      </c>
      <c r="X26" s="1361">
        <v>0</v>
      </c>
      <c r="Y26" s="1361">
        <v>0</v>
      </c>
      <c r="Z26" s="1361">
        <v>0</v>
      </c>
      <c r="AA26" s="1361">
        <v>0</v>
      </c>
      <c r="AB26" s="1604">
        <v>0</v>
      </c>
      <c r="AC26" s="1603"/>
    </row>
    <row r="27" spans="1:29" ht="13.5" customHeight="1" thickBot="1">
      <c r="A27" s="1434">
        <v>2</v>
      </c>
      <c r="B27" s="1435">
        <v>211</v>
      </c>
      <c r="C27" s="1629" t="s">
        <v>992</v>
      </c>
      <c r="D27" s="1437">
        <v>13.23</v>
      </c>
      <c r="E27" s="1439">
        <v>0</v>
      </c>
      <c r="F27" s="1440">
        <v>0</v>
      </c>
      <c r="G27" s="1440">
        <v>0</v>
      </c>
      <c r="H27" s="1440">
        <v>0</v>
      </c>
      <c r="I27" s="1440">
        <v>0</v>
      </c>
      <c r="J27" s="1440">
        <v>0</v>
      </c>
      <c r="K27" s="1440">
        <v>0</v>
      </c>
      <c r="L27" s="1440">
        <v>0</v>
      </c>
      <c r="M27" s="1440">
        <v>1718</v>
      </c>
      <c r="N27" s="1440">
        <v>1686</v>
      </c>
      <c r="O27" s="1440">
        <v>1735</v>
      </c>
      <c r="P27" s="1440">
        <v>1766</v>
      </c>
      <c r="Q27" s="1440">
        <v>1786</v>
      </c>
      <c r="R27" s="1440">
        <v>1751</v>
      </c>
      <c r="S27" s="1440">
        <v>1740</v>
      </c>
      <c r="T27" s="1440">
        <v>1724</v>
      </c>
      <c r="U27" s="1440">
        <v>1720</v>
      </c>
      <c r="V27" s="1440">
        <v>1678</v>
      </c>
      <c r="W27" s="1440">
        <v>0</v>
      </c>
      <c r="X27" s="1440">
        <v>0</v>
      </c>
      <c r="Y27" s="1440">
        <v>0</v>
      </c>
      <c r="Z27" s="1440">
        <v>0</v>
      </c>
      <c r="AA27" s="1440">
        <v>0</v>
      </c>
      <c r="AB27" s="1630">
        <v>0</v>
      </c>
      <c r="AC27" s="1631"/>
    </row>
    <row r="28" spans="1:29" ht="13.5" customHeight="1" thickTop="1">
      <c r="A28" s="1651" t="s">
        <v>1252</v>
      </c>
      <c r="B28" s="1652"/>
      <c r="C28" s="1653"/>
      <c r="D28" s="1647">
        <v>223.15999999999997</v>
      </c>
      <c r="E28" s="1648">
        <v>0</v>
      </c>
      <c r="F28" s="1649">
        <v>0</v>
      </c>
      <c r="G28" s="1649">
        <v>0</v>
      </c>
      <c r="H28" s="1649">
        <v>0</v>
      </c>
      <c r="I28" s="1649">
        <v>0</v>
      </c>
      <c r="J28" s="1649">
        <v>0</v>
      </c>
      <c r="K28" s="1649">
        <v>0</v>
      </c>
      <c r="L28" s="1649">
        <v>0</v>
      </c>
      <c r="M28" s="1649">
        <v>21003</v>
      </c>
      <c r="N28" s="1649">
        <v>20130</v>
      </c>
      <c r="O28" s="1649">
        <v>21074</v>
      </c>
      <c r="P28" s="1649">
        <v>21129</v>
      </c>
      <c r="Q28" s="1649">
        <v>22488</v>
      </c>
      <c r="R28" s="1649">
        <v>22593</v>
      </c>
      <c r="S28" s="1649">
        <v>22512</v>
      </c>
      <c r="T28" s="1649">
        <v>21903</v>
      </c>
      <c r="U28" s="1649">
        <v>21385</v>
      </c>
      <c r="V28" s="1649">
        <v>19209</v>
      </c>
      <c r="W28" s="1649">
        <v>0</v>
      </c>
      <c r="X28" s="1649">
        <v>0</v>
      </c>
      <c r="Y28" s="1649">
        <v>0</v>
      </c>
      <c r="Z28" s="1649">
        <v>0</v>
      </c>
      <c r="AA28" s="1649">
        <v>0</v>
      </c>
      <c r="AB28" s="1649">
        <v>0</v>
      </c>
      <c r="AC28" s="1650"/>
    </row>
    <row r="29" spans="1:29" ht="13.5" customHeight="1" thickBot="1">
      <c r="A29" s="1434"/>
      <c r="B29" s="1435"/>
      <c r="C29" s="1654"/>
      <c r="D29" s="1437"/>
      <c r="E29" s="1439"/>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B29" s="1630"/>
      <c r="AC29" s="1631"/>
    </row>
    <row r="30" spans="1:29" ht="13.5" customHeight="1" thickTop="1">
      <c r="A30" s="1665" t="s">
        <v>1243</v>
      </c>
      <c r="B30" s="1666"/>
      <c r="C30" s="1666"/>
      <c r="D30" s="1661">
        <v>223.15999999999997</v>
      </c>
      <c r="E30" s="1662">
        <v>0</v>
      </c>
      <c r="F30" s="1663">
        <v>0</v>
      </c>
      <c r="G30" s="1663">
        <v>0</v>
      </c>
      <c r="H30" s="1663">
        <v>0</v>
      </c>
      <c r="I30" s="1663">
        <v>0</v>
      </c>
      <c r="J30" s="1663">
        <v>0</v>
      </c>
      <c r="K30" s="1663">
        <v>0</v>
      </c>
      <c r="L30" s="1663">
        <v>0</v>
      </c>
      <c r="M30" s="1663">
        <v>21003</v>
      </c>
      <c r="N30" s="1663">
        <v>20130</v>
      </c>
      <c r="O30" s="1663">
        <v>21074</v>
      </c>
      <c r="P30" s="1663">
        <v>21129</v>
      </c>
      <c r="Q30" s="1663">
        <v>22488</v>
      </c>
      <c r="R30" s="1663">
        <v>22593</v>
      </c>
      <c r="S30" s="1663">
        <v>22512</v>
      </c>
      <c r="T30" s="1663">
        <v>21903</v>
      </c>
      <c r="U30" s="1663">
        <v>21385</v>
      </c>
      <c r="V30" s="1663">
        <v>19209</v>
      </c>
      <c r="W30" s="1663">
        <v>0</v>
      </c>
      <c r="X30" s="1663">
        <v>0</v>
      </c>
      <c r="Y30" s="1663">
        <v>0</v>
      </c>
      <c r="Z30" s="1663">
        <v>0</v>
      </c>
      <c r="AA30" s="1663">
        <v>0</v>
      </c>
      <c r="AB30" s="1663">
        <v>0</v>
      </c>
      <c r="AC30" s="1664"/>
    </row>
    <row r="31" spans="1:29" ht="13.5" customHeight="1">
      <c r="A31" s="1434"/>
      <c r="B31" s="1435"/>
      <c r="C31" s="1654"/>
      <c r="D31" s="1437"/>
      <c r="E31" s="1439"/>
      <c r="F31" s="1440"/>
      <c r="G31" s="1440"/>
      <c r="H31" s="1440"/>
      <c r="I31" s="1440"/>
      <c r="J31" s="1440"/>
      <c r="K31" s="1440"/>
      <c r="L31" s="1440"/>
      <c r="M31" s="1440"/>
      <c r="N31" s="1440"/>
      <c r="O31" s="1440"/>
      <c r="P31" s="1440"/>
      <c r="Q31" s="1440"/>
      <c r="R31" s="1440"/>
      <c r="S31" s="1440"/>
      <c r="T31" s="1440"/>
      <c r="U31" s="1440"/>
      <c r="V31" s="1440"/>
      <c r="W31" s="1440"/>
      <c r="X31" s="1440"/>
      <c r="Y31" s="1440"/>
      <c r="Z31" s="1440"/>
      <c r="AA31" s="1440"/>
      <c r="AB31" s="1630"/>
      <c r="AC31" s="1631"/>
    </row>
    <row r="32" spans="1:29" ht="13.5" customHeight="1">
      <c r="A32" s="1645" t="s">
        <v>422</v>
      </c>
      <c r="B32" s="1633"/>
      <c r="C32" s="1633"/>
      <c r="D32" s="1633"/>
      <c r="E32" s="1633"/>
      <c r="F32" s="1633"/>
      <c r="G32" s="1633"/>
      <c r="H32" s="1633"/>
      <c r="I32" s="1633"/>
      <c r="J32" s="1633"/>
      <c r="K32" s="1633"/>
      <c r="L32" s="1633"/>
      <c r="M32" s="1633"/>
      <c r="N32" s="1633"/>
      <c r="O32" s="1633"/>
      <c r="P32" s="1633"/>
      <c r="Q32" s="1633"/>
      <c r="R32" s="1633"/>
      <c r="S32" s="1633"/>
      <c r="T32" s="1633"/>
      <c r="U32" s="1633"/>
      <c r="V32" s="1633"/>
      <c r="W32" s="1633"/>
      <c r="X32" s="1633"/>
      <c r="Y32" s="1633"/>
      <c r="Z32" s="1633"/>
      <c r="AA32" s="1633"/>
      <c r="AB32" s="1633"/>
      <c r="AC32" s="1634"/>
    </row>
    <row r="33" spans="1:29" ht="13.5" customHeight="1">
      <c r="A33" s="1641" t="s">
        <v>1251</v>
      </c>
      <c r="B33" s="1642"/>
      <c r="C33" s="1643"/>
      <c r="D33" s="1636"/>
      <c r="E33" s="1637"/>
      <c r="F33" s="1638"/>
      <c r="G33" s="1638"/>
      <c r="H33" s="1638"/>
      <c r="I33" s="1638"/>
      <c r="J33" s="1638"/>
      <c r="K33" s="1638"/>
      <c r="L33" s="1638"/>
      <c r="M33" s="1638"/>
      <c r="N33" s="1638"/>
      <c r="O33" s="1638"/>
      <c r="P33" s="1638"/>
      <c r="Q33" s="1638"/>
      <c r="R33" s="1638"/>
      <c r="S33" s="1638"/>
      <c r="T33" s="1638"/>
      <c r="U33" s="1638"/>
      <c r="V33" s="1638"/>
      <c r="W33" s="1638"/>
      <c r="X33" s="1638"/>
      <c r="Y33" s="1638"/>
      <c r="Z33" s="1638"/>
      <c r="AA33" s="1638"/>
      <c r="AB33" s="1639"/>
      <c r="AC33" s="1640"/>
    </row>
    <row r="34" spans="1:29" ht="13.5" customHeight="1">
      <c r="A34" s="1369">
        <v>1</v>
      </c>
      <c r="B34" s="1368">
        <v>104</v>
      </c>
      <c r="C34" s="1627" t="s">
        <v>810</v>
      </c>
      <c r="D34" s="1366">
        <v>62.09</v>
      </c>
      <c r="E34" s="1364">
        <v>0</v>
      </c>
      <c r="F34" s="1361">
        <v>0</v>
      </c>
      <c r="G34" s="1361">
        <v>0</v>
      </c>
      <c r="H34" s="1361">
        <v>0</v>
      </c>
      <c r="I34" s="1361">
        <v>0</v>
      </c>
      <c r="J34" s="1361">
        <v>0</v>
      </c>
      <c r="K34" s="1361">
        <v>0</v>
      </c>
      <c r="L34" s="1361">
        <v>0</v>
      </c>
      <c r="M34" s="1361">
        <v>3164</v>
      </c>
      <c r="N34" s="1361">
        <v>3042</v>
      </c>
      <c r="O34" s="1361">
        <v>3180</v>
      </c>
      <c r="P34" s="1361">
        <v>3304</v>
      </c>
      <c r="Q34" s="1361">
        <v>3325</v>
      </c>
      <c r="R34" s="1361">
        <v>3262</v>
      </c>
      <c r="S34" s="1361">
        <v>3189</v>
      </c>
      <c r="T34" s="1361">
        <v>3122</v>
      </c>
      <c r="U34" s="1361">
        <v>2923</v>
      </c>
      <c r="V34" s="1361">
        <v>2770</v>
      </c>
      <c r="W34" s="1361">
        <v>0</v>
      </c>
      <c r="X34" s="1361">
        <v>0</v>
      </c>
      <c r="Y34" s="1361">
        <v>0</v>
      </c>
      <c r="Z34" s="1361">
        <v>0</v>
      </c>
      <c r="AA34" s="1361">
        <v>0</v>
      </c>
      <c r="AB34" s="1604">
        <v>0</v>
      </c>
      <c r="AC34" s="1603"/>
    </row>
    <row r="35" spans="1:29" ht="13.5" customHeight="1">
      <c r="A35" s="1369">
        <v>2</v>
      </c>
      <c r="B35" s="1368">
        <v>201</v>
      </c>
      <c r="C35" s="1605" t="s">
        <v>866</v>
      </c>
      <c r="D35" s="1366">
        <v>54.81</v>
      </c>
      <c r="E35" s="1364">
        <v>0</v>
      </c>
      <c r="F35" s="1361">
        <v>0</v>
      </c>
      <c r="G35" s="1361">
        <v>0</v>
      </c>
      <c r="H35" s="1361">
        <v>0</v>
      </c>
      <c r="I35" s="1361">
        <v>0</v>
      </c>
      <c r="J35" s="1361">
        <v>0</v>
      </c>
      <c r="K35" s="1361">
        <v>0</v>
      </c>
      <c r="L35" s="1361">
        <v>0</v>
      </c>
      <c r="M35" s="1361">
        <v>4740</v>
      </c>
      <c r="N35" s="1361">
        <v>4877</v>
      </c>
      <c r="O35" s="1361">
        <v>5794</v>
      </c>
      <c r="P35" s="1361">
        <v>5688</v>
      </c>
      <c r="Q35" s="1361">
        <v>6733</v>
      </c>
      <c r="R35" s="1361">
        <v>6672</v>
      </c>
      <c r="S35" s="1361">
        <v>6316</v>
      </c>
      <c r="T35" s="1361">
        <v>5688</v>
      </c>
      <c r="U35" s="1361">
        <v>4816</v>
      </c>
      <c r="V35" s="1361">
        <v>3675</v>
      </c>
      <c r="W35" s="1361">
        <v>0</v>
      </c>
      <c r="X35" s="1361">
        <v>0</v>
      </c>
      <c r="Y35" s="1361">
        <v>0</v>
      </c>
      <c r="Z35" s="1361">
        <v>0</v>
      </c>
      <c r="AA35" s="1361">
        <v>0</v>
      </c>
      <c r="AB35" s="1604">
        <v>0</v>
      </c>
      <c r="AC35" s="1603"/>
    </row>
    <row r="36" spans="1:29" ht="13.5" customHeight="1">
      <c r="A36" s="1369">
        <v>2</v>
      </c>
      <c r="B36" s="1368">
        <v>204</v>
      </c>
      <c r="C36" s="1605" t="s">
        <v>897</v>
      </c>
      <c r="D36" s="1366">
        <v>13.23</v>
      </c>
      <c r="E36" s="1364">
        <v>0</v>
      </c>
      <c r="F36" s="1361">
        <v>0</v>
      </c>
      <c r="G36" s="1361">
        <v>0</v>
      </c>
      <c r="H36" s="1361">
        <v>0</v>
      </c>
      <c r="I36" s="1361">
        <v>0</v>
      </c>
      <c r="J36" s="1361">
        <v>0</v>
      </c>
      <c r="K36" s="1361">
        <v>0</v>
      </c>
      <c r="L36" s="1361">
        <v>0</v>
      </c>
      <c r="M36" s="1361">
        <v>1070</v>
      </c>
      <c r="N36" s="1361">
        <v>1079</v>
      </c>
      <c r="O36" s="1361">
        <v>1115</v>
      </c>
      <c r="P36" s="1361">
        <v>1150</v>
      </c>
      <c r="Q36" s="1361">
        <v>1140</v>
      </c>
      <c r="R36" s="1361">
        <v>1109</v>
      </c>
      <c r="S36" s="1361">
        <v>1093</v>
      </c>
      <c r="T36" s="1361">
        <v>1091</v>
      </c>
      <c r="U36" s="1361">
        <v>1187</v>
      </c>
      <c r="V36" s="1361">
        <v>1176</v>
      </c>
      <c r="W36" s="1361">
        <v>0</v>
      </c>
      <c r="X36" s="1361">
        <v>0</v>
      </c>
      <c r="Y36" s="1361">
        <v>0</v>
      </c>
      <c r="Z36" s="1361">
        <v>0</v>
      </c>
      <c r="AA36" s="1361">
        <v>0</v>
      </c>
      <c r="AB36" s="1604">
        <v>0</v>
      </c>
      <c r="AC36" s="1603"/>
    </row>
    <row r="37" spans="1:29" ht="13.5" customHeight="1">
      <c r="A37" s="1369">
        <v>2</v>
      </c>
      <c r="B37" s="1368">
        <v>205</v>
      </c>
      <c r="C37" s="1605" t="s">
        <v>920</v>
      </c>
      <c r="D37" s="1366">
        <v>13.23</v>
      </c>
      <c r="E37" s="1364">
        <v>0</v>
      </c>
      <c r="F37" s="1361">
        <v>0</v>
      </c>
      <c r="G37" s="1361">
        <v>0</v>
      </c>
      <c r="H37" s="1361">
        <v>0</v>
      </c>
      <c r="I37" s="1361">
        <v>0</v>
      </c>
      <c r="J37" s="1361">
        <v>0</v>
      </c>
      <c r="K37" s="1361">
        <v>0</v>
      </c>
      <c r="L37" s="1361">
        <v>0</v>
      </c>
      <c r="M37" s="1361">
        <v>1236</v>
      </c>
      <c r="N37" s="1361">
        <v>1282</v>
      </c>
      <c r="O37" s="1361">
        <v>1330</v>
      </c>
      <c r="P37" s="1361">
        <v>1350</v>
      </c>
      <c r="Q37" s="1361">
        <v>1308</v>
      </c>
      <c r="R37" s="1361">
        <v>1248</v>
      </c>
      <c r="S37" s="1361">
        <v>1212</v>
      </c>
      <c r="T37" s="1361">
        <v>1192</v>
      </c>
      <c r="U37" s="1361">
        <v>1276</v>
      </c>
      <c r="V37" s="1361">
        <v>1249</v>
      </c>
      <c r="W37" s="1361">
        <v>0</v>
      </c>
      <c r="X37" s="1361">
        <v>0</v>
      </c>
      <c r="Y37" s="1361">
        <v>0</v>
      </c>
      <c r="Z37" s="1361">
        <v>0</v>
      </c>
      <c r="AA37" s="1361">
        <v>0</v>
      </c>
      <c r="AB37" s="1604">
        <v>0</v>
      </c>
      <c r="AC37" s="1603"/>
    </row>
    <row r="38" spans="1:29" ht="13.5" customHeight="1">
      <c r="A38" s="1369">
        <v>2</v>
      </c>
      <c r="B38" s="1368">
        <v>208</v>
      </c>
      <c r="C38" s="1605" t="s">
        <v>935</v>
      </c>
      <c r="D38" s="1366">
        <v>53.34</v>
      </c>
      <c r="E38" s="1364">
        <v>0</v>
      </c>
      <c r="F38" s="1361">
        <v>0</v>
      </c>
      <c r="G38" s="1361">
        <v>0</v>
      </c>
      <c r="H38" s="1361">
        <v>0</v>
      </c>
      <c r="I38" s="1361">
        <v>0</v>
      </c>
      <c r="J38" s="1361">
        <v>0</v>
      </c>
      <c r="K38" s="1361">
        <v>0</v>
      </c>
      <c r="L38" s="1361">
        <v>0</v>
      </c>
      <c r="M38" s="1361">
        <v>3414</v>
      </c>
      <c r="N38" s="1361">
        <v>3025</v>
      </c>
      <c r="O38" s="1361">
        <v>3127</v>
      </c>
      <c r="P38" s="1361">
        <v>3193</v>
      </c>
      <c r="Q38" s="1361">
        <v>3175</v>
      </c>
      <c r="R38" s="1361">
        <v>3105</v>
      </c>
      <c r="S38" s="1361">
        <v>3021</v>
      </c>
      <c r="T38" s="1361">
        <v>2932</v>
      </c>
      <c r="U38" s="1361">
        <v>2743</v>
      </c>
      <c r="V38" s="1361">
        <v>2595</v>
      </c>
      <c r="W38" s="1361">
        <v>0</v>
      </c>
      <c r="X38" s="1361">
        <v>0</v>
      </c>
      <c r="Y38" s="1361">
        <v>0</v>
      </c>
      <c r="Z38" s="1361">
        <v>0</v>
      </c>
      <c r="AA38" s="1361">
        <v>0</v>
      </c>
      <c r="AB38" s="1604">
        <v>0</v>
      </c>
      <c r="AC38" s="1603"/>
    </row>
    <row r="39" spans="1:29" ht="13.5" customHeight="1">
      <c r="A39" s="1369">
        <v>2</v>
      </c>
      <c r="B39" s="1368">
        <v>210</v>
      </c>
      <c r="C39" s="1605" t="s">
        <v>972</v>
      </c>
      <c r="D39" s="1366">
        <v>13.23</v>
      </c>
      <c r="E39" s="1364">
        <v>0</v>
      </c>
      <c r="F39" s="1361">
        <v>0</v>
      </c>
      <c r="G39" s="1361">
        <v>0</v>
      </c>
      <c r="H39" s="1361">
        <v>0</v>
      </c>
      <c r="I39" s="1361">
        <v>0</v>
      </c>
      <c r="J39" s="1361">
        <v>0</v>
      </c>
      <c r="K39" s="1361">
        <v>0</v>
      </c>
      <c r="L39" s="1361">
        <v>0</v>
      </c>
      <c r="M39" s="1361">
        <v>1777</v>
      </c>
      <c r="N39" s="1361">
        <v>1740</v>
      </c>
      <c r="O39" s="1361">
        <v>1797</v>
      </c>
      <c r="P39" s="1361">
        <v>1849</v>
      </c>
      <c r="Q39" s="1361">
        <v>1842</v>
      </c>
      <c r="R39" s="1361">
        <v>2125</v>
      </c>
      <c r="S39" s="1361">
        <v>2493</v>
      </c>
      <c r="T39" s="1361">
        <v>2551</v>
      </c>
      <c r="U39" s="1361">
        <v>2229</v>
      </c>
      <c r="V39" s="1361">
        <v>1540</v>
      </c>
      <c r="W39" s="1361">
        <v>0</v>
      </c>
      <c r="X39" s="1361">
        <v>0</v>
      </c>
      <c r="Y39" s="1361">
        <v>0</v>
      </c>
      <c r="Z39" s="1361">
        <v>0</v>
      </c>
      <c r="AA39" s="1361">
        <v>0</v>
      </c>
      <c r="AB39" s="1604">
        <v>0</v>
      </c>
      <c r="AC39" s="1603"/>
    </row>
    <row r="40" spans="1:29" ht="13.5" customHeight="1" thickBot="1">
      <c r="A40" s="1434">
        <v>2</v>
      </c>
      <c r="B40" s="1435">
        <v>211</v>
      </c>
      <c r="C40" s="1629" t="s">
        <v>992</v>
      </c>
      <c r="D40" s="1437">
        <v>13.23</v>
      </c>
      <c r="E40" s="1439">
        <v>0</v>
      </c>
      <c r="F40" s="1440">
        <v>0</v>
      </c>
      <c r="G40" s="1440">
        <v>0</v>
      </c>
      <c r="H40" s="1440">
        <v>0</v>
      </c>
      <c r="I40" s="1440">
        <v>0</v>
      </c>
      <c r="J40" s="1440">
        <v>0</v>
      </c>
      <c r="K40" s="1440">
        <v>0</v>
      </c>
      <c r="L40" s="1440">
        <v>0</v>
      </c>
      <c r="M40" s="1440">
        <v>1312</v>
      </c>
      <c r="N40" s="1440">
        <v>1297</v>
      </c>
      <c r="O40" s="1440">
        <v>1317</v>
      </c>
      <c r="P40" s="1440">
        <v>1342</v>
      </c>
      <c r="Q40" s="1440">
        <v>1329</v>
      </c>
      <c r="R40" s="1440">
        <v>1303</v>
      </c>
      <c r="S40" s="1440">
        <v>1295</v>
      </c>
      <c r="T40" s="1440">
        <v>1298</v>
      </c>
      <c r="U40" s="1440">
        <v>1263</v>
      </c>
      <c r="V40" s="1440">
        <v>1270</v>
      </c>
      <c r="W40" s="1440">
        <v>0</v>
      </c>
      <c r="X40" s="1440">
        <v>0</v>
      </c>
      <c r="Y40" s="1440">
        <v>0</v>
      </c>
      <c r="Z40" s="1440">
        <v>0</v>
      </c>
      <c r="AA40" s="1440">
        <v>0</v>
      </c>
      <c r="AB40" s="1630">
        <v>0</v>
      </c>
      <c r="AC40" s="1631"/>
    </row>
    <row r="41" spans="1:29" ht="13.5" customHeight="1" thickTop="1">
      <c r="A41" s="1651" t="s">
        <v>1252</v>
      </c>
      <c r="B41" s="1652"/>
      <c r="C41" s="1653"/>
      <c r="D41" s="1647">
        <v>223.15999999999997</v>
      </c>
      <c r="E41" s="1648">
        <v>0</v>
      </c>
      <c r="F41" s="1649">
        <v>0</v>
      </c>
      <c r="G41" s="1649">
        <v>0</v>
      </c>
      <c r="H41" s="1649">
        <v>0</v>
      </c>
      <c r="I41" s="1649">
        <v>0</v>
      </c>
      <c r="J41" s="1649">
        <v>0</v>
      </c>
      <c r="K41" s="1649">
        <v>0</v>
      </c>
      <c r="L41" s="1649">
        <v>0</v>
      </c>
      <c r="M41" s="1649">
        <v>16713</v>
      </c>
      <c r="N41" s="1649">
        <v>16342</v>
      </c>
      <c r="O41" s="1649">
        <v>17660</v>
      </c>
      <c r="P41" s="1649">
        <v>17876</v>
      </c>
      <c r="Q41" s="1649">
        <v>18852</v>
      </c>
      <c r="R41" s="1649">
        <v>18824</v>
      </c>
      <c r="S41" s="1649">
        <v>18619</v>
      </c>
      <c r="T41" s="1649">
        <v>17874</v>
      </c>
      <c r="U41" s="1649">
        <v>16437</v>
      </c>
      <c r="V41" s="1649">
        <v>14275</v>
      </c>
      <c r="W41" s="1649">
        <v>0</v>
      </c>
      <c r="X41" s="1649">
        <v>0</v>
      </c>
      <c r="Y41" s="1649">
        <v>0</v>
      </c>
      <c r="Z41" s="1649">
        <v>0</v>
      </c>
      <c r="AA41" s="1649">
        <v>0</v>
      </c>
      <c r="AB41" s="1649">
        <v>0</v>
      </c>
      <c r="AC41" s="1650"/>
    </row>
    <row r="42" spans="1:29" ht="13.5" customHeight="1" thickBot="1">
      <c r="A42" s="1434"/>
      <c r="B42" s="1435"/>
      <c r="C42" s="1654"/>
      <c r="D42" s="1437"/>
      <c r="E42" s="1439"/>
      <c r="F42" s="1440"/>
      <c r="G42" s="1440"/>
      <c r="H42" s="1440"/>
      <c r="I42" s="1440"/>
      <c r="J42" s="1440"/>
      <c r="K42" s="1440"/>
      <c r="L42" s="1440"/>
      <c r="M42" s="1440"/>
      <c r="N42" s="1440"/>
      <c r="O42" s="1440"/>
      <c r="P42" s="1440"/>
      <c r="Q42" s="1440"/>
      <c r="R42" s="1440"/>
      <c r="S42" s="1440"/>
      <c r="T42" s="1440"/>
      <c r="U42" s="1440"/>
      <c r="V42" s="1440"/>
      <c r="W42" s="1440"/>
      <c r="X42" s="1440"/>
      <c r="Y42" s="1440"/>
      <c r="Z42" s="1440"/>
      <c r="AA42" s="1440"/>
      <c r="AB42" s="1630"/>
      <c r="AC42" s="1631"/>
    </row>
    <row r="43" spans="1:29" ht="13.5" customHeight="1" thickTop="1">
      <c r="A43" s="1671" t="s">
        <v>1245</v>
      </c>
      <c r="B43" s="1672"/>
      <c r="C43" s="1672"/>
      <c r="D43" s="1667">
        <v>223.15999999999997</v>
      </c>
      <c r="E43" s="1668">
        <v>0</v>
      </c>
      <c r="F43" s="1669">
        <v>0</v>
      </c>
      <c r="G43" s="1669">
        <v>0</v>
      </c>
      <c r="H43" s="1669">
        <v>0</v>
      </c>
      <c r="I43" s="1669">
        <v>0</v>
      </c>
      <c r="J43" s="1669">
        <v>0</v>
      </c>
      <c r="K43" s="1669">
        <v>0</v>
      </c>
      <c r="L43" s="1669">
        <v>0</v>
      </c>
      <c r="M43" s="1669">
        <v>16713</v>
      </c>
      <c r="N43" s="1669">
        <v>16342</v>
      </c>
      <c r="O43" s="1669">
        <v>17660</v>
      </c>
      <c r="P43" s="1669">
        <v>17876</v>
      </c>
      <c r="Q43" s="1669">
        <v>18852</v>
      </c>
      <c r="R43" s="1669">
        <v>18824</v>
      </c>
      <c r="S43" s="1669">
        <v>18619</v>
      </c>
      <c r="T43" s="1669">
        <v>17874</v>
      </c>
      <c r="U43" s="1669">
        <v>16437</v>
      </c>
      <c r="V43" s="1669">
        <v>14275</v>
      </c>
      <c r="W43" s="1669">
        <v>0</v>
      </c>
      <c r="X43" s="1669">
        <v>0</v>
      </c>
      <c r="Y43" s="1669">
        <v>0</v>
      </c>
      <c r="Z43" s="1669">
        <v>0</v>
      </c>
      <c r="AA43" s="1669">
        <v>0</v>
      </c>
      <c r="AB43" s="1669">
        <v>0</v>
      </c>
      <c r="AC43" s="1670"/>
    </row>
    <row r="44" spans="1:29" ht="13.5" customHeight="1">
      <c r="A44" s="1369"/>
      <c r="B44" s="1368"/>
      <c r="C44" s="1627"/>
      <c r="D44" s="1366"/>
      <c r="E44" s="1364"/>
      <c r="F44" s="1361"/>
      <c r="G44" s="1361"/>
      <c r="H44" s="1361"/>
      <c r="I44" s="1361"/>
      <c r="J44" s="1361"/>
      <c r="K44" s="1361"/>
      <c r="L44" s="1361"/>
      <c r="M44" s="1361"/>
      <c r="N44" s="1361"/>
      <c r="O44" s="1361"/>
      <c r="P44" s="1361"/>
      <c r="Q44" s="1361"/>
      <c r="R44" s="1361"/>
      <c r="S44" s="1361"/>
      <c r="T44" s="1361"/>
      <c r="U44" s="1361"/>
      <c r="V44" s="1361"/>
      <c r="W44" s="1361"/>
      <c r="X44" s="1361"/>
      <c r="Y44" s="1361"/>
      <c r="Z44" s="1361"/>
      <c r="AA44" s="1361"/>
      <c r="AB44" s="1604"/>
      <c r="AC44" s="1603"/>
    </row>
    <row r="45" spans="1:29" ht="13.5" customHeight="1">
      <c r="A45" s="1369"/>
      <c r="B45" s="1368"/>
      <c r="C45" s="1605"/>
      <c r="D45" s="1366"/>
      <c r="E45" s="1364"/>
      <c r="F45" s="1361"/>
      <c r="G45" s="1361"/>
      <c r="H45" s="1361"/>
      <c r="I45" s="1361"/>
      <c r="J45" s="1361"/>
      <c r="K45" s="1361"/>
      <c r="L45" s="1361"/>
      <c r="M45" s="1361"/>
      <c r="N45" s="1361"/>
      <c r="O45" s="1361"/>
      <c r="P45" s="1361"/>
      <c r="Q45" s="1361"/>
      <c r="R45" s="1361"/>
      <c r="S45" s="1361"/>
      <c r="T45" s="1361"/>
      <c r="U45" s="1361"/>
      <c r="V45" s="1361"/>
      <c r="W45" s="1361"/>
      <c r="X45" s="1361"/>
      <c r="Y45" s="1361"/>
      <c r="Z45" s="1361"/>
      <c r="AA45" s="1361"/>
      <c r="AB45" s="1604"/>
      <c r="AC45" s="1603"/>
    </row>
    <row r="46" spans="1:29" ht="13.5" customHeight="1">
      <c r="A46" s="1369"/>
      <c r="B46" s="1368"/>
      <c r="C46" s="1605"/>
      <c r="D46" s="1366"/>
      <c r="E46" s="1364"/>
      <c r="F46" s="1361"/>
      <c r="G46" s="1361"/>
      <c r="H46" s="1361"/>
      <c r="I46" s="1361"/>
      <c r="J46" s="1361"/>
      <c r="K46" s="1361"/>
      <c r="L46" s="1361"/>
      <c r="M46" s="1361"/>
      <c r="N46" s="1361"/>
      <c r="O46" s="1361"/>
      <c r="P46" s="1361"/>
      <c r="Q46" s="1361"/>
      <c r="R46" s="1361"/>
      <c r="S46" s="1361"/>
      <c r="T46" s="1361"/>
      <c r="U46" s="1361"/>
      <c r="V46" s="1361"/>
      <c r="W46" s="1361"/>
      <c r="X46" s="1361"/>
      <c r="Y46" s="1361"/>
      <c r="Z46" s="1361"/>
      <c r="AA46" s="1361"/>
      <c r="AB46" s="1604"/>
      <c r="AC46" s="1603"/>
    </row>
    <row r="47" spans="1:29" ht="13.5" customHeight="1">
      <c r="A47" s="1369"/>
      <c r="B47" s="1368"/>
      <c r="C47" s="1605"/>
      <c r="D47" s="1366"/>
      <c r="E47" s="1364"/>
      <c r="F47" s="1361"/>
      <c r="G47" s="1361"/>
      <c r="H47" s="1361"/>
      <c r="I47" s="1361"/>
      <c r="J47" s="1361"/>
      <c r="K47" s="1361"/>
      <c r="L47" s="1361"/>
      <c r="M47" s="1361"/>
      <c r="N47" s="1361"/>
      <c r="O47" s="1361"/>
      <c r="P47" s="1361"/>
      <c r="Q47" s="1361"/>
      <c r="R47" s="1361"/>
      <c r="S47" s="1361"/>
      <c r="T47" s="1361"/>
      <c r="U47" s="1361"/>
      <c r="V47" s="1361"/>
      <c r="W47" s="1361"/>
      <c r="X47" s="1361"/>
      <c r="Y47" s="1361"/>
      <c r="Z47" s="1361"/>
      <c r="AA47" s="1361"/>
      <c r="AB47" s="1604"/>
      <c r="AC47" s="1603"/>
    </row>
    <row r="48" spans="1:29" ht="13.5" customHeight="1">
      <c r="A48" s="1369"/>
      <c r="B48" s="1368"/>
      <c r="C48" s="1605"/>
      <c r="D48" s="1366"/>
      <c r="E48" s="1364"/>
      <c r="F48" s="1361"/>
      <c r="G48" s="1361"/>
      <c r="H48" s="1361"/>
      <c r="I48" s="1361"/>
      <c r="J48" s="1361"/>
      <c r="K48" s="1361"/>
      <c r="L48" s="1361"/>
      <c r="M48" s="1361"/>
      <c r="N48" s="1361"/>
      <c r="O48" s="1361"/>
      <c r="P48" s="1361"/>
      <c r="Q48" s="1361"/>
      <c r="R48" s="1361"/>
      <c r="S48" s="1361"/>
      <c r="T48" s="1361"/>
      <c r="U48" s="1361"/>
      <c r="V48" s="1361"/>
      <c r="W48" s="1361"/>
      <c r="X48" s="1361"/>
      <c r="Y48" s="1361"/>
      <c r="Z48" s="1361"/>
      <c r="AA48" s="1361"/>
      <c r="AB48" s="1604"/>
      <c r="AC48" s="1603"/>
    </row>
    <row r="49" spans="1:29" ht="13.5" customHeight="1">
      <c r="A49" s="1369"/>
      <c r="B49" s="1368"/>
      <c r="C49" s="1605"/>
      <c r="D49" s="1366"/>
      <c r="E49" s="1364"/>
      <c r="F49" s="1361"/>
      <c r="G49" s="1361"/>
      <c r="H49" s="1361"/>
      <c r="I49" s="1361"/>
      <c r="J49" s="1361"/>
      <c r="K49" s="1361"/>
      <c r="L49" s="1361"/>
      <c r="M49" s="1361"/>
      <c r="N49" s="1361"/>
      <c r="O49" s="1361"/>
      <c r="P49" s="1361"/>
      <c r="Q49" s="1361"/>
      <c r="R49" s="1361"/>
      <c r="S49" s="1361"/>
      <c r="T49" s="1361"/>
      <c r="U49" s="1361"/>
      <c r="V49" s="1361"/>
      <c r="W49" s="1361"/>
      <c r="X49" s="1361"/>
      <c r="Y49" s="1361"/>
      <c r="Z49" s="1361"/>
      <c r="AA49" s="1361"/>
      <c r="AB49" s="1604"/>
      <c r="AC49" s="1603"/>
    </row>
    <row r="50" spans="1:29" ht="13.5" customHeight="1">
      <c r="A50" s="1369"/>
      <c r="B50" s="1368"/>
      <c r="C50" s="1605"/>
      <c r="D50" s="1366"/>
      <c r="E50" s="1364"/>
      <c r="F50" s="1361"/>
      <c r="G50" s="1361"/>
      <c r="H50" s="1361"/>
      <c r="I50" s="1361"/>
      <c r="J50" s="1361"/>
      <c r="K50" s="1361"/>
      <c r="L50" s="1361"/>
      <c r="M50" s="1361"/>
      <c r="N50" s="1361"/>
      <c r="O50" s="1361"/>
      <c r="P50" s="1361"/>
      <c r="Q50" s="1361"/>
      <c r="R50" s="1361"/>
      <c r="S50" s="1361"/>
      <c r="T50" s="1361"/>
      <c r="U50" s="1361"/>
      <c r="V50" s="1361"/>
      <c r="W50" s="1361"/>
      <c r="X50" s="1361"/>
      <c r="Y50" s="1361"/>
      <c r="Z50" s="1361"/>
      <c r="AA50" s="1361"/>
      <c r="AB50" s="1604"/>
      <c r="AC50" s="1603"/>
    </row>
    <row r="51" spans="1:29" ht="13.5" customHeight="1">
      <c r="A51" s="1369"/>
      <c r="B51" s="1368"/>
      <c r="C51" s="1605"/>
      <c r="D51" s="1366"/>
      <c r="E51" s="1364"/>
      <c r="F51" s="1361"/>
      <c r="G51" s="1361"/>
      <c r="H51" s="1361"/>
      <c r="I51" s="1361"/>
      <c r="J51" s="1361"/>
      <c r="K51" s="1361"/>
      <c r="L51" s="1361"/>
      <c r="M51" s="1361"/>
      <c r="N51" s="1361"/>
      <c r="O51" s="1361"/>
      <c r="P51" s="1361"/>
      <c r="Q51" s="1361"/>
      <c r="R51" s="1361"/>
      <c r="S51" s="1361"/>
      <c r="T51" s="1361"/>
      <c r="U51" s="1361"/>
      <c r="V51" s="1361"/>
      <c r="W51" s="1361"/>
      <c r="X51" s="1361"/>
      <c r="Y51" s="1361"/>
      <c r="Z51" s="1361"/>
      <c r="AA51" s="1361"/>
      <c r="AB51" s="1604"/>
      <c r="AC51" s="1603"/>
    </row>
    <row r="52" spans="1:29" ht="13.5" customHeight="1">
      <c r="A52" s="1369"/>
      <c r="B52" s="1368"/>
      <c r="C52" s="1605"/>
      <c r="D52" s="1366"/>
      <c r="E52" s="1364"/>
      <c r="F52" s="1361"/>
      <c r="G52" s="1361"/>
      <c r="H52" s="1361"/>
      <c r="I52" s="1361"/>
      <c r="J52" s="1361"/>
      <c r="K52" s="1361"/>
      <c r="L52" s="1361"/>
      <c r="M52" s="1361"/>
      <c r="N52" s="1361"/>
      <c r="O52" s="1361"/>
      <c r="P52" s="1361"/>
      <c r="Q52" s="1361"/>
      <c r="R52" s="1361"/>
      <c r="S52" s="1361"/>
      <c r="T52" s="1361"/>
      <c r="U52" s="1361"/>
      <c r="V52" s="1361"/>
      <c r="W52" s="1361"/>
      <c r="X52" s="1361"/>
      <c r="Y52" s="1361"/>
      <c r="Z52" s="1361"/>
      <c r="AA52" s="1361"/>
      <c r="AB52" s="1604"/>
      <c r="AC52" s="1603"/>
    </row>
    <row r="53" spans="1:29" ht="13.5" customHeight="1">
      <c r="A53" s="1369"/>
      <c r="B53" s="1368"/>
      <c r="C53" s="1605"/>
      <c r="D53" s="1366"/>
      <c r="E53" s="1364"/>
      <c r="F53" s="1361"/>
      <c r="G53" s="1361"/>
      <c r="H53" s="1361"/>
      <c r="I53" s="1361"/>
      <c r="J53" s="1361"/>
      <c r="K53" s="1361"/>
      <c r="L53" s="1361"/>
      <c r="M53" s="1361"/>
      <c r="N53" s="1361"/>
      <c r="O53" s="1361"/>
      <c r="P53" s="1361"/>
      <c r="Q53" s="1361"/>
      <c r="R53" s="1361"/>
      <c r="S53" s="1361"/>
      <c r="T53" s="1361"/>
      <c r="U53" s="1361"/>
      <c r="V53" s="1361"/>
      <c r="W53" s="1361"/>
      <c r="X53" s="1361"/>
      <c r="Y53" s="1361"/>
      <c r="Z53" s="1361"/>
      <c r="AA53" s="1361"/>
      <c r="AB53" s="1604"/>
      <c r="AC53" s="1603"/>
    </row>
    <row r="54" spans="1:29" ht="13.5" customHeight="1">
      <c r="A54" s="1369"/>
      <c r="B54" s="1368"/>
      <c r="C54" s="1605"/>
      <c r="D54" s="1366"/>
      <c r="E54" s="1364"/>
      <c r="F54" s="1361"/>
      <c r="G54" s="1361"/>
      <c r="H54" s="1361"/>
      <c r="I54" s="1361"/>
      <c r="J54" s="1361"/>
      <c r="K54" s="1361"/>
      <c r="L54" s="1361"/>
      <c r="M54" s="1361"/>
      <c r="N54" s="1361"/>
      <c r="O54" s="1361"/>
      <c r="P54" s="1361"/>
      <c r="Q54" s="1361"/>
      <c r="R54" s="1361"/>
      <c r="S54" s="1361"/>
      <c r="T54" s="1361"/>
      <c r="U54" s="1361"/>
      <c r="V54" s="1361"/>
      <c r="W54" s="1361"/>
      <c r="X54" s="1361"/>
      <c r="Y54" s="1361"/>
      <c r="Z54" s="1361"/>
      <c r="AA54" s="1361"/>
      <c r="AB54" s="1604"/>
      <c r="AC54" s="1603"/>
    </row>
    <row r="55" spans="1:29" ht="13.5" customHeight="1" thickBot="1">
      <c r="A55" s="1434"/>
      <c r="B55" s="1435"/>
      <c r="C55" s="1629"/>
      <c r="D55" s="1437"/>
      <c r="E55" s="1439"/>
      <c r="F55" s="1440"/>
      <c r="G55" s="1440"/>
      <c r="H55" s="1440"/>
      <c r="I55" s="1440"/>
      <c r="J55" s="1440"/>
      <c r="K55" s="1440"/>
      <c r="L55" s="1440"/>
      <c r="M55" s="1440"/>
      <c r="N55" s="1440"/>
      <c r="O55" s="1440"/>
      <c r="P55" s="1440"/>
      <c r="Q55" s="1440"/>
      <c r="R55" s="1440"/>
      <c r="S55" s="1440"/>
      <c r="T55" s="1440"/>
      <c r="U55" s="1440"/>
      <c r="V55" s="1440"/>
      <c r="W55" s="1440"/>
      <c r="X55" s="1440"/>
      <c r="Y55" s="1440"/>
      <c r="Z55" s="1440"/>
      <c r="AA55" s="1440"/>
      <c r="AB55" s="1630"/>
      <c r="AC55" s="1631"/>
    </row>
    <row r="56" spans="1:29" ht="18.95" customHeight="1" thickTop="1" thickBot="1">
      <c r="A56" s="1673" t="s">
        <v>1253</v>
      </c>
      <c r="B56" s="1674"/>
      <c r="C56" s="1675"/>
      <c r="D56" s="1676">
        <v>223.15999999999997</v>
      </c>
      <c r="E56" s="1677">
        <v>0</v>
      </c>
      <c r="F56" s="1678">
        <v>0</v>
      </c>
      <c r="G56" s="1678">
        <v>0</v>
      </c>
      <c r="H56" s="1678">
        <v>0</v>
      </c>
      <c r="I56" s="1678">
        <v>0</v>
      </c>
      <c r="J56" s="1678">
        <v>0</v>
      </c>
      <c r="K56" s="1678">
        <v>0</v>
      </c>
      <c r="L56" s="1678">
        <v>0</v>
      </c>
      <c r="M56" s="1678">
        <v>22548</v>
      </c>
      <c r="N56" s="1678">
        <v>21866</v>
      </c>
      <c r="O56" s="1678">
        <v>22608</v>
      </c>
      <c r="P56" s="1678">
        <v>22781</v>
      </c>
      <c r="Q56" s="1678">
        <v>23807</v>
      </c>
      <c r="R56" s="1679">
        <v>23810</v>
      </c>
      <c r="S56" s="1678">
        <v>23468</v>
      </c>
      <c r="T56" s="1678">
        <v>22731</v>
      </c>
      <c r="U56" s="1678">
        <v>21704</v>
      </c>
      <c r="V56" s="1678">
        <v>19866</v>
      </c>
      <c r="W56" s="1678">
        <v>0</v>
      </c>
      <c r="X56" s="1678">
        <v>0</v>
      </c>
      <c r="Y56" s="1678">
        <v>0</v>
      </c>
      <c r="Z56" s="1678">
        <v>0</v>
      </c>
      <c r="AA56" s="1678">
        <v>0</v>
      </c>
      <c r="AB56" s="1678">
        <v>0</v>
      </c>
      <c r="AC56" s="1680"/>
    </row>
    <row r="57" spans="1:29" ht="13.5" customHeight="1" thickTop="1">
      <c r="A57" s="1681" t="s">
        <v>1247</v>
      </c>
      <c r="B57" s="1674"/>
      <c r="C57" s="1675"/>
      <c r="D57" s="1682">
        <v>223.15999999999997</v>
      </c>
      <c r="E57" s="1683">
        <v>0</v>
      </c>
      <c r="F57" s="1684">
        <v>0</v>
      </c>
      <c r="G57" s="1684">
        <v>0</v>
      </c>
      <c r="H57" s="1684">
        <v>0</v>
      </c>
      <c r="I57" s="1684">
        <v>0</v>
      </c>
      <c r="J57" s="1684">
        <v>0</v>
      </c>
      <c r="K57" s="1684">
        <v>0</v>
      </c>
      <c r="L57" s="1684">
        <v>0</v>
      </c>
      <c r="M57" s="1684">
        <v>23</v>
      </c>
      <c r="N57" s="1684">
        <v>22</v>
      </c>
      <c r="O57" s="1684">
        <v>23</v>
      </c>
      <c r="P57" s="1684">
        <v>23</v>
      </c>
      <c r="Q57" s="1684">
        <v>24</v>
      </c>
      <c r="R57" s="1685">
        <v>24</v>
      </c>
      <c r="S57" s="1684">
        <v>24</v>
      </c>
      <c r="T57" s="1684">
        <v>23</v>
      </c>
      <c r="U57" s="1684">
        <v>22</v>
      </c>
      <c r="V57" s="1684">
        <v>20</v>
      </c>
      <c r="W57" s="1684">
        <v>0</v>
      </c>
      <c r="X57" s="1684">
        <v>0</v>
      </c>
      <c r="Y57" s="1684">
        <v>0</v>
      </c>
      <c r="Z57" s="1684">
        <v>0</v>
      </c>
      <c r="AA57" s="1684">
        <v>0</v>
      </c>
      <c r="AB57" s="1684">
        <v>0</v>
      </c>
      <c r="AC57" s="1686"/>
    </row>
    <row r="58" spans="1:29" ht="13.5" customHeight="1">
      <c r="A58" s="1687" t="s">
        <v>1248</v>
      </c>
      <c r="B58" s="1628"/>
      <c r="C58" s="1688"/>
      <c r="D58" s="1689">
        <v>223.15999999999997</v>
      </c>
      <c r="E58" s="1690">
        <v>0</v>
      </c>
      <c r="F58" s="1691">
        <v>0</v>
      </c>
      <c r="G58" s="1691">
        <v>0</v>
      </c>
      <c r="H58" s="1691">
        <v>0</v>
      </c>
      <c r="I58" s="1691">
        <v>0</v>
      </c>
      <c r="J58" s="1691">
        <v>0</v>
      </c>
      <c r="K58" s="1691">
        <v>0</v>
      </c>
      <c r="L58" s="1691">
        <v>0</v>
      </c>
      <c r="M58" s="1691">
        <v>101</v>
      </c>
      <c r="N58" s="1691">
        <v>98</v>
      </c>
      <c r="O58" s="1691">
        <v>101</v>
      </c>
      <c r="P58" s="1691">
        <v>102</v>
      </c>
      <c r="Q58" s="1691">
        <v>107</v>
      </c>
      <c r="R58" s="1693">
        <v>107</v>
      </c>
      <c r="S58" s="1691">
        <v>105</v>
      </c>
      <c r="T58" s="1691">
        <v>102</v>
      </c>
      <c r="U58" s="1691">
        <v>97</v>
      </c>
      <c r="V58" s="1691">
        <v>89</v>
      </c>
      <c r="W58" s="1691">
        <v>0</v>
      </c>
      <c r="X58" s="1691">
        <v>0</v>
      </c>
      <c r="Y58" s="1691">
        <v>0</v>
      </c>
      <c r="Z58" s="1691">
        <v>0</v>
      </c>
      <c r="AA58" s="1691">
        <v>0</v>
      </c>
      <c r="AB58" s="1691">
        <v>0</v>
      </c>
      <c r="AC58" s="1692"/>
    </row>
    <row r="65" spans="3:26" s="1351" customFormat="1" ht="13.5" customHeight="1">
      <c r="C65" s="1464"/>
      <c r="D65" s="1464"/>
      <c r="E65" s="1464"/>
      <c r="G65" s="1352"/>
      <c r="K65" s="1352"/>
      <c r="N65" s="1352"/>
      <c r="Q65" s="1352"/>
      <c r="S65" s="1352"/>
      <c r="T65" s="1352"/>
      <c r="W65" s="1352"/>
      <c r="Z65" s="1352"/>
    </row>
    <row r="66" spans="3:26" s="1351" customFormat="1" ht="13.5" customHeight="1">
      <c r="C66" s="1464"/>
      <c r="D66" s="1464"/>
      <c r="E66" s="1464"/>
      <c r="F66" s="1356"/>
      <c r="G66" s="1352"/>
      <c r="J66" s="1356"/>
      <c r="K66" s="1352"/>
      <c r="N66" s="1352"/>
      <c r="P66" s="1356"/>
      <c r="Q66" s="1352"/>
      <c r="S66" s="1352"/>
      <c r="T66" s="1352"/>
      <c r="V66" s="1356"/>
      <c r="W66" s="1352"/>
      <c r="Z66" s="1352"/>
    </row>
    <row r="67" spans="3:26" s="1351" customFormat="1" ht="13.5" customHeight="1">
      <c r="C67" s="1464"/>
      <c r="D67" s="1464"/>
      <c r="E67" s="1464"/>
      <c r="F67" s="1354"/>
      <c r="G67" s="1352"/>
      <c r="J67" s="1354"/>
      <c r="K67" s="1352"/>
      <c r="N67" s="1352"/>
      <c r="P67" s="1354"/>
      <c r="Q67" s="1352"/>
      <c r="S67" s="1352"/>
      <c r="T67" s="1352"/>
      <c r="V67" s="1354"/>
      <c r="W67" s="1352"/>
      <c r="Z67" s="1352"/>
    </row>
    <row r="68" spans="3:26" s="1351" customFormat="1" ht="13.5" customHeight="1">
      <c r="C68" s="1353"/>
      <c r="D68" s="1353"/>
      <c r="E68" s="1353"/>
      <c r="F68" s="1352"/>
      <c r="J68" s="1352"/>
      <c r="P68" s="1352"/>
      <c r="V68" s="1352"/>
    </row>
  </sheetData>
  <mergeCells count="21">
    <mergeCell ref="A58:C58"/>
    <mergeCell ref="A41:C41"/>
    <mergeCell ref="A17:C17"/>
    <mergeCell ref="A30:C30"/>
    <mergeCell ref="A43:C43"/>
    <mergeCell ref="A56:C56"/>
    <mergeCell ref="A57:C57"/>
    <mergeCell ref="A6:AC6"/>
    <mergeCell ref="A19:AC19"/>
    <mergeCell ref="A32:AC32"/>
    <mergeCell ref="A7:C7"/>
    <mergeCell ref="A20:C20"/>
    <mergeCell ref="A33:C33"/>
    <mergeCell ref="A15:C15"/>
    <mergeCell ref="A28:C28"/>
    <mergeCell ref="A4:A5"/>
    <mergeCell ref="B4:B5"/>
    <mergeCell ref="C4:C5"/>
    <mergeCell ref="D4:D5"/>
    <mergeCell ref="E4:AB4"/>
    <mergeCell ref="AC4:AC5"/>
  </mergeCells>
  <phoneticPr fontId="4"/>
  <pageMargins left="0.39370078740157483" right="0.39370078740157483" top="0.78740157480314965" bottom="0.55118110236220474" header="0.59055118110236227" footer="0.31496062992125984"/>
  <pageSetup paperSize="9" scale="54" fitToHeight="0" orientation="landscape" horizontalDpi="1200" verticalDpi="1200" r:id="rId1"/>
  <headerFooter scaleWithDoc="0" alignWithMargins="0">
    <oddFooter>&amp;C&amp;"ＭＳ Ｐゴシック,標準"&amp;9( &amp;P / &amp;N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C68"/>
  <sheetViews>
    <sheetView showGridLines="0" zoomScale="80" zoomScaleNormal="80" workbookViewId="0">
      <pane xSplit="4" ySplit="5" topLeftCell="E6" activePane="bottomRight" state="frozenSplit"/>
      <selection pane="topRight" activeCell="P1" sqref="P1"/>
      <selection pane="bottomLeft" activeCell="A17" sqref="A17"/>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28" width="7.7109375" style="1351" customWidth="1"/>
    <col min="29" max="29" width="14.7109375" style="1351" customWidth="1"/>
    <col min="30" max="16384" width="9.140625" style="1458"/>
  </cols>
  <sheetData>
    <row r="1" spans="1:29" s="1615" customFormat="1" ht="30" customHeight="1">
      <c r="A1" s="1623" t="s">
        <v>1255</v>
      </c>
      <c r="B1" s="1622"/>
      <c r="C1" s="1621"/>
      <c r="D1" s="1620"/>
      <c r="E1" s="1619"/>
      <c r="F1" s="1619"/>
      <c r="G1" s="1619"/>
      <c r="H1" s="1618"/>
      <c r="I1" s="1618"/>
      <c r="J1" s="1619"/>
      <c r="K1" s="1619"/>
      <c r="L1" s="1618"/>
      <c r="M1" s="1618"/>
      <c r="N1" s="1619"/>
      <c r="O1" s="1618"/>
      <c r="P1" s="1619"/>
      <c r="Q1" s="1619"/>
      <c r="R1" s="1618"/>
      <c r="S1" s="1619"/>
      <c r="T1" s="1619"/>
      <c r="U1" s="1618"/>
      <c r="V1" s="1619"/>
      <c r="W1" s="1619"/>
      <c r="X1" s="1618"/>
      <c r="Y1" s="1618"/>
      <c r="Z1" s="1619"/>
      <c r="AA1" s="1618"/>
      <c r="AB1" s="1617"/>
      <c r="AC1" s="1616"/>
    </row>
    <row r="4" spans="1:29" ht="13.5" customHeight="1">
      <c r="A4" s="1415" t="s">
        <v>394</v>
      </c>
      <c r="B4" s="1414" t="s">
        <v>370</v>
      </c>
      <c r="C4" s="1614" t="s">
        <v>1254</v>
      </c>
      <c r="D4" s="1613" t="s">
        <v>1249</v>
      </c>
      <c r="E4" s="1612" t="s">
        <v>1236</v>
      </c>
      <c r="F4" s="1611"/>
      <c r="G4" s="1611"/>
      <c r="H4" s="1611"/>
      <c r="I4" s="1611"/>
      <c r="J4" s="1611"/>
      <c r="K4" s="1611"/>
      <c r="L4" s="1611"/>
      <c r="M4" s="1611"/>
      <c r="N4" s="1611"/>
      <c r="O4" s="1611"/>
      <c r="P4" s="1611"/>
      <c r="Q4" s="1611"/>
      <c r="R4" s="1611"/>
      <c r="S4" s="1611"/>
      <c r="T4" s="1611"/>
      <c r="U4" s="1611"/>
      <c r="V4" s="1611"/>
      <c r="W4" s="1611"/>
      <c r="X4" s="1611"/>
      <c r="Y4" s="1611"/>
      <c r="Z4" s="1611"/>
      <c r="AA4" s="1611"/>
      <c r="AB4" s="1610"/>
      <c r="AC4" s="1609" t="s">
        <v>1235</v>
      </c>
    </row>
    <row r="5" spans="1:29" ht="13.5" customHeight="1">
      <c r="A5" s="1396"/>
      <c r="B5" s="1395"/>
      <c r="C5" s="1624"/>
      <c r="D5" s="1625"/>
      <c r="E5" s="1608">
        <v>1</v>
      </c>
      <c r="F5" s="1607">
        <v>2</v>
      </c>
      <c r="G5" s="1607">
        <v>3</v>
      </c>
      <c r="H5" s="1607">
        <v>4</v>
      </c>
      <c r="I5" s="1607">
        <v>5</v>
      </c>
      <c r="J5" s="1607">
        <v>6</v>
      </c>
      <c r="K5" s="1607">
        <v>7</v>
      </c>
      <c r="L5" s="1607">
        <v>8</v>
      </c>
      <c r="M5" s="1607">
        <v>9</v>
      </c>
      <c r="N5" s="1607">
        <v>10</v>
      </c>
      <c r="O5" s="1607">
        <v>11</v>
      </c>
      <c r="P5" s="1607">
        <v>12</v>
      </c>
      <c r="Q5" s="1607">
        <v>13</v>
      </c>
      <c r="R5" s="1607">
        <v>14</v>
      </c>
      <c r="S5" s="1607">
        <v>15</v>
      </c>
      <c r="T5" s="1607">
        <v>16</v>
      </c>
      <c r="U5" s="1607">
        <v>17</v>
      </c>
      <c r="V5" s="1607">
        <v>18</v>
      </c>
      <c r="W5" s="1607">
        <v>19</v>
      </c>
      <c r="X5" s="1607">
        <v>20</v>
      </c>
      <c r="Y5" s="1607">
        <v>21</v>
      </c>
      <c r="Z5" s="1607">
        <v>22</v>
      </c>
      <c r="AA5" s="1607">
        <v>23</v>
      </c>
      <c r="AB5" s="1606">
        <v>24</v>
      </c>
      <c r="AC5" s="1626"/>
    </row>
    <row r="6" spans="1:29" ht="13.5" customHeight="1">
      <c r="A6" s="1632" t="s">
        <v>420</v>
      </c>
      <c r="B6" s="1633"/>
      <c r="C6" s="1633"/>
      <c r="D6" s="1633"/>
      <c r="E6" s="1633"/>
      <c r="F6" s="1633"/>
      <c r="G6" s="1633"/>
      <c r="H6" s="1633"/>
      <c r="I6" s="1633"/>
      <c r="J6" s="1633"/>
      <c r="K6" s="1633"/>
      <c r="L6" s="1633"/>
      <c r="M6" s="1633"/>
      <c r="N6" s="1633"/>
      <c r="O6" s="1633"/>
      <c r="P6" s="1633"/>
      <c r="Q6" s="1633"/>
      <c r="R6" s="1633"/>
      <c r="S6" s="1633"/>
      <c r="T6" s="1633"/>
      <c r="U6" s="1633"/>
      <c r="V6" s="1633"/>
      <c r="W6" s="1633"/>
      <c r="X6" s="1633"/>
      <c r="Y6" s="1633"/>
      <c r="Z6" s="1633"/>
      <c r="AA6" s="1633"/>
      <c r="AB6" s="1633"/>
      <c r="AC6" s="1634"/>
    </row>
    <row r="7" spans="1:29" ht="13.5" customHeight="1">
      <c r="A7" s="1641" t="s">
        <v>1256</v>
      </c>
      <c r="B7" s="1642"/>
      <c r="C7" s="1643"/>
      <c r="D7" s="1636"/>
      <c r="E7" s="1637"/>
      <c r="F7" s="1638"/>
      <c r="G7" s="1638"/>
      <c r="H7" s="1638"/>
      <c r="I7" s="1638"/>
      <c r="J7" s="1638"/>
      <c r="K7" s="1638"/>
      <c r="L7" s="1638"/>
      <c r="M7" s="1638"/>
      <c r="N7" s="1638"/>
      <c r="O7" s="1638"/>
      <c r="P7" s="1638"/>
      <c r="Q7" s="1638"/>
      <c r="R7" s="1638"/>
      <c r="S7" s="1638"/>
      <c r="T7" s="1638"/>
      <c r="U7" s="1638"/>
      <c r="V7" s="1638"/>
      <c r="W7" s="1638"/>
      <c r="X7" s="1638"/>
      <c r="Y7" s="1638"/>
      <c r="Z7" s="1638"/>
      <c r="AA7" s="1638"/>
      <c r="AB7" s="1639"/>
      <c r="AC7" s="1640"/>
    </row>
    <row r="8" spans="1:29" ht="13.5" customHeight="1">
      <c r="A8" s="1434">
        <v>2</v>
      </c>
      <c r="B8" s="1435">
        <v>209</v>
      </c>
      <c r="C8" s="1654" t="s">
        <v>949</v>
      </c>
      <c r="D8" s="1437">
        <v>71.19</v>
      </c>
      <c r="E8" s="1439">
        <v>0</v>
      </c>
      <c r="F8" s="1440">
        <v>0</v>
      </c>
      <c r="G8" s="1440">
        <v>0</v>
      </c>
      <c r="H8" s="1440">
        <v>0</v>
      </c>
      <c r="I8" s="1440">
        <v>0</v>
      </c>
      <c r="J8" s="1440">
        <v>0</v>
      </c>
      <c r="K8" s="1440">
        <v>0</v>
      </c>
      <c r="L8" s="1440">
        <v>0</v>
      </c>
      <c r="M8" s="1440">
        <v>10166</v>
      </c>
      <c r="N8" s="1440">
        <v>9846</v>
      </c>
      <c r="O8" s="1440">
        <v>8554</v>
      </c>
      <c r="P8" s="1440">
        <v>10735</v>
      </c>
      <c r="Q8" s="1440">
        <v>9363</v>
      </c>
      <c r="R8" s="1440">
        <v>11339</v>
      </c>
      <c r="S8" s="1440">
        <v>11320</v>
      </c>
      <c r="T8" s="1440">
        <v>10896</v>
      </c>
      <c r="U8" s="1440">
        <v>10097</v>
      </c>
      <c r="V8" s="1440">
        <v>8982</v>
      </c>
      <c r="W8" s="1440">
        <v>0</v>
      </c>
      <c r="X8" s="1440">
        <v>0</v>
      </c>
      <c r="Y8" s="1440">
        <v>0</v>
      </c>
      <c r="Z8" s="1440">
        <v>0</v>
      </c>
      <c r="AA8" s="1440">
        <v>0</v>
      </c>
      <c r="AB8" s="1630">
        <v>0</v>
      </c>
      <c r="AC8" s="1631"/>
    </row>
    <row r="9" spans="1:29" ht="13.5" customHeight="1" thickBot="1">
      <c r="A9" s="1694"/>
      <c r="B9" s="1695"/>
      <c r="C9" s="1696" t="s">
        <v>1257</v>
      </c>
      <c r="D9" s="1697"/>
      <c r="E9" s="1698">
        <v>0</v>
      </c>
      <c r="F9" s="1699">
        <v>0</v>
      </c>
      <c r="G9" s="1699">
        <v>0</v>
      </c>
      <c r="H9" s="1699">
        <v>0</v>
      </c>
      <c r="I9" s="1699">
        <v>0</v>
      </c>
      <c r="J9" s="1699">
        <v>0</v>
      </c>
      <c r="K9" s="1699">
        <v>0</v>
      </c>
      <c r="L9" s="1699">
        <v>0</v>
      </c>
      <c r="M9" s="1699">
        <v>76</v>
      </c>
      <c r="N9" s="1699">
        <v>76</v>
      </c>
      <c r="O9" s="1699">
        <v>76</v>
      </c>
      <c r="P9" s="1699">
        <v>76</v>
      </c>
      <c r="Q9" s="1699">
        <v>76</v>
      </c>
      <c r="R9" s="1699">
        <v>76</v>
      </c>
      <c r="S9" s="1699">
        <v>76</v>
      </c>
      <c r="T9" s="1699">
        <v>76</v>
      </c>
      <c r="U9" s="1699">
        <v>76</v>
      </c>
      <c r="V9" s="1699">
        <v>76</v>
      </c>
      <c r="W9" s="1699">
        <v>0</v>
      </c>
      <c r="X9" s="1699">
        <v>0</v>
      </c>
      <c r="Y9" s="1699">
        <v>0</v>
      </c>
      <c r="Z9" s="1699">
        <v>0</v>
      </c>
      <c r="AA9" s="1699">
        <v>0</v>
      </c>
      <c r="AB9" s="1699">
        <v>0</v>
      </c>
      <c r="AC9" s="1700"/>
    </row>
    <row r="10" spans="1:29" ht="13.5" customHeight="1" thickTop="1">
      <c r="A10" s="1651" t="s">
        <v>1258</v>
      </c>
      <c r="B10" s="1652"/>
      <c r="C10" s="1653"/>
      <c r="D10" s="1647">
        <v>71.19</v>
      </c>
      <c r="E10" s="1648">
        <v>0</v>
      </c>
      <c r="F10" s="1649">
        <v>0</v>
      </c>
      <c r="G10" s="1649">
        <v>0</v>
      </c>
      <c r="H10" s="1649">
        <v>0</v>
      </c>
      <c r="I10" s="1649">
        <v>0</v>
      </c>
      <c r="J10" s="1649">
        <v>0</v>
      </c>
      <c r="K10" s="1649">
        <v>0</v>
      </c>
      <c r="L10" s="1649">
        <v>0</v>
      </c>
      <c r="M10" s="1649">
        <v>10242</v>
      </c>
      <c r="N10" s="1649">
        <v>9922</v>
      </c>
      <c r="O10" s="1649">
        <v>8630</v>
      </c>
      <c r="P10" s="1649">
        <v>10811</v>
      </c>
      <c r="Q10" s="1649">
        <v>9439</v>
      </c>
      <c r="R10" s="1649">
        <v>11415</v>
      </c>
      <c r="S10" s="1649">
        <v>11396</v>
      </c>
      <c r="T10" s="1649">
        <v>10972</v>
      </c>
      <c r="U10" s="1649">
        <v>10173</v>
      </c>
      <c r="V10" s="1649">
        <v>9058</v>
      </c>
      <c r="W10" s="1649">
        <v>0</v>
      </c>
      <c r="X10" s="1649">
        <v>0</v>
      </c>
      <c r="Y10" s="1649">
        <v>0</v>
      </c>
      <c r="Z10" s="1649">
        <v>0</v>
      </c>
      <c r="AA10" s="1649">
        <v>0</v>
      </c>
      <c r="AB10" s="1649">
        <v>0</v>
      </c>
      <c r="AC10" s="1650"/>
    </row>
    <row r="11" spans="1:29" ht="13.5" customHeight="1" thickBot="1">
      <c r="A11" s="1434"/>
      <c r="B11" s="1435"/>
      <c r="C11" s="1654"/>
      <c r="D11" s="1437"/>
      <c r="E11" s="1439"/>
      <c r="F11" s="1440"/>
      <c r="G11" s="1440"/>
      <c r="H11" s="1440"/>
      <c r="I11" s="1440"/>
      <c r="J11" s="1440"/>
      <c r="K11" s="1440"/>
      <c r="L11" s="1440"/>
      <c r="M11" s="1440"/>
      <c r="N11" s="1440"/>
      <c r="O11" s="1440"/>
      <c r="P11" s="1440"/>
      <c r="Q11" s="1440"/>
      <c r="R11" s="1440"/>
      <c r="S11" s="1440"/>
      <c r="T11" s="1440"/>
      <c r="U11" s="1440"/>
      <c r="V11" s="1440"/>
      <c r="W11" s="1440"/>
      <c r="X11" s="1440"/>
      <c r="Y11" s="1440"/>
      <c r="Z11" s="1440"/>
      <c r="AA11" s="1440"/>
      <c r="AB11" s="1630"/>
      <c r="AC11" s="1631"/>
    </row>
    <row r="12" spans="1:29" ht="13.5" customHeight="1" thickTop="1">
      <c r="A12" s="1659" t="s">
        <v>1241</v>
      </c>
      <c r="B12" s="1660"/>
      <c r="C12" s="1660"/>
      <c r="D12" s="1655">
        <v>71.19</v>
      </c>
      <c r="E12" s="1656">
        <v>0</v>
      </c>
      <c r="F12" s="1657">
        <v>0</v>
      </c>
      <c r="G12" s="1657">
        <v>0</v>
      </c>
      <c r="H12" s="1657">
        <v>0</v>
      </c>
      <c r="I12" s="1657">
        <v>0</v>
      </c>
      <c r="J12" s="1657">
        <v>0</v>
      </c>
      <c r="K12" s="1657">
        <v>0</v>
      </c>
      <c r="L12" s="1657">
        <v>0</v>
      </c>
      <c r="M12" s="1657">
        <v>10242</v>
      </c>
      <c r="N12" s="1657">
        <v>9922</v>
      </c>
      <c r="O12" s="1657">
        <v>8630</v>
      </c>
      <c r="P12" s="1657">
        <v>10811</v>
      </c>
      <c r="Q12" s="1657">
        <v>9439</v>
      </c>
      <c r="R12" s="1657">
        <v>11415</v>
      </c>
      <c r="S12" s="1657">
        <v>11396</v>
      </c>
      <c r="T12" s="1657">
        <v>10972</v>
      </c>
      <c r="U12" s="1657">
        <v>10173</v>
      </c>
      <c r="V12" s="1657">
        <v>9058</v>
      </c>
      <c r="W12" s="1657">
        <v>0</v>
      </c>
      <c r="X12" s="1657">
        <v>0</v>
      </c>
      <c r="Y12" s="1657">
        <v>0</v>
      </c>
      <c r="Z12" s="1657">
        <v>0</v>
      </c>
      <c r="AA12" s="1657">
        <v>0</v>
      </c>
      <c r="AB12" s="1657">
        <v>0</v>
      </c>
      <c r="AC12" s="1658"/>
    </row>
    <row r="13" spans="1:29" ht="13.5" customHeight="1">
      <c r="A13" s="1434"/>
      <c r="B13" s="1435"/>
      <c r="C13" s="1654"/>
      <c r="D13" s="1437"/>
      <c r="E13" s="1439"/>
      <c r="F13" s="1440"/>
      <c r="G13" s="1440"/>
      <c r="H13" s="1440"/>
      <c r="I13" s="1440"/>
      <c r="J13" s="1440"/>
      <c r="K13" s="1440"/>
      <c r="L13" s="1440"/>
      <c r="M13" s="1440"/>
      <c r="N13" s="1440"/>
      <c r="O13" s="1440"/>
      <c r="P13" s="1440"/>
      <c r="Q13" s="1440"/>
      <c r="R13" s="1440"/>
      <c r="S13" s="1440"/>
      <c r="T13" s="1440"/>
      <c r="U13" s="1440"/>
      <c r="V13" s="1440"/>
      <c r="W13" s="1440"/>
      <c r="X13" s="1440"/>
      <c r="Y13" s="1440"/>
      <c r="Z13" s="1440"/>
      <c r="AA13" s="1440"/>
      <c r="AB13" s="1630"/>
      <c r="AC13" s="1631"/>
    </row>
    <row r="14" spans="1:29" ht="13.5" customHeight="1">
      <c r="A14" s="1644" t="s">
        <v>421</v>
      </c>
      <c r="B14" s="1633"/>
      <c r="C14" s="1633"/>
      <c r="D14" s="1633"/>
      <c r="E14" s="1633"/>
      <c r="F14" s="1633"/>
      <c r="G14" s="1633"/>
      <c r="H14" s="1633"/>
      <c r="I14" s="1633"/>
      <c r="J14" s="1633"/>
      <c r="K14" s="1633"/>
      <c r="L14" s="1633"/>
      <c r="M14" s="1633"/>
      <c r="N14" s="1633"/>
      <c r="O14" s="1633"/>
      <c r="P14" s="1633"/>
      <c r="Q14" s="1633"/>
      <c r="R14" s="1633"/>
      <c r="S14" s="1633"/>
      <c r="T14" s="1633"/>
      <c r="U14" s="1633"/>
      <c r="V14" s="1633"/>
      <c r="W14" s="1633"/>
      <c r="X14" s="1633"/>
      <c r="Y14" s="1633"/>
      <c r="Z14" s="1633"/>
      <c r="AA14" s="1633"/>
      <c r="AB14" s="1633"/>
      <c r="AC14" s="1634"/>
    </row>
    <row r="15" spans="1:29" ht="13.5" customHeight="1">
      <c r="A15" s="1641" t="s">
        <v>1256</v>
      </c>
      <c r="B15" s="1642"/>
      <c r="C15" s="1643"/>
      <c r="D15" s="1636"/>
      <c r="E15" s="1637"/>
      <c r="F15" s="1638"/>
      <c r="G15" s="1638"/>
      <c r="H15" s="1638"/>
      <c r="I15" s="1638"/>
      <c r="J15" s="1638"/>
      <c r="K15" s="1638"/>
      <c r="L15" s="1638"/>
      <c r="M15" s="1638"/>
      <c r="N15" s="1638"/>
      <c r="O15" s="1638"/>
      <c r="P15" s="1638"/>
      <c r="Q15" s="1638"/>
      <c r="R15" s="1638"/>
      <c r="S15" s="1638"/>
      <c r="T15" s="1638"/>
      <c r="U15" s="1638"/>
      <c r="V15" s="1638"/>
      <c r="W15" s="1638"/>
      <c r="X15" s="1638"/>
      <c r="Y15" s="1638"/>
      <c r="Z15" s="1638"/>
      <c r="AA15" s="1638"/>
      <c r="AB15" s="1639"/>
      <c r="AC15" s="1640"/>
    </row>
    <row r="16" spans="1:29" ht="13.5" customHeight="1">
      <c r="A16" s="1434">
        <v>2</v>
      </c>
      <c r="B16" s="1435">
        <v>209</v>
      </c>
      <c r="C16" s="1654" t="s">
        <v>949</v>
      </c>
      <c r="D16" s="1437">
        <v>71.19</v>
      </c>
      <c r="E16" s="1439">
        <v>0</v>
      </c>
      <c r="F16" s="1440">
        <v>0</v>
      </c>
      <c r="G16" s="1440">
        <v>0</v>
      </c>
      <c r="H16" s="1440">
        <v>0</v>
      </c>
      <c r="I16" s="1440">
        <v>0</v>
      </c>
      <c r="J16" s="1440">
        <v>0</v>
      </c>
      <c r="K16" s="1440">
        <v>0</v>
      </c>
      <c r="L16" s="1440">
        <v>0</v>
      </c>
      <c r="M16" s="1440">
        <v>9602</v>
      </c>
      <c r="N16" s="1440">
        <v>9182</v>
      </c>
      <c r="O16" s="1440">
        <v>7985</v>
      </c>
      <c r="P16" s="1440">
        <v>10278</v>
      </c>
      <c r="Q16" s="1440">
        <v>9131</v>
      </c>
      <c r="R16" s="1440">
        <v>11412</v>
      </c>
      <c r="S16" s="1440">
        <v>11766</v>
      </c>
      <c r="T16" s="1440">
        <v>11521</v>
      </c>
      <c r="U16" s="1440">
        <v>10962</v>
      </c>
      <c r="V16" s="1440">
        <v>9490</v>
      </c>
      <c r="W16" s="1440">
        <v>0</v>
      </c>
      <c r="X16" s="1440">
        <v>0</v>
      </c>
      <c r="Y16" s="1440">
        <v>0</v>
      </c>
      <c r="Z16" s="1440">
        <v>0</v>
      </c>
      <c r="AA16" s="1440">
        <v>0</v>
      </c>
      <c r="AB16" s="1630">
        <v>0</v>
      </c>
      <c r="AC16" s="1631"/>
    </row>
    <row r="17" spans="1:29" ht="13.5" customHeight="1" thickBot="1">
      <c r="A17" s="1694"/>
      <c r="B17" s="1695"/>
      <c r="C17" s="1696" t="s">
        <v>1257</v>
      </c>
      <c r="D17" s="1697"/>
      <c r="E17" s="1698">
        <v>0</v>
      </c>
      <c r="F17" s="1699">
        <v>0</v>
      </c>
      <c r="G17" s="1699">
        <v>0</v>
      </c>
      <c r="H17" s="1699">
        <v>0</v>
      </c>
      <c r="I17" s="1699">
        <v>0</v>
      </c>
      <c r="J17" s="1699">
        <v>0</v>
      </c>
      <c r="K17" s="1699">
        <v>0</v>
      </c>
      <c r="L17" s="1699">
        <v>0</v>
      </c>
      <c r="M17" s="1699">
        <v>76</v>
      </c>
      <c r="N17" s="1699">
        <v>76</v>
      </c>
      <c r="O17" s="1699">
        <v>76</v>
      </c>
      <c r="P17" s="1699">
        <v>76</v>
      </c>
      <c r="Q17" s="1699">
        <v>76</v>
      </c>
      <c r="R17" s="1699">
        <v>76</v>
      </c>
      <c r="S17" s="1699">
        <v>76</v>
      </c>
      <c r="T17" s="1699">
        <v>76</v>
      </c>
      <c r="U17" s="1699">
        <v>76</v>
      </c>
      <c r="V17" s="1699">
        <v>76</v>
      </c>
      <c r="W17" s="1699">
        <v>0</v>
      </c>
      <c r="X17" s="1699">
        <v>0</v>
      </c>
      <c r="Y17" s="1699">
        <v>0</v>
      </c>
      <c r="Z17" s="1699">
        <v>0</v>
      </c>
      <c r="AA17" s="1699">
        <v>0</v>
      </c>
      <c r="AB17" s="1699">
        <v>0</v>
      </c>
      <c r="AC17" s="1700"/>
    </row>
    <row r="18" spans="1:29" ht="13.5" customHeight="1" thickTop="1">
      <c r="A18" s="1651" t="s">
        <v>1258</v>
      </c>
      <c r="B18" s="1652"/>
      <c r="C18" s="1653"/>
      <c r="D18" s="1647">
        <v>71.19</v>
      </c>
      <c r="E18" s="1648">
        <v>0</v>
      </c>
      <c r="F18" s="1649">
        <v>0</v>
      </c>
      <c r="G18" s="1649">
        <v>0</v>
      </c>
      <c r="H18" s="1649">
        <v>0</v>
      </c>
      <c r="I18" s="1649">
        <v>0</v>
      </c>
      <c r="J18" s="1649">
        <v>0</v>
      </c>
      <c r="K18" s="1649">
        <v>0</v>
      </c>
      <c r="L18" s="1649">
        <v>0</v>
      </c>
      <c r="M18" s="1649">
        <v>9678</v>
      </c>
      <c r="N18" s="1649">
        <v>9258</v>
      </c>
      <c r="O18" s="1649">
        <v>8061</v>
      </c>
      <c r="P18" s="1649">
        <v>10354</v>
      </c>
      <c r="Q18" s="1649">
        <v>9207</v>
      </c>
      <c r="R18" s="1649">
        <v>11488</v>
      </c>
      <c r="S18" s="1649">
        <v>11842</v>
      </c>
      <c r="T18" s="1649">
        <v>11597</v>
      </c>
      <c r="U18" s="1649">
        <v>11038</v>
      </c>
      <c r="V18" s="1649">
        <v>9566</v>
      </c>
      <c r="W18" s="1649">
        <v>0</v>
      </c>
      <c r="X18" s="1649">
        <v>0</v>
      </c>
      <c r="Y18" s="1649">
        <v>0</v>
      </c>
      <c r="Z18" s="1649">
        <v>0</v>
      </c>
      <c r="AA18" s="1649">
        <v>0</v>
      </c>
      <c r="AB18" s="1649">
        <v>0</v>
      </c>
      <c r="AC18" s="1650"/>
    </row>
    <row r="19" spans="1:29" ht="13.5" customHeight="1" thickBot="1">
      <c r="A19" s="1434"/>
      <c r="B19" s="1435"/>
      <c r="C19" s="1654"/>
      <c r="D19" s="1437"/>
      <c r="E19" s="1439"/>
      <c r="F19" s="1440"/>
      <c r="G19" s="1440"/>
      <c r="H19" s="1440"/>
      <c r="I19" s="1440"/>
      <c r="J19" s="1440"/>
      <c r="K19" s="1440"/>
      <c r="L19" s="1440"/>
      <c r="M19" s="1440"/>
      <c r="N19" s="1440"/>
      <c r="O19" s="1440"/>
      <c r="P19" s="1440"/>
      <c r="Q19" s="1440"/>
      <c r="R19" s="1440"/>
      <c r="S19" s="1440"/>
      <c r="T19" s="1440"/>
      <c r="U19" s="1440"/>
      <c r="V19" s="1440"/>
      <c r="W19" s="1440"/>
      <c r="X19" s="1440"/>
      <c r="Y19" s="1440"/>
      <c r="Z19" s="1440"/>
      <c r="AA19" s="1440"/>
      <c r="AB19" s="1630"/>
      <c r="AC19" s="1631"/>
    </row>
    <row r="20" spans="1:29" ht="13.5" customHeight="1" thickTop="1">
      <c r="A20" s="1665" t="s">
        <v>1242</v>
      </c>
      <c r="B20" s="1666"/>
      <c r="C20" s="1666"/>
      <c r="D20" s="1661">
        <v>71.19</v>
      </c>
      <c r="E20" s="1662">
        <v>0</v>
      </c>
      <c r="F20" s="1663">
        <v>0</v>
      </c>
      <c r="G20" s="1663">
        <v>0</v>
      </c>
      <c r="H20" s="1663">
        <v>0</v>
      </c>
      <c r="I20" s="1663">
        <v>0</v>
      </c>
      <c r="J20" s="1663">
        <v>0</v>
      </c>
      <c r="K20" s="1663">
        <v>0</v>
      </c>
      <c r="L20" s="1663">
        <v>0</v>
      </c>
      <c r="M20" s="1663">
        <v>9678</v>
      </c>
      <c r="N20" s="1663">
        <v>9258</v>
      </c>
      <c r="O20" s="1663">
        <v>8061</v>
      </c>
      <c r="P20" s="1663">
        <v>10354</v>
      </c>
      <c r="Q20" s="1663">
        <v>9207</v>
      </c>
      <c r="R20" s="1663">
        <v>11488</v>
      </c>
      <c r="S20" s="1663">
        <v>11842</v>
      </c>
      <c r="T20" s="1663">
        <v>11597</v>
      </c>
      <c r="U20" s="1663">
        <v>11038</v>
      </c>
      <c r="V20" s="1663">
        <v>9566</v>
      </c>
      <c r="W20" s="1663">
        <v>0</v>
      </c>
      <c r="X20" s="1663">
        <v>0</v>
      </c>
      <c r="Y20" s="1663">
        <v>0</v>
      </c>
      <c r="Z20" s="1663">
        <v>0</v>
      </c>
      <c r="AA20" s="1663">
        <v>0</v>
      </c>
      <c r="AB20" s="1663">
        <v>0</v>
      </c>
      <c r="AC20" s="1664"/>
    </row>
    <row r="21" spans="1:29" ht="13.5" customHeight="1">
      <c r="A21" s="1434"/>
      <c r="B21" s="1435"/>
      <c r="C21" s="1654"/>
      <c r="D21" s="1437"/>
      <c r="E21" s="1439"/>
      <c r="F21" s="1440"/>
      <c r="G21" s="1440"/>
      <c r="H21" s="1440"/>
      <c r="I21" s="1440"/>
      <c r="J21" s="1440"/>
      <c r="K21" s="1440"/>
      <c r="L21" s="1440"/>
      <c r="M21" s="1440"/>
      <c r="N21" s="1440"/>
      <c r="O21" s="1440"/>
      <c r="P21" s="1440"/>
      <c r="Q21" s="1440"/>
      <c r="R21" s="1440"/>
      <c r="S21" s="1440"/>
      <c r="T21" s="1440"/>
      <c r="U21" s="1440"/>
      <c r="V21" s="1440"/>
      <c r="W21" s="1440"/>
      <c r="X21" s="1440"/>
      <c r="Y21" s="1440"/>
      <c r="Z21" s="1440"/>
      <c r="AA21" s="1440"/>
      <c r="AB21" s="1630"/>
      <c r="AC21" s="1631"/>
    </row>
    <row r="22" spans="1:29" ht="13.5" customHeight="1">
      <c r="A22" s="1645" t="s">
        <v>422</v>
      </c>
      <c r="B22" s="1633"/>
      <c r="C22" s="1633"/>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633"/>
      <c r="AB22" s="1633"/>
      <c r="AC22" s="1634"/>
    </row>
    <row r="23" spans="1:29" ht="13.5" customHeight="1">
      <c r="A23" s="1641" t="s">
        <v>1256</v>
      </c>
      <c r="B23" s="1642"/>
      <c r="C23" s="1643"/>
      <c r="D23" s="1636"/>
      <c r="E23" s="1637"/>
      <c r="F23" s="1638"/>
      <c r="G23" s="1638"/>
      <c r="H23" s="1638"/>
      <c r="I23" s="1638"/>
      <c r="J23" s="1638"/>
      <c r="K23" s="1638"/>
      <c r="L23" s="1638"/>
      <c r="M23" s="1638"/>
      <c r="N23" s="1638"/>
      <c r="O23" s="1638"/>
      <c r="P23" s="1638"/>
      <c r="Q23" s="1638"/>
      <c r="R23" s="1638"/>
      <c r="S23" s="1638"/>
      <c r="T23" s="1638"/>
      <c r="U23" s="1638"/>
      <c r="V23" s="1638"/>
      <c r="W23" s="1638"/>
      <c r="X23" s="1638"/>
      <c r="Y23" s="1638"/>
      <c r="Z23" s="1638"/>
      <c r="AA23" s="1638"/>
      <c r="AB23" s="1639"/>
      <c r="AC23" s="1640"/>
    </row>
    <row r="24" spans="1:29" ht="13.5" customHeight="1">
      <c r="A24" s="1434">
        <v>2</v>
      </c>
      <c r="B24" s="1435">
        <v>209</v>
      </c>
      <c r="C24" s="1654" t="s">
        <v>949</v>
      </c>
      <c r="D24" s="1437">
        <v>71.19</v>
      </c>
      <c r="E24" s="1439">
        <v>0</v>
      </c>
      <c r="F24" s="1440">
        <v>0</v>
      </c>
      <c r="G24" s="1440">
        <v>0</v>
      </c>
      <c r="H24" s="1440">
        <v>0</v>
      </c>
      <c r="I24" s="1440">
        <v>0</v>
      </c>
      <c r="J24" s="1440">
        <v>0</v>
      </c>
      <c r="K24" s="1440">
        <v>0</v>
      </c>
      <c r="L24" s="1440">
        <v>0</v>
      </c>
      <c r="M24" s="1440">
        <v>8273</v>
      </c>
      <c r="N24" s="1440">
        <v>8317</v>
      </c>
      <c r="O24" s="1440">
        <v>7609</v>
      </c>
      <c r="P24" s="1440">
        <v>10009</v>
      </c>
      <c r="Q24" s="1440">
        <v>8604</v>
      </c>
      <c r="R24" s="1440">
        <v>10683</v>
      </c>
      <c r="S24" s="1440">
        <v>10899</v>
      </c>
      <c r="T24" s="1440">
        <v>10355</v>
      </c>
      <c r="U24" s="1440">
        <v>9058</v>
      </c>
      <c r="V24" s="1440">
        <v>7260</v>
      </c>
      <c r="W24" s="1440">
        <v>0</v>
      </c>
      <c r="X24" s="1440">
        <v>0</v>
      </c>
      <c r="Y24" s="1440">
        <v>0</v>
      </c>
      <c r="Z24" s="1440">
        <v>0</v>
      </c>
      <c r="AA24" s="1440">
        <v>0</v>
      </c>
      <c r="AB24" s="1630">
        <v>0</v>
      </c>
      <c r="AC24" s="1631"/>
    </row>
    <row r="25" spans="1:29" ht="13.5" customHeight="1" thickBot="1">
      <c r="A25" s="1694"/>
      <c r="B25" s="1695"/>
      <c r="C25" s="1696" t="s">
        <v>1257</v>
      </c>
      <c r="D25" s="1697"/>
      <c r="E25" s="1698">
        <v>0</v>
      </c>
      <c r="F25" s="1699">
        <v>0</v>
      </c>
      <c r="G25" s="1699">
        <v>0</v>
      </c>
      <c r="H25" s="1699">
        <v>0</v>
      </c>
      <c r="I25" s="1699">
        <v>0</v>
      </c>
      <c r="J25" s="1699">
        <v>0</v>
      </c>
      <c r="K25" s="1699">
        <v>0</v>
      </c>
      <c r="L25" s="1699">
        <v>0</v>
      </c>
      <c r="M25" s="1699">
        <v>76</v>
      </c>
      <c r="N25" s="1699">
        <v>76</v>
      </c>
      <c r="O25" s="1699">
        <v>76</v>
      </c>
      <c r="P25" s="1699">
        <v>76</v>
      </c>
      <c r="Q25" s="1699">
        <v>76</v>
      </c>
      <c r="R25" s="1699">
        <v>76</v>
      </c>
      <c r="S25" s="1699">
        <v>76</v>
      </c>
      <c r="T25" s="1699">
        <v>76</v>
      </c>
      <c r="U25" s="1699">
        <v>76</v>
      </c>
      <c r="V25" s="1699">
        <v>76</v>
      </c>
      <c r="W25" s="1699">
        <v>0</v>
      </c>
      <c r="X25" s="1699">
        <v>0</v>
      </c>
      <c r="Y25" s="1699">
        <v>0</v>
      </c>
      <c r="Z25" s="1699">
        <v>0</v>
      </c>
      <c r="AA25" s="1699">
        <v>0</v>
      </c>
      <c r="AB25" s="1699">
        <v>0</v>
      </c>
      <c r="AC25" s="1700"/>
    </row>
    <row r="26" spans="1:29" ht="13.5" customHeight="1" thickTop="1">
      <c r="A26" s="1651" t="s">
        <v>1258</v>
      </c>
      <c r="B26" s="1652"/>
      <c r="C26" s="1653"/>
      <c r="D26" s="1647">
        <v>71.19</v>
      </c>
      <c r="E26" s="1648">
        <v>0</v>
      </c>
      <c r="F26" s="1649">
        <v>0</v>
      </c>
      <c r="G26" s="1649">
        <v>0</v>
      </c>
      <c r="H26" s="1649">
        <v>0</v>
      </c>
      <c r="I26" s="1649">
        <v>0</v>
      </c>
      <c r="J26" s="1649">
        <v>0</v>
      </c>
      <c r="K26" s="1649">
        <v>0</v>
      </c>
      <c r="L26" s="1649">
        <v>0</v>
      </c>
      <c r="M26" s="1649">
        <v>8349</v>
      </c>
      <c r="N26" s="1649">
        <v>8393</v>
      </c>
      <c r="O26" s="1649">
        <v>7685</v>
      </c>
      <c r="P26" s="1649">
        <v>10085</v>
      </c>
      <c r="Q26" s="1649">
        <v>8680</v>
      </c>
      <c r="R26" s="1649">
        <v>10759</v>
      </c>
      <c r="S26" s="1649">
        <v>10975</v>
      </c>
      <c r="T26" s="1649">
        <v>10431</v>
      </c>
      <c r="U26" s="1649">
        <v>9134</v>
      </c>
      <c r="V26" s="1649">
        <v>7336</v>
      </c>
      <c r="W26" s="1649">
        <v>0</v>
      </c>
      <c r="X26" s="1649">
        <v>0</v>
      </c>
      <c r="Y26" s="1649">
        <v>0</v>
      </c>
      <c r="Z26" s="1649">
        <v>0</v>
      </c>
      <c r="AA26" s="1649">
        <v>0</v>
      </c>
      <c r="AB26" s="1649">
        <v>0</v>
      </c>
      <c r="AC26" s="1650"/>
    </row>
    <row r="27" spans="1:29" ht="13.5" customHeight="1" thickBot="1">
      <c r="A27" s="1434"/>
      <c r="B27" s="1435"/>
      <c r="C27" s="1654"/>
      <c r="D27" s="1437"/>
      <c r="E27" s="1439"/>
      <c r="F27" s="1440"/>
      <c r="G27" s="1440"/>
      <c r="H27" s="1440"/>
      <c r="I27" s="1440"/>
      <c r="J27" s="1440"/>
      <c r="K27" s="1440"/>
      <c r="L27" s="1440"/>
      <c r="M27" s="1440"/>
      <c r="N27" s="1440"/>
      <c r="O27" s="1440"/>
      <c r="P27" s="1440"/>
      <c r="Q27" s="1440"/>
      <c r="R27" s="1440"/>
      <c r="S27" s="1440"/>
      <c r="T27" s="1440"/>
      <c r="U27" s="1440"/>
      <c r="V27" s="1440"/>
      <c r="W27" s="1440"/>
      <c r="X27" s="1440"/>
      <c r="Y27" s="1440"/>
      <c r="Z27" s="1440"/>
      <c r="AA27" s="1440"/>
      <c r="AB27" s="1630"/>
      <c r="AC27" s="1631"/>
    </row>
    <row r="28" spans="1:29" ht="13.5" customHeight="1" thickTop="1">
      <c r="A28" s="1671" t="s">
        <v>1245</v>
      </c>
      <c r="B28" s="1672"/>
      <c r="C28" s="1672"/>
      <c r="D28" s="1667">
        <v>71.19</v>
      </c>
      <c r="E28" s="1668">
        <v>0</v>
      </c>
      <c r="F28" s="1669">
        <v>0</v>
      </c>
      <c r="G28" s="1669">
        <v>0</v>
      </c>
      <c r="H28" s="1669">
        <v>0</v>
      </c>
      <c r="I28" s="1669">
        <v>0</v>
      </c>
      <c r="J28" s="1669">
        <v>0</v>
      </c>
      <c r="K28" s="1669">
        <v>0</v>
      </c>
      <c r="L28" s="1669">
        <v>0</v>
      </c>
      <c r="M28" s="1669">
        <v>8349</v>
      </c>
      <c r="N28" s="1669">
        <v>8393</v>
      </c>
      <c r="O28" s="1669">
        <v>7685</v>
      </c>
      <c r="P28" s="1669">
        <v>10085</v>
      </c>
      <c r="Q28" s="1669">
        <v>8680</v>
      </c>
      <c r="R28" s="1669">
        <v>10759</v>
      </c>
      <c r="S28" s="1669">
        <v>10975</v>
      </c>
      <c r="T28" s="1669">
        <v>10431</v>
      </c>
      <c r="U28" s="1669">
        <v>9134</v>
      </c>
      <c r="V28" s="1669">
        <v>7336</v>
      </c>
      <c r="W28" s="1669">
        <v>0</v>
      </c>
      <c r="X28" s="1669">
        <v>0</v>
      </c>
      <c r="Y28" s="1669">
        <v>0</v>
      </c>
      <c r="Z28" s="1669">
        <v>0</v>
      </c>
      <c r="AA28" s="1669">
        <v>0</v>
      </c>
      <c r="AB28" s="1669">
        <v>0</v>
      </c>
      <c r="AC28" s="1670"/>
    </row>
    <row r="29" spans="1:29" ht="13.5" customHeight="1">
      <c r="A29" s="1369"/>
      <c r="B29" s="1368"/>
      <c r="C29" s="1627"/>
      <c r="D29" s="1366"/>
      <c r="E29" s="1364"/>
      <c r="F29" s="1361"/>
      <c r="G29" s="1361"/>
      <c r="H29" s="1361"/>
      <c r="I29" s="1361"/>
      <c r="J29" s="1361"/>
      <c r="K29" s="1361"/>
      <c r="L29" s="1361"/>
      <c r="M29" s="1361"/>
      <c r="N29" s="1361"/>
      <c r="O29" s="1361"/>
      <c r="P29" s="1361"/>
      <c r="Q29" s="1361"/>
      <c r="R29" s="1361"/>
      <c r="S29" s="1361"/>
      <c r="T29" s="1361"/>
      <c r="U29" s="1361"/>
      <c r="V29" s="1361"/>
      <c r="W29" s="1361"/>
      <c r="X29" s="1361"/>
      <c r="Y29" s="1361"/>
      <c r="Z29" s="1361"/>
      <c r="AA29" s="1361"/>
      <c r="AB29" s="1604"/>
      <c r="AC29" s="1603"/>
    </row>
    <row r="30" spans="1:29" ht="13.5" customHeight="1">
      <c r="A30" s="1369"/>
      <c r="B30" s="1368"/>
      <c r="C30" s="1605"/>
      <c r="D30" s="1366"/>
      <c r="E30" s="1364"/>
      <c r="F30" s="1361"/>
      <c r="G30" s="1361"/>
      <c r="H30" s="1361"/>
      <c r="I30" s="1361"/>
      <c r="J30" s="1361"/>
      <c r="K30" s="1361"/>
      <c r="L30" s="1361"/>
      <c r="M30" s="1361"/>
      <c r="N30" s="1361"/>
      <c r="O30" s="1361"/>
      <c r="P30" s="1361"/>
      <c r="Q30" s="1361"/>
      <c r="R30" s="1361"/>
      <c r="S30" s="1361"/>
      <c r="T30" s="1361"/>
      <c r="U30" s="1361"/>
      <c r="V30" s="1361"/>
      <c r="W30" s="1361"/>
      <c r="X30" s="1361"/>
      <c r="Y30" s="1361"/>
      <c r="Z30" s="1361"/>
      <c r="AA30" s="1361"/>
      <c r="AB30" s="1604"/>
      <c r="AC30" s="1603"/>
    </row>
    <row r="31" spans="1:29" ht="13.5" customHeight="1">
      <c r="A31" s="1369"/>
      <c r="B31" s="1368"/>
      <c r="C31" s="1605"/>
      <c r="D31" s="1366"/>
      <c r="E31" s="1364"/>
      <c r="F31" s="1361"/>
      <c r="G31" s="1361"/>
      <c r="H31" s="1361"/>
      <c r="I31" s="1361"/>
      <c r="J31" s="1361"/>
      <c r="K31" s="1361"/>
      <c r="L31" s="1361"/>
      <c r="M31" s="1361"/>
      <c r="N31" s="1361"/>
      <c r="O31" s="1361"/>
      <c r="P31" s="1361"/>
      <c r="Q31" s="1361"/>
      <c r="R31" s="1361"/>
      <c r="S31" s="1361"/>
      <c r="T31" s="1361"/>
      <c r="U31" s="1361"/>
      <c r="V31" s="1361"/>
      <c r="W31" s="1361"/>
      <c r="X31" s="1361"/>
      <c r="Y31" s="1361"/>
      <c r="Z31" s="1361"/>
      <c r="AA31" s="1361"/>
      <c r="AB31" s="1604"/>
      <c r="AC31" s="1603"/>
    </row>
    <row r="32" spans="1:29" ht="13.5" customHeight="1">
      <c r="A32" s="1369"/>
      <c r="B32" s="1368"/>
      <c r="C32" s="1605"/>
      <c r="D32" s="1366"/>
      <c r="E32" s="1364"/>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604"/>
      <c r="AC32" s="1603"/>
    </row>
    <row r="33" spans="1:29" ht="13.5" customHeight="1">
      <c r="A33" s="1369"/>
      <c r="B33" s="1368"/>
      <c r="C33" s="1605"/>
      <c r="D33" s="1366"/>
      <c r="E33" s="1364"/>
      <c r="F33" s="1361"/>
      <c r="G33" s="1361"/>
      <c r="H33" s="1361"/>
      <c r="I33" s="1361"/>
      <c r="J33" s="1361"/>
      <c r="K33" s="1361"/>
      <c r="L33" s="1361"/>
      <c r="M33" s="1361"/>
      <c r="N33" s="1361"/>
      <c r="O33" s="1361"/>
      <c r="P33" s="1361"/>
      <c r="Q33" s="1361"/>
      <c r="R33" s="1361"/>
      <c r="S33" s="1361"/>
      <c r="T33" s="1361"/>
      <c r="U33" s="1361"/>
      <c r="V33" s="1361"/>
      <c r="W33" s="1361"/>
      <c r="X33" s="1361"/>
      <c r="Y33" s="1361"/>
      <c r="Z33" s="1361"/>
      <c r="AA33" s="1361"/>
      <c r="AB33" s="1604"/>
      <c r="AC33" s="1603"/>
    </row>
    <row r="34" spans="1:29" ht="13.5" customHeight="1">
      <c r="A34" s="1369"/>
      <c r="B34" s="1368"/>
      <c r="C34" s="1605"/>
      <c r="D34" s="1366"/>
      <c r="E34" s="1364"/>
      <c r="F34" s="1361"/>
      <c r="G34" s="1361"/>
      <c r="H34" s="1361"/>
      <c r="I34" s="1361"/>
      <c r="J34" s="1361"/>
      <c r="K34" s="1361"/>
      <c r="L34" s="1361"/>
      <c r="M34" s="1361"/>
      <c r="N34" s="1361"/>
      <c r="O34" s="1361"/>
      <c r="P34" s="1361"/>
      <c r="Q34" s="1361"/>
      <c r="R34" s="1361"/>
      <c r="S34" s="1361"/>
      <c r="T34" s="1361"/>
      <c r="U34" s="1361"/>
      <c r="V34" s="1361"/>
      <c r="W34" s="1361"/>
      <c r="X34" s="1361"/>
      <c r="Y34" s="1361"/>
      <c r="Z34" s="1361"/>
      <c r="AA34" s="1361"/>
      <c r="AB34" s="1604"/>
      <c r="AC34" s="1603"/>
    </row>
    <row r="35" spans="1:29" ht="13.5" customHeight="1">
      <c r="A35" s="1369"/>
      <c r="B35" s="1368"/>
      <c r="C35" s="1605"/>
      <c r="D35" s="1366"/>
      <c r="E35" s="1364"/>
      <c r="F35" s="1361"/>
      <c r="G35" s="1361"/>
      <c r="H35" s="1361"/>
      <c r="I35" s="1361"/>
      <c r="J35" s="1361"/>
      <c r="K35" s="1361"/>
      <c r="L35" s="1361"/>
      <c r="M35" s="1361"/>
      <c r="N35" s="1361"/>
      <c r="O35" s="1361"/>
      <c r="P35" s="1361"/>
      <c r="Q35" s="1361"/>
      <c r="R35" s="1361"/>
      <c r="S35" s="1361"/>
      <c r="T35" s="1361"/>
      <c r="U35" s="1361"/>
      <c r="V35" s="1361"/>
      <c r="W35" s="1361"/>
      <c r="X35" s="1361"/>
      <c r="Y35" s="1361"/>
      <c r="Z35" s="1361"/>
      <c r="AA35" s="1361"/>
      <c r="AB35" s="1604"/>
      <c r="AC35" s="1603"/>
    </row>
    <row r="36" spans="1:29" ht="13.5" customHeight="1">
      <c r="A36" s="1369"/>
      <c r="B36" s="1368"/>
      <c r="C36" s="1605"/>
      <c r="D36" s="1366"/>
      <c r="E36" s="1364"/>
      <c r="F36" s="1361"/>
      <c r="G36" s="1361"/>
      <c r="H36" s="1361"/>
      <c r="I36" s="1361"/>
      <c r="J36" s="1361"/>
      <c r="K36" s="1361"/>
      <c r="L36" s="1361"/>
      <c r="M36" s="1361"/>
      <c r="N36" s="1361"/>
      <c r="O36" s="1361"/>
      <c r="P36" s="1361"/>
      <c r="Q36" s="1361"/>
      <c r="R36" s="1361"/>
      <c r="S36" s="1361"/>
      <c r="T36" s="1361"/>
      <c r="U36" s="1361"/>
      <c r="V36" s="1361"/>
      <c r="W36" s="1361"/>
      <c r="X36" s="1361"/>
      <c r="Y36" s="1361"/>
      <c r="Z36" s="1361"/>
      <c r="AA36" s="1361"/>
      <c r="AB36" s="1604"/>
      <c r="AC36" s="1603"/>
    </row>
    <row r="37" spans="1:29" ht="13.5" customHeight="1">
      <c r="A37" s="1369"/>
      <c r="B37" s="1368"/>
      <c r="C37" s="1605"/>
      <c r="D37" s="1366"/>
      <c r="E37" s="1364"/>
      <c r="F37" s="1361"/>
      <c r="G37" s="1361"/>
      <c r="H37" s="1361"/>
      <c r="I37" s="1361"/>
      <c r="J37" s="1361"/>
      <c r="K37" s="1361"/>
      <c r="L37" s="1361"/>
      <c r="M37" s="1361"/>
      <c r="N37" s="1361"/>
      <c r="O37" s="1361"/>
      <c r="P37" s="1361"/>
      <c r="Q37" s="1361"/>
      <c r="R37" s="1361"/>
      <c r="S37" s="1361"/>
      <c r="T37" s="1361"/>
      <c r="U37" s="1361"/>
      <c r="V37" s="1361"/>
      <c r="W37" s="1361"/>
      <c r="X37" s="1361"/>
      <c r="Y37" s="1361"/>
      <c r="Z37" s="1361"/>
      <c r="AA37" s="1361"/>
      <c r="AB37" s="1604"/>
      <c r="AC37" s="1603"/>
    </row>
    <row r="38" spans="1:29" ht="13.5" customHeight="1">
      <c r="A38" s="1369"/>
      <c r="B38" s="1368"/>
      <c r="C38" s="1605"/>
      <c r="D38" s="1366"/>
      <c r="E38" s="1364"/>
      <c r="F38" s="1361"/>
      <c r="G38" s="1361"/>
      <c r="H38" s="1361"/>
      <c r="I38" s="1361"/>
      <c r="J38" s="1361"/>
      <c r="K38" s="1361"/>
      <c r="L38" s="1361"/>
      <c r="M38" s="1361"/>
      <c r="N38" s="1361"/>
      <c r="O38" s="1361"/>
      <c r="P38" s="1361"/>
      <c r="Q38" s="1361"/>
      <c r="R38" s="1361"/>
      <c r="S38" s="1361"/>
      <c r="T38" s="1361"/>
      <c r="U38" s="1361"/>
      <c r="V38" s="1361"/>
      <c r="W38" s="1361"/>
      <c r="X38" s="1361"/>
      <c r="Y38" s="1361"/>
      <c r="Z38" s="1361"/>
      <c r="AA38" s="1361"/>
      <c r="AB38" s="1604"/>
      <c r="AC38" s="1603"/>
    </row>
    <row r="39" spans="1:29" ht="13.5" customHeight="1">
      <c r="A39" s="1369"/>
      <c r="B39" s="1368"/>
      <c r="C39" s="1605"/>
      <c r="D39" s="1366"/>
      <c r="E39" s="1364"/>
      <c r="F39" s="1361"/>
      <c r="G39" s="1361"/>
      <c r="H39" s="1361"/>
      <c r="I39" s="1361"/>
      <c r="J39" s="1361"/>
      <c r="K39" s="1361"/>
      <c r="L39" s="1361"/>
      <c r="M39" s="1361"/>
      <c r="N39" s="1361"/>
      <c r="O39" s="1361"/>
      <c r="P39" s="1361"/>
      <c r="Q39" s="1361"/>
      <c r="R39" s="1361"/>
      <c r="S39" s="1361"/>
      <c r="T39" s="1361"/>
      <c r="U39" s="1361"/>
      <c r="V39" s="1361"/>
      <c r="W39" s="1361"/>
      <c r="X39" s="1361"/>
      <c r="Y39" s="1361"/>
      <c r="Z39" s="1361"/>
      <c r="AA39" s="1361"/>
      <c r="AB39" s="1604"/>
      <c r="AC39" s="1603"/>
    </row>
    <row r="40" spans="1:29" ht="13.5" customHeight="1">
      <c r="A40" s="1369"/>
      <c r="B40" s="1368"/>
      <c r="C40" s="1605"/>
      <c r="D40" s="1366"/>
      <c r="E40" s="1364"/>
      <c r="F40" s="1361"/>
      <c r="G40" s="1361"/>
      <c r="H40" s="1361"/>
      <c r="I40" s="1361"/>
      <c r="J40" s="1361"/>
      <c r="K40" s="1361"/>
      <c r="L40" s="1361"/>
      <c r="M40" s="1361"/>
      <c r="N40" s="1361"/>
      <c r="O40" s="1361"/>
      <c r="P40" s="1361"/>
      <c r="Q40" s="1361"/>
      <c r="R40" s="1361"/>
      <c r="S40" s="1361"/>
      <c r="T40" s="1361"/>
      <c r="U40" s="1361"/>
      <c r="V40" s="1361"/>
      <c r="W40" s="1361"/>
      <c r="X40" s="1361"/>
      <c r="Y40" s="1361"/>
      <c r="Z40" s="1361"/>
      <c r="AA40" s="1361"/>
      <c r="AB40" s="1604"/>
      <c r="AC40" s="1603"/>
    </row>
    <row r="41" spans="1:29" ht="13.5" customHeight="1">
      <c r="A41" s="1369"/>
      <c r="B41" s="1368"/>
      <c r="C41" s="1605"/>
      <c r="D41" s="1366"/>
      <c r="E41" s="1364"/>
      <c r="F41" s="1361"/>
      <c r="G41" s="1361"/>
      <c r="H41" s="1361"/>
      <c r="I41" s="1361"/>
      <c r="J41" s="1361"/>
      <c r="K41" s="1361"/>
      <c r="L41" s="1361"/>
      <c r="M41" s="1361"/>
      <c r="N41" s="1361"/>
      <c r="O41" s="1361"/>
      <c r="P41" s="1361"/>
      <c r="Q41" s="1361"/>
      <c r="R41" s="1361"/>
      <c r="S41" s="1361"/>
      <c r="T41" s="1361"/>
      <c r="U41" s="1361"/>
      <c r="V41" s="1361"/>
      <c r="W41" s="1361"/>
      <c r="X41" s="1361"/>
      <c r="Y41" s="1361"/>
      <c r="Z41" s="1361"/>
      <c r="AA41" s="1361"/>
      <c r="AB41" s="1604"/>
      <c r="AC41" s="1603"/>
    </row>
    <row r="42" spans="1:29" ht="13.5" customHeight="1">
      <c r="A42" s="1369"/>
      <c r="B42" s="1368"/>
      <c r="C42" s="1605"/>
      <c r="D42" s="1366"/>
      <c r="E42" s="1364"/>
      <c r="F42" s="1361"/>
      <c r="G42" s="1361"/>
      <c r="H42" s="1361"/>
      <c r="I42" s="1361"/>
      <c r="J42" s="1361"/>
      <c r="K42" s="1361"/>
      <c r="L42" s="1361"/>
      <c r="M42" s="1361"/>
      <c r="N42" s="1361"/>
      <c r="O42" s="1361"/>
      <c r="P42" s="1361"/>
      <c r="Q42" s="1361"/>
      <c r="R42" s="1361"/>
      <c r="S42" s="1361"/>
      <c r="T42" s="1361"/>
      <c r="U42" s="1361"/>
      <c r="V42" s="1361"/>
      <c r="W42" s="1361"/>
      <c r="X42" s="1361"/>
      <c r="Y42" s="1361"/>
      <c r="Z42" s="1361"/>
      <c r="AA42" s="1361"/>
      <c r="AB42" s="1604"/>
      <c r="AC42" s="1603"/>
    </row>
    <row r="43" spans="1:29" ht="13.5" customHeight="1">
      <c r="A43" s="1369"/>
      <c r="B43" s="1368"/>
      <c r="C43" s="1605"/>
      <c r="D43" s="1366"/>
      <c r="E43" s="1364"/>
      <c r="F43" s="1361"/>
      <c r="G43" s="1361"/>
      <c r="H43" s="1361"/>
      <c r="I43" s="1361"/>
      <c r="J43" s="1361"/>
      <c r="K43" s="1361"/>
      <c r="L43" s="1361"/>
      <c r="M43" s="1361"/>
      <c r="N43" s="1361"/>
      <c r="O43" s="1361"/>
      <c r="P43" s="1361"/>
      <c r="Q43" s="1361"/>
      <c r="R43" s="1361"/>
      <c r="S43" s="1361"/>
      <c r="T43" s="1361"/>
      <c r="U43" s="1361"/>
      <c r="V43" s="1361"/>
      <c r="W43" s="1361"/>
      <c r="X43" s="1361"/>
      <c r="Y43" s="1361"/>
      <c r="Z43" s="1361"/>
      <c r="AA43" s="1361"/>
      <c r="AB43" s="1604"/>
      <c r="AC43" s="1603"/>
    </row>
    <row r="44" spans="1:29" ht="13.5" customHeight="1">
      <c r="A44" s="1369"/>
      <c r="B44" s="1368"/>
      <c r="C44" s="1605"/>
      <c r="D44" s="1366"/>
      <c r="E44" s="1364"/>
      <c r="F44" s="1361"/>
      <c r="G44" s="1361"/>
      <c r="H44" s="1361"/>
      <c r="I44" s="1361"/>
      <c r="J44" s="1361"/>
      <c r="K44" s="1361"/>
      <c r="L44" s="1361"/>
      <c r="M44" s="1361"/>
      <c r="N44" s="1361"/>
      <c r="O44" s="1361"/>
      <c r="P44" s="1361"/>
      <c r="Q44" s="1361"/>
      <c r="R44" s="1361"/>
      <c r="S44" s="1361"/>
      <c r="T44" s="1361"/>
      <c r="U44" s="1361"/>
      <c r="V44" s="1361"/>
      <c r="W44" s="1361"/>
      <c r="X44" s="1361"/>
      <c r="Y44" s="1361"/>
      <c r="Z44" s="1361"/>
      <c r="AA44" s="1361"/>
      <c r="AB44" s="1604"/>
      <c r="AC44" s="1603"/>
    </row>
    <row r="45" spans="1:29" ht="13.5" customHeight="1">
      <c r="A45" s="1369"/>
      <c r="B45" s="1368"/>
      <c r="C45" s="1605"/>
      <c r="D45" s="1366"/>
      <c r="E45" s="1364"/>
      <c r="F45" s="1361"/>
      <c r="G45" s="1361"/>
      <c r="H45" s="1361"/>
      <c r="I45" s="1361"/>
      <c r="J45" s="1361"/>
      <c r="K45" s="1361"/>
      <c r="L45" s="1361"/>
      <c r="M45" s="1361"/>
      <c r="N45" s="1361"/>
      <c r="O45" s="1361"/>
      <c r="P45" s="1361"/>
      <c r="Q45" s="1361"/>
      <c r="R45" s="1361"/>
      <c r="S45" s="1361"/>
      <c r="T45" s="1361"/>
      <c r="U45" s="1361"/>
      <c r="V45" s="1361"/>
      <c r="W45" s="1361"/>
      <c r="X45" s="1361"/>
      <c r="Y45" s="1361"/>
      <c r="Z45" s="1361"/>
      <c r="AA45" s="1361"/>
      <c r="AB45" s="1604"/>
      <c r="AC45" s="1603"/>
    </row>
    <row r="46" spans="1:29" ht="13.5" customHeight="1">
      <c r="A46" s="1369"/>
      <c r="B46" s="1368"/>
      <c r="C46" s="1605"/>
      <c r="D46" s="1366"/>
      <c r="E46" s="1364"/>
      <c r="F46" s="1361"/>
      <c r="G46" s="1361"/>
      <c r="H46" s="1361"/>
      <c r="I46" s="1361"/>
      <c r="J46" s="1361"/>
      <c r="K46" s="1361"/>
      <c r="L46" s="1361"/>
      <c r="M46" s="1361"/>
      <c r="N46" s="1361"/>
      <c r="O46" s="1361"/>
      <c r="P46" s="1361"/>
      <c r="Q46" s="1361"/>
      <c r="R46" s="1361"/>
      <c r="S46" s="1361"/>
      <c r="T46" s="1361"/>
      <c r="U46" s="1361"/>
      <c r="V46" s="1361"/>
      <c r="W46" s="1361"/>
      <c r="X46" s="1361"/>
      <c r="Y46" s="1361"/>
      <c r="Z46" s="1361"/>
      <c r="AA46" s="1361"/>
      <c r="AB46" s="1604"/>
      <c r="AC46" s="1603"/>
    </row>
    <row r="47" spans="1:29" ht="13.5" customHeight="1">
      <c r="A47" s="1369"/>
      <c r="B47" s="1368"/>
      <c r="C47" s="1605"/>
      <c r="D47" s="1366"/>
      <c r="E47" s="1364"/>
      <c r="F47" s="1361"/>
      <c r="G47" s="1361"/>
      <c r="H47" s="1361"/>
      <c r="I47" s="1361"/>
      <c r="J47" s="1361"/>
      <c r="K47" s="1361"/>
      <c r="L47" s="1361"/>
      <c r="M47" s="1361"/>
      <c r="N47" s="1361"/>
      <c r="O47" s="1361"/>
      <c r="P47" s="1361"/>
      <c r="Q47" s="1361"/>
      <c r="R47" s="1361"/>
      <c r="S47" s="1361"/>
      <c r="T47" s="1361"/>
      <c r="U47" s="1361"/>
      <c r="V47" s="1361"/>
      <c r="W47" s="1361"/>
      <c r="X47" s="1361"/>
      <c r="Y47" s="1361"/>
      <c r="Z47" s="1361"/>
      <c r="AA47" s="1361"/>
      <c r="AB47" s="1604"/>
      <c r="AC47" s="1603"/>
    </row>
    <row r="48" spans="1:29" ht="13.5" customHeight="1">
      <c r="A48" s="1369"/>
      <c r="B48" s="1368"/>
      <c r="C48" s="1605"/>
      <c r="D48" s="1366"/>
      <c r="E48" s="1364"/>
      <c r="F48" s="1361"/>
      <c r="G48" s="1361"/>
      <c r="H48" s="1361"/>
      <c r="I48" s="1361"/>
      <c r="J48" s="1361"/>
      <c r="K48" s="1361"/>
      <c r="L48" s="1361"/>
      <c r="M48" s="1361"/>
      <c r="N48" s="1361"/>
      <c r="O48" s="1361"/>
      <c r="P48" s="1361"/>
      <c r="Q48" s="1361"/>
      <c r="R48" s="1361"/>
      <c r="S48" s="1361"/>
      <c r="T48" s="1361"/>
      <c r="U48" s="1361"/>
      <c r="V48" s="1361"/>
      <c r="W48" s="1361"/>
      <c r="X48" s="1361"/>
      <c r="Y48" s="1361"/>
      <c r="Z48" s="1361"/>
      <c r="AA48" s="1361"/>
      <c r="AB48" s="1604"/>
      <c r="AC48" s="1603"/>
    </row>
    <row r="49" spans="1:29" ht="13.5" customHeight="1">
      <c r="A49" s="1369"/>
      <c r="B49" s="1368"/>
      <c r="C49" s="1605"/>
      <c r="D49" s="1366"/>
      <c r="E49" s="1364"/>
      <c r="F49" s="1361"/>
      <c r="G49" s="1361"/>
      <c r="H49" s="1361"/>
      <c r="I49" s="1361"/>
      <c r="J49" s="1361"/>
      <c r="K49" s="1361"/>
      <c r="L49" s="1361"/>
      <c r="M49" s="1361"/>
      <c r="N49" s="1361"/>
      <c r="O49" s="1361"/>
      <c r="P49" s="1361"/>
      <c r="Q49" s="1361"/>
      <c r="R49" s="1361"/>
      <c r="S49" s="1361"/>
      <c r="T49" s="1361"/>
      <c r="U49" s="1361"/>
      <c r="V49" s="1361"/>
      <c r="W49" s="1361"/>
      <c r="X49" s="1361"/>
      <c r="Y49" s="1361"/>
      <c r="Z49" s="1361"/>
      <c r="AA49" s="1361"/>
      <c r="AB49" s="1604"/>
      <c r="AC49" s="1603"/>
    </row>
    <row r="50" spans="1:29" ht="13.5" customHeight="1">
      <c r="A50" s="1369"/>
      <c r="B50" s="1368"/>
      <c r="C50" s="1605"/>
      <c r="D50" s="1366"/>
      <c r="E50" s="1364"/>
      <c r="F50" s="1361"/>
      <c r="G50" s="1361"/>
      <c r="H50" s="1361"/>
      <c r="I50" s="1361"/>
      <c r="J50" s="1361"/>
      <c r="K50" s="1361"/>
      <c r="L50" s="1361"/>
      <c r="M50" s="1361"/>
      <c r="N50" s="1361"/>
      <c r="O50" s="1361"/>
      <c r="P50" s="1361"/>
      <c r="Q50" s="1361"/>
      <c r="R50" s="1361"/>
      <c r="S50" s="1361"/>
      <c r="T50" s="1361"/>
      <c r="U50" s="1361"/>
      <c r="V50" s="1361"/>
      <c r="W50" s="1361"/>
      <c r="X50" s="1361"/>
      <c r="Y50" s="1361"/>
      <c r="Z50" s="1361"/>
      <c r="AA50" s="1361"/>
      <c r="AB50" s="1604"/>
      <c r="AC50" s="1603"/>
    </row>
    <row r="51" spans="1:29" ht="13.5" customHeight="1">
      <c r="A51" s="1369"/>
      <c r="B51" s="1368"/>
      <c r="C51" s="1605"/>
      <c r="D51" s="1366"/>
      <c r="E51" s="1364"/>
      <c r="F51" s="1361"/>
      <c r="G51" s="1361"/>
      <c r="H51" s="1361"/>
      <c r="I51" s="1361"/>
      <c r="J51" s="1361"/>
      <c r="K51" s="1361"/>
      <c r="L51" s="1361"/>
      <c r="M51" s="1361"/>
      <c r="N51" s="1361"/>
      <c r="O51" s="1361"/>
      <c r="P51" s="1361"/>
      <c r="Q51" s="1361"/>
      <c r="R51" s="1361"/>
      <c r="S51" s="1361"/>
      <c r="T51" s="1361"/>
      <c r="U51" s="1361"/>
      <c r="V51" s="1361"/>
      <c r="W51" s="1361"/>
      <c r="X51" s="1361"/>
      <c r="Y51" s="1361"/>
      <c r="Z51" s="1361"/>
      <c r="AA51" s="1361"/>
      <c r="AB51" s="1604"/>
      <c r="AC51" s="1603"/>
    </row>
    <row r="52" spans="1:29" ht="13.5" customHeight="1">
      <c r="A52" s="1369"/>
      <c r="B52" s="1368"/>
      <c r="C52" s="1605"/>
      <c r="D52" s="1366"/>
      <c r="E52" s="1364"/>
      <c r="F52" s="1361"/>
      <c r="G52" s="1361"/>
      <c r="H52" s="1361"/>
      <c r="I52" s="1361"/>
      <c r="J52" s="1361"/>
      <c r="K52" s="1361"/>
      <c r="L52" s="1361"/>
      <c r="M52" s="1361"/>
      <c r="N52" s="1361"/>
      <c r="O52" s="1361"/>
      <c r="P52" s="1361"/>
      <c r="Q52" s="1361"/>
      <c r="R52" s="1361"/>
      <c r="S52" s="1361"/>
      <c r="T52" s="1361"/>
      <c r="U52" s="1361"/>
      <c r="V52" s="1361"/>
      <c r="W52" s="1361"/>
      <c r="X52" s="1361"/>
      <c r="Y52" s="1361"/>
      <c r="Z52" s="1361"/>
      <c r="AA52" s="1361"/>
      <c r="AB52" s="1604"/>
      <c r="AC52" s="1603"/>
    </row>
    <row r="53" spans="1:29" ht="13.5" customHeight="1">
      <c r="A53" s="1369"/>
      <c r="B53" s="1368"/>
      <c r="C53" s="1605"/>
      <c r="D53" s="1366"/>
      <c r="E53" s="1364"/>
      <c r="F53" s="1361"/>
      <c r="G53" s="1361"/>
      <c r="H53" s="1361"/>
      <c r="I53" s="1361"/>
      <c r="J53" s="1361"/>
      <c r="K53" s="1361"/>
      <c r="L53" s="1361"/>
      <c r="M53" s="1361"/>
      <c r="N53" s="1361"/>
      <c r="O53" s="1361"/>
      <c r="P53" s="1361"/>
      <c r="Q53" s="1361"/>
      <c r="R53" s="1361"/>
      <c r="S53" s="1361"/>
      <c r="T53" s="1361"/>
      <c r="U53" s="1361"/>
      <c r="V53" s="1361"/>
      <c r="W53" s="1361"/>
      <c r="X53" s="1361"/>
      <c r="Y53" s="1361"/>
      <c r="Z53" s="1361"/>
      <c r="AA53" s="1361"/>
      <c r="AB53" s="1604"/>
      <c r="AC53" s="1603"/>
    </row>
    <row r="54" spans="1:29" ht="13.5" customHeight="1">
      <c r="A54" s="1369"/>
      <c r="B54" s="1368"/>
      <c r="C54" s="1605"/>
      <c r="D54" s="1366"/>
      <c r="E54" s="1364"/>
      <c r="F54" s="1361"/>
      <c r="G54" s="1361"/>
      <c r="H54" s="1361"/>
      <c r="I54" s="1361"/>
      <c r="J54" s="1361"/>
      <c r="K54" s="1361"/>
      <c r="L54" s="1361"/>
      <c r="M54" s="1361"/>
      <c r="N54" s="1361"/>
      <c r="O54" s="1361"/>
      <c r="P54" s="1361"/>
      <c r="Q54" s="1361"/>
      <c r="R54" s="1361"/>
      <c r="S54" s="1361"/>
      <c r="T54" s="1361"/>
      <c r="U54" s="1361"/>
      <c r="V54" s="1361"/>
      <c r="W54" s="1361"/>
      <c r="X54" s="1361"/>
      <c r="Y54" s="1361"/>
      <c r="Z54" s="1361"/>
      <c r="AA54" s="1361"/>
      <c r="AB54" s="1604"/>
      <c r="AC54" s="1603"/>
    </row>
    <row r="55" spans="1:29" ht="13.5" customHeight="1" thickBot="1">
      <c r="A55" s="1434"/>
      <c r="B55" s="1435"/>
      <c r="C55" s="1629"/>
      <c r="D55" s="1437"/>
      <c r="E55" s="1439"/>
      <c r="F55" s="1440"/>
      <c r="G55" s="1440"/>
      <c r="H55" s="1440"/>
      <c r="I55" s="1440"/>
      <c r="J55" s="1440"/>
      <c r="K55" s="1440"/>
      <c r="L55" s="1440"/>
      <c r="M55" s="1440"/>
      <c r="N55" s="1440"/>
      <c r="O55" s="1440"/>
      <c r="P55" s="1440"/>
      <c r="Q55" s="1440"/>
      <c r="R55" s="1440"/>
      <c r="S55" s="1440"/>
      <c r="T55" s="1440"/>
      <c r="U55" s="1440"/>
      <c r="V55" s="1440"/>
      <c r="W55" s="1440"/>
      <c r="X55" s="1440"/>
      <c r="Y55" s="1440"/>
      <c r="Z55" s="1440"/>
      <c r="AA55" s="1440"/>
      <c r="AB55" s="1630"/>
      <c r="AC55" s="1631"/>
    </row>
    <row r="56" spans="1:29" ht="18.95" customHeight="1" thickTop="1" thickBot="1">
      <c r="A56" s="1701" t="s">
        <v>1259</v>
      </c>
      <c r="B56" s="1674"/>
      <c r="C56" s="1675"/>
      <c r="D56" s="1702">
        <v>71.19</v>
      </c>
      <c r="E56" s="1703">
        <v>0</v>
      </c>
      <c r="F56" s="1704">
        <v>0</v>
      </c>
      <c r="G56" s="1704">
        <v>0</v>
      </c>
      <c r="H56" s="1704">
        <v>0</v>
      </c>
      <c r="I56" s="1704">
        <v>0</v>
      </c>
      <c r="J56" s="1704">
        <v>0</v>
      </c>
      <c r="K56" s="1704">
        <v>0</v>
      </c>
      <c r="L56" s="1704">
        <v>0</v>
      </c>
      <c r="M56" s="1704">
        <v>9678</v>
      </c>
      <c r="N56" s="1704">
        <v>9258</v>
      </c>
      <c r="O56" s="1704">
        <v>8061</v>
      </c>
      <c r="P56" s="1704">
        <v>10354</v>
      </c>
      <c r="Q56" s="1704">
        <v>9207</v>
      </c>
      <c r="R56" s="1704">
        <v>11488</v>
      </c>
      <c r="S56" s="1705">
        <v>11842</v>
      </c>
      <c r="T56" s="1704">
        <v>11597</v>
      </c>
      <c r="U56" s="1704">
        <v>11038</v>
      </c>
      <c r="V56" s="1704">
        <v>9566</v>
      </c>
      <c r="W56" s="1704">
        <v>0</v>
      </c>
      <c r="X56" s="1704">
        <v>0</v>
      </c>
      <c r="Y56" s="1704">
        <v>0</v>
      </c>
      <c r="Z56" s="1704">
        <v>0</v>
      </c>
      <c r="AA56" s="1704">
        <v>0</v>
      </c>
      <c r="AB56" s="1704">
        <v>0</v>
      </c>
      <c r="AC56" s="1706"/>
    </row>
    <row r="57" spans="1:29" ht="13.5" customHeight="1" thickTop="1">
      <c r="A57" s="1681" t="s">
        <v>1247</v>
      </c>
      <c r="B57" s="1674"/>
      <c r="C57" s="1675"/>
      <c r="D57" s="1682">
        <v>71.19</v>
      </c>
      <c r="E57" s="1683">
        <v>0</v>
      </c>
      <c r="F57" s="1684">
        <v>0</v>
      </c>
      <c r="G57" s="1684">
        <v>0</v>
      </c>
      <c r="H57" s="1684">
        <v>0</v>
      </c>
      <c r="I57" s="1684">
        <v>0</v>
      </c>
      <c r="J57" s="1684">
        <v>0</v>
      </c>
      <c r="K57" s="1684">
        <v>0</v>
      </c>
      <c r="L57" s="1684">
        <v>0</v>
      </c>
      <c r="M57" s="1684">
        <v>10</v>
      </c>
      <c r="N57" s="1684">
        <v>10</v>
      </c>
      <c r="O57" s="1684">
        <v>8</v>
      </c>
      <c r="P57" s="1684">
        <v>11</v>
      </c>
      <c r="Q57" s="1684">
        <v>10</v>
      </c>
      <c r="R57" s="1684">
        <v>12</v>
      </c>
      <c r="S57" s="1685">
        <v>12</v>
      </c>
      <c r="T57" s="1684">
        <v>12</v>
      </c>
      <c r="U57" s="1684">
        <v>11</v>
      </c>
      <c r="V57" s="1684">
        <v>10</v>
      </c>
      <c r="W57" s="1684">
        <v>0</v>
      </c>
      <c r="X57" s="1684">
        <v>0</v>
      </c>
      <c r="Y57" s="1684">
        <v>0</v>
      </c>
      <c r="Z57" s="1684">
        <v>0</v>
      </c>
      <c r="AA57" s="1684">
        <v>0</v>
      </c>
      <c r="AB57" s="1684">
        <v>0</v>
      </c>
      <c r="AC57" s="1686"/>
    </row>
    <row r="58" spans="1:29" ht="13.5" customHeight="1">
      <c r="A58" s="1687" t="s">
        <v>1248</v>
      </c>
      <c r="B58" s="1628"/>
      <c r="C58" s="1688"/>
      <c r="D58" s="1689">
        <v>71.19</v>
      </c>
      <c r="E58" s="1690">
        <v>0</v>
      </c>
      <c r="F58" s="1691">
        <v>0</v>
      </c>
      <c r="G58" s="1691">
        <v>0</v>
      </c>
      <c r="H58" s="1691">
        <v>0</v>
      </c>
      <c r="I58" s="1691">
        <v>0</v>
      </c>
      <c r="J58" s="1691">
        <v>0</v>
      </c>
      <c r="K58" s="1691">
        <v>0</v>
      </c>
      <c r="L58" s="1691">
        <v>0</v>
      </c>
      <c r="M58" s="1691">
        <v>136</v>
      </c>
      <c r="N58" s="1691">
        <v>130</v>
      </c>
      <c r="O58" s="1691">
        <v>113</v>
      </c>
      <c r="P58" s="1691">
        <v>145</v>
      </c>
      <c r="Q58" s="1691">
        <v>129</v>
      </c>
      <c r="R58" s="1691">
        <v>161</v>
      </c>
      <c r="S58" s="1693">
        <v>166</v>
      </c>
      <c r="T58" s="1691">
        <v>163</v>
      </c>
      <c r="U58" s="1691">
        <v>155</v>
      </c>
      <c r="V58" s="1691">
        <v>134</v>
      </c>
      <c r="W58" s="1691">
        <v>0</v>
      </c>
      <c r="X58" s="1691">
        <v>0</v>
      </c>
      <c r="Y58" s="1691">
        <v>0</v>
      </c>
      <c r="Z58" s="1691">
        <v>0</v>
      </c>
      <c r="AA58" s="1691">
        <v>0</v>
      </c>
      <c r="AB58" s="1691">
        <v>0</v>
      </c>
      <c r="AC58" s="1692"/>
    </row>
    <row r="65" spans="3:26" s="1351" customFormat="1" ht="13.5" customHeight="1">
      <c r="C65" s="1464"/>
      <c r="D65" s="1464"/>
      <c r="E65" s="1464"/>
      <c r="G65" s="1352"/>
      <c r="K65" s="1352"/>
      <c r="N65" s="1352"/>
      <c r="Q65" s="1352"/>
      <c r="S65" s="1352"/>
      <c r="T65" s="1352"/>
      <c r="W65" s="1352"/>
      <c r="Z65" s="1352"/>
    </row>
    <row r="66" spans="3:26" s="1351" customFormat="1" ht="13.5" customHeight="1">
      <c r="C66" s="1464"/>
      <c r="D66" s="1464"/>
      <c r="E66" s="1464"/>
      <c r="F66" s="1356"/>
      <c r="G66" s="1352"/>
      <c r="J66" s="1356"/>
      <c r="K66" s="1352"/>
      <c r="N66" s="1352"/>
      <c r="P66" s="1356"/>
      <c r="Q66" s="1352"/>
      <c r="S66" s="1352"/>
      <c r="T66" s="1352"/>
      <c r="V66" s="1356"/>
      <c r="W66" s="1352"/>
      <c r="Z66" s="1352"/>
    </row>
    <row r="67" spans="3:26" s="1351" customFormat="1" ht="13.5" customHeight="1">
      <c r="C67" s="1464"/>
      <c r="D67" s="1464"/>
      <c r="E67" s="1464"/>
      <c r="F67" s="1354"/>
      <c r="G67" s="1352"/>
      <c r="J67" s="1354"/>
      <c r="K67" s="1352"/>
      <c r="N67" s="1352"/>
      <c r="P67" s="1354"/>
      <c r="Q67" s="1352"/>
      <c r="S67" s="1352"/>
      <c r="T67" s="1352"/>
      <c r="V67" s="1354"/>
      <c r="W67" s="1352"/>
      <c r="Z67" s="1352"/>
    </row>
    <row r="68" spans="3:26" s="1351" customFormat="1" ht="13.5" customHeight="1">
      <c r="C68" s="1353"/>
      <c r="D68" s="1353"/>
      <c r="E68" s="1353"/>
      <c r="F68" s="1352"/>
      <c r="J68" s="1352"/>
      <c r="P68" s="1352"/>
      <c r="V68" s="1352"/>
    </row>
  </sheetData>
  <mergeCells count="24">
    <mergeCell ref="A28:C28"/>
    <mergeCell ref="A56:C56"/>
    <mergeCell ref="A57:C57"/>
    <mergeCell ref="A58:C58"/>
    <mergeCell ref="C25:D25"/>
    <mergeCell ref="A10:C10"/>
    <mergeCell ref="A18:C18"/>
    <mergeCell ref="A26:C26"/>
    <mergeCell ref="A12:C12"/>
    <mergeCell ref="A20:C20"/>
    <mergeCell ref="A6:AC6"/>
    <mergeCell ref="A14:AC14"/>
    <mergeCell ref="A22:AC22"/>
    <mergeCell ref="A7:C7"/>
    <mergeCell ref="A15:C15"/>
    <mergeCell ref="A23:C23"/>
    <mergeCell ref="C9:D9"/>
    <mergeCell ref="C17:D17"/>
    <mergeCell ref="A4:A5"/>
    <mergeCell ref="B4:B5"/>
    <mergeCell ref="C4:C5"/>
    <mergeCell ref="D4:D5"/>
    <mergeCell ref="E4:AB4"/>
    <mergeCell ref="AC4:AC5"/>
  </mergeCells>
  <phoneticPr fontId="4"/>
  <pageMargins left="0.39370078740157483" right="0.39370078740157483" top="0.78740157480314965" bottom="0.55118110236220474" header="0.59055118110236227" footer="0.31496062992125984"/>
  <pageSetup paperSize="9" scale="54" fitToHeight="0" orientation="landscape" horizontalDpi="1200" verticalDpi="1200" r:id="rId1"/>
  <headerFooter scaleWithDoc="0" alignWithMargins="0">
    <oddFooter>&amp;C&amp;"ＭＳ Ｐゴシック,標準"&amp;9( &amp;P / &amp;N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C68"/>
  <sheetViews>
    <sheetView showGridLines="0" zoomScale="80" zoomScaleNormal="80" workbookViewId="0">
      <pane xSplit="4" ySplit="5" topLeftCell="E6" activePane="bottomRight" state="frozenSplit"/>
      <selection pane="topRight" activeCell="P1" sqref="P1"/>
      <selection pane="bottomLeft" activeCell="A17" sqref="A17"/>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28" width="7.7109375" style="1351" customWidth="1"/>
    <col min="29" max="29" width="14.7109375" style="1351" customWidth="1"/>
    <col min="30" max="16384" width="9.140625" style="1458"/>
  </cols>
  <sheetData>
    <row r="1" spans="1:29" s="1615" customFormat="1" ht="30" customHeight="1">
      <c r="A1" s="1623" t="s">
        <v>1260</v>
      </c>
      <c r="B1" s="1622"/>
      <c r="C1" s="1621"/>
      <c r="D1" s="1620"/>
      <c r="E1" s="1619"/>
      <c r="F1" s="1619"/>
      <c r="G1" s="1619"/>
      <c r="H1" s="1618"/>
      <c r="I1" s="1618"/>
      <c r="J1" s="1619"/>
      <c r="K1" s="1619"/>
      <c r="L1" s="1618"/>
      <c r="M1" s="1618"/>
      <c r="N1" s="1619"/>
      <c r="O1" s="1618"/>
      <c r="P1" s="1619"/>
      <c r="Q1" s="1619"/>
      <c r="R1" s="1618"/>
      <c r="S1" s="1619"/>
      <c r="T1" s="1619"/>
      <c r="U1" s="1618"/>
      <c r="V1" s="1619"/>
      <c r="W1" s="1619"/>
      <c r="X1" s="1618"/>
      <c r="Y1" s="1618"/>
      <c r="Z1" s="1619"/>
      <c r="AA1" s="1618"/>
      <c r="AB1" s="1617"/>
      <c r="AC1" s="1616"/>
    </row>
    <row r="4" spans="1:29" ht="13.5" customHeight="1">
      <c r="A4" s="1415" t="s">
        <v>394</v>
      </c>
      <c r="B4" s="1414" t="s">
        <v>370</v>
      </c>
      <c r="C4" s="1614" t="s">
        <v>1083</v>
      </c>
      <c r="D4" s="1613" t="s">
        <v>1082</v>
      </c>
      <c r="E4" s="1612" t="s">
        <v>1236</v>
      </c>
      <c r="F4" s="1611"/>
      <c r="G4" s="1611"/>
      <c r="H4" s="1611"/>
      <c r="I4" s="1611"/>
      <c r="J4" s="1611"/>
      <c r="K4" s="1611"/>
      <c r="L4" s="1611"/>
      <c r="M4" s="1611"/>
      <c r="N4" s="1611"/>
      <c r="O4" s="1611"/>
      <c r="P4" s="1611"/>
      <c r="Q4" s="1611"/>
      <c r="R4" s="1611"/>
      <c r="S4" s="1611"/>
      <c r="T4" s="1611"/>
      <c r="U4" s="1611"/>
      <c r="V4" s="1611"/>
      <c r="W4" s="1611"/>
      <c r="X4" s="1611"/>
      <c r="Y4" s="1611"/>
      <c r="Z4" s="1611"/>
      <c r="AA4" s="1611"/>
      <c r="AB4" s="1610"/>
      <c r="AC4" s="1609" t="s">
        <v>1235</v>
      </c>
    </row>
    <row r="5" spans="1:29" ht="13.5" customHeight="1">
      <c r="A5" s="1396"/>
      <c r="B5" s="1395"/>
      <c r="C5" s="1624"/>
      <c r="D5" s="1625"/>
      <c r="E5" s="1608">
        <v>1</v>
      </c>
      <c r="F5" s="1607">
        <v>2</v>
      </c>
      <c r="G5" s="1607">
        <v>3</v>
      </c>
      <c r="H5" s="1607">
        <v>4</v>
      </c>
      <c r="I5" s="1607">
        <v>5</v>
      </c>
      <c r="J5" s="1607">
        <v>6</v>
      </c>
      <c r="K5" s="1607">
        <v>7</v>
      </c>
      <c r="L5" s="1607">
        <v>8</v>
      </c>
      <c r="M5" s="1607">
        <v>9</v>
      </c>
      <c r="N5" s="1607">
        <v>10</v>
      </c>
      <c r="O5" s="1607">
        <v>11</v>
      </c>
      <c r="P5" s="1607">
        <v>12</v>
      </c>
      <c r="Q5" s="1607">
        <v>13</v>
      </c>
      <c r="R5" s="1607">
        <v>14</v>
      </c>
      <c r="S5" s="1607">
        <v>15</v>
      </c>
      <c r="T5" s="1607">
        <v>16</v>
      </c>
      <c r="U5" s="1607">
        <v>17</v>
      </c>
      <c r="V5" s="1607">
        <v>18</v>
      </c>
      <c r="W5" s="1607">
        <v>19</v>
      </c>
      <c r="X5" s="1607">
        <v>20</v>
      </c>
      <c r="Y5" s="1607">
        <v>21</v>
      </c>
      <c r="Z5" s="1607">
        <v>22</v>
      </c>
      <c r="AA5" s="1607">
        <v>23</v>
      </c>
      <c r="AB5" s="1606">
        <v>24</v>
      </c>
      <c r="AC5" s="1626"/>
    </row>
    <row r="6" spans="1:29" ht="13.5" customHeight="1">
      <c r="A6" s="1632" t="s">
        <v>420</v>
      </c>
      <c r="B6" s="1633"/>
      <c r="C6" s="1633"/>
      <c r="D6" s="1633"/>
      <c r="E6" s="1633"/>
      <c r="F6" s="1633"/>
      <c r="G6" s="1633"/>
      <c r="H6" s="1633"/>
      <c r="I6" s="1633"/>
      <c r="J6" s="1633"/>
      <c r="K6" s="1633"/>
      <c r="L6" s="1633"/>
      <c r="M6" s="1633"/>
      <c r="N6" s="1633"/>
      <c r="O6" s="1633"/>
      <c r="P6" s="1633"/>
      <c r="Q6" s="1633"/>
      <c r="R6" s="1633"/>
      <c r="S6" s="1633"/>
      <c r="T6" s="1633"/>
      <c r="U6" s="1633"/>
      <c r="V6" s="1633"/>
      <c r="W6" s="1633"/>
      <c r="X6" s="1633"/>
      <c r="Y6" s="1633"/>
      <c r="Z6" s="1633"/>
      <c r="AA6" s="1633"/>
      <c r="AB6" s="1633"/>
      <c r="AC6" s="1634"/>
    </row>
    <row r="7" spans="1:29" ht="13.5" customHeight="1">
      <c r="A7" s="1641" t="s">
        <v>1261</v>
      </c>
      <c r="B7" s="1642"/>
      <c r="C7" s="1643"/>
      <c r="D7" s="1636"/>
      <c r="E7" s="1637"/>
      <c r="F7" s="1638"/>
      <c r="G7" s="1638"/>
      <c r="H7" s="1638"/>
      <c r="I7" s="1638"/>
      <c r="J7" s="1638"/>
      <c r="K7" s="1638"/>
      <c r="L7" s="1638"/>
      <c r="M7" s="1638"/>
      <c r="N7" s="1638"/>
      <c r="O7" s="1638"/>
      <c r="P7" s="1638"/>
      <c r="Q7" s="1638"/>
      <c r="R7" s="1638"/>
      <c r="S7" s="1638"/>
      <c r="T7" s="1638"/>
      <c r="U7" s="1638"/>
      <c r="V7" s="1638"/>
      <c r="W7" s="1638"/>
      <c r="X7" s="1638"/>
      <c r="Y7" s="1638"/>
      <c r="Z7" s="1638"/>
      <c r="AA7" s="1638"/>
      <c r="AB7" s="1639"/>
      <c r="AC7" s="1640"/>
    </row>
    <row r="8" spans="1:29" ht="13.5" customHeight="1">
      <c r="A8" s="1434">
        <v>2</v>
      </c>
      <c r="B8" s="1435">
        <v>202</v>
      </c>
      <c r="C8" s="1654" t="s">
        <v>1012</v>
      </c>
      <c r="D8" s="1437">
        <v>68</v>
      </c>
      <c r="E8" s="1439">
        <v>42044</v>
      </c>
      <c r="F8" s="1440">
        <v>41611</v>
      </c>
      <c r="G8" s="1440">
        <v>41394</v>
      </c>
      <c r="H8" s="1440">
        <v>40853</v>
      </c>
      <c r="I8" s="1440">
        <v>40528</v>
      </c>
      <c r="J8" s="1440">
        <v>41069</v>
      </c>
      <c r="K8" s="1440">
        <v>41936</v>
      </c>
      <c r="L8" s="1440">
        <v>42911</v>
      </c>
      <c r="M8" s="1440">
        <v>43886</v>
      </c>
      <c r="N8" s="1440">
        <v>44861</v>
      </c>
      <c r="O8" s="1440">
        <v>45186</v>
      </c>
      <c r="P8" s="1440">
        <v>46594</v>
      </c>
      <c r="Q8" s="1440">
        <v>46161</v>
      </c>
      <c r="R8" s="1440">
        <v>45403</v>
      </c>
      <c r="S8" s="1440">
        <v>45403</v>
      </c>
      <c r="T8" s="1440">
        <v>45078</v>
      </c>
      <c r="U8" s="1440">
        <v>44319</v>
      </c>
      <c r="V8" s="1440">
        <v>43561</v>
      </c>
      <c r="W8" s="1440">
        <v>42586</v>
      </c>
      <c r="X8" s="1440">
        <v>42153</v>
      </c>
      <c r="Y8" s="1440">
        <v>42369</v>
      </c>
      <c r="Z8" s="1440">
        <v>42261</v>
      </c>
      <c r="AA8" s="1440">
        <v>42261</v>
      </c>
      <c r="AB8" s="1630">
        <v>42369</v>
      </c>
      <c r="AC8" s="1631"/>
    </row>
    <row r="9" spans="1:29" ht="13.5" customHeight="1" thickBot="1">
      <c r="A9" s="1694"/>
      <c r="B9" s="1695"/>
      <c r="C9" s="1696" t="s">
        <v>1257</v>
      </c>
      <c r="D9" s="1697"/>
      <c r="E9" s="1698">
        <v>1362</v>
      </c>
      <c r="F9" s="1699">
        <v>1362</v>
      </c>
      <c r="G9" s="1699">
        <v>1362</v>
      </c>
      <c r="H9" s="1699">
        <v>1362</v>
      </c>
      <c r="I9" s="1699">
        <v>1362</v>
      </c>
      <c r="J9" s="1699">
        <v>1362</v>
      </c>
      <c r="K9" s="1699">
        <v>1362</v>
      </c>
      <c r="L9" s="1699">
        <v>1362</v>
      </c>
      <c r="M9" s="1699">
        <v>1362</v>
      </c>
      <c r="N9" s="1699">
        <v>1362</v>
      </c>
      <c r="O9" s="1699">
        <v>1362</v>
      </c>
      <c r="P9" s="1699">
        <v>1362</v>
      </c>
      <c r="Q9" s="1699">
        <v>1362</v>
      </c>
      <c r="R9" s="1699">
        <v>1362</v>
      </c>
      <c r="S9" s="1699">
        <v>1362</v>
      </c>
      <c r="T9" s="1699">
        <v>1362</v>
      </c>
      <c r="U9" s="1699">
        <v>1362</v>
      </c>
      <c r="V9" s="1699">
        <v>1362</v>
      </c>
      <c r="W9" s="1699">
        <v>1362</v>
      </c>
      <c r="X9" s="1699">
        <v>1362</v>
      </c>
      <c r="Y9" s="1699">
        <v>1362</v>
      </c>
      <c r="Z9" s="1699">
        <v>1362</v>
      </c>
      <c r="AA9" s="1699">
        <v>1362</v>
      </c>
      <c r="AB9" s="1699">
        <v>1362</v>
      </c>
      <c r="AC9" s="1700"/>
    </row>
    <row r="10" spans="1:29" ht="13.5" customHeight="1" thickTop="1">
      <c r="A10" s="1651" t="s">
        <v>1262</v>
      </c>
      <c r="B10" s="1652"/>
      <c r="C10" s="1653"/>
      <c r="D10" s="1647">
        <v>68</v>
      </c>
      <c r="E10" s="1648">
        <v>43406</v>
      </c>
      <c r="F10" s="1649">
        <v>42973</v>
      </c>
      <c r="G10" s="1649">
        <v>42756</v>
      </c>
      <c r="H10" s="1649">
        <v>42215</v>
      </c>
      <c r="I10" s="1649">
        <v>41890</v>
      </c>
      <c r="J10" s="1649">
        <v>42431</v>
      </c>
      <c r="K10" s="1649">
        <v>43298</v>
      </c>
      <c r="L10" s="1649">
        <v>44273</v>
      </c>
      <c r="M10" s="1649">
        <v>45248</v>
      </c>
      <c r="N10" s="1649">
        <v>46223</v>
      </c>
      <c r="O10" s="1649">
        <v>46548</v>
      </c>
      <c r="P10" s="1649">
        <v>47956</v>
      </c>
      <c r="Q10" s="1649">
        <v>47523</v>
      </c>
      <c r="R10" s="1649">
        <v>46765</v>
      </c>
      <c r="S10" s="1649">
        <v>46765</v>
      </c>
      <c r="T10" s="1649">
        <v>46440</v>
      </c>
      <c r="U10" s="1649">
        <v>45681</v>
      </c>
      <c r="V10" s="1649">
        <v>44923</v>
      </c>
      <c r="W10" s="1649">
        <v>43948</v>
      </c>
      <c r="X10" s="1649">
        <v>43515</v>
      </c>
      <c r="Y10" s="1649">
        <v>43731</v>
      </c>
      <c r="Z10" s="1649">
        <v>43623</v>
      </c>
      <c r="AA10" s="1649">
        <v>43623</v>
      </c>
      <c r="AB10" s="1649">
        <v>43731</v>
      </c>
      <c r="AC10" s="1650"/>
    </row>
    <row r="11" spans="1:29" ht="13.5" customHeight="1">
      <c r="A11" s="1434"/>
      <c r="B11" s="1435"/>
      <c r="C11" s="1654"/>
      <c r="D11" s="1437"/>
      <c r="E11" s="1439"/>
      <c r="F11" s="1440"/>
      <c r="G11" s="1440"/>
      <c r="H11" s="1440"/>
      <c r="I11" s="1440"/>
      <c r="J11" s="1440"/>
      <c r="K11" s="1440"/>
      <c r="L11" s="1440"/>
      <c r="M11" s="1440"/>
      <c r="N11" s="1440"/>
      <c r="O11" s="1440"/>
      <c r="P11" s="1440"/>
      <c r="Q11" s="1440"/>
      <c r="R11" s="1440"/>
      <c r="S11" s="1440"/>
      <c r="T11" s="1440"/>
      <c r="U11" s="1440"/>
      <c r="V11" s="1440"/>
      <c r="W11" s="1440"/>
      <c r="X11" s="1440"/>
      <c r="Y11" s="1440"/>
      <c r="Z11" s="1440"/>
      <c r="AA11" s="1440"/>
      <c r="AB11" s="1630"/>
      <c r="AC11" s="1631"/>
    </row>
    <row r="12" spans="1:29" ht="13.5" customHeight="1">
      <c r="A12" s="1641" t="s">
        <v>1263</v>
      </c>
      <c r="B12" s="1642"/>
      <c r="C12" s="1643"/>
      <c r="D12" s="1636"/>
      <c r="E12" s="1637"/>
      <c r="F12" s="1638"/>
      <c r="G12" s="1638"/>
      <c r="H12" s="1638"/>
      <c r="I12" s="1638"/>
      <c r="J12" s="1638"/>
      <c r="K12" s="1638"/>
      <c r="L12" s="1638"/>
      <c r="M12" s="1638"/>
      <c r="N12" s="1638"/>
      <c r="O12" s="1638"/>
      <c r="P12" s="1638"/>
      <c r="Q12" s="1638"/>
      <c r="R12" s="1638"/>
      <c r="S12" s="1638"/>
      <c r="T12" s="1638"/>
      <c r="U12" s="1638"/>
      <c r="V12" s="1638"/>
      <c r="W12" s="1638"/>
      <c r="X12" s="1638"/>
      <c r="Y12" s="1638"/>
      <c r="Z12" s="1638"/>
      <c r="AA12" s="1638"/>
      <c r="AB12" s="1639"/>
      <c r="AC12" s="1640"/>
    </row>
    <row r="13" spans="1:29" ht="13.5" customHeight="1">
      <c r="A13" s="1434">
        <v>2</v>
      </c>
      <c r="B13" s="1435" t="s">
        <v>1048</v>
      </c>
      <c r="C13" s="1654" t="s">
        <v>1049</v>
      </c>
      <c r="D13" s="1437">
        <v>0</v>
      </c>
      <c r="E13" s="1439">
        <v>0</v>
      </c>
      <c r="F13" s="1440">
        <v>0</v>
      </c>
      <c r="G13" s="1440">
        <v>0</v>
      </c>
      <c r="H13" s="1440">
        <v>0</v>
      </c>
      <c r="I13" s="1440">
        <v>0</v>
      </c>
      <c r="J13" s="1440">
        <v>0</v>
      </c>
      <c r="K13" s="1440">
        <v>0</v>
      </c>
      <c r="L13" s="1440">
        <v>0</v>
      </c>
      <c r="M13" s="1440">
        <v>27456</v>
      </c>
      <c r="N13" s="1440">
        <v>28248</v>
      </c>
      <c r="O13" s="1440">
        <v>28512</v>
      </c>
      <c r="P13" s="1440">
        <v>29656</v>
      </c>
      <c r="Q13" s="1440">
        <v>29304</v>
      </c>
      <c r="R13" s="1440">
        <v>28688</v>
      </c>
      <c r="S13" s="1440">
        <v>28688</v>
      </c>
      <c r="T13" s="1440">
        <v>28424</v>
      </c>
      <c r="U13" s="1440">
        <v>27808</v>
      </c>
      <c r="V13" s="1440">
        <v>27192</v>
      </c>
      <c r="W13" s="1440">
        <v>0</v>
      </c>
      <c r="X13" s="1440">
        <v>0</v>
      </c>
      <c r="Y13" s="1440">
        <v>0</v>
      </c>
      <c r="Z13" s="1440">
        <v>0</v>
      </c>
      <c r="AA13" s="1440">
        <v>0</v>
      </c>
      <c r="AB13" s="1630">
        <v>0</v>
      </c>
      <c r="AC13" s="1631"/>
    </row>
    <row r="14" spans="1:29" ht="13.5" customHeight="1" thickBot="1">
      <c r="A14" s="1694"/>
      <c r="B14" s="1695"/>
      <c r="C14" s="1696" t="s">
        <v>1257</v>
      </c>
      <c r="D14" s="1697"/>
      <c r="E14" s="1698">
        <v>0</v>
      </c>
      <c r="F14" s="1699">
        <v>0</v>
      </c>
      <c r="G14" s="1699">
        <v>0</v>
      </c>
      <c r="H14" s="1699">
        <v>0</v>
      </c>
      <c r="I14" s="1699">
        <v>0</v>
      </c>
      <c r="J14" s="1699">
        <v>0</v>
      </c>
      <c r="K14" s="1699">
        <v>0</v>
      </c>
      <c r="L14" s="1699">
        <v>0</v>
      </c>
      <c r="M14" s="1699">
        <v>1045</v>
      </c>
      <c r="N14" s="1699">
        <v>1045</v>
      </c>
      <c r="O14" s="1699">
        <v>1045</v>
      </c>
      <c r="P14" s="1699">
        <v>1045</v>
      </c>
      <c r="Q14" s="1699">
        <v>1045</v>
      </c>
      <c r="R14" s="1699">
        <v>1045</v>
      </c>
      <c r="S14" s="1699">
        <v>1045</v>
      </c>
      <c r="T14" s="1699">
        <v>1045</v>
      </c>
      <c r="U14" s="1699">
        <v>1045</v>
      </c>
      <c r="V14" s="1699">
        <v>1045</v>
      </c>
      <c r="W14" s="1699">
        <v>0</v>
      </c>
      <c r="X14" s="1699">
        <v>0</v>
      </c>
      <c r="Y14" s="1699">
        <v>0</v>
      </c>
      <c r="Z14" s="1699">
        <v>0</v>
      </c>
      <c r="AA14" s="1699">
        <v>0</v>
      </c>
      <c r="AB14" s="1699">
        <v>0</v>
      </c>
      <c r="AC14" s="1700"/>
    </row>
    <row r="15" spans="1:29" ht="13.5" customHeight="1" thickTop="1">
      <c r="A15" s="1651" t="s">
        <v>1264</v>
      </c>
      <c r="B15" s="1652"/>
      <c r="C15" s="1653"/>
      <c r="D15" s="1647">
        <v>0</v>
      </c>
      <c r="E15" s="1648">
        <v>0</v>
      </c>
      <c r="F15" s="1649">
        <v>0</v>
      </c>
      <c r="G15" s="1649">
        <v>0</v>
      </c>
      <c r="H15" s="1649">
        <v>0</v>
      </c>
      <c r="I15" s="1649">
        <v>0</v>
      </c>
      <c r="J15" s="1649">
        <v>0</v>
      </c>
      <c r="K15" s="1649">
        <v>0</v>
      </c>
      <c r="L15" s="1649">
        <v>0</v>
      </c>
      <c r="M15" s="1649">
        <v>28501</v>
      </c>
      <c r="N15" s="1649">
        <v>29293</v>
      </c>
      <c r="O15" s="1649">
        <v>29557</v>
      </c>
      <c r="P15" s="1649">
        <v>30701</v>
      </c>
      <c r="Q15" s="1649">
        <v>30349</v>
      </c>
      <c r="R15" s="1649">
        <v>29733</v>
      </c>
      <c r="S15" s="1649">
        <v>29733</v>
      </c>
      <c r="T15" s="1649">
        <v>29469</v>
      </c>
      <c r="U15" s="1649">
        <v>28853</v>
      </c>
      <c r="V15" s="1649">
        <v>28237</v>
      </c>
      <c r="W15" s="1649">
        <v>0</v>
      </c>
      <c r="X15" s="1649">
        <v>0</v>
      </c>
      <c r="Y15" s="1649">
        <v>0</v>
      </c>
      <c r="Z15" s="1649">
        <v>0</v>
      </c>
      <c r="AA15" s="1649">
        <v>0</v>
      </c>
      <c r="AB15" s="1649">
        <v>0</v>
      </c>
      <c r="AC15" s="1650"/>
    </row>
    <row r="16" spans="1:29" ht="13.5" customHeight="1" thickBot="1">
      <c r="A16" s="1434"/>
      <c r="B16" s="1435"/>
      <c r="C16" s="1654"/>
      <c r="D16" s="1437"/>
      <c r="E16" s="1439"/>
      <c r="F16" s="1440"/>
      <c r="G16" s="1440"/>
      <c r="H16" s="1440"/>
      <c r="I16" s="1440"/>
      <c r="J16" s="1440"/>
      <c r="K16" s="1440"/>
      <c r="L16" s="1440"/>
      <c r="M16" s="1440"/>
      <c r="N16" s="1440"/>
      <c r="O16" s="1440"/>
      <c r="P16" s="1440"/>
      <c r="Q16" s="1440"/>
      <c r="R16" s="1440"/>
      <c r="S16" s="1440"/>
      <c r="T16" s="1440"/>
      <c r="U16" s="1440"/>
      <c r="V16" s="1440"/>
      <c r="W16" s="1440"/>
      <c r="X16" s="1440"/>
      <c r="Y16" s="1440"/>
      <c r="Z16" s="1440"/>
      <c r="AA16" s="1440"/>
      <c r="AB16" s="1630"/>
      <c r="AC16" s="1631"/>
    </row>
    <row r="17" spans="1:29" ht="13.5" customHeight="1" thickTop="1">
      <c r="A17" s="1659" t="s">
        <v>1241</v>
      </c>
      <c r="B17" s="1660"/>
      <c r="C17" s="1660"/>
      <c r="D17" s="1655">
        <v>68</v>
      </c>
      <c r="E17" s="1656">
        <v>43406</v>
      </c>
      <c r="F17" s="1657">
        <v>42973</v>
      </c>
      <c r="G17" s="1657">
        <v>42756</v>
      </c>
      <c r="H17" s="1657">
        <v>42215</v>
      </c>
      <c r="I17" s="1657">
        <v>41890</v>
      </c>
      <c r="J17" s="1657">
        <v>42431</v>
      </c>
      <c r="K17" s="1657">
        <v>43298</v>
      </c>
      <c r="L17" s="1657">
        <v>44273</v>
      </c>
      <c r="M17" s="1657">
        <v>73749</v>
      </c>
      <c r="N17" s="1657">
        <v>75516</v>
      </c>
      <c r="O17" s="1657">
        <v>76105</v>
      </c>
      <c r="P17" s="1657">
        <v>78657</v>
      </c>
      <c r="Q17" s="1657">
        <v>77872</v>
      </c>
      <c r="R17" s="1657">
        <v>76498</v>
      </c>
      <c r="S17" s="1657">
        <v>76498</v>
      </c>
      <c r="T17" s="1657">
        <v>75909</v>
      </c>
      <c r="U17" s="1657">
        <v>74534</v>
      </c>
      <c r="V17" s="1657">
        <v>73160</v>
      </c>
      <c r="W17" s="1657">
        <v>43948</v>
      </c>
      <c r="X17" s="1657">
        <v>43515</v>
      </c>
      <c r="Y17" s="1657">
        <v>43731</v>
      </c>
      <c r="Z17" s="1657">
        <v>43623</v>
      </c>
      <c r="AA17" s="1657">
        <v>43623</v>
      </c>
      <c r="AB17" s="1657">
        <v>43731</v>
      </c>
      <c r="AC17" s="1658"/>
    </row>
    <row r="18" spans="1:29" ht="13.5" customHeight="1">
      <c r="A18" s="1434"/>
      <c r="B18" s="1435"/>
      <c r="C18" s="1654"/>
      <c r="D18" s="1437"/>
      <c r="E18" s="1439"/>
      <c r="F18" s="1440"/>
      <c r="G18" s="1440"/>
      <c r="H18" s="1440"/>
      <c r="I18" s="1440"/>
      <c r="J18" s="1440"/>
      <c r="K18" s="1440"/>
      <c r="L18" s="1440"/>
      <c r="M18" s="1440"/>
      <c r="N18" s="1440"/>
      <c r="O18" s="1440"/>
      <c r="P18" s="1440"/>
      <c r="Q18" s="1440"/>
      <c r="R18" s="1440"/>
      <c r="S18" s="1440"/>
      <c r="T18" s="1440"/>
      <c r="U18" s="1440"/>
      <c r="V18" s="1440"/>
      <c r="W18" s="1440"/>
      <c r="X18" s="1440"/>
      <c r="Y18" s="1440"/>
      <c r="Z18" s="1440"/>
      <c r="AA18" s="1440"/>
      <c r="AB18" s="1630"/>
      <c r="AC18" s="1631"/>
    </row>
    <row r="19" spans="1:29" ht="13.5" customHeight="1">
      <c r="A19" s="1644" t="s">
        <v>421</v>
      </c>
      <c r="B19" s="1633"/>
      <c r="C19" s="1633"/>
      <c r="D19" s="1633"/>
      <c r="E19" s="1633"/>
      <c r="F19" s="1633"/>
      <c r="G19" s="1633"/>
      <c r="H19" s="1633"/>
      <c r="I19" s="1633"/>
      <c r="J19" s="1633"/>
      <c r="K19" s="1633"/>
      <c r="L19" s="1633"/>
      <c r="M19" s="1633"/>
      <c r="N19" s="1633"/>
      <c r="O19" s="1633"/>
      <c r="P19" s="1633"/>
      <c r="Q19" s="1633"/>
      <c r="R19" s="1633"/>
      <c r="S19" s="1633"/>
      <c r="T19" s="1633"/>
      <c r="U19" s="1633"/>
      <c r="V19" s="1633"/>
      <c r="W19" s="1633"/>
      <c r="X19" s="1633"/>
      <c r="Y19" s="1633"/>
      <c r="Z19" s="1633"/>
      <c r="AA19" s="1633"/>
      <c r="AB19" s="1633"/>
      <c r="AC19" s="1634"/>
    </row>
    <row r="20" spans="1:29" ht="13.5" customHeight="1">
      <c r="A20" s="1641" t="s">
        <v>1261</v>
      </c>
      <c r="B20" s="1642"/>
      <c r="C20" s="1643"/>
      <c r="D20" s="1636"/>
      <c r="E20" s="1637"/>
      <c r="F20" s="1638"/>
      <c r="G20" s="1638"/>
      <c r="H20" s="1638"/>
      <c r="I20" s="1638"/>
      <c r="J20" s="1638"/>
      <c r="K20" s="1638"/>
      <c r="L20" s="1638"/>
      <c r="M20" s="1638"/>
      <c r="N20" s="1638"/>
      <c r="O20" s="1638"/>
      <c r="P20" s="1638"/>
      <c r="Q20" s="1638"/>
      <c r="R20" s="1638"/>
      <c r="S20" s="1638"/>
      <c r="T20" s="1638"/>
      <c r="U20" s="1638"/>
      <c r="V20" s="1638"/>
      <c r="W20" s="1638"/>
      <c r="X20" s="1638"/>
      <c r="Y20" s="1638"/>
      <c r="Z20" s="1638"/>
      <c r="AA20" s="1638"/>
      <c r="AB20" s="1639"/>
      <c r="AC20" s="1640"/>
    </row>
    <row r="21" spans="1:29" ht="13.5" customHeight="1">
      <c r="A21" s="1434">
        <v>2</v>
      </c>
      <c r="B21" s="1435">
        <v>202</v>
      </c>
      <c r="C21" s="1654" t="s">
        <v>1012</v>
      </c>
      <c r="D21" s="1437">
        <v>68</v>
      </c>
      <c r="E21" s="1439">
        <v>36303</v>
      </c>
      <c r="F21" s="1440">
        <v>36194</v>
      </c>
      <c r="G21" s="1440">
        <v>35978</v>
      </c>
      <c r="H21" s="1440">
        <v>35761</v>
      </c>
      <c r="I21" s="1440">
        <v>35436</v>
      </c>
      <c r="J21" s="1440">
        <v>35761</v>
      </c>
      <c r="K21" s="1440">
        <v>36411</v>
      </c>
      <c r="L21" s="1440">
        <v>37494</v>
      </c>
      <c r="M21" s="1440">
        <v>38361</v>
      </c>
      <c r="N21" s="1440">
        <v>39228</v>
      </c>
      <c r="O21" s="1440">
        <v>40203</v>
      </c>
      <c r="P21" s="1440">
        <v>40961</v>
      </c>
      <c r="Q21" s="1440">
        <v>41394</v>
      </c>
      <c r="R21" s="1440">
        <v>40636</v>
      </c>
      <c r="S21" s="1440">
        <v>40419</v>
      </c>
      <c r="T21" s="1440">
        <v>40203</v>
      </c>
      <c r="U21" s="1440">
        <v>40203</v>
      </c>
      <c r="V21" s="1440">
        <v>39444</v>
      </c>
      <c r="W21" s="1440">
        <v>38361</v>
      </c>
      <c r="X21" s="1440">
        <v>37494</v>
      </c>
      <c r="Y21" s="1440">
        <v>37061</v>
      </c>
      <c r="Z21" s="1440">
        <v>36736</v>
      </c>
      <c r="AA21" s="1440">
        <v>36844</v>
      </c>
      <c r="AB21" s="1630">
        <v>36844</v>
      </c>
      <c r="AC21" s="1631"/>
    </row>
    <row r="22" spans="1:29" ht="13.5" customHeight="1" thickBot="1">
      <c r="A22" s="1694"/>
      <c r="B22" s="1695"/>
      <c r="C22" s="1696" t="s">
        <v>1257</v>
      </c>
      <c r="D22" s="1697"/>
      <c r="E22" s="1698">
        <v>1362</v>
      </c>
      <c r="F22" s="1699">
        <v>1362</v>
      </c>
      <c r="G22" s="1699">
        <v>1362</v>
      </c>
      <c r="H22" s="1699">
        <v>1362</v>
      </c>
      <c r="I22" s="1699">
        <v>1362</v>
      </c>
      <c r="J22" s="1699">
        <v>1362</v>
      </c>
      <c r="K22" s="1699">
        <v>1362</v>
      </c>
      <c r="L22" s="1699">
        <v>1362</v>
      </c>
      <c r="M22" s="1699">
        <v>1362</v>
      </c>
      <c r="N22" s="1699">
        <v>1362</v>
      </c>
      <c r="O22" s="1699">
        <v>1362</v>
      </c>
      <c r="P22" s="1699">
        <v>1362</v>
      </c>
      <c r="Q22" s="1699">
        <v>1362</v>
      </c>
      <c r="R22" s="1699">
        <v>1362</v>
      </c>
      <c r="S22" s="1699">
        <v>1362</v>
      </c>
      <c r="T22" s="1699">
        <v>1362</v>
      </c>
      <c r="U22" s="1699">
        <v>1362</v>
      </c>
      <c r="V22" s="1699">
        <v>1362</v>
      </c>
      <c r="W22" s="1699">
        <v>1362</v>
      </c>
      <c r="X22" s="1699">
        <v>1362</v>
      </c>
      <c r="Y22" s="1699">
        <v>1362</v>
      </c>
      <c r="Z22" s="1699">
        <v>1362</v>
      </c>
      <c r="AA22" s="1699">
        <v>1362</v>
      </c>
      <c r="AB22" s="1699">
        <v>1362</v>
      </c>
      <c r="AC22" s="1700"/>
    </row>
    <row r="23" spans="1:29" ht="13.5" customHeight="1" thickTop="1">
      <c r="A23" s="1651" t="s">
        <v>1262</v>
      </c>
      <c r="B23" s="1652"/>
      <c r="C23" s="1653"/>
      <c r="D23" s="1647">
        <v>68</v>
      </c>
      <c r="E23" s="1648">
        <v>37665</v>
      </c>
      <c r="F23" s="1649">
        <v>37556</v>
      </c>
      <c r="G23" s="1649">
        <v>37340</v>
      </c>
      <c r="H23" s="1649">
        <v>37123</v>
      </c>
      <c r="I23" s="1649">
        <v>36798</v>
      </c>
      <c r="J23" s="1649">
        <v>37123</v>
      </c>
      <c r="K23" s="1649">
        <v>37773</v>
      </c>
      <c r="L23" s="1649">
        <v>38856</v>
      </c>
      <c r="M23" s="1649">
        <v>39723</v>
      </c>
      <c r="N23" s="1649">
        <v>40590</v>
      </c>
      <c r="O23" s="1649">
        <v>41565</v>
      </c>
      <c r="P23" s="1649">
        <v>42323</v>
      </c>
      <c r="Q23" s="1649">
        <v>42756</v>
      </c>
      <c r="R23" s="1649">
        <v>41998</v>
      </c>
      <c r="S23" s="1649">
        <v>41781</v>
      </c>
      <c r="T23" s="1649">
        <v>41565</v>
      </c>
      <c r="U23" s="1649">
        <v>41565</v>
      </c>
      <c r="V23" s="1649">
        <v>40806</v>
      </c>
      <c r="W23" s="1649">
        <v>39723</v>
      </c>
      <c r="X23" s="1649">
        <v>38856</v>
      </c>
      <c r="Y23" s="1649">
        <v>38423</v>
      </c>
      <c r="Z23" s="1649">
        <v>38098</v>
      </c>
      <c r="AA23" s="1649">
        <v>38206</v>
      </c>
      <c r="AB23" s="1649">
        <v>38206</v>
      </c>
      <c r="AC23" s="1650"/>
    </row>
    <row r="24" spans="1:29" ht="13.5" customHeight="1">
      <c r="A24" s="1434"/>
      <c r="B24" s="1435"/>
      <c r="C24" s="1654"/>
      <c r="D24" s="1437"/>
      <c r="E24" s="1439"/>
      <c r="F24" s="1440"/>
      <c r="G24" s="1440"/>
      <c r="H24" s="1440"/>
      <c r="I24" s="1440"/>
      <c r="J24" s="1440"/>
      <c r="K24" s="1440"/>
      <c r="L24" s="1440"/>
      <c r="M24" s="1440"/>
      <c r="N24" s="1440"/>
      <c r="O24" s="1440"/>
      <c r="P24" s="1440"/>
      <c r="Q24" s="1440"/>
      <c r="R24" s="1440"/>
      <c r="S24" s="1440"/>
      <c r="T24" s="1440"/>
      <c r="U24" s="1440"/>
      <c r="V24" s="1440"/>
      <c r="W24" s="1440"/>
      <c r="X24" s="1440"/>
      <c r="Y24" s="1440"/>
      <c r="Z24" s="1440"/>
      <c r="AA24" s="1440"/>
      <c r="AB24" s="1630"/>
      <c r="AC24" s="1631"/>
    </row>
    <row r="25" spans="1:29" ht="13.5" customHeight="1">
      <c r="A25" s="1641" t="s">
        <v>1263</v>
      </c>
      <c r="B25" s="1642"/>
      <c r="C25" s="1643"/>
      <c r="D25" s="1636"/>
      <c r="E25" s="1637"/>
      <c r="F25" s="1638"/>
      <c r="G25" s="1638"/>
      <c r="H25" s="1638"/>
      <c r="I25" s="1638"/>
      <c r="J25" s="1638"/>
      <c r="K25" s="1638"/>
      <c r="L25" s="1638"/>
      <c r="M25" s="1638"/>
      <c r="N25" s="1638"/>
      <c r="O25" s="1638"/>
      <c r="P25" s="1638"/>
      <c r="Q25" s="1638"/>
      <c r="R25" s="1638"/>
      <c r="S25" s="1638"/>
      <c r="T25" s="1638"/>
      <c r="U25" s="1638"/>
      <c r="V25" s="1638"/>
      <c r="W25" s="1638"/>
      <c r="X25" s="1638"/>
      <c r="Y25" s="1638"/>
      <c r="Z25" s="1638"/>
      <c r="AA25" s="1638"/>
      <c r="AB25" s="1639"/>
      <c r="AC25" s="1640"/>
    </row>
    <row r="26" spans="1:29" ht="13.5" customHeight="1">
      <c r="A26" s="1434">
        <v>2</v>
      </c>
      <c r="B26" s="1435" t="s">
        <v>1048</v>
      </c>
      <c r="C26" s="1654" t="s">
        <v>1049</v>
      </c>
      <c r="D26" s="1437">
        <v>0</v>
      </c>
      <c r="E26" s="1439">
        <v>0</v>
      </c>
      <c r="F26" s="1440">
        <v>0</v>
      </c>
      <c r="G26" s="1440">
        <v>0</v>
      </c>
      <c r="H26" s="1440">
        <v>0</v>
      </c>
      <c r="I26" s="1440">
        <v>0</v>
      </c>
      <c r="J26" s="1440">
        <v>0</v>
      </c>
      <c r="K26" s="1440">
        <v>0</v>
      </c>
      <c r="L26" s="1440">
        <v>0</v>
      </c>
      <c r="M26" s="1440">
        <v>22968</v>
      </c>
      <c r="N26" s="1440">
        <v>23672</v>
      </c>
      <c r="O26" s="1440">
        <v>24464</v>
      </c>
      <c r="P26" s="1440">
        <v>25080</v>
      </c>
      <c r="Q26" s="1440">
        <v>25432</v>
      </c>
      <c r="R26" s="1440">
        <v>24816</v>
      </c>
      <c r="S26" s="1440">
        <v>24640</v>
      </c>
      <c r="T26" s="1440">
        <v>24464</v>
      </c>
      <c r="U26" s="1440">
        <v>24464</v>
      </c>
      <c r="V26" s="1440">
        <v>23848</v>
      </c>
      <c r="W26" s="1440">
        <v>0</v>
      </c>
      <c r="X26" s="1440">
        <v>0</v>
      </c>
      <c r="Y26" s="1440">
        <v>0</v>
      </c>
      <c r="Z26" s="1440">
        <v>0</v>
      </c>
      <c r="AA26" s="1440">
        <v>0</v>
      </c>
      <c r="AB26" s="1630">
        <v>0</v>
      </c>
      <c r="AC26" s="1631"/>
    </row>
    <row r="27" spans="1:29" ht="13.5" customHeight="1" thickBot="1">
      <c r="A27" s="1694"/>
      <c r="B27" s="1695"/>
      <c r="C27" s="1696" t="s">
        <v>1257</v>
      </c>
      <c r="D27" s="1697"/>
      <c r="E27" s="1698">
        <v>0</v>
      </c>
      <c r="F27" s="1699">
        <v>0</v>
      </c>
      <c r="G27" s="1699">
        <v>0</v>
      </c>
      <c r="H27" s="1699">
        <v>0</v>
      </c>
      <c r="I27" s="1699">
        <v>0</v>
      </c>
      <c r="J27" s="1699">
        <v>0</v>
      </c>
      <c r="K27" s="1699">
        <v>0</v>
      </c>
      <c r="L27" s="1699">
        <v>0</v>
      </c>
      <c r="M27" s="1699">
        <v>1045</v>
      </c>
      <c r="N27" s="1699">
        <v>1045</v>
      </c>
      <c r="O27" s="1699">
        <v>1045</v>
      </c>
      <c r="P27" s="1699">
        <v>1045</v>
      </c>
      <c r="Q27" s="1699">
        <v>1045</v>
      </c>
      <c r="R27" s="1699">
        <v>1045</v>
      </c>
      <c r="S27" s="1699">
        <v>1045</v>
      </c>
      <c r="T27" s="1699">
        <v>1045</v>
      </c>
      <c r="U27" s="1699">
        <v>1045</v>
      </c>
      <c r="V27" s="1699">
        <v>1045</v>
      </c>
      <c r="W27" s="1699">
        <v>0</v>
      </c>
      <c r="X27" s="1699">
        <v>0</v>
      </c>
      <c r="Y27" s="1699">
        <v>0</v>
      </c>
      <c r="Z27" s="1699">
        <v>0</v>
      </c>
      <c r="AA27" s="1699">
        <v>0</v>
      </c>
      <c r="AB27" s="1699">
        <v>0</v>
      </c>
      <c r="AC27" s="1700"/>
    </row>
    <row r="28" spans="1:29" ht="13.5" customHeight="1" thickTop="1">
      <c r="A28" s="1651" t="s">
        <v>1264</v>
      </c>
      <c r="B28" s="1652"/>
      <c r="C28" s="1653"/>
      <c r="D28" s="1647">
        <v>0</v>
      </c>
      <c r="E28" s="1648">
        <v>0</v>
      </c>
      <c r="F28" s="1649">
        <v>0</v>
      </c>
      <c r="G28" s="1649">
        <v>0</v>
      </c>
      <c r="H28" s="1649">
        <v>0</v>
      </c>
      <c r="I28" s="1649">
        <v>0</v>
      </c>
      <c r="J28" s="1649">
        <v>0</v>
      </c>
      <c r="K28" s="1649">
        <v>0</v>
      </c>
      <c r="L28" s="1649">
        <v>0</v>
      </c>
      <c r="M28" s="1649">
        <v>24013</v>
      </c>
      <c r="N28" s="1649">
        <v>24717</v>
      </c>
      <c r="O28" s="1649">
        <v>25509</v>
      </c>
      <c r="P28" s="1649">
        <v>26125</v>
      </c>
      <c r="Q28" s="1649">
        <v>26477</v>
      </c>
      <c r="R28" s="1649">
        <v>25861</v>
      </c>
      <c r="S28" s="1649">
        <v>25685</v>
      </c>
      <c r="T28" s="1649">
        <v>25509</v>
      </c>
      <c r="U28" s="1649">
        <v>25509</v>
      </c>
      <c r="V28" s="1649">
        <v>24893</v>
      </c>
      <c r="W28" s="1649">
        <v>0</v>
      </c>
      <c r="X28" s="1649">
        <v>0</v>
      </c>
      <c r="Y28" s="1649">
        <v>0</v>
      </c>
      <c r="Z28" s="1649">
        <v>0</v>
      </c>
      <c r="AA28" s="1649">
        <v>0</v>
      </c>
      <c r="AB28" s="1649">
        <v>0</v>
      </c>
      <c r="AC28" s="1650"/>
    </row>
    <row r="29" spans="1:29" ht="13.5" customHeight="1" thickBot="1">
      <c r="A29" s="1434"/>
      <c r="B29" s="1435"/>
      <c r="C29" s="1654"/>
      <c r="D29" s="1437"/>
      <c r="E29" s="1439"/>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B29" s="1630"/>
      <c r="AC29" s="1631"/>
    </row>
    <row r="30" spans="1:29" ht="13.5" customHeight="1" thickTop="1">
      <c r="A30" s="1665" t="s">
        <v>1243</v>
      </c>
      <c r="B30" s="1666"/>
      <c r="C30" s="1666"/>
      <c r="D30" s="1661">
        <v>68</v>
      </c>
      <c r="E30" s="1662">
        <v>37665</v>
      </c>
      <c r="F30" s="1663">
        <v>37556</v>
      </c>
      <c r="G30" s="1663">
        <v>37340</v>
      </c>
      <c r="H30" s="1663">
        <v>37123</v>
      </c>
      <c r="I30" s="1663">
        <v>36798</v>
      </c>
      <c r="J30" s="1663">
        <v>37123</v>
      </c>
      <c r="K30" s="1663">
        <v>37773</v>
      </c>
      <c r="L30" s="1663">
        <v>38856</v>
      </c>
      <c r="M30" s="1663">
        <v>63736</v>
      </c>
      <c r="N30" s="1663">
        <v>65307</v>
      </c>
      <c r="O30" s="1663">
        <v>67074</v>
      </c>
      <c r="P30" s="1663">
        <v>68448</v>
      </c>
      <c r="Q30" s="1663">
        <v>69233</v>
      </c>
      <c r="R30" s="1663">
        <v>67859</v>
      </c>
      <c r="S30" s="1663">
        <v>67466</v>
      </c>
      <c r="T30" s="1663">
        <v>67074</v>
      </c>
      <c r="U30" s="1663">
        <v>67074</v>
      </c>
      <c r="V30" s="1663">
        <v>65699</v>
      </c>
      <c r="W30" s="1663">
        <v>39723</v>
      </c>
      <c r="X30" s="1663">
        <v>38856</v>
      </c>
      <c r="Y30" s="1663">
        <v>38423</v>
      </c>
      <c r="Z30" s="1663">
        <v>38098</v>
      </c>
      <c r="AA30" s="1663">
        <v>38206</v>
      </c>
      <c r="AB30" s="1663">
        <v>38206</v>
      </c>
      <c r="AC30" s="1664"/>
    </row>
    <row r="31" spans="1:29" ht="13.5" customHeight="1">
      <c r="A31" s="1434"/>
      <c r="B31" s="1435"/>
      <c r="C31" s="1654"/>
      <c r="D31" s="1437"/>
      <c r="E31" s="1439"/>
      <c r="F31" s="1440"/>
      <c r="G31" s="1440"/>
      <c r="H31" s="1440"/>
      <c r="I31" s="1440"/>
      <c r="J31" s="1440"/>
      <c r="K31" s="1440"/>
      <c r="L31" s="1440"/>
      <c r="M31" s="1440"/>
      <c r="N31" s="1440"/>
      <c r="O31" s="1440"/>
      <c r="P31" s="1440"/>
      <c r="Q31" s="1440"/>
      <c r="R31" s="1440"/>
      <c r="S31" s="1440"/>
      <c r="T31" s="1440"/>
      <c r="U31" s="1440"/>
      <c r="V31" s="1440"/>
      <c r="W31" s="1440"/>
      <c r="X31" s="1440"/>
      <c r="Y31" s="1440"/>
      <c r="Z31" s="1440"/>
      <c r="AA31" s="1440"/>
      <c r="AB31" s="1630"/>
      <c r="AC31" s="1631"/>
    </row>
    <row r="32" spans="1:29" ht="13.5" customHeight="1">
      <c r="A32" s="1645" t="s">
        <v>422</v>
      </c>
      <c r="B32" s="1633"/>
      <c r="C32" s="1633"/>
      <c r="D32" s="1633"/>
      <c r="E32" s="1633"/>
      <c r="F32" s="1633"/>
      <c r="G32" s="1633"/>
      <c r="H32" s="1633"/>
      <c r="I32" s="1633"/>
      <c r="J32" s="1633"/>
      <c r="K32" s="1633"/>
      <c r="L32" s="1633"/>
      <c r="M32" s="1633"/>
      <c r="N32" s="1633"/>
      <c r="O32" s="1633"/>
      <c r="P32" s="1633"/>
      <c r="Q32" s="1633"/>
      <c r="R32" s="1633"/>
      <c r="S32" s="1633"/>
      <c r="T32" s="1633"/>
      <c r="U32" s="1633"/>
      <c r="V32" s="1633"/>
      <c r="W32" s="1633"/>
      <c r="X32" s="1633"/>
      <c r="Y32" s="1633"/>
      <c r="Z32" s="1633"/>
      <c r="AA32" s="1633"/>
      <c r="AB32" s="1633"/>
      <c r="AC32" s="1634"/>
    </row>
    <row r="33" spans="1:29" ht="13.5" customHeight="1">
      <c r="A33" s="1641" t="s">
        <v>1261</v>
      </c>
      <c r="B33" s="1642"/>
      <c r="C33" s="1643"/>
      <c r="D33" s="1636"/>
      <c r="E33" s="1637"/>
      <c r="F33" s="1638"/>
      <c r="G33" s="1638"/>
      <c r="H33" s="1638"/>
      <c r="I33" s="1638"/>
      <c r="J33" s="1638"/>
      <c r="K33" s="1638"/>
      <c r="L33" s="1638"/>
      <c r="M33" s="1638"/>
      <c r="N33" s="1638"/>
      <c r="O33" s="1638"/>
      <c r="P33" s="1638"/>
      <c r="Q33" s="1638"/>
      <c r="R33" s="1638"/>
      <c r="S33" s="1638"/>
      <c r="T33" s="1638"/>
      <c r="U33" s="1638"/>
      <c r="V33" s="1638"/>
      <c r="W33" s="1638"/>
      <c r="X33" s="1638"/>
      <c r="Y33" s="1638"/>
      <c r="Z33" s="1638"/>
      <c r="AA33" s="1638"/>
      <c r="AB33" s="1639"/>
      <c r="AC33" s="1640"/>
    </row>
    <row r="34" spans="1:29" ht="13.5" customHeight="1">
      <c r="A34" s="1434">
        <v>2</v>
      </c>
      <c r="B34" s="1435">
        <v>202</v>
      </c>
      <c r="C34" s="1654" t="s">
        <v>1012</v>
      </c>
      <c r="D34" s="1437">
        <v>68</v>
      </c>
      <c r="E34" s="1439">
        <v>30778</v>
      </c>
      <c r="F34" s="1440">
        <v>30128</v>
      </c>
      <c r="G34" s="1440">
        <v>29586</v>
      </c>
      <c r="H34" s="1440">
        <v>28828</v>
      </c>
      <c r="I34" s="1440">
        <v>27853</v>
      </c>
      <c r="J34" s="1440">
        <v>27528</v>
      </c>
      <c r="K34" s="1440">
        <v>27961</v>
      </c>
      <c r="L34" s="1440">
        <v>28503</v>
      </c>
      <c r="M34" s="1440">
        <v>28828</v>
      </c>
      <c r="N34" s="1440">
        <v>30019</v>
      </c>
      <c r="O34" s="1440">
        <v>30128</v>
      </c>
      <c r="P34" s="1440">
        <v>30561</v>
      </c>
      <c r="Q34" s="1440">
        <v>30236</v>
      </c>
      <c r="R34" s="1440">
        <v>29694</v>
      </c>
      <c r="S34" s="1440">
        <v>29478</v>
      </c>
      <c r="T34" s="1440">
        <v>29586</v>
      </c>
      <c r="U34" s="1440">
        <v>29044</v>
      </c>
      <c r="V34" s="1440">
        <v>29586</v>
      </c>
      <c r="W34" s="1440">
        <v>30561</v>
      </c>
      <c r="X34" s="1440">
        <v>32186</v>
      </c>
      <c r="Y34" s="1440">
        <v>33161</v>
      </c>
      <c r="Z34" s="1440">
        <v>33269</v>
      </c>
      <c r="AA34" s="1440">
        <v>32511</v>
      </c>
      <c r="AB34" s="1630">
        <v>31753</v>
      </c>
      <c r="AC34" s="1631"/>
    </row>
    <row r="35" spans="1:29" ht="13.5" customHeight="1" thickBot="1">
      <c r="A35" s="1694"/>
      <c r="B35" s="1695"/>
      <c r="C35" s="1696" t="s">
        <v>1257</v>
      </c>
      <c r="D35" s="1697"/>
      <c r="E35" s="1698">
        <v>1362</v>
      </c>
      <c r="F35" s="1699">
        <v>1362</v>
      </c>
      <c r="G35" s="1699">
        <v>1362</v>
      </c>
      <c r="H35" s="1699">
        <v>1362</v>
      </c>
      <c r="I35" s="1699">
        <v>1362</v>
      </c>
      <c r="J35" s="1699">
        <v>1362</v>
      </c>
      <c r="K35" s="1699">
        <v>1362</v>
      </c>
      <c r="L35" s="1699">
        <v>1362</v>
      </c>
      <c r="M35" s="1699">
        <v>1362</v>
      </c>
      <c r="N35" s="1699">
        <v>1362</v>
      </c>
      <c r="O35" s="1699">
        <v>1362</v>
      </c>
      <c r="P35" s="1699">
        <v>1362</v>
      </c>
      <c r="Q35" s="1699">
        <v>1362</v>
      </c>
      <c r="R35" s="1699">
        <v>1362</v>
      </c>
      <c r="S35" s="1699">
        <v>1362</v>
      </c>
      <c r="T35" s="1699">
        <v>1362</v>
      </c>
      <c r="U35" s="1699">
        <v>1362</v>
      </c>
      <c r="V35" s="1699">
        <v>1362</v>
      </c>
      <c r="W35" s="1699">
        <v>1362</v>
      </c>
      <c r="X35" s="1699">
        <v>1362</v>
      </c>
      <c r="Y35" s="1699">
        <v>1362</v>
      </c>
      <c r="Z35" s="1699">
        <v>1362</v>
      </c>
      <c r="AA35" s="1699">
        <v>1362</v>
      </c>
      <c r="AB35" s="1699">
        <v>1362</v>
      </c>
      <c r="AC35" s="1700"/>
    </row>
    <row r="36" spans="1:29" ht="13.5" customHeight="1" thickTop="1">
      <c r="A36" s="1651" t="s">
        <v>1262</v>
      </c>
      <c r="B36" s="1652"/>
      <c r="C36" s="1653"/>
      <c r="D36" s="1647">
        <v>68</v>
      </c>
      <c r="E36" s="1648">
        <v>32140</v>
      </c>
      <c r="F36" s="1649">
        <v>31490</v>
      </c>
      <c r="G36" s="1649">
        <v>30948</v>
      </c>
      <c r="H36" s="1649">
        <v>30190</v>
      </c>
      <c r="I36" s="1649">
        <v>29215</v>
      </c>
      <c r="J36" s="1649">
        <v>28890</v>
      </c>
      <c r="K36" s="1649">
        <v>29323</v>
      </c>
      <c r="L36" s="1649">
        <v>29865</v>
      </c>
      <c r="M36" s="1649">
        <v>30190</v>
      </c>
      <c r="N36" s="1649">
        <v>31381</v>
      </c>
      <c r="O36" s="1649">
        <v>31490</v>
      </c>
      <c r="P36" s="1649">
        <v>31923</v>
      </c>
      <c r="Q36" s="1649">
        <v>31598</v>
      </c>
      <c r="R36" s="1649">
        <v>31056</v>
      </c>
      <c r="S36" s="1649">
        <v>30840</v>
      </c>
      <c r="T36" s="1649">
        <v>30948</v>
      </c>
      <c r="U36" s="1649">
        <v>30406</v>
      </c>
      <c r="V36" s="1649">
        <v>30948</v>
      </c>
      <c r="W36" s="1649">
        <v>31923</v>
      </c>
      <c r="X36" s="1649">
        <v>33548</v>
      </c>
      <c r="Y36" s="1649">
        <v>34523</v>
      </c>
      <c r="Z36" s="1649">
        <v>34631</v>
      </c>
      <c r="AA36" s="1649">
        <v>33873</v>
      </c>
      <c r="AB36" s="1649">
        <v>33115</v>
      </c>
      <c r="AC36" s="1650"/>
    </row>
    <row r="37" spans="1:29" ht="13.5" customHeight="1">
      <c r="A37" s="1434"/>
      <c r="B37" s="1435"/>
      <c r="C37" s="1654"/>
      <c r="D37" s="1437"/>
      <c r="E37" s="1439"/>
      <c r="F37" s="1440"/>
      <c r="G37" s="1440"/>
      <c r="H37" s="1440"/>
      <c r="I37" s="1440"/>
      <c r="J37" s="1440"/>
      <c r="K37" s="1440"/>
      <c r="L37" s="1440"/>
      <c r="M37" s="1440"/>
      <c r="N37" s="1440"/>
      <c r="O37" s="1440"/>
      <c r="P37" s="1440"/>
      <c r="Q37" s="1440"/>
      <c r="R37" s="1440"/>
      <c r="S37" s="1440"/>
      <c r="T37" s="1440"/>
      <c r="U37" s="1440"/>
      <c r="V37" s="1440"/>
      <c r="W37" s="1440"/>
      <c r="X37" s="1440"/>
      <c r="Y37" s="1440"/>
      <c r="Z37" s="1440"/>
      <c r="AA37" s="1440"/>
      <c r="AB37" s="1630"/>
      <c r="AC37" s="1631"/>
    </row>
    <row r="38" spans="1:29" ht="13.5" customHeight="1">
      <c r="A38" s="1641" t="s">
        <v>1263</v>
      </c>
      <c r="B38" s="1642"/>
      <c r="C38" s="1643"/>
      <c r="D38" s="1636"/>
      <c r="E38" s="1637"/>
      <c r="F38" s="1638"/>
      <c r="G38" s="1638"/>
      <c r="H38" s="1638"/>
      <c r="I38" s="1638"/>
      <c r="J38" s="1638"/>
      <c r="K38" s="1638"/>
      <c r="L38" s="1638"/>
      <c r="M38" s="1638"/>
      <c r="N38" s="1638"/>
      <c r="O38" s="1638"/>
      <c r="P38" s="1638"/>
      <c r="Q38" s="1638"/>
      <c r="R38" s="1638"/>
      <c r="S38" s="1638"/>
      <c r="T38" s="1638"/>
      <c r="U38" s="1638"/>
      <c r="V38" s="1638"/>
      <c r="W38" s="1638"/>
      <c r="X38" s="1638"/>
      <c r="Y38" s="1638"/>
      <c r="Z38" s="1638"/>
      <c r="AA38" s="1638"/>
      <c r="AB38" s="1639"/>
      <c r="AC38" s="1640"/>
    </row>
    <row r="39" spans="1:29" ht="13.5" customHeight="1">
      <c r="A39" s="1434">
        <v>2</v>
      </c>
      <c r="B39" s="1435" t="s">
        <v>1048</v>
      </c>
      <c r="C39" s="1654" t="s">
        <v>1049</v>
      </c>
      <c r="D39" s="1437">
        <v>0</v>
      </c>
      <c r="E39" s="1439">
        <v>0</v>
      </c>
      <c r="F39" s="1440">
        <v>0</v>
      </c>
      <c r="G39" s="1440">
        <v>0</v>
      </c>
      <c r="H39" s="1440">
        <v>0</v>
      </c>
      <c r="I39" s="1440">
        <v>0</v>
      </c>
      <c r="J39" s="1440">
        <v>0</v>
      </c>
      <c r="K39" s="1440">
        <v>0</v>
      </c>
      <c r="L39" s="1440">
        <v>0</v>
      </c>
      <c r="M39" s="1440">
        <v>15224</v>
      </c>
      <c r="N39" s="1440">
        <v>16192</v>
      </c>
      <c r="O39" s="1440">
        <v>16280</v>
      </c>
      <c r="P39" s="1440">
        <v>16632</v>
      </c>
      <c r="Q39" s="1440">
        <v>16368</v>
      </c>
      <c r="R39" s="1440">
        <v>15928</v>
      </c>
      <c r="S39" s="1440">
        <v>15752</v>
      </c>
      <c r="T39" s="1440">
        <v>15840</v>
      </c>
      <c r="U39" s="1440">
        <v>15400</v>
      </c>
      <c r="V39" s="1440">
        <v>15840</v>
      </c>
      <c r="W39" s="1440">
        <v>0</v>
      </c>
      <c r="X39" s="1440">
        <v>0</v>
      </c>
      <c r="Y39" s="1440">
        <v>0</v>
      </c>
      <c r="Z39" s="1440">
        <v>0</v>
      </c>
      <c r="AA39" s="1440">
        <v>0</v>
      </c>
      <c r="AB39" s="1630">
        <v>0</v>
      </c>
      <c r="AC39" s="1631"/>
    </row>
    <row r="40" spans="1:29" ht="13.5" customHeight="1" thickBot="1">
      <c r="A40" s="1694"/>
      <c r="B40" s="1695"/>
      <c r="C40" s="1696" t="s">
        <v>1257</v>
      </c>
      <c r="D40" s="1697"/>
      <c r="E40" s="1698">
        <v>0</v>
      </c>
      <c r="F40" s="1699">
        <v>0</v>
      </c>
      <c r="G40" s="1699">
        <v>0</v>
      </c>
      <c r="H40" s="1699">
        <v>0</v>
      </c>
      <c r="I40" s="1699">
        <v>0</v>
      </c>
      <c r="J40" s="1699">
        <v>0</v>
      </c>
      <c r="K40" s="1699">
        <v>0</v>
      </c>
      <c r="L40" s="1699">
        <v>0</v>
      </c>
      <c r="M40" s="1699">
        <v>1045</v>
      </c>
      <c r="N40" s="1699">
        <v>1045</v>
      </c>
      <c r="O40" s="1699">
        <v>1045</v>
      </c>
      <c r="P40" s="1699">
        <v>1045</v>
      </c>
      <c r="Q40" s="1699">
        <v>1045</v>
      </c>
      <c r="R40" s="1699">
        <v>1045</v>
      </c>
      <c r="S40" s="1699">
        <v>1045</v>
      </c>
      <c r="T40" s="1699">
        <v>1045</v>
      </c>
      <c r="U40" s="1699">
        <v>1045</v>
      </c>
      <c r="V40" s="1699">
        <v>1045</v>
      </c>
      <c r="W40" s="1699">
        <v>0</v>
      </c>
      <c r="X40" s="1699">
        <v>0</v>
      </c>
      <c r="Y40" s="1699">
        <v>0</v>
      </c>
      <c r="Z40" s="1699">
        <v>0</v>
      </c>
      <c r="AA40" s="1699">
        <v>0</v>
      </c>
      <c r="AB40" s="1699">
        <v>0</v>
      </c>
      <c r="AC40" s="1700"/>
    </row>
    <row r="41" spans="1:29" ht="13.5" customHeight="1" thickTop="1">
      <c r="A41" s="1651" t="s">
        <v>1264</v>
      </c>
      <c r="B41" s="1652"/>
      <c r="C41" s="1653"/>
      <c r="D41" s="1647">
        <v>0</v>
      </c>
      <c r="E41" s="1648">
        <v>0</v>
      </c>
      <c r="F41" s="1649">
        <v>0</v>
      </c>
      <c r="G41" s="1649">
        <v>0</v>
      </c>
      <c r="H41" s="1649">
        <v>0</v>
      </c>
      <c r="I41" s="1649">
        <v>0</v>
      </c>
      <c r="J41" s="1649">
        <v>0</v>
      </c>
      <c r="K41" s="1649">
        <v>0</v>
      </c>
      <c r="L41" s="1649">
        <v>0</v>
      </c>
      <c r="M41" s="1649">
        <v>16269</v>
      </c>
      <c r="N41" s="1649">
        <v>17237</v>
      </c>
      <c r="O41" s="1649">
        <v>17325</v>
      </c>
      <c r="P41" s="1649">
        <v>17677</v>
      </c>
      <c r="Q41" s="1649">
        <v>17413</v>
      </c>
      <c r="R41" s="1649">
        <v>16973</v>
      </c>
      <c r="S41" s="1649">
        <v>16797</v>
      </c>
      <c r="T41" s="1649">
        <v>16885</v>
      </c>
      <c r="U41" s="1649">
        <v>16445</v>
      </c>
      <c r="V41" s="1649">
        <v>16885</v>
      </c>
      <c r="W41" s="1649">
        <v>0</v>
      </c>
      <c r="X41" s="1649">
        <v>0</v>
      </c>
      <c r="Y41" s="1649">
        <v>0</v>
      </c>
      <c r="Z41" s="1649">
        <v>0</v>
      </c>
      <c r="AA41" s="1649">
        <v>0</v>
      </c>
      <c r="AB41" s="1649">
        <v>0</v>
      </c>
      <c r="AC41" s="1650"/>
    </row>
    <row r="42" spans="1:29" ht="13.5" customHeight="1" thickBot="1">
      <c r="A42" s="1434"/>
      <c r="B42" s="1435"/>
      <c r="C42" s="1654"/>
      <c r="D42" s="1437"/>
      <c r="E42" s="1439"/>
      <c r="F42" s="1440"/>
      <c r="G42" s="1440"/>
      <c r="H42" s="1440"/>
      <c r="I42" s="1440"/>
      <c r="J42" s="1440"/>
      <c r="K42" s="1440"/>
      <c r="L42" s="1440"/>
      <c r="M42" s="1440"/>
      <c r="N42" s="1440"/>
      <c r="O42" s="1440"/>
      <c r="P42" s="1440"/>
      <c r="Q42" s="1440"/>
      <c r="R42" s="1440"/>
      <c r="S42" s="1440"/>
      <c r="T42" s="1440"/>
      <c r="U42" s="1440"/>
      <c r="V42" s="1440"/>
      <c r="W42" s="1440"/>
      <c r="X42" s="1440"/>
      <c r="Y42" s="1440"/>
      <c r="Z42" s="1440"/>
      <c r="AA42" s="1440"/>
      <c r="AB42" s="1630"/>
      <c r="AC42" s="1631"/>
    </row>
    <row r="43" spans="1:29" ht="13.5" customHeight="1" thickTop="1">
      <c r="A43" s="1671" t="s">
        <v>1245</v>
      </c>
      <c r="B43" s="1672"/>
      <c r="C43" s="1672"/>
      <c r="D43" s="1667">
        <v>68</v>
      </c>
      <c r="E43" s="1668">
        <v>32140</v>
      </c>
      <c r="F43" s="1669">
        <v>31490</v>
      </c>
      <c r="G43" s="1669">
        <v>30948</v>
      </c>
      <c r="H43" s="1669">
        <v>30190</v>
      </c>
      <c r="I43" s="1669">
        <v>29215</v>
      </c>
      <c r="J43" s="1669">
        <v>28890</v>
      </c>
      <c r="K43" s="1669">
        <v>29323</v>
      </c>
      <c r="L43" s="1669">
        <v>29865</v>
      </c>
      <c r="M43" s="1669">
        <v>46459</v>
      </c>
      <c r="N43" s="1669">
        <v>48618</v>
      </c>
      <c r="O43" s="1669">
        <v>48815</v>
      </c>
      <c r="P43" s="1669">
        <v>49600</v>
      </c>
      <c r="Q43" s="1669">
        <v>49011</v>
      </c>
      <c r="R43" s="1669">
        <v>48029</v>
      </c>
      <c r="S43" s="1669">
        <v>47637</v>
      </c>
      <c r="T43" s="1669">
        <v>47833</v>
      </c>
      <c r="U43" s="1669">
        <v>46851</v>
      </c>
      <c r="V43" s="1669">
        <v>47833</v>
      </c>
      <c r="W43" s="1669">
        <v>31923</v>
      </c>
      <c r="X43" s="1669">
        <v>33548</v>
      </c>
      <c r="Y43" s="1669">
        <v>34523</v>
      </c>
      <c r="Z43" s="1669">
        <v>34631</v>
      </c>
      <c r="AA43" s="1669">
        <v>33873</v>
      </c>
      <c r="AB43" s="1669">
        <v>33115</v>
      </c>
      <c r="AC43" s="1670"/>
    </row>
    <row r="44" spans="1:29" ht="13.5" customHeight="1">
      <c r="A44" s="1369"/>
      <c r="B44" s="1368"/>
      <c r="C44" s="1627"/>
      <c r="D44" s="1366"/>
      <c r="E44" s="1364"/>
      <c r="F44" s="1361"/>
      <c r="G44" s="1361"/>
      <c r="H44" s="1361"/>
      <c r="I44" s="1361"/>
      <c r="J44" s="1361"/>
      <c r="K44" s="1361"/>
      <c r="L44" s="1361"/>
      <c r="M44" s="1361"/>
      <c r="N44" s="1361"/>
      <c r="O44" s="1361"/>
      <c r="P44" s="1361"/>
      <c r="Q44" s="1361"/>
      <c r="R44" s="1361"/>
      <c r="S44" s="1361"/>
      <c r="T44" s="1361"/>
      <c r="U44" s="1361"/>
      <c r="V44" s="1361"/>
      <c r="W44" s="1361"/>
      <c r="X44" s="1361"/>
      <c r="Y44" s="1361"/>
      <c r="Z44" s="1361"/>
      <c r="AA44" s="1361"/>
      <c r="AB44" s="1604"/>
      <c r="AC44" s="1603"/>
    </row>
    <row r="45" spans="1:29" ht="13.5" customHeight="1">
      <c r="A45" s="1369"/>
      <c r="B45" s="1368"/>
      <c r="C45" s="1605"/>
      <c r="D45" s="1366"/>
      <c r="E45" s="1364"/>
      <c r="F45" s="1361"/>
      <c r="G45" s="1361"/>
      <c r="H45" s="1361"/>
      <c r="I45" s="1361"/>
      <c r="J45" s="1361"/>
      <c r="K45" s="1361"/>
      <c r="L45" s="1361"/>
      <c r="M45" s="1361"/>
      <c r="N45" s="1361"/>
      <c r="O45" s="1361"/>
      <c r="P45" s="1361"/>
      <c r="Q45" s="1361"/>
      <c r="R45" s="1361"/>
      <c r="S45" s="1361"/>
      <c r="T45" s="1361"/>
      <c r="U45" s="1361"/>
      <c r="V45" s="1361"/>
      <c r="W45" s="1361"/>
      <c r="X45" s="1361"/>
      <c r="Y45" s="1361"/>
      <c r="Z45" s="1361"/>
      <c r="AA45" s="1361"/>
      <c r="AB45" s="1604"/>
      <c r="AC45" s="1603"/>
    </row>
    <row r="46" spans="1:29" ht="13.5" customHeight="1">
      <c r="A46" s="1369"/>
      <c r="B46" s="1368"/>
      <c r="C46" s="1605"/>
      <c r="D46" s="1366"/>
      <c r="E46" s="1364"/>
      <c r="F46" s="1361"/>
      <c r="G46" s="1361"/>
      <c r="H46" s="1361"/>
      <c r="I46" s="1361"/>
      <c r="J46" s="1361"/>
      <c r="K46" s="1361"/>
      <c r="L46" s="1361"/>
      <c r="M46" s="1361"/>
      <c r="N46" s="1361"/>
      <c r="O46" s="1361"/>
      <c r="P46" s="1361"/>
      <c r="Q46" s="1361"/>
      <c r="R46" s="1361"/>
      <c r="S46" s="1361"/>
      <c r="T46" s="1361"/>
      <c r="U46" s="1361"/>
      <c r="V46" s="1361"/>
      <c r="W46" s="1361"/>
      <c r="X46" s="1361"/>
      <c r="Y46" s="1361"/>
      <c r="Z46" s="1361"/>
      <c r="AA46" s="1361"/>
      <c r="AB46" s="1604"/>
      <c r="AC46" s="1603"/>
    </row>
    <row r="47" spans="1:29" ht="13.5" customHeight="1">
      <c r="A47" s="1369"/>
      <c r="B47" s="1368"/>
      <c r="C47" s="1605"/>
      <c r="D47" s="1366"/>
      <c r="E47" s="1364"/>
      <c r="F47" s="1361"/>
      <c r="G47" s="1361"/>
      <c r="H47" s="1361"/>
      <c r="I47" s="1361"/>
      <c r="J47" s="1361"/>
      <c r="K47" s="1361"/>
      <c r="L47" s="1361"/>
      <c r="M47" s="1361"/>
      <c r="N47" s="1361"/>
      <c r="O47" s="1361"/>
      <c r="P47" s="1361"/>
      <c r="Q47" s="1361"/>
      <c r="R47" s="1361"/>
      <c r="S47" s="1361"/>
      <c r="T47" s="1361"/>
      <c r="U47" s="1361"/>
      <c r="V47" s="1361"/>
      <c r="W47" s="1361"/>
      <c r="X47" s="1361"/>
      <c r="Y47" s="1361"/>
      <c r="Z47" s="1361"/>
      <c r="AA47" s="1361"/>
      <c r="AB47" s="1604"/>
      <c r="AC47" s="1603"/>
    </row>
    <row r="48" spans="1:29" ht="13.5" customHeight="1">
      <c r="A48" s="1369"/>
      <c r="B48" s="1368"/>
      <c r="C48" s="1605"/>
      <c r="D48" s="1366"/>
      <c r="E48" s="1364"/>
      <c r="F48" s="1361"/>
      <c r="G48" s="1361"/>
      <c r="H48" s="1361"/>
      <c r="I48" s="1361"/>
      <c r="J48" s="1361"/>
      <c r="K48" s="1361"/>
      <c r="L48" s="1361"/>
      <c r="M48" s="1361"/>
      <c r="N48" s="1361"/>
      <c r="O48" s="1361"/>
      <c r="P48" s="1361"/>
      <c r="Q48" s="1361"/>
      <c r="R48" s="1361"/>
      <c r="S48" s="1361"/>
      <c r="T48" s="1361"/>
      <c r="U48" s="1361"/>
      <c r="V48" s="1361"/>
      <c r="W48" s="1361"/>
      <c r="X48" s="1361"/>
      <c r="Y48" s="1361"/>
      <c r="Z48" s="1361"/>
      <c r="AA48" s="1361"/>
      <c r="AB48" s="1604"/>
      <c r="AC48" s="1603"/>
    </row>
    <row r="49" spans="1:29" ht="13.5" customHeight="1">
      <c r="A49" s="1369"/>
      <c r="B49" s="1368"/>
      <c r="C49" s="1605"/>
      <c r="D49" s="1366"/>
      <c r="E49" s="1364"/>
      <c r="F49" s="1361"/>
      <c r="G49" s="1361"/>
      <c r="H49" s="1361"/>
      <c r="I49" s="1361"/>
      <c r="J49" s="1361"/>
      <c r="K49" s="1361"/>
      <c r="L49" s="1361"/>
      <c r="M49" s="1361"/>
      <c r="N49" s="1361"/>
      <c r="O49" s="1361"/>
      <c r="P49" s="1361"/>
      <c r="Q49" s="1361"/>
      <c r="R49" s="1361"/>
      <c r="S49" s="1361"/>
      <c r="T49" s="1361"/>
      <c r="U49" s="1361"/>
      <c r="V49" s="1361"/>
      <c r="W49" s="1361"/>
      <c r="X49" s="1361"/>
      <c r="Y49" s="1361"/>
      <c r="Z49" s="1361"/>
      <c r="AA49" s="1361"/>
      <c r="AB49" s="1604"/>
      <c r="AC49" s="1603"/>
    </row>
    <row r="50" spans="1:29" ht="13.5" customHeight="1">
      <c r="A50" s="1369"/>
      <c r="B50" s="1368"/>
      <c r="C50" s="1605"/>
      <c r="D50" s="1366"/>
      <c r="E50" s="1364"/>
      <c r="F50" s="1361"/>
      <c r="G50" s="1361"/>
      <c r="H50" s="1361"/>
      <c r="I50" s="1361"/>
      <c r="J50" s="1361"/>
      <c r="K50" s="1361"/>
      <c r="L50" s="1361"/>
      <c r="M50" s="1361"/>
      <c r="N50" s="1361"/>
      <c r="O50" s="1361"/>
      <c r="P50" s="1361"/>
      <c r="Q50" s="1361"/>
      <c r="R50" s="1361"/>
      <c r="S50" s="1361"/>
      <c r="T50" s="1361"/>
      <c r="U50" s="1361"/>
      <c r="V50" s="1361"/>
      <c r="W50" s="1361"/>
      <c r="X50" s="1361"/>
      <c r="Y50" s="1361"/>
      <c r="Z50" s="1361"/>
      <c r="AA50" s="1361"/>
      <c r="AB50" s="1604"/>
      <c r="AC50" s="1603"/>
    </row>
    <row r="51" spans="1:29" ht="13.5" customHeight="1">
      <c r="A51" s="1369"/>
      <c r="B51" s="1368"/>
      <c r="C51" s="1605"/>
      <c r="D51" s="1366"/>
      <c r="E51" s="1364"/>
      <c r="F51" s="1361"/>
      <c r="G51" s="1361"/>
      <c r="H51" s="1361"/>
      <c r="I51" s="1361"/>
      <c r="J51" s="1361"/>
      <c r="K51" s="1361"/>
      <c r="L51" s="1361"/>
      <c r="M51" s="1361"/>
      <c r="N51" s="1361"/>
      <c r="O51" s="1361"/>
      <c r="P51" s="1361"/>
      <c r="Q51" s="1361"/>
      <c r="R51" s="1361"/>
      <c r="S51" s="1361"/>
      <c r="T51" s="1361"/>
      <c r="U51" s="1361"/>
      <c r="V51" s="1361"/>
      <c r="W51" s="1361"/>
      <c r="X51" s="1361"/>
      <c r="Y51" s="1361"/>
      <c r="Z51" s="1361"/>
      <c r="AA51" s="1361"/>
      <c r="AB51" s="1604"/>
      <c r="AC51" s="1603"/>
    </row>
    <row r="52" spans="1:29" ht="13.5" customHeight="1">
      <c r="A52" s="1369"/>
      <c r="B52" s="1368"/>
      <c r="C52" s="1605"/>
      <c r="D52" s="1366"/>
      <c r="E52" s="1364"/>
      <c r="F52" s="1361"/>
      <c r="G52" s="1361"/>
      <c r="H52" s="1361"/>
      <c r="I52" s="1361"/>
      <c r="J52" s="1361"/>
      <c r="K52" s="1361"/>
      <c r="L52" s="1361"/>
      <c r="M52" s="1361"/>
      <c r="N52" s="1361"/>
      <c r="O52" s="1361"/>
      <c r="P52" s="1361"/>
      <c r="Q52" s="1361"/>
      <c r="R52" s="1361"/>
      <c r="S52" s="1361"/>
      <c r="T52" s="1361"/>
      <c r="U52" s="1361"/>
      <c r="V52" s="1361"/>
      <c r="W52" s="1361"/>
      <c r="X52" s="1361"/>
      <c r="Y52" s="1361"/>
      <c r="Z52" s="1361"/>
      <c r="AA52" s="1361"/>
      <c r="AB52" s="1604"/>
      <c r="AC52" s="1603"/>
    </row>
    <row r="53" spans="1:29" ht="13.5" customHeight="1">
      <c r="A53" s="1369"/>
      <c r="B53" s="1368"/>
      <c r="C53" s="1605"/>
      <c r="D53" s="1366"/>
      <c r="E53" s="1364"/>
      <c r="F53" s="1361"/>
      <c r="G53" s="1361"/>
      <c r="H53" s="1361"/>
      <c r="I53" s="1361"/>
      <c r="J53" s="1361"/>
      <c r="K53" s="1361"/>
      <c r="L53" s="1361"/>
      <c r="M53" s="1361"/>
      <c r="N53" s="1361"/>
      <c r="O53" s="1361"/>
      <c r="P53" s="1361"/>
      <c r="Q53" s="1361"/>
      <c r="R53" s="1361"/>
      <c r="S53" s="1361"/>
      <c r="T53" s="1361"/>
      <c r="U53" s="1361"/>
      <c r="V53" s="1361"/>
      <c r="W53" s="1361"/>
      <c r="X53" s="1361"/>
      <c r="Y53" s="1361"/>
      <c r="Z53" s="1361"/>
      <c r="AA53" s="1361"/>
      <c r="AB53" s="1604"/>
      <c r="AC53" s="1603"/>
    </row>
    <row r="54" spans="1:29" ht="13.5" customHeight="1">
      <c r="A54" s="1369"/>
      <c r="B54" s="1368"/>
      <c r="C54" s="1605"/>
      <c r="D54" s="1366"/>
      <c r="E54" s="1364"/>
      <c r="F54" s="1361"/>
      <c r="G54" s="1361"/>
      <c r="H54" s="1361"/>
      <c r="I54" s="1361"/>
      <c r="J54" s="1361"/>
      <c r="K54" s="1361"/>
      <c r="L54" s="1361"/>
      <c r="M54" s="1361"/>
      <c r="N54" s="1361"/>
      <c r="O54" s="1361"/>
      <c r="P54" s="1361"/>
      <c r="Q54" s="1361"/>
      <c r="R54" s="1361"/>
      <c r="S54" s="1361"/>
      <c r="T54" s="1361"/>
      <c r="U54" s="1361"/>
      <c r="V54" s="1361"/>
      <c r="W54" s="1361"/>
      <c r="X54" s="1361"/>
      <c r="Y54" s="1361"/>
      <c r="Z54" s="1361"/>
      <c r="AA54" s="1361"/>
      <c r="AB54" s="1604"/>
      <c r="AC54" s="1603"/>
    </row>
    <row r="55" spans="1:29" ht="13.5" customHeight="1" thickBot="1">
      <c r="A55" s="1434"/>
      <c r="B55" s="1435"/>
      <c r="C55" s="1629"/>
      <c r="D55" s="1437"/>
      <c r="E55" s="1439"/>
      <c r="F55" s="1440"/>
      <c r="G55" s="1440"/>
      <c r="H55" s="1440"/>
      <c r="I55" s="1440"/>
      <c r="J55" s="1440"/>
      <c r="K55" s="1440"/>
      <c r="L55" s="1440"/>
      <c r="M55" s="1440"/>
      <c r="N55" s="1440"/>
      <c r="O55" s="1440"/>
      <c r="P55" s="1440"/>
      <c r="Q55" s="1440"/>
      <c r="R55" s="1440"/>
      <c r="S55" s="1440"/>
      <c r="T55" s="1440"/>
      <c r="U55" s="1440"/>
      <c r="V55" s="1440"/>
      <c r="W55" s="1440"/>
      <c r="X55" s="1440"/>
      <c r="Y55" s="1440"/>
      <c r="Z55" s="1440"/>
      <c r="AA55" s="1440"/>
      <c r="AB55" s="1630"/>
      <c r="AC55" s="1631"/>
    </row>
    <row r="56" spans="1:29" ht="18.95" customHeight="1" thickTop="1" thickBot="1">
      <c r="A56" s="1673" t="s">
        <v>1265</v>
      </c>
      <c r="B56" s="1674"/>
      <c r="C56" s="1675"/>
      <c r="D56" s="1676">
        <v>68</v>
      </c>
      <c r="E56" s="1677">
        <v>43406</v>
      </c>
      <c r="F56" s="1678">
        <v>42973</v>
      </c>
      <c r="G56" s="1678">
        <v>42756</v>
      </c>
      <c r="H56" s="1678">
        <v>42215</v>
      </c>
      <c r="I56" s="1678">
        <v>41890</v>
      </c>
      <c r="J56" s="1678">
        <v>42431</v>
      </c>
      <c r="K56" s="1678">
        <v>43298</v>
      </c>
      <c r="L56" s="1678">
        <v>44273</v>
      </c>
      <c r="M56" s="1678">
        <v>73749</v>
      </c>
      <c r="N56" s="1678">
        <v>75516</v>
      </c>
      <c r="O56" s="1678">
        <v>76105</v>
      </c>
      <c r="P56" s="1679">
        <v>78657</v>
      </c>
      <c r="Q56" s="1678">
        <v>77872</v>
      </c>
      <c r="R56" s="1678">
        <v>76498</v>
      </c>
      <c r="S56" s="1678">
        <v>76498</v>
      </c>
      <c r="T56" s="1678">
        <v>75909</v>
      </c>
      <c r="U56" s="1678">
        <v>74534</v>
      </c>
      <c r="V56" s="1678">
        <v>73160</v>
      </c>
      <c r="W56" s="1678">
        <v>43948</v>
      </c>
      <c r="X56" s="1678">
        <v>43515</v>
      </c>
      <c r="Y56" s="1678">
        <v>43731</v>
      </c>
      <c r="Z56" s="1678">
        <v>43623</v>
      </c>
      <c r="AA56" s="1678">
        <v>43623</v>
      </c>
      <c r="AB56" s="1678">
        <v>43731</v>
      </c>
      <c r="AC56" s="1680"/>
    </row>
    <row r="57" spans="1:29" ht="13.5" customHeight="1" thickTop="1">
      <c r="A57" s="1681" t="s">
        <v>1247</v>
      </c>
      <c r="B57" s="1674"/>
      <c r="C57" s="1675"/>
      <c r="D57" s="1682">
        <v>68</v>
      </c>
      <c r="E57" s="1683">
        <v>44</v>
      </c>
      <c r="F57" s="1684">
        <v>43</v>
      </c>
      <c r="G57" s="1684">
        <v>43</v>
      </c>
      <c r="H57" s="1684">
        <v>43</v>
      </c>
      <c r="I57" s="1684">
        <v>42</v>
      </c>
      <c r="J57" s="1684">
        <v>43</v>
      </c>
      <c r="K57" s="1684">
        <v>44</v>
      </c>
      <c r="L57" s="1684">
        <v>45</v>
      </c>
      <c r="M57" s="1684">
        <v>74</v>
      </c>
      <c r="N57" s="1684">
        <v>76</v>
      </c>
      <c r="O57" s="1684">
        <v>77</v>
      </c>
      <c r="P57" s="1685">
        <v>79</v>
      </c>
      <c r="Q57" s="1684">
        <v>78</v>
      </c>
      <c r="R57" s="1684">
        <v>77</v>
      </c>
      <c r="S57" s="1684">
        <v>77</v>
      </c>
      <c r="T57" s="1684">
        <v>76</v>
      </c>
      <c r="U57" s="1684">
        <v>75</v>
      </c>
      <c r="V57" s="1684">
        <v>74</v>
      </c>
      <c r="W57" s="1684">
        <v>44</v>
      </c>
      <c r="X57" s="1684">
        <v>44</v>
      </c>
      <c r="Y57" s="1684">
        <v>44</v>
      </c>
      <c r="Z57" s="1684">
        <v>44</v>
      </c>
      <c r="AA57" s="1684">
        <v>44</v>
      </c>
      <c r="AB57" s="1684">
        <v>44</v>
      </c>
      <c r="AC57" s="1686"/>
    </row>
    <row r="58" spans="1:29" ht="13.5" customHeight="1">
      <c r="A58" s="1687" t="s">
        <v>1248</v>
      </c>
      <c r="B58" s="1628"/>
      <c r="C58" s="1688"/>
      <c r="D58" s="1689">
        <v>68</v>
      </c>
      <c r="E58" s="1690">
        <v>638</v>
      </c>
      <c r="F58" s="1691">
        <v>632</v>
      </c>
      <c r="G58" s="1691">
        <v>629</v>
      </c>
      <c r="H58" s="1691">
        <v>621</v>
      </c>
      <c r="I58" s="1691">
        <v>616</v>
      </c>
      <c r="J58" s="1691">
        <v>624</v>
      </c>
      <c r="K58" s="1691">
        <v>637</v>
      </c>
      <c r="L58" s="1691">
        <v>651</v>
      </c>
      <c r="M58" s="1691">
        <v>1085</v>
      </c>
      <c r="N58" s="1691">
        <v>1111</v>
      </c>
      <c r="O58" s="1691">
        <v>1119</v>
      </c>
      <c r="P58" s="1693">
        <v>1157</v>
      </c>
      <c r="Q58" s="1691">
        <v>1145</v>
      </c>
      <c r="R58" s="1691">
        <v>1125</v>
      </c>
      <c r="S58" s="1691">
        <v>1125</v>
      </c>
      <c r="T58" s="1691">
        <v>1116</v>
      </c>
      <c r="U58" s="1691">
        <v>1096</v>
      </c>
      <c r="V58" s="1691">
        <v>1076</v>
      </c>
      <c r="W58" s="1691">
        <v>646</v>
      </c>
      <c r="X58" s="1691">
        <v>640</v>
      </c>
      <c r="Y58" s="1691">
        <v>643</v>
      </c>
      <c r="Z58" s="1691">
        <v>642</v>
      </c>
      <c r="AA58" s="1691">
        <v>642</v>
      </c>
      <c r="AB58" s="1691">
        <v>643</v>
      </c>
      <c r="AC58" s="1692"/>
    </row>
    <row r="65" spans="3:26" s="1351" customFormat="1" ht="13.5" customHeight="1">
      <c r="C65" s="1464"/>
      <c r="D65" s="1464"/>
      <c r="E65" s="1464"/>
      <c r="G65" s="1352"/>
      <c r="K65" s="1352"/>
      <c r="N65" s="1352"/>
      <c r="Q65" s="1352"/>
      <c r="S65" s="1352"/>
      <c r="T65" s="1352"/>
      <c r="W65" s="1352"/>
      <c r="Z65" s="1352"/>
    </row>
    <row r="66" spans="3:26" s="1351" customFormat="1" ht="13.5" customHeight="1">
      <c r="C66" s="1464"/>
      <c r="D66" s="1464"/>
      <c r="E66" s="1464"/>
      <c r="F66" s="1356"/>
      <c r="G66" s="1352"/>
      <c r="J66" s="1356"/>
      <c r="K66" s="1352"/>
      <c r="N66" s="1352"/>
      <c r="P66" s="1356"/>
      <c r="Q66" s="1352"/>
      <c r="S66" s="1352"/>
      <c r="T66" s="1352"/>
      <c r="V66" s="1356"/>
      <c r="W66" s="1352"/>
      <c r="Z66" s="1352"/>
    </row>
    <row r="67" spans="3:26" s="1351" customFormat="1" ht="13.5" customHeight="1">
      <c r="C67" s="1464"/>
      <c r="D67" s="1464"/>
      <c r="E67" s="1464"/>
      <c r="F67" s="1354"/>
      <c r="G67" s="1352"/>
      <c r="J67" s="1354"/>
      <c r="K67" s="1352"/>
      <c r="N67" s="1352"/>
      <c r="P67" s="1354"/>
      <c r="Q67" s="1352"/>
      <c r="S67" s="1352"/>
      <c r="T67" s="1352"/>
      <c r="V67" s="1354"/>
      <c r="W67" s="1352"/>
      <c r="Z67" s="1352"/>
    </row>
    <row r="68" spans="3:26" s="1351" customFormat="1" ht="13.5" customHeight="1">
      <c r="C68" s="1353"/>
      <c r="D68" s="1353"/>
      <c r="E68" s="1353"/>
      <c r="F68" s="1352"/>
      <c r="J68" s="1352"/>
      <c r="P68" s="1352"/>
      <c r="V68" s="1352"/>
    </row>
  </sheetData>
  <mergeCells count="33">
    <mergeCell ref="A58:C58"/>
    <mergeCell ref="A41:C41"/>
    <mergeCell ref="A17:C17"/>
    <mergeCell ref="A30:C30"/>
    <mergeCell ref="A43:C43"/>
    <mergeCell ref="A56:C56"/>
    <mergeCell ref="A57:C57"/>
    <mergeCell ref="A38:C38"/>
    <mergeCell ref="C14:D14"/>
    <mergeCell ref="C27:D27"/>
    <mergeCell ref="C40:D40"/>
    <mergeCell ref="A15:C15"/>
    <mergeCell ref="A28:C28"/>
    <mergeCell ref="C35:D35"/>
    <mergeCell ref="A10:C10"/>
    <mergeCell ref="A23:C23"/>
    <mergeCell ref="A36:C36"/>
    <mergeCell ref="A12:C12"/>
    <mergeCell ref="A25:C25"/>
    <mergeCell ref="A6:AC6"/>
    <mergeCell ref="A19:AC19"/>
    <mergeCell ref="A32:AC32"/>
    <mergeCell ref="A7:C7"/>
    <mergeCell ref="A20:C20"/>
    <mergeCell ref="A33:C33"/>
    <mergeCell ref="C9:D9"/>
    <mergeCell ref="C22:D22"/>
    <mergeCell ref="A4:A5"/>
    <mergeCell ref="B4:B5"/>
    <mergeCell ref="C4:C5"/>
    <mergeCell ref="D4:D5"/>
    <mergeCell ref="E4:AB4"/>
    <mergeCell ref="AC4:AC5"/>
  </mergeCells>
  <phoneticPr fontId="4"/>
  <pageMargins left="0.39370078740157483" right="0.39370078740157483" top="0.78740157480314965" bottom="0.55118110236220474" header="0.59055118110236227" footer="0.31496062992125984"/>
  <pageSetup paperSize="9" scale="54" fitToHeight="0" orientation="landscape" horizontalDpi="1200" verticalDpi="1200" r:id="rId1"/>
  <headerFooter scaleWithDoc="0" alignWithMargins="0">
    <oddFooter>&amp;C&amp;"ＭＳ Ｐゴシック,標準"&amp;9( &amp;P / &amp;N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C68"/>
  <sheetViews>
    <sheetView showGridLines="0" zoomScale="80" zoomScaleNormal="80" workbookViewId="0">
      <pane xSplit="4" ySplit="5" topLeftCell="E6" activePane="bottomRight" state="frozenSplit"/>
      <selection pane="topRight" activeCell="P1" sqref="P1"/>
      <selection pane="bottomLeft" activeCell="A17" sqref="A17"/>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28" width="7.7109375" style="1351" customWidth="1"/>
    <col min="29" max="29" width="14.7109375" style="1351" customWidth="1"/>
    <col min="30" max="16384" width="9.140625" style="1458"/>
  </cols>
  <sheetData>
    <row r="1" spans="1:29" s="1615" customFormat="1" ht="30" customHeight="1">
      <c r="A1" s="1623" t="s">
        <v>1267</v>
      </c>
      <c r="B1" s="1622"/>
      <c r="C1" s="1621"/>
      <c r="D1" s="1620"/>
      <c r="E1" s="1619"/>
      <c r="F1" s="1619"/>
      <c r="G1" s="1619"/>
      <c r="H1" s="1618"/>
      <c r="I1" s="1618"/>
      <c r="J1" s="1619"/>
      <c r="K1" s="1619"/>
      <c r="L1" s="1618"/>
      <c r="M1" s="1618"/>
      <c r="N1" s="1619"/>
      <c r="O1" s="1618"/>
      <c r="P1" s="1619"/>
      <c r="Q1" s="1619"/>
      <c r="R1" s="1618"/>
      <c r="S1" s="1619"/>
      <c r="T1" s="1619"/>
      <c r="U1" s="1618"/>
      <c r="V1" s="1619"/>
      <c r="W1" s="1619"/>
      <c r="X1" s="1618"/>
      <c r="Y1" s="1618"/>
      <c r="Z1" s="1619"/>
      <c r="AA1" s="1618"/>
      <c r="AB1" s="1617"/>
      <c r="AC1" s="1616"/>
    </row>
    <row r="4" spans="1:29" ht="13.5" customHeight="1">
      <c r="A4" s="1415" t="s">
        <v>394</v>
      </c>
      <c r="B4" s="1414" t="s">
        <v>370</v>
      </c>
      <c r="C4" s="1614" t="s">
        <v>1254</v>
      </c>
      <c r="D4" s="1613" t="s">
        <v>1082</v>
      </c>
      <c r="E4" s="1612" t="s">
        <v>1266</v>
      </c>
      <c r="F4" s="1611"/>
      <c r="G4" s="1611"/>
      <c r="H4" s="1611"/>
      <c r="I4" s="1611"/>
      <c r="J4" s="1611"/>
      <c r="K4" s="1611"/>
      <c r="L4" s="1611"/>
      <c r="M4" s="1611"/>
      <c r="N4" s="1611"/>
      <c r="O4" s="1611"/>
      <c r="P4" s="1611"/>
      <c r="Q4" s="1611"/>
      <c r="R4" s="1611"/>
      <c r="S4" s="1611"/>
      <c r="T4" s="1611"/>
      <c r="U4" s="1611"/>
      <c r="V4" s="1611"/>
      <c r="W4" s="1611"/>
      <c r="X4" s="1611"/>
      <c r="Y4" s="1611"/>
      <c r="Z4" s="1611"/>
      <c r="AA4" s="1611"/>
      <c r="AB4" s="1610"/>
      <c r="AC4" s="1609" t="s">
        <v>1235</v>
      </c>
    </row>
    <row r="5" spans="1:29" ht="13.5" customHeight="1">
      <c r="A5" s="1396"/>
      <c r="B5" s="1395"/>
      <c r="C5" s="1624"/>
      <c r="D5" s="1625"/>
      <c r="E5" s="1608">
        <v>1</v>
      </c>
      <c r="F5" s="1607">
        <v>2</v>
      </c>
      <c r="G5" s="1607">
        <v>3</v>
      </c>
      <c r="H5" s="1607">
        <v>4</v>
      </c>
      <c r="I5" s="1607">
        <v>5</v>
      </c>
      <c r="J5" s="1607">
        <v>6</v>
      </c>
      <c r="K5" s="1607">
        <v>7</v>
      </c>
      <c r="L5" s="1607">
        <v>8</v>
      </c>
      <c r="M5" s="1607">
        <v>9</v>
      </c>
      <c r="N5" s="1607">
        <v>10</v>
      </c>
      <c r="O5" s="1607">
        <v>11</v>
      </c>
      <c r="P5" s="1607">
        <v>12</v>
      </c>
      <c r="Q5" s="1607">
        <v>13</v>
      </c>
      <c r="R5" s="1607">
        <v>14</v>
      </c>
      <c r="S5" s="1607">
        <v>15</v>
      </c>
      <c r="T5" s="1607">
        <v>16</v>
      </c>
      <c r="U5" s="1607">
        <v>17</v>
      </c>
      <c r="V5" s="1607">
        <v>18</v>
      </c>
      <c r="W5" s="1607">
        <v>19</v>
      </c>
      <c r="X5" s="1607">
        <v>20</v>
      </c>
      <c r="Y5" s="1607">
        <v>21</v>
      </c>
      <c r="Z5" s="1607">
        <v>22</v>
      </c>
      <c r="AA5" s="1607">
        <v>23</v>
      </c>
      <c r="AB5" s="1606">
        <v>24</v>
      </c>
      <c r="AC5" s="1626"/>
    </row>
    <row r="6" spans="1:29" ht="13.5" customHeight="1">
      <c r="A6" s="1632" t="s">
        <v>420</v>
      </c>
      <c r="B6" s="1633"/>
      <c r="C6" s="1633"/>
      <c r="D6" s="1633"/>
      <c r="E6" s="1633"/>
      <c r="F6" s="1633"/>
      <c r="G6" s="1633"/>
      <c r="H6" s="1633"/>
      <c r="I6" s="1633"/>
      <c r="J6" s="1633"/>
      <c r="K6" s="1633"/>
      <c r="L6" s="1633"/>
      <c r="M6" s="1633"/>
      <c r="N6" s="1633"/>
      <c r="O6" s="1633"/>
      <c r="P6" s="1633"/>
      <c r="Q6" s="1633"/>
      <c r="R6" s="1633"/>
      <c r="S6" s="1633"/>
      <c r="T6" s="1633"/>
      <c r="U6" s="1633"/>
      <c r="V6" s="1633"/>
      <c r="W6" s="1633"/>
      <c r="X6" s="1633"/>
      <c r="Y6" s="1633"/>
      <c r="Z6" s="1633"/>
      <c r="AA6" s="1633"/>
      <c r="AB6" s="1633"/>
      <c r="AC6" s="1634"/>
    </row>
    <row r="7" spans="1:29" ht="13.5" customHeight="1">
      <c r="A7" s="1641" t="s">
        <v>1268</v>
      </c>
      <c r="B7" s="1642"/>
      <c r="C7" s="1643"/>
      <c r="D7" s="1636"/>
      <c r="E7" s="1637"/>
      <c r="F7" s="1638"/>
      <c r="G7" s="1638"/>
      <c r="H7" s="1638"/>
      <c r="I7" s="1638"/>
      <c r="J7" s="1638"/>
      <c r="K7" s="1638"/>
      <c r="L7" s="1638"/>
      <c r="M7" s="1638"/>
      <c r="N7" s="1638"/>
      <c r="O7" s="1638"/>
      <c r="P7" s="1638"/>
      <c r="Q7" s="1638"/>
      <c r="R7" s="1638"/>
      <c r="S7" s="1638"/>
      <c r="T7" s="1638"/>
      <c r="U7" s="1638"/>
      <c r="V7" s="1638"/>
      <c r="W7" s="1638"/>
      <c r="X7" s="1638"/>
      <c r="Y7" s="1638"/>
      <c r="Z7" s="1638"/>
      <c r="AA7" s="1638"/>
      <c r="AB7" s="1639"/>
      <c r="AC7" s="1640"/>
    </row>
    <row r="8" spans="1:29" ht="13.5" customHeight="1" thickBot="1">
      <c r="A8" s="1434" t="s">
        <v>362</v>
      </c>
      <c r="B8" s="1435" t="s">
        <v>361</v>
      </c>
      <c r="C8" s="1654" t="s">
        <v>363</v>
      </c>
      <c r="D8" s="1437">
        <v>13</v>
      </c>
      <c r="E8" s="1439">
        <v>602</v>
      </c>
      <c r="F8" s="1440">
        <v>581</v>
      </c>
      <c r="G8" s="1440">
        <v>578</v>
      </c>
      <c r="H8" s="1440">
        <v>574</v>
      </c>
      <c r="I8" s="1440">
        <v>572</v>
      </c>
      <c r="J8" s="1440">
        <v>577</v>
      </c>
      <c r="K8" s="1440">
        <v>618</v>
      </c>
      <c r="L8" s="1440">
        <v>660</v>
      </c>
      <c r="M8" s="1440">
        <v>914</v>
      </c>
      <c r="N8" s="1440">
        <v>913</v>
      </c>
      <c r="O8" s="1440">
        <v>939</v>
      </c>
      <c r="P8" s="1440">
        <v>960</v>
      </c>
      <c r="Q8" s="1440">
        <v>963</v>
      </c>
      <c r="R8" s="1440">
        <v>959</v>
      </c>
      <c r="S8" s="1440">
        <v>942</v>
      </c>
      <c r="T8" s="1440">
        <v>927</v>
      </c>
      <c r="U8" s="1440">
        <v>895</v>
      </c>
      <c r="V8" s="1440">
        <v>871</v>
      </c>
      <c r="W8" s="1440">
        <v>676</v>
      </c>
      <c r="X8" s="1440">
        <v>648</v>
      </c>
      <c r="Y8" s="1440">
        <v>639</v>
      </c>
      <c r="Z8" s="1440">
        <v>631</v>
      </c>
      <c r="AA8" s="1440">
        <v>619</v>
      </c>
      <c r="AB8" s="1630">
        <v>612</v>
      </c>
      <c r="AC8" s="1631"/>
    </row>
    <row r="9" spans="1:29" ht="13.5" customHeight="1" thickTop="1">
      <c r="A9" s="1651" t="s">
        <v>1269</v>
      </c>
      <c r="B9" s="1652"/>
      <c r="C9" s="1653"/>
      <c r="D9" s="1647">
        <v>13</v>
      </c>
      <c r="E9" s="1648">
        <v>602</v>
      </c>
      <c r="F9" s="1649">
        <v>581</v>
      </c>
      <c r="G9" s="1649">
        <v>578</v>
      </c>
      <c r="H9" s="1649">
        <v>574</v>
      </c>
      <c r="I9" s="1649">
        <v>572</v>
      </c>
      <c r="J9" s="1649">
        <v>577</v>
      </c>
      <c r="K9" s="1649">
        <v>618</v>
      </c>
      <c r="L9" s="1649">
        <v>660</v>
      </c>
      <c r="M9" s="1649">
        <v>914</v>
      </c>
      <c r="N9" s="1649">
        <v>913</v>
      </c>
      <c r="O9" s="1649">
        <v>939</v>
      </c>
      <c r="P9" s="1649">
        <v>960</v>
      </c>
      <c r="Q9" s="1649">
        <v>963</v>
      </c>
      <c r="R9" s="1649">
        <v>959</v>
      </c>
      <c r="S9" s="1649">
        <v>942</v>
      </c>
      <c r="T9" s="1649">
        <v>927</v>
      </c>
      <c r="U9" s="1649">
        <v>895</v>
      </c>
      <c r="V9" s="1649">
        <v>871</v>
      </c>
      <c r="W9" s="1649">
        <v>676</v>
      </c>
      <c r="X9" s="1649">
        <v>648</v>
      </c>
      <c r="Y9" s="1649">
        <v>639</v>
      </c>
      <c r="Z9" s="1649">
        <v>631</v>
      </c>
      <c r="AA9" s="1649">
        <v>619</v>
      </c>
      <c r="AB9" s="1649">
        <v>612</v>
      </c>
      <c r="AC9" s="1650"/>
    </row>
    <row r="10" spans="1:29" ht="13.5" customHeight="1" thickBot="1">
      <c r="A10" s="1434"/>
      <c r="B10" s="1435"/>
      <c r="C10" s="1654"/>
      <c r="D10" s="1437"/>
      <c r="E10" s="1439"/>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630"/>
      <c r="AC10" s="1631"/>
    </row>
    <row r="11" spans="1:29" ht="13.5" customHeight="1" thickTop="1">
      <c r="A11" s="1659" t="s">
        <v>1241</v>
      </c>
      <c r="B11" s="1660"/>
      <c r="C11" s="1660"/>
      <c r="D11" s="1655">
        <v>13</v>
      </c>
      <c r="E11" s="1656">
        <v>602</v>
      </c>
      <c r="F11" s="1657">
        <v>581</v>
      </c>
      <c r="G11" s="1657">
        <v>578</v>
      </c>
      <c r="H11" s="1657">
        <v>574</v>
      </c>
      <c r="I11" s="1657">
        <v>572</v>
      </c>
      <c r="J11" s="1657">
        <v>577</v>
      </c>
      <c r="K11" s="1657">
        <v>618</v>
      </c>
      <c r="L11" s="1657">
        <v>660</v>
      </c>
      <c r="M11" s="1657">
        <v>914</v>
      </c>
      <c r="N11" s="1657">
        <v>913</v>
      </c>
      <c r="O11" s="1657">
        <v>939</v>
      </c>
      <c r="P11" s="1657">
        <v>960</v>
      </c>
      <c r="Q11" s="1657">
        <v>963</v>
      </c>
      <c r="R11" s="1657">
        <v>959</v>
      </c>
      <c r="S11" s="1657">
        <v>942</v>
      </c>
      <c r="T11" s="1657">
        <v>927</v>
      </c>
      <c r="U11" s="1657">
        <v>895</v>
      </c>
      <c r="V11" s="1657">
        <v>871</v>
      </c>
      <c r="W11" s="1657">
        <v>676</v>
      </c>
      <c r="X11" s="1657">
        <v>648</v>
      </c>
      <c r="Y11" s="1657">
        <v>639</v>
      </c>
      <c r="Z11" s="1657">
        <v>631</v>
      </c>
      <c r="AA11" s="1657">
        <v>619</v>
      </c>
      <c r="AB11" s="1657">
        <v>612</v>
      </c>
      <c r="AC11" s="1658"/>
    </row>
    <row r="12" spans="1:29" ht="13.5" customHeight="1">
      <c r="A12" s="1434"/>
      <c r="B12" s="1435"/>
      <c r="C12" s="1654"/>
      <c r="D12" s="1437"/>
      <c r="E12" s="1439"/>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630"/>
      <c r="AC12" s="1631"/>
    </row>
    <row r="13" spans="1:29" ht="13.5" customHeight="1">
      <c r="A13" s="1644" t="s">
        <v>421</v>
      </c>
      <c r="B13" s="1633"/>
      <c r="C13" s="1633"/>
      <c r="D13" s="1633"/>
      <c r="E13" s="1633"/>
      <c r="F13" s="1633"/>
      <c r="G13" s="1633"/>
      <c r="H13" s="1633"/>
      <c r="I13" s="1633"/>
      <c r="J13" s="1633"/>
      <c r="K13" s="1633"/>
      <c r="L13" s="1633"/>
      <c r="M13" s="1633"/>
      <c r="N13" s="1633"/>
      <c r="O13" s="1633"/>
      <c r="P13" s="1633"/>
      <c r="Q13" s="1633"/>
      <c r="R13" s="1633"/>
      <c r="S13" s="1633"/>
      <c r="T13" s="1633"/>
      <c r="U13" s="1633"/>
      <c r="V13" s="1633"/>
      <c r="W13" s="1633"/>
      <c r="X13" s="1633"/>
      <c r="Y13" s="1633"/>
      <c r="Z13" s="1633"/>
      <c r="AA13" s="1633"/>
      <c r="AB13" s="1633"/>
      <c r="AC13" s="1634"/>
    </row>
    <row r="14" spans="1:29" ht="13.5" customHeight="1">
      <c r="A14" s="1641" t="s">
        <v>1268</v>
      </c>
      <c r="B14" s="1642"/>
      <c r="C14" s="1643"/>
      <c r="D14" s="1636"/>
      <c r="E14" s="1637"/>
      <c r="F14" s="1638"/>
      <c r="G14" s="1638"/>
      <c r="H14" s="1638"/>
      <c r="I14" s="1638"/>
      <c r="J14" s="1638"/>
      <c r="K14" s="1638"/>
      <c r="L14" s="1638"/>
      <c r="M14" s="1638"/>
      <c r="N14" s="1638"/>
      <c r="O14" s="1638"/>
      <c r="P14" s="1638"/>
      <c r="Q14" s="1638"/>
      <c r="R14" s="1638"/>
      <c r="S14" s="1638"/>
      <c r="T14" s="1638"/>
      <c r="U14" s="1638"/>
      <c r="V14" s="1638"/>
      <c r="W14" s="1638"/>
      <c r="X14" s="1638"/>
      <c r="Y14" s="1638"/>
      <c r="Z14" s="1638"/>
      <c r="AA14" s="1638"/>
      <c r="AB14" s="1639"/>
      <c r="AC14" s="1640"/>
    </row>
    <row r="15" spans="1:29" ht="13.5" customHeight="1" thickBot="1">
      <c r="A15" s="1434" t="s">
        <v>362</v>
      </c>
      <c r="B15" s="1435" t="s">
        <v>361</v>
      </c>
      <c r="C15" s="1654" t="s">
        <v>363</v>
      </c>
      <c r="D15" s="1437">
        <v>13</v>
      </c>
      <c r="E15" s="1439">
        <v>566</v>
      </c>
      <c r="F15" s="1440">
        <v>562</v>
      </c>
      <c r="G15" s="1440">
        <v>559</v>
      </c>
      <c r="H15" s="1440">
        <v>555</v>
      </c>
      <c r="I15" s="1440">
        <v>553</v>
      </c>
      <c r="J15" s="1440">
        <v>559</v>
      </c>
      <c r="K15" s="1440">
        <v>585</v>
      </c>
      <c r="L15" s="1440">
        <v>639</v>
      </c>
      <c r="M15" s="1440">
        <v>876</v>
      </c>
      <c r="N15" s="1440">
        <v>870</v>
      </c>
      <c r="O15" s="1440">
        <v>904</v>
      </c>
      <c r="P15" s="1440">
        <v>918</v>
      </c>
      <c r="Q15" s="1440">
        <v>928</v>
      </c>
      <c r="R15" s="1440">
        <v>916</v>
      </c>
      <c r="S15" s="1440">
        <v>903</v>
      </c>
      <c r="T15" s="1440">
        <v>887</v>
      </c>
      <c r="U15" s="1440">
        <v>873</v>
      </c>
      <c r="V15" s="1440">
        <v>841</v>
      </c>
      <c r="W15" s="1440">
        <v>650</v>
      </c>
      <c r="X15" s="1440">
        <v>613</v>
      </c>
      <c r="Y15" s="1440">
        <v>599</v>
      </c>
      <c r="Z15" s="1440">
        <v>586</v>
      </c>
      <c r="AA15" s="1440">
        <v>584</v>
      </c>
      <c r="AB15" s="1630">
        <v>571</v>
      </c>
      <c r="AC15" s="1631"/>
    </row>
    <row r="16" spans="1:29" ht="13.5" customHeight="1" thickTop="1">
      <c r="A16" s="1651" t="s">
        <v>1269</v>
      </c>
      <c r="B16" s="1652"/>
      <c r="C16" s="1653"/>
      <c r="D16" s="1647">
        <v>13</v>
      </c>
      <c r="E16" s="1648">
        <v>566</v>
      </c>
      <c r="F16" s="1649">
        <v>562</v>
      </c>
      <c r="G16" s="1649">
        <v>559</v>
      </c>
      <c r="H16" s="1649">
        <v>555</v>
      </c>
      <c r="I16" s="1649">
        <v>553</v>
      </c>
      <c r="J16" s="1649">
        <v>559</v>
      </c>
      <c r="K16" s="1649">
        <v>585</v>
      </c>
      <c r="L16" s="1649">
        <v>639</v>
      </c>
      <c r="M16" s="1649">
        <v>876</v>
      </c>
      <c r="N16" s="1649">
        <v>870</v>
      </c>
      <c r="O16" s="1649">
        <v>904</v>
      </c>
      <c r="P16" s="1649">
        <v>918</v>
      </c>
      <c r="Q16" s="1649">
        <v>928</v>
      </c>
      <c r="R16" s="1649">
        <v>916</v>
      </c>
      <c r="S16" s="1649">
        <v>903</v>
      </c>
      <c r="T16" s="1649">
        <v>887</v>
      </c>
      <c r="U16" s="1649">
        <v>873</v>
      </c>
      <c r="V16" s="1649">
        <v>841</v>
      </c>
      <c r="W16" s="1649">
        <v>650</v>
      </c>
      <c r="X16" s="1649">
        <v>613</v>
      </c>
      <c r="Y16" s="1649">
        <v>599</v>
      </c>
      <c r="Z16" s="1649">
        <v>586</v>
      </c>
      <c r="AA16" s="1649">
        <v>584</v>
      </c>
      <c r="AB16" s="1649">
        <v>571</v>
      </c>
      <c r="AC16" s="1650"/>
    </row>
    <row r="17" spans="1:29" ht="13.5" customHeight="1" thickBot="1">
      <c r="A17" s="1434"/>
      <c r="B17" s="1435"/>
      <c r="C17" s="1654"/>
      <c r="D17" s="1437"/>
      <c r="E17" s="1439"/>
      <c r="F17" s="1440"/>
      <c r="G17" s="1440"/>
      <c r="H17" s="1440"/>
      <c r="I17" s="1440"/>
      <c r="J17" s="1440"/>
      <c r="K17" s="1440"/>
      <c r="L17" s="1440"/>
      <c r="M17" s="1440"/>
      <c r="N17" s="1440"/>
      <c r="O17" s="1440"/>
      <c r="P17" s="1440"/>
      <c r="Q17" s="1440"/>
      <c r="R17" s="1440"/>
      <c r="S17" s="1440"/>
      <c r="T17" s="1440"/>
      <c r="U17" s="1440"/>
      <c r="V17" s="1440"/>
      <c r="W17" s="1440"/>
      <c r="X17" s="1440"/>
      <c r="Y17" s="1440"/>
      <c r="Z17" s="1440"/>
      <c r="AA17" s="1440"/>
      <c r="AB17" s="1630"/>
      <c r="AC17" s="1631"/>
    </row>
    <row r="18" spans="1:29" ht="13.5" customHeight="1" thickTop="1">
      <c r="A18" s="1665" t="s">
        <v>1242</v>
      </c>
      <c r="B18" s="1666"/>
      <c r="C18" s="1666"/>
      <c r="D18" s="1661">
        <v>13</v>
      </c>
      <c r="E18" s="1662">
        <v>566</v>
      </c>
      <c r="F18" s="1663">
        <v>562</v>
      </c>
      <c r="G18" s="1663">
        <v>559</v>
      </c>
      <c r="H18" s="1663">
        <v>555</v>
      </c>
      <c r="I18" s="1663">
        <v>553</v>
      </c>
      <c r="J18" s="1663">
        <v>559</v>
      </c>
      <c r="K18" s="1663">
        <v>585</v>
      </c>
      <c r="L18" s="1663">
        <v>639</v>
      </c>
      <c r="M18" s="1663">
        <v>876</v>
      </c>
      <c r="N18" s="1663">
        <v>870</v>
      </c>
      <c r="O18" s="1663">
        <v>904</v>
      </c>
      <c r="P18" s="1663">
        <v>918</v>
      </c>
      <c r="Q18" s="1663">
        <v>928</v>
      </c>
      <c r="R18" s="1663">
        <v>916</v>
      </c>
      <c r="S18" s="1663">
        <v>903</v>
      </c>
      <c r="T18" s="1663">
        <v>887</v>
      </c>
      <c r="U18" s="1663">
        <v>873</v>
      </c>
      <c r="V18" s="1663">
        <v>841</v>
      </c>
      <c r="W18" s="1663">
        <v>650</v>
      </c>
      <c r="X18" s="1663">
        <v>613</v>
      </c>
      <c r="Y18" s="1663">
        <v>599</v>
      </c>
      <c r="Z18" s="1663">
        <v>586</v>
      </c>
      <c r="AA18" s="1663">
        <v>584</v>
      </c>
      <c r="AB18" s="1663">
        <v>571</v>
      </c>
      <c r="AC18" s="1664"/>
    </row>
    <row r="19" spans="1:29" ht="13.5" customHeight="1">
      <c r="A19" s="1434"/>
      <c r="B19" s="1435"/>
      <c r="C19" s="1654"/>
      <c r="D19" s="1437"/>
      <c r="E19" s="1439"/>
      <c r="F19" s="1440"/>
      <c r="G19" s="1440"/>
      <c r="H19" s="1440"/>
      <c r="I19" s="1440"/>
      <c r="J19" s="1440"/>
      <c r="K19" s="1440"/>
      <c r="L19" s="1440"/>
      <c r="M19" s="1440"/>
      <c r="N19" s="1440"/>
      <c r="O19" s="1440"/>
      <c r="P19" s="1440"/>
      <c r="Q19" s="1440"/>
      <c r="R19" s="1440"/>
      <c r="S19" s="1440"/>
      <c r="T19" s="1440"/>
      <c r="U19" s="1440"/>
      <c r="V19" s="1440"/>
      <c r="W19" s="1440"/>
      <c r="X19" s="1440"/>
      <c r="Y19" s="1440"/>
      <c r="Z19" s="1440"/>
      <c r="AA19" s="1440"/>
      <c r="AB19" s="1630"/>
      <c r="AC19" s="1631"/>
    </row>
    <row r="20" spans="1:29" ht="13.5" customHeight="1">
      <c r="A20" s="1645" t="s">
        <v>422</v>
      </c>
      <c r="B20" s="1633"/>
      <c r="C20" s="1633"/>
      <c r="D20" s="1633"/>
      <c r="E20" s="1633"/>
      <c r="F20" s="1633"/>
      <c r="G20" s="1633"/>
      <c r="H20" s="1633"/>
      <c r="I20" s="1633"/>
      <c r="J20" s="1633"/>
      <c r="K20" s="1633"/>
      <c r="L20" s="1633"/>
      <c r="M20" s="1633"/>
      <c r="N20" s="1633"/>
      <c r="O20" s="1633"/>
      <c r="P20" s="1633"/>
      <c r="Q20" s="1633"/>
      <c r="R20" s="1633"/>
      <c r="S20" s="1633"/>
      <c r="T20" s="1633"/>
      <c r="U20" s="1633"/>
      <c r="V20" s="1633"/>
      <c r="W20" s="1633"/>
      <c r="X20" s="1633"/>
      <c r="Y20" s="1633"/>
      <c r="Z20" s="1633"/>
      <c r="AA20" s="1633"/>
      <c r="AB20" s="1633"/>
      <c r="AC20" s="1634"/>
    </row>
    <row r="21" spans="1:29" ht="13.5" customHeight="1">
      <c r="A21" s="1641" t="s">
        <v>1268</v>
      </c>
      <c r="B21" s="1642"/>
      <c r="C21" s="1643"/>
      <c r="D21" s="1636"/>
      <c r="E21" s="1637"/>
      <c r="F21" s="1638"/>
      <c r="G21" s="1638"/>
      <c r="H21" s="1638"/>
      <c r="I21" s="1638"/>
      <c r="J21" s="1638"/>
      <c r="K21" s="1638"/>
      <c r="L21" s="1638"/>
      <c r="M21" s="1638"/>
      <c r="N21" s="1638"/>
      <c r="O21" s="1638"/>
      <c r="P21" s="1638"/>
      <c r="Q21" s="1638"/>
      <c r="R21" s="1638"/>
      <c r="S21" s="1638"/>
      <c r="T21" s="1638"/>
      <c r="U21" s="1638"/>
      <c r="V21" s="1638"/>
      <c r="W21" s="1638"/>
      <c r="X21" s="1638"/>
      <c r="Y21" s="1638"/>
      <c r="Z21" s="1638"/>
      <c r="AA21" s="1638"/>
      <c r="AB21" s="1639"/>
      <c r="AC21" s="1640"/>
    </row>
    <row r="22" spans="1:29" ht="13.5" customHeight="1" thickBot="1">
      <c r="A22" s="1434" t="s">
        <v>362</v>
      </c>
      <c r="B22" s="1435" t="s">
        <v>361</v>
      </c>
      <c r="C22" s="1654" t="s">
        <v>363</v>
      </c>
      <c r="D22" s="1437">
        <v>13</v>
      </c>
      <c r="E22" s="1439">
        <v>527</v>
      </c>
      <c r="F22" s="1440">
        <v>520</v>
      </c>
      <c r="G22" s="1440">
        <v>516</v>
      </c>
      <c r="H22" s="1440">
        <v>511</v>
      </c>
      <c r="I22" s="1440">
        <v>508</v>
      </c>
      <c r="J22" s="1440">
        <v>509</v>
      </c>
      <c r="K22" s="1440">
        <v>524</v>
      </c>
      <c r="L22" s="1440">
        <v>548</v>
      </c>
      <c r="M22" s="1440">
        <v>754</v>
      </c>
      <c r="N22" s="1440">
        <v>760</v>
      </c>
      <c r="O22" s="1440">
        <v>785</v>
      </c>
      <c r="P22" s="1440">
        <v>808</v>
      </c>
      <c r="Q22" s="1440">
        <v>810</v>
      </c>
      <c r="R22" s="1440">
        <v>799</v>
      </c>
      <c r="S22" s="1440">
        <v>785</v>
      </c>
      <c r="T22" s="1440">
        <v>775</v>
      </c>
      <c r="U22" s="1440">
        <v>742</v>
      </c>
      <c r="V22" s="1440">
        <v>717</v>
      </c>
      <c r="W22" s="1440">
        <v>558</v>
      </c>
      <c r="X22" s="1440">
        <v>552</v>
      </c>
      <c r="Y22" s="1440">
        <v>548</v>
      </c>
      <c r="Z22" s="1440">
        <v>546</v>
      </c>
      <c r="AA22" s="1440">
        <v>542</v>
      </c>
      <c r="AB22" s="1630">
        <v>534</v>
      </c>
      <c r="AC22" s="1631"/>
    </row>
    <row r="23" spans="1:29" ht="13.5" customHeight="1" thickTop="1">
      <c r="A23" s="1651" t="s">
        <v>1269</v>
      </c>
      <c r="B23" s="1652"/>
      <c r="C23" s="1653"/>
      <c r="D23" s="1647">
        <v>13</v>
      </c>
      <c r="E23" s="1648">
        <v>527</v>
      </c>
      <c r="F23" s="1649">
        <v>520</v>
      </c>
      <c r="G23" s="1649">
        <v>516</v>
      </c>
      <c r="H23" s="1649">
        <v>511</v>
      </c>
      <c r="I23" s="1649">
        <v>508</v>
      </c>
      <c r="J23" s="1649">
        <v>509</v>
      </c>
      <c r="K23" s="1649">
        <v>524</v>
      </c>
      <c r="L23" s="1649">
        <v>548</v>
      </c>
      <c r="M23" s="1649">
        <v>754</v>
      </c>
      <c r="N23" s="1649">
        <v>760</v>
      </c>
      <c r="O23" s="1649">
        <v>785</v>
      </c>
      <c r="P23" s="1649">
        <v>808</v>
      </c>
      <c r="Q23" s="1649">
        <v>810</v>
      </c>
      <c r="R23" s="1649">
        <v>799</v>
      </c>
      <c r="S23" s="1649">
        <v>785</v>
      </c>
      <c r="T23" s="1649">
        <v>775</v>
      </c>
      <c r="U23" s="1649">
        <v>742</v>
      </c>
      <c r="V23" s="1649">
        <v>717</v>
      </c>
      <c r="W23" s="1649">
        <v>558</v>
      </c>
      <c r="X23" s="1649">
        <v>552</v>
      </c>
      <c r="Y23" s="1649">
        <v>548</v>
      </c>
      <c r="Z23" s="1649">
        <v>546</v>
      </c>
      <c r="AA23" s="1649">
        <v>542</v>
      </c>
      <c r="AB23" s="1649">
        <v>534</v>
      </c>
      <c r="AC23" s="1650"/>
    </row>
    <row r="24" spans="1:29" ht="13.5" customHeight="1" thickBot="1">
      <c r="A24" s="1434"/>
      <c r="B24" s="1435"/>
      <c r="C24" s="1654"/>
      <c r="D24" s="1437"/>
      <c r="E24" s="1439"/>
      <c r="F24" s="1440"/>
      <c r="G24" s="1440"/>
      <c r="H24" s="1440"/>
      <c r="I24" s="1440"/>
      <c r="J24" s="1440"/>
      <c r="K24" s="1440"/>
      <c r="L24" s="1440"/>
      <c r="M24" s="1440"/>
      <c r="N24" s="1440"/>
      <c r="O24" s="1440"/>
      <c r="P24" s="1440"/>
      <c r="Q24" s="1440"/>
      <c r="R24" s="1440"/>
      <c r="S24" s="1440"/>
      <c r="T24" s="1440"/>
      <c r="U24" s="1440"/>
      <c r="V24" s="1440"/>
      <c r="W24" s="1440"/>
      <c r="X24" s="1440"/>
      <c r="Y24" s="1440"/>
      <c r="Z24" s="1440"/>
      <c r="AA24" s="1440"/>
      <c r="AB24" s="1630"/>
      <c r="AC24" s="1631"/>
    </row>
    <row r="25" spans="1:29" ht="13.5" customHeight="1" thickTop="1">
      <c r="A25" s="1671" t="s">
        <v>1244</v>
      </c>
      <c r="B25" s="1672"/>
      <c r="C25" s="1672"/>
      <c r="D25" s="1667">
        <v>13</v>
      </c>
      <c r="E25" s="1668">
        <v>527</v>
      </c>
      <c r="F25" s="1669">
        <v>520</v>
      </c>
      <c r="G25" s="1669">
        <v>516</v>
      </c>
      <c r="H25" s="1669">
        <v>511</v>
      </c>
      <c r="I25" s="1669">
        <v>508</v>
      </c>
      <c r="J25" s="1669">
        <v>509</v>
      </c>
      <c r="K25" s="1669">
        <v>524</v>
      </c>
      <c r="L25" s="1669">
        <v>548</v>
      </c>
      <c r="M25" s="1669">
        <v>754</v>
      </c>
      <c r="N25" s="1669">
        <v>760</v>
      </c>
      <c r="O25" s="1669">
        <v>785</v>
      </c>
      <c r="P25" s="1669">
        <v>808</v>
      </c>
      <c r="Q25" s="1669">
        <v>810</v>
      </c>
      <c r="R25" s="1669">
        <v>799</v>
      </c>
      <c r="S25" s="1669">
        <v>785</v>
      </c>
      <c r="T25" s="1669">
        <v>775</v>
      </c>
      <c r="U25" s="1669">
        <v>742</v>
      </c>
      <c r="V25" s="1669">
        <v>717</v>
      </c>
      <c r="W25" s="1669">
        <v>558</v>
      </c>
      <c r="X25" s="1669">
        <v>552</v>
      </c>
      <c r="Y25" s="1669">
        <v>548</v>
      </c>
      <c r="Z25" s="1669">
        <v>546</v>
      </c>
      <c r="AA25" s="1669">
        <v>542</v>
      </c>
      <c r="AB25" s="1669">
        <v>534</v>
      </c>
      <c r="AC25" s="1670"/>
    </row>
    <row r="26" spans="1:29" ht="13.5" customHeight="1">
      <c r="A26" s="1369"/>
      <c r="B26" s="1368"/>
      <c r="C26" s="1627"/>
      <c r="D26" s="1366"/>
      <c r="E26" s="1364"/>
      <c r="F26" s="1361"/>
      <c r="G26" s="1361"/>
      <c r="H26" s="1361"/>
      <c r="I26" s="1361"/>
      <c r="J26" s="1361"/>
      <c r="K26" s="1361"/>
      <c r="L26" s="1361"/>
      <c r="M26" s="1361"/>
      <c r="N26" s="1361"/>
      <c r="O26" s="1361"/>
      <c r="P26" s="1361"/>
      <c r="Q26" s="1361"/>
      <c r="R26" s="1361"/>
      <c r="S26" s="1361"/>
      <c r="T26" s="1361"/>
      <c r="U26" s="1361"/>
      <c r="V26" s="1361"/>
      <c r="W26" s="1361"/>
      <c r="X26" s="1361"/>
      <c r="Y26" s="1361"/>
      <c r="Z26" s="1361"/>
      <c r="AA26" s="1361"/>
      <c r="AB26" s="1604"/>
      <c r="AC26" s="1603"/>
    </row>
    <row r="27" spans="1:29" ht="13.5" customHeight="1">
      <c r="A27" s="1369"/>
      <c r="B27" s="1368"/>
      <c r="C27" s="1605"/>
      <c r="D27" s="1366"/>
      <c r="E27" s="1364"/>
      <c r="F27" s="1361"/>
      <c r="G27" s="1361"/>
      <c r="H27" s="1361"/>
      <c r="I27" s="1361"/>
      <c r="J27" s="1361"/>
      <c r="K27" s="1361"/>
      <c r="L27" s="1361"/>
      <c r="M27" s="1361"/>
      <c r="N27" s="1361"/>
      <c r="O27" s="1361"/>
      <c r="P27" s="1361"/>
      <c r="Q27" s="1361"/>
      <c r="R27" s="1361"/>
      <c r="S27" s="1361"/>
      <c r="T27" s="1361"/>
      <c r="U27" s="1361"/>
      <c r="V27" s="1361"/>
      <c r="W27" s="1361"/>
      <c r="X27" s="1361"/>
      <c r="Y27" s="1361"/>
      <c r="Z27" s="1361"/>
      <c r="AA27" s="1361"/>
      <c r="AB27" s="1604"/>
      <c r="AC27" s="1603"/>
    </row>
    <row r="28" spans="1:29" ht="13.5" customHeight="1">
      <c r="A28" s="1369"/>
      <c r="B28" s="1368"/>
      <c r="C28" s="1605"/>
      <c r="D28" s="1366"/>
      <c r="E28" s="1364"/>
      <c r="F28" s="1361"/>
      <c r="G28" s="1361"/>
      <c r="H28" s="1361"/>
      <c r="I28" s="1361"/>
      <c r="J28" s="1361"/>
      <c r="K28" s="1361"/>
      <c r="L28" s="1361"/>
      <c r="M28" s="1361"/>
      <c r="N28" s="1361"/>
      <c r="O28" s="1361"/>
      <c r="P28" s="1361"/>
      <c r="Q28" s="1361"/>
      <c r="R28" s="1361"/>
      <c r="S28" s="1361"/>
      <c r="T28" s="1361"/>
      <c r="U28" s="1361"/>
      <c r="V28" s="1361"/>
      <c r="W28" s="1361"/>
      <c r="X28" s="1361"/>
      <c r="Y28" s="1361"/>
      <c r="Z28" s="1361"/>
      <c r="AA28" s="1361"/>
      <c r="AB28" s="1604"/>
      <c r="AC28" s="1603"/>
    </row>
    <row r="29" spans="1:29" ht="13.5" customHeight="1">
      <c r="A29" s="1369"/>
      <c r="B29" s="1368"/>
      <c r="C29" s="1605"/>
      <c r="D29" s="1366"/>
      <c r="E29" s="1364"/>
      <c r="F29" s="1361"/>
      <c r="G29" s="1361"/>
      <c r="H29" s="1361"/>
      <c r="I29" s="1361"/>
      <c r="J29" s="1361"/>
      <c r="K29" s="1361"/>
      <c r="L29" s="1361"/>
      <c r="M29" s="1361"/>
      <c r="N29" s="1361"/>
      <c r="O29" s="1361"/>
      <c r="P29" s="1361"/>
      <c r="Q29" s="1361"/>
      <c r="R29" s="1361"/>
      <c r="S29" s="1361"/>
      <c r="T29" s="1361"/>
      <c r="U29" s="1361"/>
      <c r="V29" s="1361"/>
      <c r="W29" s="1361"/>
      <c r="X29" s="1361"/>
      <c r="Y29" s="1361"/>
      <c r="Z29" s="1361"/>
      <c r="AA29" s="1361"/>
      <c r="AB29" s="1604"/>
      <c r="AC29" s="1603"/>
    </row>
    <row r="30" spans="1:29" ht="13.5" customHeight="1">
      <c r="A30" s="1369"/>
      <c r="B30" s="1368"/>
      <c r="C30" s="1605"/>
      <c r="D30" s="1366"/>
      <c r="E30" s="1364"/>
      <c r="F30" s="1361"/>
      <c r="G30" s="1361"/>
      <c r="H30" s="1361"/>
      <c r="I30" s="1361"/>
      <c r="J30" s="1361"/>
      <c r="K30" s="1361"/>
      <c r="L30" s="1361"/>
      <c r="M30" s="1361"/>
      <c r="N30" s="1361"/>
      <c r="O30" s="1361"/>
      <c r="P30" s="1361"/>
      <c r="Q30" s="1361"/>
      <c r="R30" s="1361"/>
      <c r="S30" s="1361"/>
      <c r="T30" s="1361"/>
      <c r="U30" s="1361"/>
      <c r="V30" s="1361"/>
      <c r="W30" s="1361"/>
      <c r="X30" s="1361"/>
      <c r="Y30" s="1361"/>
      <c r="Z30" s="1361"/>
      <c r="AA30" s="1361"/>
      <c r="AB30" s="1604"/>
      <c r="AC30" s="1603"/>
    </row>
    <row r="31" spans="1:29" ht="13.5" customHeight="1">
      <c r="A31" s="1369"/>
      <c r="B31" s="1368"/>
      <c r="C31" s="1605"/>
      <c r="D31" s="1366"/>
      <c r="E31" s="1364"/>
      <c r="F31" s="1361"/>
      <c r="G31" s="1361"/>
      <c r="H31" s="1361"/>
      <c r="I31" s="1361"/>
      <c r="J31" s="1361"/>
      <c r="K31" s="1361"/>
      <c r="L31" s="1361"/>
      <c r="M31" s="1361"/>
      <c r="N31" s="1361"/>
      <c r="O31" s="1361"/>
      <c r="P31" s="1361"/>
      <c r="Q31" s="1361"/>
      <c r="R31" s="1361"/>
      <c r="S31" s="1361"/>
      <c r="T31" s="1361"/>
      <c r="U31" s="1361"/>
      <c r="V31" s="1361"/>
      <c r="W31" s="1361"/>
      <c r="X31" s="1361"/>
      <c r="Y31" s="1361"/>
      <c r="Z31" s="1361"/>
      <c r="AA31" s="1361"/>
      <c r="AB31" s="1604"/>
      <c r="AC31" s="1603"/>
    </row>
    <row r="32" spans="1:29" ht="13.5" customHeight="1">
      <c r="A32" s="1369"/>
      <c r="B32" s="1368"/>
      <c r="C32" s="1605"/>
      <c r="D32" s="1366"/>
      <c r="E32" s="1364"/>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604"/>
      <c r="AC32" s="1603"/>
    </row>
    <row r="33" spans="1:29" ht="13.5" customHeight="1">
      <c r="A33" s="1369"/>
      <c r="B33" s="1368"/>
      <c r="C33" s="1605"/>
      <c r="D33" s="1366"/>
      <c r="E33" s="1364"/>
      <c r="F33" s="1361"/>
      <c r="G33" s="1361"/>
      <c r="H33" s="1361"/>
      <c r="I33" s="1361"/>
      <c r="J33" s="1361"/>
      <c r="K33" s="1361"/>
      <c r="L33" s="1361"/>
      <c r="M33" s="1361"/>
      <c r="N33" s="1361"/>
      <c r="O33" s="1361"/>
      <c r="P33" s="1361"/>
      <c r="Q33" s="1361"/>
      <c r="R33" s="1361"/>
      <c r="S33" s="1361"/>
      <c r="T33" s="1361"/>
      <c r="U33" s="1361"/>
      <c r="V33" s="1361"/>
      <c r="W33" s="1361"/>
      <c r="X33" s="1361"/>
      <c r="Y33" s="1361"/>
      <c r="Z33" s="1361"/>
      <c r="AA33" s="1361"/>
      <c r="AB33" s="1604"/>
      <c r="AC33" s="1603"/>
    </row>
    <row r="34" spans="1:29" ht="13.5" customHeight="1">
      <c r="A34" s="1369"/>
      <c r="B34" s="1368"/>
      <c r="C34" s="1605"/>
      <c r="D34" s="1366"/>
      <c r="E34" s="1364"/>
      <c r="F34" s="1361"/>
      <c r="G34" s="1361"/>
      <c r="H34" s="1361"/>
      <c r="I34" s="1361"/>
      <c r="J34" s="1361"/>
      <c r="K34" s="1361"/>
      <c r="L34" s="1361"/>
      <c r="M34" s="1361"/>
      <c r="N34" s="1361"/>
      <c r="O34" s="1361"/>
      <c r="P34" s="1361"/>
      <c r="Q34" s="1361"/>
      <c r="R34" s="1361"/>
      <c r="S34" s="1361"/>
      <c r="T34" s="1361"/>
      <c r="U34" s="1361"/>
      <c r="V34" s="1361"/>
      <c r="W34" s="1361"/>
      <c r="X34" s="1361"/>
      <c r="Y34" s="1361"/>
      <c r="Z34" s="1361"/>
      <c r="AA34" s="1361"/>
      <c r="AB34" s="1604"/>
      <c r="AC34" s="1603"/>
    </row>
    <row r="35" spans="1:29" ht="13.5" customHeight="1">
      <c r="A35" s="1369"/>
      <c r="B35" s="1368"/>
      <c r="C35" s="1605"/>
      <c r="D35" s="1366"/>
      <c r="E35" s="1364"/>
      <c r="F35" s="1361"/>
      <c r="G35" s="1361"/>
      <c r="H35" s="1361"/>
      <c r="I35" s="1361"/>
      <c r="J35" s="1361"/>
      <c r="K35" s="1361"/>
      <c r="L35" s="1361"/>
      <c r="M35" s="1361"/>
      <c r="N35" s="1361"/>
      <c r="O35" s="1361"/>
      <c r="P35" s="1361"/>
      <c r="Q35" s="1361"/>
      <c r="R35" s="1361"/>
      <c r="S35" s="1361"/>
      <c r="T35" s="1361"/>
      <c r="U35" s="1361"/>
      <c r="V35" s="1361"/>
      <c r="W35" s="1361"/>
      <c r="X35" s="1361"/>
      <c r="Y35" s="1361"/>
      <c r="Z35" s="1361"/>
      <c r="AA35" s="1361"/>
      <c r="AB35" s="1604"/>
      <c r="AC35" s="1603"/>
    </row>
    <row r="36" spans="1:29" ht="13.5" customHeight="1">
      <c r="A36" s="1369"/>
      <c r="B36" s="1368"/>
      <c r="C36" s="1605"/>
      <c r="D36" s="1366"/>
      <c r="E36" s="1364"/>
      <c r="F36" s="1361"/>
      <c r="G36" s="1361"/>
      <c r="H36" s="1361"/>
      <c r="I36" s="1361"/>
      <c r="J36" s="1361"/>
      <c r="K36" s="1361"/>
      <c r="L36" s="1361"/>
      <c r="M36" s="1361"/>
      <c r="N36" s="1361"/>
      <c r="O36" s="1361"/>
      <c r="P36" s="1361"/>
      <c r="Q36" s="1361"/>
      <c r="R36" s="1361"/>
      <c r="S36" s="1361"/>
      <c r="T36" s="1361"/>
      <c r="U36" s="1361"/>
      <c r="V36" s="1361"/>
      <c r="W36" s="1361"/>
      <c r="X36" s="1361"/>
      <c r="Y36" s="1361"/>
      <c r="Z36" s="1361"/>
      <c r="AA36" s="1361"/>
      <c r="AB36" s="1604"/>
      <c r="AC36" s="1603"/>
    </row>
    <row r="37" spans="1:29" ht="13.5" customHeight="1">
      <c r="A37" s="1369"/>
      <c r="B37" s="1368"/>
      <c r="C37" s="1605"/>
      <c r="D37" s="1366"/>
      <c r="E37" s="1364"/>
      <c r="F37" s="1361"/>
      <c r="G37" s="1361"/>
      <c r="H37" s="1361"/>
      <c r="I37" s="1361"/>
      <c r="J37" s="1361"/>
      <c r="K37" s="1361"/>
      <c r="L37" s="1361"/>
      <c r="M37" s="1361"/>
      <c r="N37" s="1361"/>
      <c r="O37" s="1361"/>
      <c r="P37" s="1361"/>
      <c r="Q37" s="1361"/>
      <c r="R37" s="1361"/>
      <c r="S37" s="1361"/>
      <c r="T37" s="1361"/>
      <c r="U37" s="1361"/>
      <c r="V37" s="1361"/>
      <c r="W37" s="1361"/>
      <c r="X37" s="1361"/>
      <c r="Y37" s="1361"/>
      <c r="Z37" s="1361"/>
      <c r="AA37" s="1361"/>
      <c r="AB37" s="1604"/>
      <c r="AC37" s="1603"/>
    </row>
    <row r="38" spans="1:29" ht="13.5" customHeight="1">
      <c r="A38" s="1369"/>
      <c r="B38" s="1368"/>
      <c r="C38" s="1605"/>
      <c r="D38" s="1366"/>
      <c r="E38" s="1364"/>
      <c r="F38" s="1361"/>
      <c r="G38" s="1361"/>
      <c r="H38" s="1361"/>
      <c r="I38" s="1361"/>
      <c r="J38" s="1361"/>
      <c r="K38" s="1361"/>
      <c r="L38" s="1361"/>
      <c r="M38" s="1361"/>
      <c r="N38" s="1361"/>
      <c r="O38" s="1361"/>
      <c r="P38" s="1361"/>
      <c r="Q38" s="1361"/>
      <c r="R38" s="1361"/>
      <c r="S38" s="1361"/>
      <c r="T38" s="1361"/>
      <c r="U38" s="1361"/>
      <c r="V38" s="1361"/>
      <c r="W38" s="1361"/>
      <c r="X38" s="1361"/>
      <c r="Y38" s="1361"/>
      <c r="Z38" s="1361"/>
      <c r="AA38" s="1361"/>
      <c r="AB38" s="1604"/>
      <c r="AC38" s="1603"/>
    </row>
    <row r="39" spans="1:29" ht="13.5" customHeight="1">
      <c r="A39" s="1369"/>
      <c r="B39" s="1368"/>
      <c r="C39" s="1605"/>
      <c r="D39" s="1366"/>
      <c r="E39" s="1364"/>
      <c r="F39" s="1361"/>
      <c r="G39" s="1361"/>
      <c r="H39" s="1361"/>
      <c r="I39" s="1361"/>
      <c r="J39" s="1361"/>
      <c r="K39" s="1361"/>
      <c r="L39" s="1361"/>
      <c r="M39" s="1361"/>
      <c r="N39" s="1361"/>
      <c r="O39" s="1361"/>
      <c r="P39" s="1361"/>
      <c r="Q39" s="1361"/>
      <c r="R39" s="1361"/>
      <c r="S39" s="1361"/>
      <c r="T39" s="1361"/>
      <c r="U39" s="1361"/>
      <c r="V39" s="1361"/>
      <c r="W39" s="1361"/>
      <c r="X39" s="1361"/>
      <c r="Y39" s="1361"/>
      <c r="Z39" s="1361"/>
      <c r="AA39" s="1361"/>
      <c r="AB39" s="1604"/>
      <c r="AC39" s="1603"/>
    </row>
    <row r="40" spans="1:29" ht="13.5" customHeight="1">
      <c r="A40" s="1369"/>
      <c r="B40" s="1368"/>
      <c r="C40" s="1605"/>
      <c r="D40" s="1366"/>
      <c r="E40" s="1364"/>
      <c r="F40" s="1361"/>
      <c r="G40" s="1361"/>
      <c r="H40" s="1361"/>
      <c r="I40" s="1361"/>
      <c r="J40" s="1361"/>
      <c r="K40" s="1361"/>
      <c r="L40" s="1361"/>
      <c r="M40" s="1361"/>
      <c r="N40" s="1361"/>
      <c r="O40" s="1361"/>
      <c r="P40" s="1361"/>
      <c r="Q40" s="1361"/>
      <c r="R40" s="1361"/>
      <c r="S40" s="1361"/>
      <c r="T40" s="1361"/>
      <c r="U40" s="1361"/>
      <c r="V40" s="1361"/>
      <c r="W40" s="1361"/>
      <c r="X40" s="1361"/>
      <c r="Y40" s="1361"/>
      <c r="Z40" s="1361"/>
      <c r="AA40" s="1361"/>
      <c r="AB40" s="1604"/>
      <c r="AC40" s="1603"/>
    </row>
    <row r="41" spans="1:29" ht="13.5" customHeight="1">
      <c r="A41" s="1369"/>
      <c r="B41" s="1368"/>
      <c r="C41" s="1605"/>
      <c r="D41" s="1366"/>
      <c r="E41" s="1364"/>
      <c r="F41" s="1361"/>
      <c r="G41" s="1361"/>
      <c r="H41" s="1361"/>
      <c r="I41" s="1361"/>
      <c r="J41" s="1361"/>
      <c r="K41" s="1361"/>
      <c r="L41" s="1361"/>
      <c r="M41" s="1361"/>
      <c r="N41" s="1361"/>
      <c r="O41" s="1361"/>
      <c r="P41" s="1361"/>
      <c r="Q41" s="1361"/>
      <c r="R41" s="1361"/>
      <c r="S41" s="1361"/>
      <c r="T41" s="1361"/>
      <c r="U41" s="1361"/>
      <c r="V41" s="1361"/>
      <c r="W41" s="1361"/>
      <c r="X41" s="1361"/>
      <c r="Y41" s="1361"/>
      <c r="Z41" s="1361"/>
      <c r="AA41" s="1361"/>
      <c r="AB41" s="1604"/>
      <c r="AC41" s="1603"/>
    </row>
    <row r="42" spans="1:29" ht="13.5" customHeight="1">
      <c r="A42" s="1369"/>
      <c r="B42" s="1368"/>
      <c r="C42" s="1605"/>
      <c r="D42" s="1366"/>
      <c r="E42" s="1364"/>
      <c r="F42" s="1361"/>
      <c r="G42" s="1361"/>
      <c r="H42" s="1361"/>
      <c r="I42" s="1361"/>
      <c r="J42" s="1361"/>
      <c r="K42" s="1361"/>
      <c r="L42" s="1361"/>
      <c r="M42" s="1361"/>
      <c r="N42" s="1361"/>
      <c r="O42" s="1361"/>
      <c r="P42" s="1361"/>
      <c r="Q42" s="1361"/>
      <c r="R42" s="1361"/>
      <c r="S42" s="1361"/>
      <c r="T42" s="1361"/>
      <c r="U42" s="1361"/>
      <c r="V42" s="1361"/>
      <c r="W42" s="1361"/>
      <c r="X42" s="1361"/>
      <c r="Y42" s="1361"/>
      <c r="Z42" s="1361"/>
      <c r="AA42" s="1361"/>
      <c r="AB42" s="1604"/>
      <c r="AC42" s="1603"/>
    </row>
    <row r="43" spans="1:29" ht="13.5" customHeight="1">
      <c r="A43" s="1369"/>
      <c r="B43" s="1368"/>
      <c r="C43" s="1605"/>
      <c r="D43" s="1366"/>
      <c r="E43" s="1364"/>
      <c r="F43" s="1361"/>
      <c r="G43" s="1361"/>
      <c r="H43" s="1361"/>
      <c r="I43" s="1361"/>
      <c r="J43" s="1361"/>
      <c r="K43" s="1361"/>
      <c r="L43" s="1361"/>
      <c r="M43" s="1361"/>
      <c r="N43" s="1361"/>
      <c r="O43" s="1361"/>
      <c r="P43" s="1361"/>
      <c r="Q43" s="1361"/>
      <c r="R43" s="1361"/>
      <c r="S43" s="1361"/>
      <c r="T43" s="1361"/>
      <c r="U43" s="1361"/>
      <c r="V43" s="1361"/>
      <c r="W43" s="1361"/>
      <c r="X43" s="1361"/>
      <c r="Y43" s="1361"/>
      <c r="Z43" s="1361"/>
      <c r="AA43" s="1361"/>
      <c r="AB43" s="1604"/>
      <c r="AC43" s="1603"/>
    </row>
    <row r="44" spans="1:29" ht="13.5" customHeight="1">
      <c r="A44" s="1369"/>
      <c r="B44" s="1368"/>
      <c r="C44" s="1605"/>
      <c r="D44" s="1366"/>
      <c r="E44" s="1364"/>
      <c r="F44" s="1361"/>
      <c r="G44" s="1361"/>
      <c r="H44" s="1361"/>
      <c r="I44" s="1361"/>
      <c r="J44" s="1361"/>
      <c r="K44" s="1361"/>
      <c r="L44" s="1361"/>
      <c r="M44" s="1361"/>
      <c r="N44" s="1361"/>
      <c r="O44" s="1361"/>
      <c r="P44" s="1361"/>
      <c r="Q44" s="1361"/>
      <c r="R44" s="1361"/>
      <c r="S44" s="1361"/>
      <c r="T44" s="1361"/>
      <c r="U44" s="1361"/>
      <c r="V44" s="1361"/>
      <c r="W44" s="1361"/>
      <c r="X44" s="1361"/>
      <c r="Y44" s="1361"/>
      <c r="Z44" s="1361"/>
      <c r="AA44" s="1361"/>
      <c r="AB44" s="1604"/>
      <c r="AC44" s="1603"/>
    </row>
    <row r="45" spans="1:29" ht="13.5" customHeight="1">
      <c r="A45" s="1369"/>
      <c r="B45" s="1368"/>
      <c r="C45" s="1605"/>
      <c r="D45" s="1366"/>
      <c r="E45" s="1364"/>
      <c r="F45" s="1361"/>
      <c r="G45" s="1361"/>
      <c r="H45" s="1361"/>
      <c r="I45" s="1361"/>
      <c r="J45" s="1361"/>
      <c r="K45" s="1361"/>
      <c r="L45" s="1361"/>
      <c r="M45" s="1361"/>
      <c r="N45" s="1361"/>
      <c r="O45" s="1361"/>
      <c r="P45" s="1361"/>
      <c r="Q45" s="1361"/>
      <c r="R45" s="1361"/>
      <c r="S45" s="1361"/>
      <c r="T45" s="1361"/>
      <c r="U45" s="1361"/>
      <c r="V45" s="1361"/>
      <c r="W45" s="1361"/>
      <c r="X45" s="1361"/>
      <c r="Y45" s="1361"/>
      <c r="Z45" s="1361"/>
      <c r="AA45" s="1361"/>
      <c r="AB45" s="1604"/>
      <c r="AC45" s="1603"/>
    </row>
    <row r="46" spans="1:29" ht="13.5" customHeight="1">
      <c r="A46" s="1369"/>
      <c r="B46" s="1368"/>
      <c r="C46" s="1605"/>
      <c r="D46" s="1366"/>
      <c r="E46" s="1364"/>
      <c r="F46" s="1361"/>
      <c r="G46" s="1361"/>
      <c r="H46" s="1361"/>
      <c r="I46" s="1361"/>
      <c r="J46" s="1361"/>
      <c r="K46" s="1361"/>
      <c r="L46" s="1361"/>
      <c r="M46" s="1361"/>
      <c r="N46" s="1361"/>
      <c r="O46" s="1361"/>
      <c r="P46" s="1361"/>
      <c r="Q46" s="1361"/>
      <c r="R46" s="1361"/>
      <c r="S46" s="1361"/>
      <c r="T46" s="1361"/>
      <c r="U46" s="1361"/>
      <c r="V46" s="1361"/>
      <c r="W46" s="1361"/>
      <c r="X46" s="1361"/>
      <c r="Y46" s="1361"/>
      <c r="Z46" s="1361"/>
      <c r="AA46" s="1361"/>
      <c r="AB46" s="1604"/>
      <c r="AC46" s="1603"/>
    </row>
    <row r="47" spans="1:29" ht="13.5" customHeight="1">
      <c r="A47" s="1369"/>
      <c r="B47" s="1368"/>
      <c r="C47" s="1605"/>
      <c r="D47" s="1366"/>
      <c r="E47" s="1364"/>
      <c r="F47" s="1361"/>
      <c r="G47" s="1361"/>
      <c r="H47" s="1361"/>
      <c r="I47" s="1361"/>
      <c r="J47" s="1361"/>
      <c r="K47" s="1361"/>
      <c r="L47" s="1361"/>
      <c r="M47" s="1361"/>
      <c r="N47" s="1361"/>
      <c r="O47" s="1361"/>
      <c r="P47" s="1361"/>
      <c r="Q47" s="1361"/>
      <c r="R47" s="1361"/>
      <c r="S47" s="1361"/>
      <c r="T47" s="1361"/>
      <c r="U47" s="1361"/>
      <c r="V47" s="1361"/>
      <c r="W47" s="1361"/>
      <c r="X47" s="1361"/>
      <c r="Y47" s="1361"/>
      <c r="Z47" s="1361"/>
      <c r="AA47" s="1361"/>
      <c r="AB47" s="1604"/>
      <c r="AC47" s="1603"/>
    </row>
    <row r="48" spans="1:29" ht="13.5" customHeight="1">
      <c r="A48" s="1369"/>
      <c r="B48" s="1368"/>
      <c r="C48" s="1605"/>
      <c r="D48" s="1366"/>
      <c r="E48" s="1364"/>
      <c r="F48" s="1361"/>
      <c r="G48" s="1361"/>
      <c r="H48" s="1361"/>
      <c r="I48" s="1361"/>
      <c r="J48" s="1361"/>
      <c r="K48" s="1361"/>
      <c r="L48" s="1361"/>
      <c r="M48" s="1361"/>
      <c r="N48" s="1361"/>
      <c r="O48" s="1361"/>
      <c r="P48" s="1361"/>
      <c r="Q48" s="1361"/>
      <c r="R48" s="1361"/>
      <c r="S48" s="1361"/>
      <c r="T48" s="1361"/>
      <c r="U48" s="1361"/>
      <c r="V48" s="1361"/>
      <c r="W48" s="1361"/>
      <c r="X48" s="1361"/>
      <c r="Y48" s="1361"/>
      <c r="Z48" s="1361"/>
      <c r="AA48" s="1361"/>
      <c r="AB48" s="1604"/>
      <c r="AC48" s="1603"/>
    </row>
    <row r="49" spans="1:29" ht="13.5" customHeight="1">
      <c r="A49" s="1369"/>
      <c r="B49" s="1368"/>
      <c r="C49" s="1605"/>
      <c r="D49" s="1366"/>
      <c r="E49" s="1364"/>
      <c r="F49" s="1361"/>
      <c r="G49" s="1361"/>
      <c r="H49" s="1361"/>
      <c r="I49" s="1361"/>
      <c r="J49" s="1361"/>
      <c r="K49" s="1361"/>
      <c r="L49" s="1361"/>
      <c r="M49" s="1361"/>
      <c r="N49" s="1361"/>
      <c r="O49" s="1361"/>
      <c r="P49" s="1361"/>
      <c r="Q49" s="1361"/>
      <c r="R49" s="1361"/>
      <c r="S49" s="1361"/>
      <c r="T49" s="1361"/>
      <c r="U49" s="1361"/>
      <c r="V49" s="1361"/>
      <c r="W49" s="1361"/>
      <c r="X49" s="1361"/>
      <c r="Y49" s="1361"/>
      <c r="Z49" s="1361"/>
      <c r="AA49" s="1361"/>
      <c r="AB49" s="1604"/>
      <c r="AC49" s="1603"/>
    </row>
    <row r="50" spans="1:29" ht="13.5" customHeight="1">
      <c r="A50" s="1369"/>
      <c r="B50" s="1368"/>
      <c r="C50" s="1605"/>
      <c r="D50" s="1366"/>
      <c r="E50" s="1364"/>
      <c r="F50" s="1361"/>
      <c r="G50" s="1361"/>
      <c r="H50" s="1361"/>
      <c r="I50" s="1361"/>
      <c r="J50" s="1361"/>
      <c r="K50" s="1361"/>
      <c r="L50" s="1361"/>
      <c r="M50" s="1361"/>
      <c r="N50" s="1361"/>
      <c r="O50" s="1361"/>
      <c r="P50" s="1361"/>
      <c r="Q50" s="1361"/>
      <c r="R50" s="1361"/>
      <c r="S50" s="1361"/>
      <c r="T50" s="1361"/>
      <c r="U50" s="1361"/>
      <c r="V50" s="1361"/>
      <c r="W50" s="1361"/>
      <c r="X50" s="1361"/>
      <c r="Y50" s="1361"/>
      <c r="Z50" s="1361"/>
      <c r="AA50" s="1361"/>
      <c r="AB50" s="1604"/>
      <c r="AC50" s="1603"/>
    </row>
    <row r="51" spans="1:29" ht="13.5" customHeight="1">
      <c r="A51" s="1369"/>
      <c r="B51" s="1368"/>
      <c r="C51" s="1605"/>
      <c r="D51" s="1366"/>
      <c r="E51" s="1364"/>
      <c r="F51" s="1361"/>
      <c r="G51" s="1361"/>
      <c r="H51" s="1361"/>
      <c r="I51" s="1361"/>
      <c r="J51" s="1361"/>
      <c r="K51" s="1361"/>
      <c r="L51" s="1361"/>
      <c r="M51" s="1361"/>
      <c r="N51" s="1361"/>
      <c r="O51" s="1361"/>
      <c r="P51" s="1361"/>
      <c r="Q51" s="1361"/>
      <c r="R51" s="1361"/>
      <c r="S51" s="1361"/>
      <c r="T51" s="1361"/>
      <c r="U51" s="1361"/>
      <c r="V51" s="1361"/>
      <c r="W51" s="1361"/>
      <c r="X51" s="1361"/>
      <c r="Y51" s="1361"/>
      <c r="Z51" s="1361"/>
      <c r="AA51" s="1361"/>
      <c r="AB51" s="1604"/>
      <c r="AC51" s="1603"/>
    </row>
    <row r="52" spans="1:29" ht="13.5" customHeight="1">
      <c r="A52" s="1369"/>
      <c r="B52" s="1368"/>
      <c r="C52" s="1605"/>
      <c r="D52" s="1366"/>
      <c r="E52" s="1364"/>
      <c r="F52" s="1361"/>
      <c r="G52" s="1361"/>
      <c r="H52" s="1361"/>
      <c r="I52" s="1361"/>
      <c r="J52" s="1361"/>
      <c r="K52" s="1361"/>
      <c r="L52" s="1361"/>
      <c r="M52" s="1361"/>
      <c r="N52" s="1361"/>
      <c r="O52" s="1361"/>
      <c r="P52" s="1361"/>
      <c r="Q52" s="1361"/>
      <c r="R52" s="1361"/>
      <c r="S52" s="1361"/>
      <c r="T52" s="1361"/>
      <c r="U52" s="1361"/>
      <c r="V52" s="1361"/>
      <c r="W52" s="1361"/>
      <c r="X52" s="1361"/>
      <c r="Y52" s="1361"/>
      <c r="Z52" s="1361"/>
      <c r="AA52" s="1361"/>
      <c r="AB52" s="1604"/>
      <c r="AC52" s="1603"/>
    </row>
    <row r="53" spans="1:29" ht="13.5" customHeight="1">
      <c r="A53" s="1369"/>
      <c r="B53" s="1368"/>
      <c r="C53" s="1605"/>
      <c r="D53" s="1366"/>
      <c r="E53" s="1364"/>
      <c r="F53" s="1361"/>
      <c r="G53" s="1361"/>
      <c r="H53" s="1361"/>
      <c r="I53" s="1361"/>
      <c r="J53" s="1361"/>
      <c r="K53" s="1361"/>
      <c r="L53" s="1361"/>
      <c r="M53" s="1361"/>
      <c r="N53" s="1361"/>
      <c r="O53" s="1361"/>
      <c r="P53" s="1361"/>
      <c r="Q53" s="1361"/>
      <c r="R53" s="1361"/>
      <c r="S53" s="1361"/>
      <c r="T53" s="1361"/>
      <c r="U53" s="1361"/>
      <c r="V53" s="1361"/>
      <c r="W53" s="1361"/>
      <c r="X53" s="1361"/>
      <c r="Y53" s="1361"/>
      <c r="Z53" s="1361"/>
      <c r="AA53" s="1361"/>
      <c r="AB53" s="1604"/>
      <c r="AC53" s="1603"/>
    </row>
    <row r="54" spans="1:29" ht="13.5" customHeight="1">
      <c r="A54" s="1369"/>
      <c r="B54" s="1368"/>
      <c r="C54" s="1605"/>
      <c r="D54" s="1366"/>
      <c r="E54" s="1364"/>
      <c r="F54" s="1361"/>
      <c r="G54" s="1361"/>
      <c r="H54" s="1361"/>
      <c r="I54" s="1361"/>
      <c r="J54" s="1361"/>
      <c r="K54" s="1361"/>
      <c r="L54" s="1361"/>
      <c r="M54" s="1361"/>
      <c r="N54" s="1361"/>
      <c r="O54" s="1361"/>
      <c r="P54" s="1361"/>
      <c r="Q54" s="1361"/>
      <c r="R54" s="1361"/>
      <c r="S54" s="1361"/>
      <c r="T54" s="1361"/>
      <c r="U54" s="1361"/>
      <c r="V54" s="1361"/>
      <c r="W54" s="1361"/>
      <c r="X54" s="1361"/>
      <c r="Y54" s="1361"/>
      <c r="Z54" s="1361"/>
      <c r="AA54" s="1361"/>
      <c r="AB54" s="1604"/>
      <c r="AC54" s="1603"/>
    </row>
    <row r="55" spans="1:29" ht="13.5" customHeight="1" thickBot="1">
      <c r="A55" s="1434"/>
      <c r="B55" s="1435"/>
      <c r="C55" s="1629"/>
      <c r="D55" s="1437"/>
      <c r="E55" s="1439"/>
      <c r="F55" s="1440"/>
      <c r="G55" s="1440"/>
      <c r="H55" s="1440"/>
      <c r="I55" s="1440"/>
      <c r="J55" s="1440"/>
      <c r="K55" s="1440"/>
      <c r="L55" s="1440"/>
      <c r="M55" s="1440"/>
      <c r="N55" s="1440"/>
      <c r="O55" s="1440"/>
      <c r="P55" s="1440"/>
      <c r="Q55" s="1440"/>
      <c r="R55" s="1440"/>
      <c r="S55" s="1440"/>
      <c r="T55" s="1440"/>
      <c r="U55" s="1440"/>
      <c r="V55" s="1440"/>
      <c r="W55" s="1440"/>
      <c r="X55" s="1440"/>
      <c r="Y55" s="1440"/>
      <c r="Z55" s="1440"/>
      <c r="AA55" s="1440"/>
      <c r="AB55" s="1630"/>
      <c r="AC55" s="1631"/>
    </row>
    <row r="56" spans="1:29" ht="18.95" customHeight="1" thickTop="1" thickBot="1">
      <c r="A56" s="1673" t="s">
        <v>1246</v>
      </c>
      <c r="B56" s="1674"/>
      <c r="C56" s="1675"/>
      <c r="D56" s="1676">
        <v>13</v>
      </c>
      <c r="E56" s="1677">
        <v>602</v>
      </c>
      <c r="F56" s="1678">
        <v>581</v>
      </c>
      <c r="G56" s="1678">
        <v>578</v>
      </c>
      <c r="H56" s="1678">
        <v>574</v>
      </c>
      <c r="I56" s="1678">
        <v>572</v>
      </c>
      <c r="J56" s="1678">
        <v>577</v>
      </c>
      <c r="K56" s="1678">
        <v>618</v>
      </c>
      <c r="L56" s="1678">
        <v>660</v>
      </c>
      <c r="M56" s="1678">
        <v>914</v>
      </c>
      <c r="N56" s="1678">
        <v>913</v>
      </c>
      <c r="O56" s="1678">
        <v>939</v>
      </c>
      <c r="P56" s="1678">
        <v>960</v>
      </c>
      <c r="Q56" s="1679">
        <v>963</v>
      </c>
      <c r="R56" s="1678">
        <v>959</v>
      </c>
      <c r="S56" s="1678">
        <v>942</v>
      </c>
      <c r="T56" s="1678">
        <v>927</v>
      </c>
      <c r="U56" s="1678">
        <v>895</v>
      </c>
      <c r="V56" s="1678">
        <v>871</v>
      </c>
      <c r="W56" s="1678">
        <v>676</v>
      </c>
      <c r="X56" s="1678">
        <v>648</v>
      </c>
      <c r="Y56" s="1678">
        <v>639</v>
      </c>
      <c r="Z56" s="1678">
        <v>631</v>
      </c>
      <c r="AA56" s="1678">
        <v>619</v>
      </c>
      <c r="AB56" s="1678">
        <v>612</v>
      </c>
      <c r="AC56" s="1680"/>
    </row>
    <row r="57" spans="1:29" ht="13.5" customHeight="1" thickTop="1">
      <c r="A57" s="1681" t="s">
        <v>1247</v>
      </c>
      <c r="B57" s="1674"/>
      <c r="C57" s="1675"/>
      <c r="D57" s="1682">
        <v>13</v>
      </c>
      <c r="E57" s="1683">
        <v>1</v>
      </c>
      <c r="F57" s="1684">
        <v>1</v>
      </c>
      <c r="G57" s="1684">
        <v>1</v>
      </c>
      <c r="H57" s="1684">
        <v>1</v>
      </c>
      <c r="I57" s="1684">
        <v>1</v>
      </c>
      <c r="J57" s="1684">
        <v>1</v>
      </c>
      <c r="K57" s="1684">
        <v>1</v>
      </c>
      <c r="L57" s="1684">
        <v>1</v>
      </c>
      <c r="M57" s="1684">
        <v>1</v>
      </c>
      <c r="N57" s="1684">
        <v>1</v>
      </c>
      <c r="O57" s="1684">
        <v>1</v>
      </c>
      <c r="P57" s="1684">
        <v>1</v>
      </c>
      <c r="Q57" s="1685">
        <v>1</v>
      </c>
      <c r="R57" s="1684">
        <v>1</v>
      </c>
      <c r="S57" s="1684">
        <v>1</v>
      </c>
      <c r="T57" s="1684">
        <v>1</v>
      </c>
      <c r="U57" s="1684">
        <v>1</v>
      </c>
      <c r="V57" s="1684">
        <v>1</v>
      </c>
      <c r="W57" s="1684">
        <v>1</v>
      </c>
      <c r="X57" s="1684">
        <v>1</v>
      </c>
      <c r="Y57" s="1684">
        <v>1</v>
      </c>
      <c r="Z57" s="1684">
        <v>1</v>
      </c>
      <c r="AA57" s="1684">
        <v>1</v>
      </c>
      <c r="AB57" s="1684">
        <v>1</v>
      </c>
      <c r="AC57" s="1686"/>
    </row>
    <row r="58" spans="1:29" ht="13.5" customHeight="1">
      <c r="A58" s="1687" t="s">
        <v>1248</v>
      </c>
      <c r="B58" s="1628"/>
      <c r="C58" s="1688"/>
      <c r="D58" s="1689">
        <v>13</v>
      </c>
      <c r="E58" s="1690">
        <v>46</v>
      </c>
      <c r="F58" s="1691">
        <v>45</v>
      </c>
      <c r="G58" s="1691">
        <v>44</v>
      </c>
      <c r="H58" s="1691">
        <v>44</v>
      </c>
      <c r="I58" s="1691">
        <v>44</v>
      </c>
      <c r="J58" s="1691">
        <v>44</v>
      </c>
      <c r="K58" s="1691">
        <v>48</v>
      </c>
      <c r="L58" s="1691">
        <v>51</v>
      </c>
      <c r="M58" s="1691">
        <v>70</v>
      </c>
      <c r="N58" s="1691">
        <v>70</v>
      </c>
      <c r="O58" s="1691">
        <v>72</v>
      </c>
      <c r="P58" s="1691">
        <v>74</v>
      </c>
      <c r="Q58" s="1693">
        <v>74</v>
      </c>
      <c r="R58" s="1691">
        <v>74</v>
      </c>
      <c r="S58" s="1691">
        <v>72</v>
      </c>
      <c r="T58" s="1691">
        <v>71</v>
      </c>
      <c r="U58" s="1691">
        <v>69</v>
      </c>
      <c r="V58" s="1691">
        <v>67</v>
      </c>
      <c r="W58" s="1691">
        <v>52</v>
      </c>
      <c r="X58" s="1691">
        <v>50</v>
      </c>
      <c r="Y58" s="1691">
        <v>49</v>
      </c>
      <c r="Z58" s="1691">
        <v>49</v>
      </c>
      <c r="AA58" s="1691">
        <v>48</v>
      </c>
      <c r="AB58" s="1691">
        <v>47</v>
      </c>
      <c r="AC58" s="1692"/>
    </row>
    <row r="65" spans="3:26" s="1351" customFormat="1" ht="13.5" customHeight="1">
      <c r="C65" s="1464"/>
      <c r="D65" s="1464"/>
      <c r="E65" s="1464"/>
      <c r="G65" s="1352"/>
      <c r="K65" s="1352"/>
      <c r="N65" s="1352"/>
      <c r="Q65" s="1352"/>
      <c r="S65" s="1352"/>
      <c r="T65" s="1352"/>
      <c r="W65" s="1352"/>
      <c r="Z65" s="1352"/>
    </row>
    <row r="66" spans="3:26" s="1351" customFormat="1" ht="13.5" customHeight="1">
      <c r="C66" s="1464"/>
      <c r="D66" s="1464"/>
      <c r="E66" s="1464"/>
      <c r="F66" s="1356"/>
      <c r="G66" s="1352"/>
      <c r="J66" s="1356"/>
      <c r="K66" s="1352"/>
      <c r="N66" s="1352"/>
      <c r="P66" s="1356"/>
      <c r="Q66" s="1352"/>
      <c r="S66" s="1352"/>
      <c r="T66" s="1352"/>
      <c r="V66" s="1356"/>
      <c r="W66" s="1352"/>
      <c r="Z66" s="1352"/>
    </row>
    <row r="67" spans="3:26" s="1351" customFormat="1" ht="13.5" customHeight="1">
      <c r="C67" s="1464"/>
      <c r="D67" s="1464"/>
      <c r="E67" s="1464"/>
      <c r="F67" s="1354"/>
      <c r="G67" s="1352"/>
      <c r="J67" s="1354"/>
      <c r="K67" s="1352"/>
      <c r="N67" s="1352"/>
      <c r="P67" s="1354"/>
      <c r="Q67" s="1352"/>
      <c r="S67" s="1352"/>
      <c r="T67" s="1352"/>
      <c r="V67" s="1354"/>
      <c r="W67" s="1352"/>
      <c r="Z67" s="1352"/>
    </row>
    <row r="68" spans="3:26" s="1351" customFormat="1" ht="13.5" customHeight="1">
      <c r="C68" s="1353"/>
      <c r="D68" s="1353"/>
      <c r="E68" s="1353"/>
      <c r="F68" s="1352"/>
      <c r="J68" s="1352"/>
      <c r="P68" s="1352"/>
      <c r="V68" s="1352"/>
    </row>
  </sheetData>
  <mergeCells count="21">
    <mergeCell ref="A58:C58"/>
    <mergeCell ref="A23:C23"/>
    <mergeCell ref="A11:C11"/>
    <mergeCell ref="A18:C18"/>
    <mergeCell ref="A25:C25"/>
    <mergeCell ref="A56:C56"/>
    <mergeCell ref="A57:C57"/>
    <mergeCell ref="A6:AC6"/>
    <mergeCell ref="A13:AC13"/>
    <mergeCell ref="A20:AC20"/>
    <mergeCell ref="A7:C7"/>
    <mergeCell ref="A14:C14"/>
    <mergeCell ref="A21:C21"/>
    <mergeCell ref="A9:C9"/>
    <mergeCell ref="A16:C16"/>
    <mergeCell ref="A4:A5"/>
    <mergeCell ref="B4:B5"/>
    <mergeCell ref="C4:C5"/>
    <mergeCell ref="D4:D5"/>
    <mergeCell ref="E4:AB4"/>
    <mergeCell ref="AC4:AC5"/>
  </mergeCells>
  <phoneticPr fontId="4"/>
  <pageMargins left="0.39370078740157483" right="0.39370078740157483" top="0.78740157480314965" bottom="0.55118110236220474" header="0.59055118110236227" footer="0.31496062992125984"/>
  <pageSetup paperSize="9" scale="54" fitToHeight="0" orientation="landscape" horizontalDpi="1200" verticalDpi="1200" r:id="rId1"/>
  <headerFooter scaleWithDoc="0" alignWithMargins="0">
    <oddFooter>&amp;C&amp;"ＭＳ Ｐゴシック,標準"&amp;9( &amp;P / &amp;N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C68"/>
  <sheetViews>
    <sheetView showGridLines="0" zoomScale="80" zoomScaleNormal="80" workbookViewId="0">
      <pane xSplit="4" ySplit="5" topLeftCell="E6" activePane="bottomRight" state="frozenSplit"/>
      <selection pane="topRight" activeCell="P1" sqref="P1"/>
      <selection pane="bottomLeft" activeCell="A17" sqref="A17"/>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28" width="7.7109375" style="1351" customWidth="1"/>
    <col min="29" max="29" width="14.7109375" style="1351" customWidth="1"/>
    <col min="30" max="16384" width="9.140625" style="1458"/>
  </cols>
  <sheetData>
    <row r="1" spans="1:29" s="1615" customFormat="1" ht="30" customHeight="1">
      <c r="A1" s="1623" t="s">
        <v>1270</v>
      </c>
      <c r="B1" s="1622"/>
      <c r="C1" s="1621"/>
      <c r="D1" s="1620"/>
      <c r="E1" s="1619"/>
      <c r="F1" s="1619"/>
      <c r="G1" s="1619"/>
      <c r="H1" s="1618"/>
      <c r="I1" s="1618"/>
      <c r="J1" s="1619"/>
      <c r="K1" s="1619"/>
      <c r="L1" s="1618"/>
      <c r="M1" s="1618"/>
      <c r="N1" s="1619"/>
      <c r="O1" s="1618"/>
      <c r="P1" s="1619"/>
      <c r="Q1" s="1619"/>
      <c r="R1" s="1618"/>
      <c r="S1" s="1619"/>
      <c r="T1" s="1619"/>
      <c r="U1" s="1618"/>
      <c r="V1" s="1619"/>
      <c r="W1" s="1619"/>
      <c r="X1" s="1618"/>
      <c r="Y1" s="1618"/>
      <c r="Z1" s="1619"/>
      <c r="AA1" s="1618"/>
      <c r="AB1" s="1617"/>
      <c r="AC1" s="1616"/>
    </row>
    <row r="4" spans="1:29" ht="13.5" customHeight="1">
      <c r="A4" s="1415" t="s">
        <v>394</v>
      </c>
      <c r="B4" s="1414" t="s">
        <v>370</v>
      </c>
      <c r="C4" s="1614" t="s">
        <v>1083</v>
      </c>
      <c r="D4" s="1613" t="s">
        <v>1082</v>
      </c>
      <c r="E4" s="1612" t="s">
        <v>1236</v>
      </c>
      <c r="F4" s="1611"/>
      <c r="G4" s="1611"/>
      <c r="H4" s="1611"/>
      <c r="I4" s="1611"/>
      <c r="J4" s="1611"/>
      <c r="K4" s="1611"/>
      <c r="L4" s="1611"/>
      <c r="M4" s="1611"/>
      <c r="N4" s="1611"/>
      <c r="O4" s="1611"/>
      <c r="P4" s="1611"/>
      <c r="Q4" s="1611"/>
      <c r="R4" s="1611"/>
      <c r="S4" s="1611"/>
      <c r="T4" s="1611"/>
      <c r="U4" s="1611"/>
      <c r="V4" s="1611"/>
      <c r="W4" s="1611"/>
      <c r="X4" s="1611"/>
      <c r="Y4" s="1611"/>
      <c r="Z4" s="1611"/>
      <c r="AA4" s="1611"/>
      <c r="AB4" s="1610"/>
      <c r="AC4" s="1609" t="s">
        <v>1235</v>
      </c>
    </row>
    <row r="5" spans="1:29" ht="13.5" customHeight="1">
      <c r="A5" s="1396"/>
      <c r="B5" s="1395"/>
      <c r="C5" s="1624"/>
      <c r="D5" s="1625"/>
      <c r="E5" s="1608">
        <v>1</v>
      </c>
      <c r="F5" s="1607">
        <v>2</v>
      </c>
      <c r="G5" s="1607">
        <v>3</v>
      </c>
      <c r="H5" s="1607">
        <v>4</v>
      </c>
      <c r="I5" s="1607">
        <v>5</v>
      </c>
      <c r="J5" s="1607">
        <v>6</v>
      </c>
      <c r="K5" s="1607">
        <v>7</v>
      </c>
      <c r="L5" s="1607">
        <v>8</v>
      </c>
      <c r="M5" s="1607">
        <v>9</v>
      </c>
      <c r="N5" s="1607">
        <v>10</v>
      </c>
      <c r="O5" s="1607">
        <v>11</v>
      </c>
      <c r="P5" s="1607">
        <v>12</v>
      </c>
      <c r="Q5" s="1607">
        <v>13</v>
      </c>
      <c r="R5" s="1607">
        <v>14</v>
      </c>
      <c r="S5" s="1607">
        <v>15</v>
      </c>
      <c r="T5" s="1607">
        <v>16</v>
      </c>
      <c r="U5" s="1607">
        <v>17</v>
      </c>
      <c r="V5" s="1607">
        <v>18</v>
      </c>
      <c r="W5" s="1607">
        <v>19</v>
      </c>
      <c r="X5" s="1607">
        <v>20</v>
      </c>
      <c r="Y5" s="1607">
        <v>21</v>
      </c>
      <c r="Z5" s="1607">
        <v>22</v>
      </c>
      <c r="AA5" s="1607">
        <v>23</v>
      </c>
      <c r="AB5" s="1606">
        <v>24</v>
      </c>
      <c r="AC5" s="1626"/>
    </row>
    <row r="6" spans="1:29" ht="13.5" customHeight="1">
      <c r="A6" s="1632" t="s">
        <v>420</v>
      </c>
      <c r="B6" s="1633"/>
      <c r="C6" s="1633"/>
      <c r="D6" s="1633"/>
      <c r="E6" s="1633"/>
      <c r="F6" s="1633"/>
      <c r="G6" s="1633"/>
      <c r="H6" s="1633"/>
      <c r="I6" s="1633"/>
      <c r="J6" s="1633"/>
      <c r="K6" s="1633"/>
      <c r="L6" s="1633"/>
      <c r="M6" s="1633"/>
      <c r="N6" s="1633"/>
      <c r="O6" s="1633"/>
      <c r="P6" s="1633"/>
      <c r="Q6" s="1633"/>
      <c r="R6" s="1633"/>
      <c r="S6" s="1633"/>
      <c r="T6" s="1633"/>
      <c r="U6" s="1633"/>
      <c r="V6" s="1633"/>
      <c r="W6" s="1633"/>
      <c r="X6" s="1633"/>
      <c r="Y6" s="1633"/>
      <c r="Z6" s="1633"/>
      <c r="AA6" s="1633"/>
      <c r="AB6" s="1633"/>
      <c r="AC6" s="1634"/>
    </row>
    <row r="7" spans="1:29" ht="13.5" customHeight="1">
      <c r="A7" s="1641" t="s">
        <v>1261</v>
      </c>
      <c r="B7" s="1642"/>
      <c r="C7" s="1643"/>
      <c r="D7" s="1636"/>
      <c r="E7" s="1637"/>
      <c r="F7" s="1638"/>
      <c r="G7" s="1638"/>
      <c r="H7" s="1638"/>
      <c r="I7" s="1638"/>
      <c r="J7" s="1638"/>
      <c r="K7" s="1638"/>
      <c r="L7" s="1638"/>
      <c r="M7" s="1638"/>
      <c r="N7" s="1638"/>
      <c r="O7" s="1638"/>
      <c r="P7" s="1638"/>
      <c r="Q7" s="1638"/>
      <c r="R7" s="1638"/>
      <c r="S7" s="1638"/>
      <c r="T7" s="1638"/>
      <c r="U7" s="1638"/>
      <c r="V7" s="1638"/>
      <c r="W7" s="1638"/>
      <c r="X7" s="1638"/>
      <c r="Y7" s="1638"/>
      <c r="Z7" s="1638"/>
      <c r="AA7" s="1638"/>
      <c r="AB7" s="1639"/>
      <c r="AC7" s="1640"/>
    </row>
    <row r="8" spans="1:29" ht="13.5" customHeight="1" thickBot="1">
      <c r="A8" s="1434">
        <v>2</v>
      </c>
      <c r="B8" s="1435">
        <v>202</v>
      </c>
      <c r="C8" s="1654" t="s">
        <v>1012</v>
      </c>
      <c r="D8" s="1437">
        <v>68</v>
      </c>
      <c r="E8" s="1439">
        <v>6570</v>
      </c>
      <c r="F8" s="1440">
        <v>6570</v>
      </c>
      <c r="G8" s="1440">
        <v>6570</v>
      </c>
      <c r="H8" s="1440">
        <v>6570</v>
      </c>
      <c r="I8" s="1440">
        <v>4470</v>
      </c>
      <c r="J8" s="1440">
        <v>4470</v>
      </c>
      <c r="K8" s="1440">
        <v>4470</v>
      </c>
      <c r="L8" s="1440">
        <v>4470</v>
      </c>
      <c r="M8" s="1440">
        <v>7970</v>
      </c>
      <c r="N8" s="1440">
        <v>7970</v>
      </c>
      <c r="O8" s="1440">
        <v>7970</v>
      </c>
      <c r="P8" s="1440">
        <v>7970</v>
      </c>
      <c r="Q8" s="1440">
        <v>7970</v>
      </c>
      <c r="R8" s="1440">
        <v>7970</v>
      </c>
      <c r="S8" s="1440">
        <v>7970</v>
      </c>
      <c r="T8" s="1440">
        <v>7970</v>
      </c>
      <c r="U8" s="1440">
        <v>7970</v>
      </c>
      <c r="V8" s="1440">
        <v>6570</v>
      </c>
      <c r="W8" s="1440">
        <v>6570</v>
      </c>
      <c r="X8" s="1440">
        <v>6570</v>
      </c>
      <c r="Y8" s="1440">
        <v>6570</v>
      </c>
      <c r="Z8" s="1440">
        <v>6570</v>
      </c>
      <c r="AA8" s="1440">
        <v>6570</v>
      </c>
      <c r="AB8" s="1630">
        <v>6570</v>
      </c>
      <c r="AC8" s="1631"/>
    </row>
    <row r="9" spans="1:29" ht="13.5" customHeight="1" thickTop="1">
      <c r="A9" s="1651" t="s">
        <v>1262</v>
      </c>
      <c r="B9" s="1652"/>
      <c r="C9" s="1653"/>
      <c r="D9" s="1647">
        <v>68</v>
      </c>
      <c r="E9" s="1648">
        <v>6570</v>
      </c>
      <c r="F9" s="1649">
        <v>6570</v>
      </c>
      <c r="G9" s="1649">
        <v>6570</v>
      </c>
      <c r="H9" s="1649">
        <v>6570</v>
      </c>
      <c r="I9" s="1649">
        <v>4470</v>
      </c>
      <c r="J9" s="1649">
        <v>4470</v>
      </c>
      <c r="K9" s="1649">
        <v>4470</v>
      </c>
      <c r="L9" s="1649">
        <v>4470</v>
      </c>
      <c r="M9" s="1649">
        <v>7970</v>
      </c>
      <c r="N9" s="1649">
        <v>7970</v>
      </c>
      <c r="O9" s="1649">
        <v>7970</v>
      </c>
      <c r="P9" s="1649">
        <v>7970</v>
      </c>
      <c r="Q9" s="1649">
        <v>7970</v>
      </c>
      <c r="R9" s="1649">
        <v>7970</v>
      </c>
      <c r="S9" s="1649">
        <v>7970</v>
      </c>
      <c r="T9" s="1649">
        <v>7970</v>
      </c>
      <c r="U9" s="1649">
        <v>7970</v>
      </c>
      <c r="V9" s="1649">
        <v>6570</v>
      </c>
      <c r="W9" s="1649">
        <v>6570</v>
      </c>
      <c r="X9" s="1649">
        <v>6570</v>
      </c>
      <c r="Y9" s="1649">
        <v>6570</v>
      </c>
      <c r="Z9" s="1649">
        <v>6570</v>
      </c>
      <c r="AA9" s="1649">
        <v>6570</v>
      </c>
      <c r="AB9" s="1649">
        <v>6570</v>
      </c>
      <c r="AC9" s="1650"/>
    </row>
    <row r="10" spans="1:29" ht="13.5" customHeight="1" thickBot="1">
      <c r="A10" s="1434"/>
      <c r="B10" s="1435"/>
      <c r="C10" s="1654"/>
      <c r="D10" s="1437"/>
      <c r="E10" s="1439"/>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c r="AB10" s="1630"/>
      <c r="AC10" s="1631"/>
    </row>
    <row r="11" spans="1:29" ht="13.5" customHeight="1" thickTop="1">
      <c r="A11" s="1659" t="s">
        <v>1241</v>
      </c>
      <c r="B11" s="1660"/>
      <c r="C11" s="1660"/>
      <c r="D11" s="1655">
        <v>68</v>
      </c>
      <c r="E11" s="1656">
        <v>6570</v>
      </c>
      <c r="F11" s="1657">
        <v>6570</v>
      </c>
      <c r="G11" s="1657">
        <v>6570</v>
      </c>
      <c r="H11" s="1657">
        <v>6570</v>
      </c>
      <c r="I11" s="1657">
        <v>4470</v>
      </c>
      <c r="J11" s="1657">
        <v>4470</v>
      </c>
      <c r="K11" s="1657">
        <v>4470</v>
      </c>
      <c r="L11" s="1657">
        <v>4470</v>
      </c>
      <c r="M11" s="1657">
        <v>7970</v>
      </c>
      <c r="N11" s="1657">
        <v>7970</v>
      </c>
      <c r="O11" s="1657">
        <v>7970</v>
      </c>
      <c r="P11" s="1657">
        <v>7970</v>
      </c>
      <c r="Q11" s="1657">
        <v>7970</v>
      </c>
      <c r="R11" s="1657">
        <v>7970</v>
      </c>
      <c r="S11" s="1657">
        <v>7970</v>
      </c>
      <c r="T11" s="1657">
        <v>7970</v>
      </c>
      <c r="U11" s="1657">
        <v>7970</v>
      </c>
      <c r="V11" s="1657">
        <v>6570</v>
      </c>
      <c r="W11" s="1657">
        <v>6570</v>
      </c>
      <c r="X11" s="1657">
        <v>6570</v>
      </c>
      <c r="Y11" s="1657">
        <v>6570</v>
      </c>
      <c r="Z11" s="1657">
        <v>6570</v>
      </c>
      <c r="AA11" s="1657">
        <v>6570</v>
      </c>
      <c r="AB11" s="1657">
        <v>6570</v>
      </c>
      <c r="AC11" s="1658"/>
    </row>
    <row r="12" spans="1:29" ht="13.5" customHeight="1">
      <c r="A12" s="1434"/>
      <c r="B12" s="1435"/>
      <c r="C12" s="1654"/>
      <c r="D12" s="1437"/>
      <c r="E12" s="1439"/>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630"/>
      <c r="AC12" s="1631"/>
    </row>
    <row r="13" spans="1:29" ht="13.5" customHeight="1">
      <c r="A13" s="1644" t="s">
        <v>421</v>
      </c>
      <c r="B13" s="1633"/>
      <c r="C13" s="1633"/>
      <c r="D13" s="1633"/>
      <c r="E13" s="1633"/>
      <c r="F13" s="1633"/>
      <c r="G13" s="1633"/>
      <c r="H13" s="1633"/>
      <c r="I13" s="1633"/>
      <c r="J13" s="1633"/>
      <c r="K13" s="1633"/>
      <c r="L13" s="1633"/>
      <c r="M13" s="1633"/>
      <c r="N13" s="1633"/>
      <c r="O13" s="1633"/>
      <c r="P13" s="1633"/>
      <c r="Q13" s="1633"/>
      <c r="R13" s="1633"/>
      <c r="S13" s="1633"/>
      <c r="T13" s="1633"/>
      <c r="U13" s="1633"/>
      <c r="V13" s="1633"/>
      <c r="W13" s="1633"/>
      <c r="X13" s="1633"/>
      <c r="Y13" s="1633"/>
      <c r="Z13" s="1633"/>
      <c r="AA13" s="1633"/>
      <c r="AB13" s="1633"/>
      <c r="AC13" s="1634"/>
    </row>
    <row r="14" spans="1:29" ht="13.5" customHeight="1">
      <c r="A14" s="1641" t="s">
        <v>1261</v>
      </c>
      <c r="B14" s="1642"/>
      <c r="C14" s="1643"/>
      <c r="D14" s="1636"/>
      <c r="E14" s="1637"/>
      <c r="F14" s="1638"/>
      <c r="G14" s="1638"/>
      <c r="H14" s="1638"/>
      <c r="I14" s="1638"/>
      <c r="J14" s="1638"/>
      <c r="K14" s="1638"/>
      <c r="L14" s="1638"/>
      <c r="M14" s="1638"/>
      <c r="N14" s="1638"/>
      <c r="O14" s="1638"/>
      <c r="P14" s="1638"/>
      <c r="Q14" s="1638"/>
      <c r="R14" s="1638"/>
      <c r="S14" s="1638"/>
      <c r="T14" s="1638"/>
      <c r="U14" s="1638"/>
      <c r="V14" s="1638"/>
      <c r="W14" s="1638"/>
      <c r="X14" s="1638"/>
      <c r="Y14" s="1638"/>
      <c r="Z14" s="1638"/>
      <c r="AA14" s="1638"/>
      <c r="AB14" s="1639"/>
      <c r="AC14" s="1640"/>
    </row>
    <row r="15" spans="1:29" ht="13.5" customHeight="1" thickBot="1">
      <c r="A15" s="1434">
        <v>2</v>
      </c>
      <c r="B15" s="1435">
        <v>202</v>
      </c>
      <c r="C15" s="1654" t="s">
        <v>1012</v>
      </c>
      <c r="D15" s="1437">
        <v>68</v>
      </c>
      <c r="E15" s="1439">
        <v>6570</v>
      </c>
      <c r="F15" s="1440">
        <v>6570</v>
      </c>
      <c r="G15" s="1440">
        <v>6570</v>
      </c>
      <c r="H15" s="1440">
        <v>6570</v>
      </c>
      <c r="I15" s="1440">
        <v>4470</v>
      </c>
      <c r="J15" s="1440">
        <v>4470</v>
      </c>
      <c r="K15" s="1440">
        <v>4470</v>
      </c>
      <c r="L15" s="1440">
        <v>4470</v>
      </c>
      <c r="M15" s="1440">
        <v>7970</v>
      </c>
      <c r="N15" s="1440">
        <v>7970</v>
      </c>
      <c r="O15" s="1440">
        <v>7970</v>
      </c>
      <c r="P15" s="1440">
        <v>7970</v>
      </c>
      <c r="Q15" s="1440">
        <v>7970</v>
      </c>
      <c r="R15" s="1440">
        <v>7970</v>
      </c>
      <c r="S15" s="1440">
        <v>7970</v>
      </c>
      <c r="T15" s="1440">
        <v>7970</v>
      </c>
      <c r="U15" s="1440">
        <v>7970</v>
      </c>
      <c r="V15" s="1440">
        <v>6570</v>
      </c>
      <c r="W15" s="1440">
        <v>6570</v>
      </c>
      <c r="X15" s="1440">
        <v>6570</v>
      </c>
      <c r="Y15" s="1440">
        <v>6570</v>
      </c>
      <c r="Z15" s="1440">
        <v>6570</v>
      </c>
      <c r="AA15" s="1440">
        <v>6570</v>
      </c>
      <c r="AB15" s="1630">
        <v>6570</v>
      </c>
      <c r="AC15" s="1631"/>
    </row>
    <row r="16" spans="1:29" ht="13.5" customHeight="1" thickTop="1">
      <c r="A16" s="1651" t="s">
        <v>1262</v>
      </c>
      <c r="B16" s="1652"/>
      <c r="C16" s="1653"/>
      <c r="D16" s="1647">
        <v>68</v>
      </c>
      <c r="E16" s="1648">
        <v>6570</v>
      </c>
      <c r="F16" s="1649">
        <v>6570</v>
      </c>
      <c r="G16" s="1649">
        <v>6570</v>
      </c>
      <c r="H16" s="1649">
        <v>6570</v>
      </c>
      <c r="I16" s="1649">
        <v>4470</v>
      </c>
      <c r="J16" s="1649">
        <v>4470</v>
      </c>
      <c r="K16" s="1649">
        <v>4470</v>
      </c>
      <c r="L16" s="1649">
        <v>4470</v>
      </c>
      <c r="M16" s="1649">
        <v>7970</v>
      </c>
      <c r="N16" s="1649">
        <v>7970</v>
      </c>
      <c r="O16" s="1649">
        <v>7970</v>
      </c>
      <c r="P16" s="1649">
        <v>7970</v>
      </c>
      <c r="Q16" s="1649">
        <v>7970</v>
      </c>
      <c r="R16" s="1649">
        <v>7970</v>
      </c>
      <c r="S16" s="1649">
        <v>7970</v>
      </c>
      <c r="T16" s="1649">
        <v>7970</v>
      </c>
      <c r="U16" s="1649">
        <v>7970</v>
      </c>
      <c r="V16" s="1649">
        <v>6570</v>
      </c>
      <c r="W16" s="1649">
        <v>6570</v>
      </c>
      <c r="X16" s="1649">
        <v>6570</v>
      </c>
      <c r="Y16" s="1649">
        <v>6570</v>
      </c>
      <c r="Z16" s="1649">
        <v>6570</v>
      </c>
      <c r="AA16" s="1649">
        <v>6570</v>
      </c>
      <c r="AB16" s="1649">
        <v>6570</v>
      </c>
      <c r="AC16" s="1650"/>
    </row>
    <row r="17" spans="1:29" ht="13.5" customHeight="1" thickBot="1">
      <c r="A17" s="1434"/>
      <c r="B17" s="1435"/>
      <c r="C17" s="1654"/>
      <c r="D17" s="1437"/>
      <c r="E17" s="1439"/>
      <c r="F17" s="1440"/>
      <c r="G17" s="1440"/>
      <c r="H17" s="1440"/>
      <c r="I17" s="1440"/>
      <c r="J17" s="1440"/>
      <c r="K17" s="1440"/>
      <c r="L17" s="1440"/>
      <c r="M17" s="1440"/>
      <c r="N17" s="1440"/>
      <c r="O17" s="1440"/>
      <c r="P17" s="1440"/>
      <c r="Q17" s="1440"/>
      <c r="R17" s="1440"/>
      <c r="S17" s="1440"/>
      <c r="T17" s="1440"/>
      <c r="U17" s="1440"/>
      <c r="V17" s="1440"/>
      <c r="W17" s="1440"/>
      <c r="X17" s="1440"/>
      <c r="Y17" s="1440"/>
      <c r="Z17" s="1440"/>
      <c r="AA17" s="1440"/>
      <c r="AB17" s="1630"/>
      <c r="AC17" s="1631"/>
    </row>
    <row r="18" spans="1:29" ht="13.5" customHeight="1" thickTop="1">
      <c r="A18" s="1665" t="s">
        <v>1242</v>
      </c>
      <c r="B18" s="1666"/>
      <c r="C18" s="1666"/>
      <c r="D18" s="1661">
        <v>68</v>
      </c>
      <c r="E18" s="1662">
        <v>6570</v>
      </c>
      <c r="F18" s="1663">
        <v>6570</v>
      </c>
      <c r="G18" s="1663">
        <v>6570</v>
      </c>
      <c r="H18" s="1663">
        <v>6570</v>
      </c>
      <c r="I18" s="1663">
        <v>4470</v>
      </c>
      <c r="J18" s="1663">
        <v>4470</v>
      </c>
      <c r="K18" s="1663">
        <v>4470</v>
      </c>
      <c r="L18" s="1663">
        <v>4470</v>
      </c>
      <c r="M18" s="1663">
        <v>7970</v>
      </c>
      <c r="N18" s="1663">
        <v>7970</v>
      </c>
      <c r="O18" s="1663">
        <v>7970</v>
      </c>
      <c r="P18" s="1663">
        <v>7970</v>
      </c>
      <c r="Q18" s="1663">
        <v>7970</v>
      </c>
      <c r="R18" s="1663">
        <v>7970</v>
      </c>
      <c r="S18" s="1663">
        <v>7970</v>
      </c>
      <c r="T18" s="1663">
        <v>7970</v>
      </c>
      <c r="U18" s="1663">
        <v>7970</v>
      </c>
      <c r="V18" s="1663">
        <v>6570</v>
      </c>
      <c r="W18" s="1663">
        <v>6570</v>
      </c>
      <c r="X18" s="1663">
        <v>6570</v>
      </c>
      <c r="Y18" s="1663">
        <v>6570</v>
      </c>
      <c r="Z18" s="1663">
        <v>6570</v>
      </c>
      <c r="AA18" s="1663">
        <v>6570</v>
      </c>
      <c r="AB18" s="1663">
        <v>6570</v>
      </c>
      <c r="AC18" s="1664"/>
    </row>
    <row r="19" spans="1:29" ht="13.5" customHeight="1">
      <c r="A19" s="1434"/>
      <c r="B19" s="1435"/>
      <c r="C19" s="1654"/>
      <c r="D19" s="1437"/>
      <c r="E19" s="1439"/>
      <c r="F19" s="1440"/>
      <c r="G19" s="1440"/>
      <c r="H19" s="1440"/>
      <c r="I19" s="1440"/>
      <c r="J19" s="1440"/>
      <c r="K19" s="1440"/>
      <c r="L19" s="1440"/>
      <c r="M19" s="1440"/>
      <c r="N19" s="1440"/>
      <c r="O19" s="1440"/>
      <c r="P19" s="1440"/>
      <c r="Q19" s="1440"/>
      <c r="R19" s="1440"/>
      <c r="S19" s="1440"/>
      <c r="T19" s="1440"/>
      <c r="U19" s="1440"/>
      <c r="V19" s="1440"/>
      <c r="W19" s="1440"/>
      <c r="X19" s="1440"/>
      <c r="Y19" s="1440"/>
      <c r="Z19" s="1440"/>
      <c r="AA19" s="1440"/>
      <c r="AB19" s="1630"/>
      <c r="AC19" s="1631"/>
    </row>
    <row r="20" spans="1:29" ht="13.5" customHeight="1">
      <c r="A20" s="1645" t="s">
        <v>422</v>
      </c>
      <c r="B20" s="1633"/>
      <c r="C20" s="1633"/>
      <c r="D20" s="1633"/>
      <c r="E20" s="1633"/>
      <c r="F20" s="1633"/>
      <c r="G20" s="1633"/>
      <c r="H20" s="1633"/>
      <c r="I20" s="1633"/>
      <c r="J20" s="1633"/>
      <c r="K20" s="1633"/>
      <c r="L20" s="1633"/>
      <c r="M20" s="1633"/>
      <c r="N20" s="1633"/>
      <c r="O20" s="1633"/>
      <c r="P20" s="1633"/>
      <c r="Q20" s="1633"/>
      <c r="R20" s="1633"/>
      <c r="S20" s="1633"/>
      <c r="T20" s="1633"/>
      <c r="U20" s="1633"/>
      <c r="V20" s="1633"/>
      <c r="W20" s="1633"/>
      <c r="X20" s="1633"/>
      <c r="Y20" s="1633"/>
      <c r="Z20" s="1633"/>
      <c r="AA20" s="1633"/>
      <c r="AB20" s="1633"/>
      <c r="AC20" s="1634"/>
    </row>
    <row r="21" spans="1:29" ht="13.5" customHeight="1">
      <c r="A21" s="1641" t="s">
        <v>1261</v>
      </c>
      <c r="B21" s="1642"/>
      <c r="C21" s="1643"/>
      <c r="D21" s="1636"/>
      <c r="E21" s="1637"/>
      <c r="F21" s="1638"/>
      <c r="G21" s="1638"/>
      <c r="H21" s="1638"/>
      <c r="I21" s="1638"/>
      <c r="J21" s="1638"/>
      <c r="K21" s="1638"/>
      <c r="L21" s="1638"/>
      <c r="M21" s="1638"/>
      <c r="N21" s="1638"/>
      <c r="O21" s="1638"/>
      <c r="P21" s="1638"/>
      <c r="Q21" s="1638"/>
      <c r="R21" s="1638"/>
      <c r="S21" s="1638"/>
      <c r="T21" s="1638"/>
      <c r="U21" s="1638"/>
      <c r="V21" s="1638"/>
      <c r="W21" s="1638"/>
      <c r="X21" s="1638"/>
      <c r="Y21" s="1638"/>
      <c r="Z21" s="1638"/>
      <c r="AA21" s="1638"/>
      <c r="AB21" s="1639"/>
      <c r="AC21" s="1640"/>
    </row>
    <row r="22" spans="1:29" ht="13.5" customHeight="1" thickBot="1">
      <c r="A22" s="1434">
        <v>2</v>
      </c>
      <c r="B22" s="1435">
        <v>202</v>
      </c>
      <c r="C22" s="1654" t="s">
        <v>1012</v>
      </c>
      <c r="D22" s="1437">
        <v>68</v>
      </c>
      <c r="E22" s="1439">
        <v>6570</v>
      </c>
      <c r="F22" s="1440">
        <v>6570</v>
      </c>
      <c r="G22" s="1440">
        <v>6570</v>
      </c>
      <c r="H22" s="1440">
        <v>6570</v>
      </c>
      <c r="I22" s="1440">
        <v>4470</v>
      </c>
      <c r="J22" s="1440">
        <v>4470</v>
      </c>
      <c r="K22" s="1440">
        <v>4470</v>
      </c>
      <c r="L22" s="1440">
        <v>4470</v>
      </c>
      <c r="M22" s="1440">
        <v>7970</v>
      </c>
      <c r="N22" s="1440">
        <v>7970</v>
      </c>
      <c r="O22" s="1440">
        <v>7970</v>
      </c>
      <c r="P22" s="1440">
        <v>7970</v>
      </c>
      <c r="Q22" s="1440">
        <v>7970</v>
      </c>
      <c r="R22" s="1440">
        <v>7970</v>
      </c>
      <c r="S22" s="1440">
        <v>7970</v>
      </c>
      <c r="T22" s="1440">
        <v>7970</v>
      </c>
      <c r="U22" s="1440">
        <v>7970</v>
      </c>
      <c r="V22" s="1440">
        <v>6570</v>
      </c>
      <c r="W22" s="1440">
        <v>6570</v>
      </c>
      <c r="X22" s="1440">
        <v>6570</v>
      </c>
      <c r="Y22" s="1440">
        <v>6570</v>
      </c>
      <c r="Z22" s="1440">
        <v>6570</v>
      </c>
      <c r="AA22" s="1440">
        <v>6570</v>
      </c>
      <c r="AB22" s="1630">
        <v>6570</v>
      </c>
      <c r="AC22" s="1631"/>
    </row>
    <row r="23" spans="1:29" ht="13.5" customHeight="1" thickTop="1">
      <c r="A23" s="1651" t="s">
        <v>1262</v>
      </c>
      <c r="B23" s="1652"/>
      <c r="C23" s="1653"/>
      <c r="D23" s="1647">
        <v>68</v>
      </c>
      <c r="E23" s="1648">
        <v>6570</v>
      </c>
      <c r="F23" s="1649">
        <v>6570</v>
      </c>
      <c r="G23" s="1649">
        <v>6570</v>
      </c>
      <c r="H23" s="1649">
        <v>6570</v>
      </c>
      <c r="I23" s="1649">
        <v>4470</v>
      </c>
      <c r="J23" s="1649">
        <v>4470</v>
      </c>
      <c r="K23" s="1649">
        <v>4470</v>
      </c>
      <c r="L23" s="1649">
        <v>4470</v>
      </c>
      <c r="M23" s="1649">
        <v>7970</v>
      </c>
      <c r="N23" s="1649">
        <v>7970</v>
      </c>
      <c r="O23" s="1649">
        <v>7970</v>
      </c>
      <c r="P23" s="1649">
        <v>7970</v>
      </c>
      <c r="Q23" s="1649">
        <v>7970</v>
      </c>
      <c r="R23" s="1649">
        <v>7970</v>
      </c>
      <c r="S23" s="1649">
        <v>7970</v>
      </c>
      <c r="T23" s="1649">
        <v>7970</v>
      </c>
      <c r="U23" s="1649">
        <v>7970</v>
      </c>
      <c r="V23" s="1649">
        <v>6570</v>
      </c>
      <c r="W23" s="1649">
        <v>6570</v>
      </c>
      <c r="X23" s="1649">
        <v>6570</v>
      </c>
      <c r="Y23" s="1649">
        <v>6570</v>
      </c>
      <c r="Z23" s="1649">
        <v>6570</v>
      </c>
      <c r="AA23" s="1649">
        <v>6570</v>
      </c>
      <c r="AB23" s="1649">
        <v>6570</v>
      </c>
      <c r="AC23" s="1650"/>
    </row>
    <row r="24" spans="1:29" ht="13.5" customHeight="1" thickBot="1">
      <c r="A24" s="1434"/>
      <c r="B24" s="1435"/>
      <c r="C24" s="1654"/>
      <c r="D24" s="1437"/>
      <c r="E24" s="1439"/>
      <c r="F24" s="1440"/>
      <c r="G24" s="1440"/>
      <c r="H24" s="1440"/>
      <c r="I24" s="1440"/>
      <c r="J24" s="1440"/>
      <c r="K24" s="1440"/>
      <c r="L24" s="1440"/>
      <c r="M24" s="1440"/>
      <c r="N24" s="1440"/>
      <c r="O24" s="1440"/>
      <c r="P24" s="1440"/>
      <c r="Q24" s="1440"/>
      <c r="R24" s="1440"/>
      <c r="S24" s="1440"/>
      <c r="T24" s="1440"/>
      <c r="U24" s="1440"/>
      <c r="V24" s="1440"/>
      <c r="W24" s="1440"/>
      <c r="X24" s="1440"/>
      <c r="Y24" s="1440"/>
      <c r="Z24" s="1440"/>
      <c r="AA24" s="1440"/>
      <c r="AB24" s="1630"/>
      <c r="AC24" s="1631"/>
    </row>
    <row r="25" spans="1:29" ht="13.5" customHeight="1" thickTop="1">
      <c r="A25" s="1671" t="s">
        <v>1245</v>
      </c>
      <c r="B25" s="1672"/>
      <c r="C25" s="1672"/>
      <c r="D25" s="1667">
        <v>68</v>
      </c>
      <c r="E25" s="1668">
        <v>6570</v>
      </c>
      <c r="F25" s="1669">
        <v>6570</v>
      </c>
      <c r="G25" s="1669">
        <v>6570</v>
      </c>
      <c r="H25" s="1669">
        <v>6570</v>
      </c>
      <c r="I25" s="1669">
        <v>4470</v>
      </c>
      <c r="J25" s="1669">
        <v>4470</v>
      </c>
      <c r="K25" s="1669">
        <v>4470</v>
      </c>
      <c r="L25" s="1669">
        <v>4470</v>
      </c>
      <c r="M25" s="1669">
        <v>7970</v>
      </c>
      <c r="N25" s="1669">
        <v>7970</v>
      </c>
      <c r="O25" s="1669">
        <v>7970</v>
      </c>
      <c r="P25" s="1669">
        <v>7970</v>
      </c>
      <c r="Q25" s="1669">
        <v>7970</v>
      </c>
      <c r="R25" s="1669">
        <v>7970</v>
      </c>
      <c r="S25" s="1669">
        <v>7970</v>
      </c>
      <c r="T25" s="1669">
        <v>7970</v>
      </c>
      <c r="U25" s="1669">
        <v>7970</v>
      </c>
      <c r="V25" s="1669">
        <v>6570</v>
      </c>
      <c r="W25" s="1669">
        <v>6570</v>
      </c>
      <c r="X25" s="1669">
        <v>6570</v>
      </c>
      <c r="Y25" s="1669">
        <v>6570</v>
      </c>
      <c r="Z25" s="1669">
        <v>6570</v>
      </c>
      <c r="AA25" s="1669">
        <v>6570</v>
      </c>
      <c r="AB25" s="1669">
        <v>6570</v>
      </c>
      <c r="AC25" s="1670"/>
    </row>
    <row r="26" spans="1:29" ht="13.5" customHeight="1">
      <c r="A26" s="1369"/>
      <c r="B26" s="1368"/>
      <c r="C26" s="1627"/>
      <c r="D26" s="1366"/>
      <c r="E26" s="1364"/>
      <c r="F26" s="1361"/>
      <c r="G26" s="1361"/>
      <c r="H26" s="1361"/>
      <c r="I26" s="1361"/>
      <c r="J26" s="1361"/>
      <c r="K26" s="1361"/>
      <c r="L26" s="1361"/>
      <c r="M26" s="1361"/>
      <c r="N26" s="1361"/>
      <c r="O26" s="1361"/>
      <c r="P26" s="1361"/>
      <c r="Q26" s="1361"/>
      <c r="R26" s="1361"/>
      <c r="S26" s="1361"/>
      <c r="T26" s="1361"/>
      <c r="U26" s="1361"/>
      <c r="V26" s="1361"/>
      <c r="W26" s="1361"/>
      <c r="X26" s="1361"/>
      <c r="Y26" s="1361"/>
      <c r="Z26" s="1361"/>
      <c r="AA26" s="1361"/>
      <c r="AB26" s="1604"/>
      <c r="AC26" s="1603"/>
    </row>
    <row r="27" spans="1:29" ht="13.5" customHeight="1">
      <c r="A27" s="1369"/>
      <c r="B27" s="1368"/>
      <c r="C27" s="1605"/>
      <c r="D27" s="1366"/>
      <c r="E27" s="1364"/>
      <c r="F27" s="1361"/>
      <c r="G27" s="1361"/>
      <c r="H27" s="1361"/>
      <c r="I27" s="1361"/>
      <c r="J27" s="1361"/>
      <c r="K27" s="1361"/>
      <c r="L27" s="1361"/>
      <c r="M27" s="1361"/>
      <c r="N27" s="1361"/>
      <c r="O27" s="1361"/>
      <c r="P27" s="1361"/>
      <c r="Q27" s="1361"/>
      <c r="R27" s="1361"/>
      <c r="S27" s="1361"/>
      <c r="T27" s="1361"/>
      <c r="U27" s="1361"/>
      <c r="V27" s="1361"/>
      <c r="W27" s="1361"/>
      <c r="X27" s="1361"/>
      <c r="Y27" s="1361"/>
      <c r="Z27" s="1361"/>
      <c r="AA27" s="1361"/>
      <c r="AB27" s="1604"/>
      <c r="AC27" s="1603"/>
    </row>
    <row r="28" spans="1:29" ht="13.5" customHeight="1">
      <c r="A28" s="1369"/>
      <c r="B28" s="1368"/>
      <c r="C28" s="1605"/>
      <c r="D28" s="1366"/>
      <c r="E28" s="1364"/>
      <c r="F28" s="1361"/>
      <c r="G28" s="1361"/>
      <c r="H28" s="1361"/>
      <c r="I28" s="1361"/>
      <c r="J28" s="1361"/>
      <c r="K28" s="1361"/>
      <c r="L28" s="1361"/>
      <c r="M28" s="1361"/>
      <c r="N28" s="1361"/>
      <c r="O28" s="1361"/>
      <c r="P28" s="1361"/>
      <c r="Q28" s="1361"/>
      <c r="R28" s="1361"/>
      <c r="S28" s="1361"/>
      <c r="T28" s="1361"/>
      <c r="U28" s="1361"/>
      <c r="V28" s="1361"/>
      <c r="W28" s="1361"/>
      <c r="X28" s="1361"/>
      <c r="Y28" s="1361"/>
      <c r="Z28" s="1361"/>
      <c r="AA28" s="1361"/>
      <c r="AB28" s="1604"/>
      <c r="AC28" s="1603"/>
    </row>
    <row r="29" spans="1:29" ht="13.5" customHeight="1">
      <c r="A29" s="1369"/>
      <c r="B29" s="1368"/>
      <c r="C29" s="1605"/>
      <c r="D29" s="1366"/>
      <c r="E29" s="1364"/>
      <c r="F29" s="1361"/>
      <c r="G29" s="1361"/>
      <c r="H29" s="1361"/>
      <c r="I29" s="1361"/>
      <c r="J29" s="1361"/>
      <c r="K29" s="1361"/>
      <c r="L29" s="1361"/>
      <c r="M29" s="1361"/>
      <c r="N29" s="1361"/>
      <c r="O29" s="1361"/>
      <c r="P29" s="1361"/>
      <c r="Q29" s="1361"/>
      <c r="R29" s="1361"/>
      <c r="S29" s="1361"/>
      <c r="T29" s="1361"/>
      <c r="U29" s="1361"/>
      <c r="V29" s="1361"/>
      <c r="W29" s="1361"/>
      <c r="X29" s="1361"/>
      <c r="Y29" s="1361"/>
      <c r="Z29" s="1361"/>
      <c r="AA29" s="1361"/>
      <c r="AB29" s="1604"/>
      <c r="AC29" s="1603"/>
    </row>
    <row r="30" spans="1:29" ht="13.5" customHeight="1">
      <c r="A30" s="1369"/>
      <c r="B30" s="1368"/>
      <c r="C30" s="1605"/>
      <c r="D30" s="1366"/>
      <c r="E30" s="1364"/>
      <c r="F30" s="1361"/>
      <c r="G30" s="1361"/>
      <c r="H30" s="1361"/>
      <c r="I30" s="1361"/>
      <c r="J30" s="1361"/>
      <c r="K30" s="1361"/>
      <c r="L30" s="1361"/>
      <c r="M30" s="1361"/>
      <c r="N30" s="1361"/>
      <c r="O30" s="1361"/>
      <c r="P30" s="1361"/>
      <c r="Q30" s="1361"/>
      <c r="R30" s="1361"/>
      <c r="S30" s="1361"/>
      <c r="T30" s="1361"/>
      <c r="U30" s="1361"/>
      <c r="V30" s="1361"/>
      <c r="W30" s="1361"/>
      <c r="X30" s="1361"/>
      <c r="Y30" s="1361"/>
      <c r="Z30" s="1361"/>
      <c r="AA30" s="1361"/>
      <c r="AB30" s="1604"/>
      <c r="AC30" s="1603"/>
    </row>
    <row r="31" spans="1:29" ht="13.5" customHeight="1">
      <c r="A31" s="1369"/>
      <c r="B31" s="1368"/>
      <c r="C31" s="1605"/>
      <c r="D31" s="1366"/>
      <c r="E31" s="1364"/>
      <c r="F31" s="1361"/>
      <c r="G31" s="1361"/>
      <c r="H31" s="1361"/>
      <c r="I31" s="1361"/>
      <c r="J31" s="1361"/>
      <c r="K31" s="1361"/>
      <c r="L31" s="1361"/>
      <c r="M31" s="1361"/>
      <c r="N31" s="1361"/>
      <c r="O31" s="1361"/>
      <c r="P31" s="1361"/>
      <c r="Q31" s="1361"/>
      <c r="R31" s="1361"/>
      <c r="S31" s="1361"/>
      <c r="T31" s="1361"/>
      <c r="U31" s="1361"/>
      <c r="V31" s="1361"/>
      <c r="W31" s="1361"/>
      <c r="X31" s="1361"/>
      <c r="Y31" s="1361"/>
      <c r="Z31" s="1361"/>
      <c r="AA31" s="1361"/>
      <c r="AB31" s="1604"/>
      <c r="AC31" s="1603"/>
    </row>
    <row r="32" spans="1:29" ht="13.5" customHeight="1">
      <c r="A32" s="1369"/>
      <c r="B32" s="1368"/>
      <c r="C32" s="1605"/>
      <c r="D32" s="1366"/>
      <c r="E32" s="1364"/>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604"/>
      <c r="AC32" s="1603"/>
    </row>
    <row r="33" spans="1:29" ht="13.5" customHeight="1">
      <c r="A33" s="1369"/>
      <c r="B33" s="1368"/>
      <c r="C33" s="1605"/>
      <c r="D33" s="1366"/>
      <c r="E33" s="1364"/>
      <c r="F33" s="1361"/>
      <c r="G33" s="1361"/>
      <c r="H33" s="1361"/>
      <c r="I33" s="1361"/>
      <c r="J33" s="1361"/>
      <c r="K33" s="1361"/>
      <c r="L33" s="1361"/>
      <c r="M33" s="1361"/>
      <c r="N33" s="1361"/>
      <c r="O33" s="1361"/>
      <c r="P33" s="1361"/>
      <c r="Q33" s="1361"/>
      <c r="R33" s="1361"/>
      <c r="S33" s="1361"/>
      <c r="T33" s="1361"/>
      <c r="U33" s="1361"/>
      <c r="V33" s="1361"/>
      <c r="W33" s="1361"/>
      <c r="X33" s="1361"/>
      <c r="Y33" s="1361"/>
      <c r="Z33" s="1361"/>
      <c r="AA33" s="1361"/>
      <c r="AB33" s="1604"/>
      <c r="AC33" s="1603"/>
    </row>
    <row r="34" spans="1:29" ht="13.5" customHeight="1">
      <c r="A34" s="1369"/>
      <c r="B34" s="1368"/>
      <c r="C34" s="1605"/>
      <c r="D34" s="1366"/>
      <c r="E34" s="1364"/>
      <c r="F34" s="1361"/>
      <c r="G34" s="1361"/>
      <c r="H34" s="1361"/>
      <c r="I34" s="1361"/>
      <c r="J34" s="1361"/>
      <c r="K34" s="1361"/>
      <c r="L34" s="1361"/>
      <c r="M34" s="1361"/>
      <c r="N34" s="1361"/>
      <c r="O34" s="1361"/>
      <c r="P34" s="1361"/>
      <c r="Q34" s="1361"/>
      <c r="R34" s="1361"/>
      <c r="S34" s="1361"/>
      <c r="T34" s="1361"/>
      <c r="U34" s="1361"/>
      <c r="V34" s="1361"/>
      <c r="W34" s="1361"/>
      <c r="X34" s="1361"/>
      <c r="Y34" s="1361"/>
      <c r="Z34" s="1361"/>
      <c r="AA34" s="1361"/>
      <c r="AB34" s="1604"/>
      <c r="AC34" s="1603"/>
    </row>
    <row r="35" spans="1:29" ht="13.5" customHeight="1">
      <c r="A35" s="1369"/>
      <c r="B35" s="1368"/>
      <c r="C35" s="1605"/>
      <c r="D35" s="1366"/>
      <c r="E35" s="1364"/>
      <c r="F35" s="1361"/>
      <c r="G35" s="1361"/>
      <c r="H35" s="1361"/>
      <c r="I35" s="1361"/>
      <c r="J35" s="1361"/>
      <c r="K35" s="1361"/>
      <c r="L35" s="1361"/>
      <c r="M35" s="1361"/>
      <c r="N35" s="1361"/>
      <c r="O35" s="1361"/>
      <c r="P35" s="1361"/>
      <c r="Q35" s="1361"/>
      <c r="R35" s="1361"/>
      <c r="S35" s="1361"/>
      <c r="T35" s="1361"/>
      <c r="U35" s="1361"/>
      <c r="V35" s="1361"/>
      <c r="W35" s="1361"/>
      <c r="X35" s="1361"/>
      <c r="Y35" s="1361"/>
      <c r="Z35" s="1361"/>
      <c r="AA35" s="1361"/>
      <c r="AB35" s="1604"/>
      <c r="AC35" s="1603"/>
    </row>
    <row r="36" spans="1:29" ht="13.5" customHeight="1">
      <c r="A36" s="1369"/>
      <c r="B36" s="1368"/>
      <c r="C36" s="1605"/>
      <c r="D36" s="1366"/>
      <c r="E36" s="1364"/>
      <c r="F36" s="1361"/>
      <c r="G36" s="1361"/>
      <c r="H36" s="1361"/>
      <c r="I36" s="1361"/>
      <c r="J36" s="1361"/>
      <c r="K36" s="1361"/>
      <c r="L36" s="1361"/>
      <c r="M36" s="1361"/>
      <c r="N36" s="1361"/>
      <c r="O36" s="1361"/>
      <c r="P36" s="1361"/>
      <c r="Q36" s="1361"/>
      <c r="R36" s="1361"/>
      <c r="S36" s="1361"/>
      <c r="T36" s="1361"/>
      <c r="U36" s="1361"/>
      <c r="V36" s="1361"/>
      <c r="W36" s="1361"/>
      <c r="X36" s="1361"/>
      <c r="Y36" s="1361"/>
      <c r="Z36" s="1361"/>
      <c r="AA36" s="1361"/>
      <c r="AB36" s="1604"/>
      <c r="AC36" s="1603"/>
    </row>
    <row r="37" spans="1:29" ht="13.5" customHeight="1">
      <c r="A37" s="1369"/>
      <c r="B37" s="1368"/>
      <c r="C37" s="1605"/>
      <c r="D37" s="1366"/>
      <c r="E37" s="1364"/>
      <c r="F37" s="1361"/>
      <c r="G37" s="1361"/>
      <c r="H37" s="1361"/>
      <c r="I37" s="1361"/>
      <c r="J37" s="1361"/>
      <c r="K37" s="1361"/>
      <c r="L37" s="1361"/>
      <c r="M37" s="1361"/>
      <c r="N37" s="1361"/>
      <c r="O37" s="1361"/>
      <c r="P37" s="1361"/>
      <c r="Q37" s="1361"/>
      <c r="R37" s="1361"/>
      <c r="S37" s="1361"/>
      <c r="T37" s="1361"/>
      <c r="U37" s="1361"/>
      <c r="V37" s="1361"/>
      <c r="W37" s="1361"/>
      <c r="X37" s="1361"/>
      <c r="Y37" s="1361"/>
      <c r="Z37" s="1361"/>
      <c r="AA37" s="1361"/>
      <c r="AB37" s="1604"/>
      <c r="AC37" s="1603"/>
    </row>
    <row r="38" spans="1:29" ht="13.5" customHeight="1">
      <c r="A38" s="1369"/>
      <c r="B38" s="1368"/>
      <c r="C38" s="1605"/>
      <c r="D38" s="1366"/>
      <c r="E38" s="1364"/>
      <c r="F38" s="1361"/>
      <c r="G38" s="1361"/>
      <c r="H38" s="1361"/>
      <c r="I38" s="1361"/>
      <c r="J38" s="1361"/>
      <c r="K38" s="1361"/>
      <c r="L38" s="1361"/>
      <c r="M38" s="1361"/>
      <c r="N38" s="1361"/>
      <c r="O38" s="1361"/>
      <c r="P38" s="1361"/>
      <c r="Q38" s="1361"/>
      <c r="R38" s="1361"/>
      <c r="S38" s="1361"/>
      <c r="T38" s="1361"/>
      <c r="U38" s="1361"/>
      <c r="V38" s="1361"/>
      <c r="W38" s="1361"/>
      <c r="X38" s="1361"/>
      <c r="Y38" s="1361"/>
      <c r="Z38" s="1361"/>
      <c r="AA38" s="1361"/>
      <c r="AB38" s="1604"/>
      <c r="AC38" s="1603"/>
    </row>
    <row r="39" spans="1:29" ht="13.5" customHeight="1">
      <c r="A39" s="1369"/>
      <c r="B39" s="1368"/>
      <c r="C39" s="1605"/>
      <c r="D39" s="1366"/>
      <c r="E39" s="1364"/>
      <c r="F39" s="1361"/>
      <c r="G39" s="1361"/>
      <c r="H39" s="1361"/>
      <c r="I39" s="1361"/>
      <c r="J39" s="1361"/>
      <c r="K39" s="1361"/>
      <c r="L39" s="1361"/>
      <c r="M39" s="1361"/>
      <c r="N39" s="1361"/>
      <c r="O39" s="1361"/>
      <c r="P39" s="1361"/>
      <c r="Q39" s="1361"/>
      <c r="R39" s="1361"/>
      <c r="S39" s="1361"/>
      <c r="T39" s="1361"/>
      <c r="U39" s="1361"/>
      <c r="V39" s="1361"/>
      <c r="W39" s="1361"/>
      <c r="X39" s="1361"/>
      <c r="Y39" s="1361"/>
      <c r="Z39" s="1361"/>
      <c r="AA39" s="1361"/>
      <c r="AB39" s="1604"/>
      <c r="AC39" s="1603"/>
    </row>
    <row r="40" spans="1:29" ht="13.5" customHeight="1">
      <c r="A40" s="1369"/>
      <c r="B40" s="1368"/>
      <c r="C40" s="1605"/>
      <c r="D40" s="1366"/>
      <c r="E40" s="1364"/>
      <c r="F40" s="1361"/>
      <c r="G40" s="1361"/>
      <c r="H40" s="1361"/>
      <c r="I40" s="1361"/>
      <c r="J40" s="1361"/>
      <c r="K40" s="1361"/>
      <c r="L40" s="1361"/>
      <c r="M40" s="1361"/>
      <c r="N40" s="1361"/>
      <c r="O40" s="1361"/>
      <c r="P40" s="1361"/>
      <c r="Q40" s="1361"/>
      <c r="R40" s="1361"/>
      <c r="S40" s="1361"/>
      <c r="T40" s="1361"/>
      <c r="U40" s="1361"/>
      <c r="V40" s="1361"/>
      <c r="W40" s="1361"/>
      <c r="X40" s="1361"/>
      <c r="Y40" s="1361"/>
      <c r="Z40" s="1361"/>
      <c r="AA40" s="1361"/>
      <c r="AB40" s="1604"/>
      <c r="AC40" s="1603"/>
    </row>
    <row r="41" spans="1:29" ht="13.5" customHeight="1">
      <c r="A41" s="1369"/>
      <c r="B41" s="1368"/>
      <c r="C41" s="1605"/>
      <c r="D41" s="1366"/>
      <c r="E41" s="1364"/>
      <c r="F41" s="1361"/>
      <c r="G41" s="1361"/>
      <c r="H41" s="1361"/>
      <c r="I41" s="1361"/>
      <c r="J41" s="1361"/>
      <c r="K41" s="1361"/>
      <c r="L41" s="1361"/>
      <c r="M41" s="1361"/>
      <c r="N41" s="1361"/>
      <c r="O41" s="1361"/>
      <c r="P41" s="1361"/>
      <c r="Q41" s="1361"/>
      <c r="R41" s="1361"/>
      <c r="S41" s="1361"/>
      <c r="T41" s="1361"/>
      <c r="U41" s="1361"/>
      <c r="V41" s="1361"/>
      <c r="W41" s="1361"/>
      <c r="X41" s="1361"/>
      <c r="Y41" s="1361"/>
      <c r="Z41" s="1361"/>
      <c r="AA41" s="1361"/>
      <c r="AB41" s="1604"/>
      <c r="AC41" s="1603"/>
    </row>
    <row r="42" spans="1:29" ht="13.5" customHeight="1">
      <c r="A42" s="1369"/>
      <c r="B42" s="1368"/>
      <c r="C42" s="1605"/>
      <c r="D42" s="1366"/>
      <c r="E42" s="1364"/>
      <c r="F42" s="1361"/>
      <c r="G42" s="1361"/>
      <c r="H42" s="1361"/>
      <c r="I42" s="1361"/>
      <c r="J42" s="1361"/>
      <c r="K42" s="1361"/>
      <c r="L42" s="1361"/>
      <c r="M42" s="1361"/>
      <c r="N42" s="1361"/>
      <c r="O42" s="1361"/>
      <c r="P42" s="1361"/>
      <c r="Q42" s="1361"/>
      <c r="R42" s="1361"/>
      <c r="S42" s="1361"/>
      <c r="T42" s="1361"/>
      <c r="U42" s="1361"/>
      <c r="V42" s="1361"/>
      <c r="W42" s="1361"/>
      <c r="X42" s="1361"/>
      <c r="Y42" s="1361"/>
      <c r="Z42" s="1361"/>
      <c r="AA42" s="1361"/>
      <c r="AB42" s="1604"/>
      <c r="AC42" s="1603"/>
    </row>
    <row r="43" spans="1:29" ht="13.5" customHeight="1">
      <c r="A43" s="1369"/>
      <c r="B43" s="1368"/>
      <c r="C43" s="1605"/>
      <c r="D43" s="1366"/>
      <c r="E43" s="1364"/>
      <c r="F43" s="1361"/>
      <c r="G43" s="1361"/>
      <c r="H43" s="1361"/>
      <c r="I43" s="1361"/>
      <c r="J43" s="1361"/>
      <c r="K43" s="1361"/>
      <c r="L43" s="1361"/>
      <c r="M43" s="1361"/>
      <c r="N43" s="1361"/>
      <c r="O43" s="1361"/>
      <c r="P43" s="1361"/>
      <c r="Q43" s="1361"/>
      <c r="R43" s="1361"/>
      <c r="S43" s="1361"/>
      <c r="T43" s="1361"/>
      <c r="U43" s="1361"/>
      <c r="V43" s="1361"/>
      <c r="W43" s="1361"/>
      <c r="X43" s="1361"/>
      <c r="Y43" s="1361"/>
      <c r="Z43" s="1361"/>
      <c r="AA43" s="1361"/>
      <c r="AB43" s="1604"/>
      <c r="AC43" s="1603"/>
    </row>
    <row r="44" spans="1:29" ht="13.5" customHeight="1">
      <c r="A44" s="1369"/>
      <c r="B44" s="1368"/>
      <c r="C44" s="1605"/>
      <c r="D44" s="1366"/>
      <c r="E44" s="1364"/>
      <c r="F44" s="1361"/>
      <c r="G44" s="1361"/>
      <c r="H44" s="1361"/>
      <c r="I44" s="1361"/>
      <c r="J44" s="1361"/>
      <c r="K44" s="1361"/>
      <c r="L44" s="1361"/>
      <c r="M44" s="1361"/>
      <c r="N44" s="1361"/>
      <c r="O44" s="1361"/>
      <c r="P44" s="1361"/>
      <c r="Q44" s="1361"/>
      <c r="R44" s="1361"/>
      <c r="S44" s="1361"/>
      <c r="T44" s="1361"/>
      <c r="U44" s="1361"/>
      <c r="V44" s="1361"/>
      <c r="W44" s="1361"/>
      <c r="X44" s="1361"/>
      <c r="Y44" s="1361"/>
      <c r="Z44" s="1361"/>
      <c r="AA44" s="1361"/>
      <c r="AB44" s="1604"/>
      <c r="AC44" s="1603"/>
    </row>
    <row r="45" spans="1:29" ht="13.5" customHeight="1">
      <c r="A45" s="1369"/>
      <c r="B45" s="1368"/>
      <c r="C45" s="1605"/>
      <c r="D45" s="1366"/>
      <c r="E45" s="1364"/>
      <c r="F45" s="1361"/>
      <c r="G45" s="1361"/>
      <c r="H45" s="1361"/>
      <c r="I45" s="1361"/>
      <c r="J45" s="1361"/>
      <c r="K45" s="1361"/>
      <c r="L45" s="1361"/>
      <c r="M45" s="1361"/>
      <c r="N45" s="1361"/>
      <c r="O45" s="1361"/>
      <c r="P45" s="1361"/>
      <c r="Q45" s="1361"/>
      <c r="R45" s="1361"/>
      <c r="S45" s="1361"/>
      <c r="T45" s="1361"/>
      <c r="U45" s="1361"/>
      <c r="V45" s="1361"/>
      <c r="W45" s="1361"/>
      <c r="X45" s="1361"/>
      <c r="Y45" s="1361"/>
      <c r="Z45" s="1361"/>
      <c r="AA45" s="1361"/>
      <c r="AB45" s="1604"/>
      <c r="AC45" s="1603"/>
    </row>
    <row r="46" spans="1:29" ht="13.5" customHeight="1">
      <c r="A46" s="1369"/>
      <c r="B46" s="1368"/>
      <c r="C46" s="1605"/>
      <c r="D46" s="1366"/>
      <c r="E46" s="1364"/>
      <c r="F46" s="1361"/>
      <c r="G46" s="1361"/>
      <c r="H46" s="1361"/>
      <c r="I46" s="1361"/>
      <c r="J46" s="1361"/>
      <c r="K46" s="1361"/>
      <c r="L46" s="1361"/>
      <c r="M46" s="1361"/>
      <c r="N46" s="1361"/>
      <c r="O46" s="1361"/>
      <c r="P46" s="1361"/>
      <c r="Q46" s="1361"/>
      <c r="R46" s="1361"/>
      <c r="S46" s="1361"/>
      <c r="T46" s="1361"/>
      <c r="U46" s="1361"/>
      <c r="V46" s="1361"/>
      <c r="W46" s="1361"/>
      <c r="X46" s="1361"/>
      <c r="Y46" s="1361"/>
      <c r="Z46" s="1361"/>
      <c r="AA46" s="1361"/>
      <c r="AB46" s="1604"/>
      <c r="AC46" s="1603"/>
    </row>
    <row r="47" spans="1:29" ht="13.5" customHeight="1">
      <c r="A47" s="1369"/>
      <c r="B47" s="1368"/>
      <c r="C47" s="1605"/>
      <c r="D47" s="1366"/>
      <c r="E47" s="1364"/>
      <c r="F47" s="1361"/>
      <c r="G47" s="1361"/>
      <c r="H47" s="1361"/>
      <c r="I47" s="1361"/>
      <c r="J47" s="1361"/>
      <c r="K47" s="1361"/>
      <c r="L47" s="1361"/>
      <c r="M47" s="1361"/>
      <c r="N47" s="1361"/>
      <c r="O47" s="1361"/>
      <c r="P47" s="1361"/>
      <c r="Q47" s="1361"/>
      <c r="R47" s="1361"/>
      <c r="S47" s="1361"/>
      <c r="T47" s="1361"/>
      <c r="U47" s="1361"/>
      <c r="V47" s="1361"/>
      <c r="W47" s="1361"/>
      <c r="X47" s="1361"/>
      <c r="Y47" s="1361"/>
      <c r="Z47" s="1361"/>
      <c r="AA47" s="1361"/>
      <c r="AB47" s="1604"/>
      <c r="AC47" s="1603"/>
    </row>
    <row r="48" spans="1:29" ht="13.5" customHeight="1">
      <c r="A48" s="1369"/>
      <c r="B48" s="1368"/>
      <c r="C48" s="1605"/>
      <c r="D48" s="1366"/>
      <c r="E48" s="1364"/>
      <c r="F48" s="1361"/>
      <c r="G48" s="1361"/>
      <c r="H48" s="1361"/>
      <c r="I48" s="1361"/>
      <c r="J48" s="1361"/>
      <c r="K48" s="1361"/>
      <c r="L48" s="1361"/>
      <c r="M48" s="1361"/>
      <c r="N48" s="1361"/>
      <c r="O48" s="1361"/>
      <c r="P48" s="1361"/>
      <c r="Q48" s="1361"/>
      <c r="R48" s="1361"/>
      <c r="S48" s="1361"/>
      <c r="T48" s="1361"/>
      <c r="U48" s="1361"/>
      <c r="V48" s="1361"/>
      <c r="W48" s="1361"/>
      <c r="X48" s="1361"/>
      <c r="Y48" s="1361"/>
      <c r="Z48" s="1361"/>
      <c r="AA48" s="1361"/>
      <c r="AB48" s="1604"/>
      <c r="AC48" s="1603"/>
    </row>
    <row r="49" spans="1:29" ht="13.5" customHeight="1">
      <c r="A49" s="1369"/>
      <c r="B49" s="1368"/>
      <c r="C49" s="1605"/>
      <c r="D49" s="1366"/>
      <c r="E49" s="1364"/>
      <c r="F49" s="1361"/>
      <c r="G49" s="1361"/>
      <c r="H49" s="1361"/>
      <c r="I49" s="1361"/>
      <c r="J49" s="1361"/>
      <c r="K49" s="1361"/>
      <c r="L49" s="1361"/>
      <c r="M49" s="1361"/>
      <c r="N49" s="1361"/>
      <c r="O49" s="1361"/>
      <c r="P49" s="1361"/>
      <c r="Q49" s="1361"/>
      <c r="R49" s="1361"/>
      <c r="S49" s="1361"/>
      <c r="T49" s="1361"/>
      <c r="U49" s="1361"/>
      <c r="V49" s="1361"/>
      <c r="W49" s="1361"/>
      <c r="X49" s="1361"/>
      <c r="Y49" s="1361"/>
      <c r="Z49" s="1361"/>
      <c r="AA49" s="1361"/>
      <c r="AB49" s="1604"/>
      <c r="AC49" s="1603"/>
    </row>
    <row r="50" spans="1:29" ht="13.5" customHeight="1">
      <c r="A50" s="1369"/>
      <c r="B50" s="1368"/>
      <c r="C50" s="1605"/>
      <c r="D50" s="1366"/>
      <c r="E50" s="1364"/>
      <c r="F50" s="1361"/>
      <c r="G50" s="1361"/>
      <c r="H50" s="1361"/>
      <c r="I50" s="1361"/>
      <c r="J50" s="1361"/>
      <c r="K50" s="1361"/>
      <c r="L50" s="1361"/>
      <c r="M50" s="1361"/>
      <c r="N50" s="1361"/>
      <c r="O50" s="1361"/>
      <c r="P50" s="1361"/>
      <c r="Q50" s="1361"/>
      <c r="R50" s="1361"/>
      <c r="S50" s="1361"/>
      <c r="T50" s="1361"/>
      <c r="U50" s="1361"/>
      <c r="V50" s="1361"/>
      <c r="W50" s="1361"/>
      <c r="X50" s="1361"/>
      <c r="Y50" s="1361"/>
      <c r="Z50" s="1361"/>
      <c r="AA50" s="1361"/>
      <c r="AB50" s="1604"/>
      <c r="AC50" s="1603"/>
    </row>
    <row r="51" spans="1:29" ht="13.5" customHeight="1">
      <c r="A51" s="1369"/>
      <c r="B51" s="1368"/>
      <c r="C51" s="1605"/>
      <c r="D51" s="1366"/>
      <c r="E51" s="1364"/>
      <c r="F51" s="1361"/>
      <c r="G51" s="1361"/>
      <c r="H51" s="1361"/>
      <c r="I51" s="1361"/>
      <c r="J51" s="1361"/>
      <c r="K51" s="1361"/>
      <c r="L51" s="1361"/>
      <c r="M51" s="1361"/>
      <c r="N51" s="1361"/>
      <c r="O51" s="1361"/>
      <c r="P51" s="1361"/>
      <c r="Q51" s="1361"/>
      <c r="R51" s="1361"/>
      <c r="S51" s="1361"/>
      <c r="T51" s="1361"/>
      <c r="U51" s="1361"/>
      <c r="V51" s="1361"/>
      <c r="W51" s="1361"/>
      <c r="X51" s="1361"/>
      <c r="Y51" s="1361"/>
      <c r="Z51" s="1361"/>
      <c r="AA51" s="1361"/>
      <c r="AB51" s="1604"/>
      <c r="AC51" s="1603"/>
    </row>
    <row r="52" spans="1:29" ht="13.5" customHeight="1">
      <c r="A52" s="1369"/>
      <c r="B52" s="1368"/>
      <c r="C52" s="1605"/>
      <c r="D52" s="1366"/>
      <c r="E52" s="1364"/>
      <c r="F52" s="1361"/>
      <c r="G52" s="1361"/>
      <c r="H52" s="1361"/>
      <c r="I52" s="1361"/>
      <c r="J52" s="1361"/>
      <c r="K52" s="1361"/>
      <c r="L52" s="1361"/>
      <c r="M52" s="1361"/>
      <c r="N52" s="1361"/>
      <c r="O52" s="1361"/>
      <c r="P52" s="1361"/>
      <c r="Q52" s="1361"/>
      <c r="R52" s="1361"/>
      <c r="S52" s="1361"/>
      <c r="T52" s="1361"/>
      <c r="U52" s="1361"/>
      <c r="V52" s="1361"/>
      <c r="W52" s="1361"/>
      <c r="X52" s="1361"/>
      <c r="Y52" s="1361"/>
      <c r="Z52" s="1361"/>
      <c r="AA52" s="1361"/>
      <c r="AB52" s="1604"/>
      <c r="AC52" s="1603"/>
    </row>
    <row r="53" spans="1:29" ht="13.5" customHeight="1">
      <c r="A53" s="1369"/>
      <c r="B53" s="1368"/>
      <c r="C53" s="1605"/>
      <c r="D53" s="1366"/>
      <c r="E53" s="1364"/>
      <c r="F53" s="1361"/>
      <c r="G53" s="1361"/>
      <c r="H53" s="1361"/>
      <c r="I53" s="1361"/>
      <c r="J53" s="1361"/>
      <c r="K53" s="1361"/>
      <c r="L53" s="1361"/>
      <c r="M53" s="1361"/>
      <c r="N53" s="1361"/>
      <c r="O53" s="1361"/>
      <c r="P53" s="1361"/>
      <c r="Q53" s="1361"/>
      <c r="R53" s="1361"/>
      <c r="S53" s="1361"/>
      <c r="T53" s="1361"/>
      <c r="U53" s="1361"/>
      <c r="V53" s="1361"/>
      <c r="W53" s="1361"/>
      <c r="X53" s="1361"/>
      <c r="Y53" s="1361"/>
      <c r="Z53" s="1361"/>
      <c r="AA53" s="1361"/>
      <c r="AB53" s="1604"/>
      <c r="AC53" s="1603"/>
    </row>
    <row r="54" spans="1:29" ht="13.5" customHeight="1">
      <c r="A54" s="1369"/>
      <c r="B54" s="1368"/>
      <c r="C54" s="1605"/>
      <c r="D54" s="1366"/>
      <c r="E54" s="1364"/>
      <c r="F54" s="1361"/>
      <c r="G54" s="1361"/>
      <c r="H54" s="1361"/>
      <c r="I54" s="1361"/>
      <c r="J54" s="1361"/>
      <c r="K54" s="1361"/>
      <c r="L54" s="1361"/>
      <c r="M54" s="1361"/>
      <c r="N54" s="1361"/>
      <c r="O54" s="1361"/>
      <c r="P54" s="1361"/>
      <c r="Q54" s="1361"/>
      <c r="R54" s="1361"/>
      <c r="S54" s="1361"/>
      <c r="T54" s="1361"/>
      <c r="U54" s="1361"/>
      <c r="V54" s="1361"/>
      <c r="W54" s="1361"/>
      <c r="X54" s="1361"/>
      <c r="Y54" s="1361"/>
      <c r="Z54" s="1361"/>
      <c r="AA54" s="1361"/>
      <c r="AB54" s="1604"/>
      <c r="AC54" s="1603"/>
    </row>
    <row r="55" spans="1:29" ht="13.5" customHeight="1" thickBot="1">
      <c r="A55" s="1434"/>
      <c r="B55" s="1435"/>
      <c r="C55" s="1629"/>
      <c r="D55" s="1437"/>
      <c r="E55" s="1439"/>
      <c r="F55" s="1440"/>
      <c r="G55" s="1440"/>
      <c r="H55" s="1440"/>
      <c r="I55" s="1440"/>
      <c r="J55" s="1440"/>
      <c r="K55" s="1440"/>
      <c r="L55" s="1440"/>
      <c r="M55" s="1440"/>
      <c r="N55" s="1440"/>
      <c r="O55" s="1440"/>
      <c r="P55" s="1440"/>
      <c r="Q55" s="1440"/>
      <c r="R55" s="1440"/>
      <c r="S55" s="1440"/>
      <c r="T55" s="1440"/>
      <c r="U55" s="1440"/>
      <c r="V55" s="1440"/>
      <c r="W55" s="1440"/>
      <c r="X55" s="1440"/>
      <c r="Y55" s="1440"/>
      <c r="Z55" s="1440"/>
      <c r="AA55" s="1440"/>
      <c r="AB55" s="1630"/>
      <c r="AC55" s="1631"/>
    </row>
    <row r="56" spans="1:29" ht="18.95" customHeight="1" thickTop="1" thickBot="1">
      <c r="A56" s="1673" t="s">
        <v>1271</v>
      </c>
      <c r="B56" s="1674"/>
      <c r="C56" s="1675"/>
      <c r="D56" s="1676">
        <v>68</v>
      </c>
      <c r="E56" s="1677">
        <v>6570</v>
      </c>
      <c r="F56" s="1678">
        <v>6570</v>
      </c>
      <c r="G56" s="1678">
        <v>6570</v>
      </c>
      <c r="H56" s="1678">
        <v>6570</v>
      </c>
      <c r="I56" s="1678">
        <v>4470</v>
      </c>
      <c r="J56" s="1678">
        <v>4470</v>
      </c>
      <c r="K56" s="1678">
        <v>4470</v>
      </c>
      <c r="L56" s="1678">
        <v>4470</v>
      </c>
      <c r="M56" s="1679">
        <v>7970</v>
      </c>
      <c r="N56" s="1678">
        <v>7970</v>
      </c>
      <c r="O56" s="1678">
        <v>7970</v>
      </c>
      <c r="P56" s="1678">
        <v>7970</v>
      </c>
      <c r="Q56" s="1678">
        <v>7970</v>
      </c>
      <c r="R56" s="1678">
        <v>7970</v>
      </c>
      <c r="S56" s="1678">
        <v>7970</v>
      </c>
      <c r="T56" s="1678">
        <v>7970</v>
      </c>
      <c r="U56" s="1678">
        <v>7970</v>
      </c>
      <c r="V56" s="1678">
        <v>6570</v>
      </c>
      <c r="W56" s="1678">
        <v>6570</v>
      </c>
      <c r="X56" s="1678">
        <v>6570</v>
      </c>
      <c r="Y56" s="1678">
        <v>6570</v>
      </c>
      <c r="Z56" s="1678">
        <v>6570</v>
      </c>
      <c r="AA56" s="1678">
        <v>6570</v>
      </c>
      <c r="AB56" s="1678">
        <v>6570</v>
      </c>
      <c r="AC56" s="1680"/>
    </row>
    <row r="57" spans="1:29" ht="13.5" customHeight="1" thickTop="1">
      <c r="A57" s="1681" t="s">
        <v>1247</v>
      </c>
      <c r="B57" s="1674"/>
      <c r="C57" s="1675"/>
      <c r="D57" s="1682">
        <v>68</v>
      </c>
      <c r="E57" s="1683">
        <v>7</v>
      </c>
      <c r="F57" s="1684">
        <v>7</v>
      </c>
      <c r="G57" s="1684">
        <v>7</v>
      </c>
      <c r="H57" s="1684">
        <v>7</v>
      </c>
      <c r="I57" s="1684">
        <v>5</v>
      </c>
      <c r="J57" s="1684">
        <v>5</v>
      </c>
      <c r="K57" s="1684">
        <v>5</v>
      </c>
      <c r="L57" s="1684">
        <v>5</v>
      </c>
      <c r="M57" s="1685">
        <v>8</v>
      </c>
      <c r="N57" s="1684">
        <v>8</v>
      </c>
      <c r="O57" s="1684">
        <v>8</v>
      </c>
      <c r="P57" s="1684">
        <v>8</v>
      </c>
      <c r="Q57" s="1684">
        <v>8</v>
      </c>
      <c r="R57" s="1684">
        <v>8</v>
      </c>
      <c r="S57" s="1684">
        <v>8</v>
      </c>
      <c r="T57" s="1684">
        <v>8</v>
      </c>
      <c r="U57" s="1684">
        <v>8</v>
      </c>
      <c r="V57" s="1684">
        <v>7</v>
      </c>
      <c r="W57" s="1684">
        <v>7</v>
      </c>
      <c r="X57" s="1684">
        <v>7</v>
      </c>
      <c r="Y57" s="1684">
        <v>7</v>
      </c>
      <c r="Z57" s="1684">
        <v>7</v>
      </c>
      <c r="AA57" s="1684">
        <v>7</v>
      </c>
      <c r="AB57" s="1684">
        <v>7</v>
      </c>
      <c r="AC57" s="1686"/>
    </row>
    <row r="58" spans="1:29" ht="13.5" customHeight="1">
      <c r="A58" s="1687" t="s">
        <v>1248</v>
      </c>
      <c r="B58" s="1628"/>
      <c r="C58" s="1688"/>
      <c r="D58" s="1689">
        <v>68</v>
      </c>
      <c r="E58" s="1690">
        <v>97</v>
      </c>
      <c r="F58" s="1691">
        <v>97</v>
      </c>
      <c r="G58" s="1691">
        <v>97</v>
      </c>
      <c r="H58" s="1691">
        <v>97</v>
      </c>
      <c r="I58" s="1691">
        <v>66</v>
      </c>
      <c r="J58" s="1691">
        <v>66</v>
      </c>
      <c r="K58" s="1691">
        <v>66</v>
      </c>
      <c r="L58" s="1691">
        <v>66</v>
      </c>
      <c r="M58" s="1693">
        <v>117</v>
      </c>
      <c r="N58" s="1691">
        <v>117</v>
      </c>
      <c r="O58" s="1691">
        <v>117</v>
      </c>
      <c r="P58" s="1691">
        <v>117</v>
      </c>
      <c r="Q58" s="1691">
        <v>117</v>
      </c>
      <c r="R58" s="1691">
        <v>117</v>
      </c>
      <c r="S58" s="1691">
        <v>117</v>
      </c>
      <c r="T58" s="1691">
        <v>117</v>
      </c>
      <c r="U58" s="1691">
        <v>117</v>
      </c>
      <c r="V58" s="1691">
        <v>97</v>
      </c>
      <c r="W58" s="1691">
        <v>97</v>
      </c>
      <c r="X58" s="1691">
        <v>97</v>
      </c>
      <c r="Y58" s="1691">
        <v>97</v>
      </c>
      <c r="Z58" s="1691">
        <v>97</v>
      </c>
      <c r="AA58" s="1691">
        <v>97</v>
      </c>
      <c r="AB58" s="1691">
        <v>97</v>
      </c>
      <c r="AC58" s="1692"/>
    </row>
    <row r="65" spans="3:26" s="1351" customFormat="1" ht="13.5" customHeight="1">
      <c r="C65" s="1464"/>
      <c r="D65" s="1464"/>
      <c r="E65" s="1464"/>
      <c r="G65" s="1352"/>
      <c r="K65" s="1352"/>
      <c r="N65" s="1352"/>
      <c r="Q65" s="1352"/>
      <c r="S65" s="1352"/>
      <c r="T65" s="1352"/>
      <c r="W65" s="1352"/>
      <c r="Z65" s="1352"/>
    </row>
    <row r="66" spans="3:26" s="1351" customFormat="1" ht="13.5" customHeight="1">
      <c r="C66" s="1464"/>
      <c r="D66" s="1464"/>
      <c r="E66" s="1464"/>
      <c r="F66" s="1356"/>
      <c r="G66" s="1352"/>
      <c r="J66" s="1356"/>
      <c r="K66" s="1352"/>
      <c r="N66" s="1352"/>
      <c r="P66" s="1356"/>
      <c r="Q66" s="1352"/>
      <c r="S66" s="1352"/>
      <c r="T66" s="1352"/>
      <c r="V66" s="1356"/>
      <c r="W66" s="1352"/>
      <c r="Z66" s="1352"/>
    </row>
    <row r="67" spans="3:26" s="1351" customFormat="1" ht="13.5" customHeight="1">
      <c r="C67" s="1464"/>
      <c r="D67" s="1464"/>
      <c r="E67" s="1464"/>
      <c r="F67" s="1354"/>
      <c r="G67" s="1352"/>
      <c r="J67" s="1354"/>
      <c r="K67" s="1352"/>
      <c r="N67" s="1352"/>
      <c r="P67" s="1354"/>
      <c r="Q67" s="1352"/>
      <c r="S67" s="1352"/>
      <c r="T67" s="1352"/>
      <c r="V67" s="1354"/>
      <c r="W67" s="1352"/>
      <c r="Z67" s="1352"/>
    </row>
    <row r="68" spans="3:26" s="1351" customFormat="1" ht="13.5" customHeight="1">
      <c r="C68" s="1353"/>
      <c r="D68" s="1353"/>
      <c r="E68" s="1353"/>
      <c r="F68" s="1352"/>
      <c r="J68" s="1352"/>
      <c r="P68" s="1352"/>
      <c r="V68" s="1352"/>
    </row>
  </sheetData>
  <mergeCells count="21">
    <mergeCell ref="A58:C58"/>
    <mergeCell ref="A23:C23"/>
    <mergeCell ref="A11:C11"/>
    <mergeCell ref="A18:C18"/>
    <mergeCell ref="A25:C25"/>
    <mergeCell ref="A56:C56"/>
    <mergeCell ref="A57:C57"/>
    <mergeCell ref="A6:AC6"/>
    <mergeCell ref="A13:AC13"/>
    <mergeCell ref="A20:AC20"/>
    <mergeCell ref="A7:C7"/>
    <mergeCell ref="A14:C14"/>
    <mergeCell ref="A21:C21"/>
    <mergeCell ref="A9:C9"/>
    <mergeCell ref="A16:C16"/>
    <mergeCell ref="A4:A5"/>
    <mergeCell ref="B4:B5"/>
    <mergeCell ref="C4:C5"/>
    <mergeCell ref="D4:D5"/>
    <mergeCell ref="E4:AB4"/>
    <mergeCell ref="AC4:AC5"/>
  </mergeCells>
  <phoneticPr fontId="4"/>
  <pageMargins left="0.39370078740157483" right="0.39370078740157483" top="0.78740157480314965" bottom="0.55118110236220474" header="0.59055118110236227" footer="0.31496062992125984"/>
  <pageSetup paperSize="9" scale="54" fitToHeight="0" orientation="landscape" horizontalDpi="1200" verticalDpi="1200" r:id="rId1"/>
  <headerFooter scaleWithDoc="0" alignWithMargins="0">
    <oddFooter>&amp;C&amp;"ＭＳ Ｐゴシック,標準"&amp;9( &amp;P / &amp;N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G49"/>
  <sheetViews>
    <sheetView showGridLines="0" zoomScale="80" zoomScaleNormal="80" workbookViewId="0">
      <pane xSplit="4" ySplit="5" topLeftCell="E6" activePane="bottomRight" state="frozenSplit"/>
      <selection pane="topRight"/>
      <selection pane="bottomLeft"/>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6" width="15.7109375" style="1351" customWidth="1"/>
    <col min="7" max="7" width="30.7109375" style="1351" customWidth="1"/>
    <col min="8" max="16384" width="9.140625" style="1458"/>
  </cols>
  <sheetData>
    <row r="1" spans="1:7" s="1710" customFormat="1" ht="21" customHeight="1">
      <c r="A1" s="1716" t="s">
        <v>1273</v>
      </c>
      <c r="B1" s="1715"/>
      <c r="C1" s="1714"/>
      <c r="D1" s="1713"/>
      <c r="E1" s="1712"/>
      <c r="F1" s="1712"/>
      <c r="G1" s="1711"/>
    </row>
    <row r="4" spans="1:7" ht="13.5" customHeight="1">
      <c r="A4" s="1415" t="s">
        <v>394</v>
      </c>
      <c r="B4" s="1414" t="s">
        <v>370</v>
      </c>
      <c r="C4" s="1614" t="s">
        <v>1083</v>
      </c>
      <c r="D4" s="1613" t="s">
        <v>1082</v>
      </c>
      <c r="E4" s="1612" t="s">
        <v>1272</v>
      </c>
      <c r="F4" s="1610"/>
      <c r="G4" s="1709" t="s">
        <v>1235</v>
      </c>
    </row>
    <row r="5" spans="1:7" ht="13.5" customHeight="1">
      <c r="A5" s="1396"/>
      <c r="B5" s="1395"/>
      <c r="C5" s="1624"/>
      <c r="D5" s="1625"/>
      <c r="E5" s="1708" t="s">
        <v>36</v>
      </c>
      <c r="F5" s="1707" t="s">
        <v>60</v>
      </c>
      <c r="G5" s="1717"/>
    </row>
    <row r="6" spans="1:7" ht="13.5" customHeight="1">
      <c r="A6" s="1641" t="s">
        <v>1238</v>
      </c>
      <c r="B6" s="1642"/>
      <c r="C6" s="1643"/>
      <c r="D6" s="1636"/>
      <c r="E6" s="1637"/>
      <c r="F6" s="1639"/>
      <c r="G6" s="1640"/>
    </row>
    <row r="7" spans="1:7" ht="13.5" customHeight="1">
      <c r="A7" s="1369">
        <v>1</v>
      </c>
      <c r="B7" s="1368">
        <v>101</v>
      </c>
      <c r="C7" s="1627" t="s">
        <v>644</v>
      </c>
      <c r="D7" s="1366">
        <v>194.8</v>
      </c>
      <c r="E7" s="1364">
        <v>11838</v>
      </c>
      <c r="F7" s="1604">
        <v>10907</v>
      </c>
      <c r="G7" s="1603"/>
    </row>
    <row r="8" spans="1:7" ht="13.5" customHeight="1" thickBot="1">
      <c r="A8" s="1434">
        <v>1</v>
      </c>
      <c r="B8" s="1435">
        <v>102</v>
      </c>
      <c r="C8" s="1629" t="s">
        <v>760</v>
      </c>
      <c r="D8" s="1437">
        <v>73.8</v>
      </c>
      <c r="E8" s="1439">
        <v>5428</v>
      </c>
      <c r="F8" s="1630">
        <v>5046</v>
      </c>
      <c r="G8" s="1631"/>
    </row>
    <row r="9" spans="1:7" ht="13.5" customHeight="1" thickTop="1">
      <c r="A9" s="1651" t="s">
        <v>1239</v>
      </c>
      <c r="B9" s="1652"/>
      <c r="C9" s="1653"/>
      <c r="D9" s="1647">
        <v>268.60000000000002</v>
      </c>
      <c r="E9" s="1648">
        <v>17266</v>
      </c>
      <c r="F9" s="1649">
        <v>15953</v>
      </c>
      <c r="G9" s="1650"/>
    </row>
    <row r="10" spans="1:7" ht="13.5" customHeight="1">
      <c r="A10" s="1369"/>
      <c r="B10" s="1368"/>
      <c r="C10" s="1627"/>
      <c r="D10" s="1366"/>
      <c r="E10" s="1364"/>
      <c r="F10" s="1604"/>
      <c r="G10" s="1603"/>
    </row>
    <row r="11" spans="1:7" ht="13.5" customHeight="1">
      <c r="A11" s="1369"/>
      <c r="B11" s="1368"/>
      <c r="C11" s="1605"/>
      <c r="D11" s="1366"/>
      <c r="E11" s="1364"/>
      <c r="F11" s="1604"/>
      <c r="G11" s="1603"/>
    </row>
    <row r="12" spans="1:7" ht="13.5" customHeight="1">
      <c r="A12" s="1369"/>
      <c r="B12" s="1368"/>
      <c r="C12" s="1605"/>
      <c r="D12" s="1366"/>
      <c r="E12" s="1364"/>
      <c r="F12" s="1604"/>
      <c r="G12" s="1603"/>
    </row>
    <row r="13" spans="1:7" ht="13.5" customHeight="1">
      <c r="A13" s="1369"/>
      <c r="B13" s="1368"/>
      <c r="C13" s="1605"/>
      <c r="D13" s="1366"/>
      <c r="E13" s="1364"/>
      <c r="F13" s="1604"/>
      <c r="G13" s="1603"/>
    </row>
    <row r="14" spans="1:7" ht="13.5" customHeight="1">
      <c r="A14" s="1369"/>
      <c r="B14" s="1368"/>
      <c r="C14" s="1605"/>
      <c r="D14" s="1366"/>
      <c r="E14" s="1364"/>
      <c r="F14" s="1604"/>
      <c r="G14" s="1603"/>
    </row>
    <row r="15" spans="1:7" ht="13.5" customHeight="1">
      <c r="A15" s="1369"/>
      <c r="B15" s="1368"/>
      <c r="C15" s="1605"/>
      <c r="D15" s="1366"/>
      <c r="E15" s="1364"/>
      <c r="F15" s="1604"/>
      <c r="G15" s="1603"/>
    </row>
    <row r="16" spans="1:7" ht="13.5" customHeight="1">
      <c r="A16" s="1369"/>
      <c r="B16" s="1368"/>
      <c r="C16" s="1605"/>
      <c r="D16" s="1366"/>
      <c r="E16" s="1364"/>
      <c r="F16" s="1604"/>
      <c r="G16" s="1603"/>
    </row>
    <row r="17" spans="1:7" ht="13.5" customHeight="1">
      <c r="A17" s="1369"/>
      <c r="B17" s="1368"/>
      <c r="C17" s="1605"/>
      <c r="D17" s="1366"/>
      <c r="E17" s="1364"/>
      <c r="F17" s="1604"/>
      <c r="G17" s="1603"/>
    </row>
    <row r="18" spans="1:7" ht="13.5" customHeight="1">
      <c r="A18" s="1369"/>
      <c r="B18" s="1368"/>
      <c r="C18" s="1605"/>
      <c r="D18" s="1366"/>
      <c r="E18" s="1364"/>
      <c r="F18" s="1604"/>
      <c r="G18" s="1603"/>
    </row>
    <row r="19" spans="1:7" ht="13.5" customHeight="1">
      <c r="A19" s="1369"/>
      <c r="B19" s="1368"/>
      <c r="C19" s="1605"/>
      <c r="D19" s="1366"/>
      <c r="E19" s="1364"/>
      <c r="F19" s="1604"/>
      <c r="G19" s="1603"/>
    </row>
    <row r="20" spans="1:7" ht="13.5" customHeight="1">
      <c r="A20" s="1369"/>
      <c r="B20" s="1368"/>
      <c r="C20" s="1605"/>
      <c r="D20" s="1366"/>
      <c r="E20" s="1364"/>
      <c r="F20" s="1604"/>
      <c r="G20" s="1603"/>
    </row>
    <row r="21" spans="1:7" ht="13.5" customHeight="1">
      <c r="A21" s="1369"/>
      <c r="B21" s="1368"/>
      <c r="C21" s="1605"/>
      <c r="D21" s="1366"/>
      <c r="E21" s="1364"/>
      <c r="F21" s="1604"/>
      <c r="G21" s="1603"/>
    </row>
    <row r="22" spans="1:7" ht="13.5" customHeight="1">
      <c r="A22" s="1369"/>
      <c r="B22" s="1368"/>
      <c r="C22" s="1605"/>
      <c r="D22" s="1366"/>
      <c r="E22" s="1364"/>
      <c r="F22" s="1604"/>
      <c r="G22" s="1603"/>
    </row>
    <row r="23" spans="1:7" ht="13.5" customHeight="1">
      <c r="A23" s="1369"/>
      <c r="B23" s="1368"/>
      <c r="C23" s="1605"/>
      <c r="D23" s="1366"/>
      <c r="E23" s="1364"/>
      <c r="F23" s="1604"/>
      <c r="G23" s="1603"/>
    </row>
    <row r="24" spans="1:7" ht="13.5" customHeight="1">
      <c r="A24" s="1369"/>
      <c r="B24" s="1368"/>
      <c r="C24" s="1605"/>
      <c r="D24" s="1366"/>
      <c r="E24" s="1364"/>
      <c r="F24" s="1604"/>
      <c r="G24" s="1603"/>
    </row>
    <row r="25" spans="1:7" ht="13.5" customHeight="1">
      <c r="A25" s="1369"/>
      <c r="B25" s="1368"/>
      <c r="C25" s="1605"/>
      <c r="D25" s="1366"/>
      <c r="E25" s="1364"/>
      <c r="F25" s="1604"/>
      <c r="G25" s="1603"/>
    </row>
    <row r="26" spans="1:7" ht="13.5" customHeight="1">
      <c r="A26" s="1369"/>
      <c r="B26" s="1368"/>
      <c r="C26" s="1605"/>
      <c r="D26" s="1366"/>
      <c r="E26" s="1364"/>
      <c r="F26" s="1604"/>
      <c r="G26" s="1603"/>
    </row>
    <row r="27" spans="1:7" ht="13.5" customHeight="1">
      <c r="A27" s="1369"/>
      <c r="B27" s="1368"/>
      <c r="C27" s="1605"/>
      <c r="D27" s="1366"/>
      <c r="E27" s="1364"/>
      <c r="F27" s="1604"/>
      <c r="G27" s="1603"/>
    </row>
    <row r="28" spans="1:7" ht="13.5" customHeight="1">
      <c r="A28" s="1369"/>
      <c r="B28" s="1368"/>
      <c r="C28" s="1605"/>
      <c r="D28" s="1366"/>
      <c r="E28" s="1364"/>
      <c r="F28" s="1604"/>
      <c r="G28" s="1603"/>
    </row>
    <row r="29" spans="1:7" ht="13.5" customHeight="1">
      <c r="A29" s="1369"/>
      <c r="B29" s="1368"/>
      <c r="C29" s="1605"/>
      <c r="D29" s="1366"/>
      <c r="E29" s="1364"/>
      <c r="F29" s="1604"/>
      <c r="G29" s="1603"/>
    </row>
    <row r="30" spans="1:7" ht="13.5" customHeight="1">
      <c r="A30" s="1369"/>
      <c r="B30" s="1368"/>
      <c r="C30" s="1605"/>
      <c r="D30" s="1366"/>
      <c r="E30" s="1364"/>
      <c r="F30" s="1604"/>
      <c r="G30" s="1603"/>
    </row>
    <row r="31" spans="1:7" ht="13.5" customHeight="1">
      <c r="A31" s="1369"/>
      <c r="B31" s="1368"/>
      <c r="C31" s="1605"/>
      <c r="D31" s="1366"/>
      <c r="E31" s="1364"/>
      <c r="F31" s="1604"/>
      <c r="G31" s="1603"/>
    </row>
    <row r="32" spans="1:7" ht="13.5" customHeight="1">
      <c r="A32" s="1369"/>
      <c r="B32" s="1368"/>
      <c r="C32" s="1605"/>
      <c r="D32" s="1366"/>
      <c r="E32" s="1364"/>
      <c r="F32" s="1604"/>
      <c r="G32" s="1603"/>
    </row>
    <row r="33" spans="1:7" ht="13.5" customHeight="1">
      <c r="A33" s="1369"/>
      <c r="B33" s="1368"/>
      <c r="C33" s="1605"/>
      <c r="D33" s="1366"/>
      <c r="E33" s="1364"/>
      <c r="F33" s="1604"/>
      <c r="G33" s="1603"/>
    </row>
    <row r="34" spans="1:7" ht="13.5" customHeight="1">
      <c r="A34" s="1369"/>
      <c r="B34" s="1368"/>
      <c r="C34" s="1605"/>
      <c r="D34" s="1366"/>
      <c r="E34" s="1364"/>
      <c r="F34" s="1604"/>
      <c r="G34" s="1603"/>
    </row>
    <row r="35" spans="1:7" ht="13.5" customHeight="1">
      <c r="A35" s="1369"/>
      <c r="B35" s="1368"/>
      <c r="C35" s="1605"/>
      <c r="D35" s="1366"/>
      <c r="E35" s="1364"/>
      <c r="F35" s="1604"/>
      <c r="G35" s="1603"/>
    </row>
    <row r="36" spans="1:7" ht="13.5" customHeight="1">
      <c r="A36" s="1369"/>
      <c r="B36" s="1368"/>
      <c r="C36" s="1605"/>
      <c r="D36" s="1366"/>
      <c r="E36" s="1364"/>
      <c r="F36" s="1604"/>
      <c r="G36" s="1603"/>
    </row>
    <row r="37" spans="1:7" ht="13.5" customHeight="1" thickBot="1">
      <c r="A37" s="1434"/>
      <c r="B37" s="1435"/>
      <c r="C37" s="1629"/>
      <c r="D37" s="1437"/>
      <c r="E37" s="1439"/>
      <c r="F37" s="1630"/>
      <c r="G37" s="1631"/>
    </row>
    <row r="38" spans="1:7" ht="18.95" customHeight="1" thickTop="1" thickBot="1">
      <c r="A38" s="1681" t="s">
        <v>1274</v>
      </c>
      <c r="B38" s="1674"/>
      <c r="C38" s="1675"/>
      <c r="D38" s="1682">
        <v>268.60000000000002</v>
      </c>
      <c r="E38" s="1718">
        <v>17266</v>
      </c>
      <c r="F38" s="1684">
        <v>15953</v>
      </c>
      <c r="G38" s="1719"/>
    </row>
    <row r="39" spans="1:7" ht="13.5" customHeight="1" thickTop="1">
      <c r="A39" s="1681" t="s">
        <v>1247</v>
      </c>
      <c r="B39" s="1674"/>
      <c r="C39" s="1675"/>
      <c r="D39" s="1682">
        <v>268.60000000000002</v>
      </c>
      <c r="E39" s="1718">
        <v>18</v>
      </c>
      <c r="F39" s="1684">
        <v>16</v>
      </c>
      <c r="G39" s="1686"/>
    </row>
    <row r="40" spans="1:7" ht="13.5" customHeight="1">
      <c r="A40" s="1687" t="s">
        <v>1248</v>
      </c>
      <c r="B40" s="1628"/>
      <c r="C40" s="1688"/>
      <c r="D40" s="1689">
        <v>268.60000000000002</v>
      </c>
      <c r="E40" s="1720">
        <v>64</v>
      </c>
      <c r="F40" s="1691">
        <v>59</v>
      </c>
      <c r="G40" s="1692"/>
    </row>
    <row r="46" spans="1:7" s="1351" customFormat="1" ht="13.5" customHeight="1">
      <c r="C46" s="1464"/>
      <c r="D46" s="1464"/>
      <c r="E46" s="1464"/>
      <c r="F46" s="1352"/>
    </row>
    <row r="47" spans="1:7" s="1351" customFormat="1" ht="13.5" customHeight="1">
      <c r="C47" s="1464"/>
      <c r="D47" s="1464"/>
      <c r="E47" s="1464"/>
      <c r="F47" s="1352"/>
    </row>
    <row r="48" spans="1:7" s="1351" customFormat="1" ht="13.5" customHeight="1">
      <c r="C48" s="1464"/>
      <c r="D48" s="1464"/>
      <c r="E48" s="1464"/>
      <c r="F48" s="1352"/>
    </row>
    <row r="49" spans="3:5" s="1351" customFormat="1" ht="13.5" customHeight="1">
      <c r="C49" s="1353"/>
      <c r="D49" s="1353"/>
      <c r="E49" s="1353"/>
    </row>
  </sheetData>
  <mergeCells count="11">
    <mergeCell ref="A6:C6"/>
    <mergeCell ref="A9:C9"/>
    <mergeCell ref="A38:C38"/>
    <mergeCell ref="A39:C39"/>
    <mergeCell ref="A40:C40"/>
    <mergeCell ref="A4:A5"/>
    <mergeCell ref="B4:B5"/>
    <mergeCell ref="C4:C5"/>
    <mergeCell ref="D4:D5"/>
    <mergeCell ref="E4:F4"/>
    <mergeCell ref="G4:G5"/>
  </mergeCells>
  <phoneticPr fontId="4"/>
  <printOptions horizontalCentered="1"/>
  <pageMargins left="0.39370078740157483" right="0.39370078740157483" top="0.78740157480314965" bottom="0.55118110236220474" header="0.59055118110236227" footer="0.31496062992125984"/>
  <pageSetup paperSize="9" scale="87" orientation="landscape" horizontalDpi="1200" verticalDpi="1200" r:id="rId1"/>
  <headerFooter scaleWithDoc="0" alignWithMargins="0">
    <oddFooter>&amp;C&amp;"ＭＳ Ｐゴシック,標準"&amp;9( &amp;P / &amp;N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G49"/>
  <sheetViews>
    <sheetView showGridLines="0" zoomScale="80" zoomScaleNormal="80" workbookViewId="0">
      <pane xSplit="4" ySplit="5" topLeftCell="E6" activePane="bottomRight" state="frozenSplit"/>
      <selection pane="topRight"/>
      <selection pane="bottomLeft"/>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6" width="15.7109375" style="1351" customWidth="1"/>
    <col min="7" max="7" width="30.7109375" style="1351" customWidth="1"/>
    <col min="8" max="16384" width="9.140625" style="1458"/>
  </cols>
  <sheetData>
    <row r="1" spans="1:7" s="1710" customFormat="1" ht="21" customHeight="1">
      <c r="A1" s="1716" t="s">
        <v>1275</v>
      </c>
      <c r="B1" s="1715"/>
      <c r="C1" s="1714"/>
      <c r="D1" s="1713"/>
      <c r="E1" s="1712"/>
      <c r="F1" s="1712"/>
      <c r="G1" s="1711"/>
    </row>
    <row r="4" spans="1:7" ht="13.5" customHeight="1">
      <c r="A4" s="1415" t="s">
        <v>394</v>
      </c>
      <c r="B4" s="1414" t="s">
        <v>370</v>
      </c>
      <c r="C4" s="1614" t="s">
        <v>1083</v>
      </c>
      <c r="D4" s="1613" t="s">
        <v>1082</v>
      </c>
      <c r="E4" s="1612" t="s">
        <v>1272</v>
      </c>
      <c r="F4" s="1610"/>
      <c r="G4" s="1709" t="s">
        <v>1235</v>
      </c>
    </row>
    <row r="5" spans="1:7" ht="13.5" customHeight="1">
      <c r="A5" s="1396"/>
      <c r="B5" s="1395"/>
      <c r="C5" s="1624"/>
      <c r="D5" s="1625"/>
      <c r="E5" s="1708" t="s">
        <v>36</v>
      </c>
      <c r="F5" s="1707" t="s">
        <v>60</v>
      </c>
      <c r="G5" s="1717"/>
    </row>
    <row r="6" spans="1:7" ht="13.5" customHeight="1">
      <c r="A6" s="1641" t="s">
        <v>1251</v>
      </c>
      <c r="B6" s="1642"/>
      <c r="C6" s="1643"/>
      <c r="D6" s="1636"/>
      <c r="E6" s="1637"/>
      <c r="F6" s="1639"/>
      <c r="G6" s="1640"/>
    </row>
    <row r="7" spans="1:7" ht="13.5" customHeight="1">
      <c r="A7" s="1369">
        <v>1</v>
      </c>
      <c r="B7" s="1368">
        <v>104</v>
      </c>
      <c r="C7" s="1627" t="s">
        <v>810</v>
      </c>
      <c r="D7" s="1366">
        <v>62.09</v>
      </c>
      <c r="E7" s="1364">
        <v>6102</v>
      </c>
      <c r="F7" s="1604">
        <v>6187</v>
      </c>
      <c r="G7" s="1603"/>
    </row>
    <row r="8" spans="1:7" ht="13.5" customHeight="1">
      <c r="A8" s="1369">
        <v>2</v>
      </c>
      <c r="B8" s="1368">
        <v>201</v>
      </c>
      <c r="C8" s="1605" t="s">
        <v>866</v>
      </c>
      <c r="D8" s="1366">
        <v>54.81</v>
      </c>
      <c r="E8" s="1364">
        <v>4937</v>
      </c>
      <c r="F8" s="1604">
        <v>5026</v>
      </c>
      <c r="G8" s="1603"/>
    </row>
    <row r="9" spans="1:7" ht="13.5" customHeight="1">
      <c r="A9" s="1369">
        <v>2</v>
      </c>
      <c r="B9" s="1368">
        <v>204</v>
      </c>
      <c r="C9" s="1605" t="s">
        <v>897</v>
      </c>
      <c r="D9" s="1366">
        <v>13.23</v>
      </c>
      <c r="E9" s="1364">
        <v>1636</v>
      </c>
      <c r="F9" s="1604">
        <v>1661</v>
      </c>
      <c r="G9" s="1603"/>
    </row>
    <row r="10" spans="1:7" ht="13.5" customHeight="1">
      <c r="A10" s="1369">
        <v>2</v>
      </c>
      <c r="B10" s="1368">
        <v>205</v>
      </c>
      <c r="C10" s="1605" t="s">
        <v>920</v>
      </c>
      <c r="D10" s="1366">
        <v>13.23</v>
      </c>
      <c r="E10" s="1364">
        <v>1805</v>
      </c>
      <c r="F10" s="1604">
        <v>1835</v>
      </c>
      <c r="G10" s="1603"/>
    </row>
    <row r="11" spans="1:7" ht="13.5" customHeight="1">
      <c r="A11" s="1369">
        <v>2</v>
      </c>
      <c r="B11" s="1368">
        <v>208</v>
      </c>
      <c r="C11" s="1605" t="s">
        <v>935</v>
      </c>
      <c r="D11" s="1366">
        <v>53.34</v>
      </c>
      <c r="E11" s="1364">
        <v>4511</v>
      </c>
      <c r="F11" s="1604">
        <v>4582</v>
      </c>
      <c r="G11" s="1603"/>
    </row>
    <row r="12" spans="1:7" ht="13.5" customHeight="1">
      <c r="A12" s="1369">
        <v>2</v>
      </c>
      <c r="B12" s="1368">
        <v>210</v>
      </c>
      <c r="C12" s="1605" t="s">
        <v>972</v>
      </c>
      <c r="D12" s="1366">
        <v>13.23</v>
      </c>
      <c r="E12" s="1364">
        <v>1845</v>
      </c>
      <c r="F12" s="1604">
        <v>1878</v>
      </c>
      <c r="G12" s="1603"/>
    </row>
    <row r="13" spans="1:7" ht="13.5" customHeight="1" thickBot="1">
      <c r="A13" s="1434">
        <v>2</v>
      </c>
      <c r="B13" s="1435">
        <v>211</v>
      </c>
      <c r="C13" s="1629" t="s">
        <v>992</v>
      </c>
      <c r="D13" s="1437">
        <v>13.23</v>
      </c>
      <c r="E13" s="1439">
        <v>1093</v>
      </c>
      <c r="F13" s="1630">
        <v>1111</v>
      </c>
      <c r="G13" s="1631"/>
    </row>
    <row r="14" spans="1:7" ht="13.5" customHeight="1" thickTop="1">
      <c r="A14" s="1651" t="s">
        <v>1252</v>
      </c>
      <c r="B14" s="1652"/>
      <c r="C14" s="1653"/>
      <c r="D14" s="1647">
        <v>223.15999999999997</v>
      </c>
      <c r="E14" s="1648">
        <v>21929</v>
      </c>
      <c r="F14" s="1649">
        <v>22280</v>
      </c>
      <c r="G14" s="1650"/>
    </row>
    <row r="15" spans="1:7" ht="13.5" customHeight="1">
      <c r="A15" s="1369"/>
      <c r="B15" s="1368"/>
      <c r="C15" s="1627"/>
      <c r="D15" s="1366"/>
      <c r="E15" s="1364"/>
      <c r="F15" s="1604"/>
      <c r="G15" s="1603"/>
    </row>
    <row r="16" spans="1:7" ht="13.5" customHeight="1">
      <c r="A16" s="1369"/>
      <c r="B16" s="1368"/>
      <c r="C16" s="1605"/>
      <c r="D16" s="1366"/>
      <c r="E16" s="1364"/>
      <c r="F16" s="1604"/>
      <c r="G16" s="1603"/>
    </row>
    <row r="17" spans="1:7" ht="13.5" customHeight="1">
      <c r="A17" s="1369"/>
      <c r="B17" s="1368"/>
      <c r="C17" s="1605"/>
      <c r="D17" s="1366"/>
      <c r="E17" s="1364"/>
      <c r="F17" s="1604"/>
      <c r="G17" s="1603"/>
    </row>
    <row r="18" spans="1:7" ht="13.5" customHeight="1">
      <c r="A18" s="1369"/>
      <c r="B18" s="1368"/>
      <c r="C18" s="1605"/>
      <c r="D18" s="1366"/>
      <c r="E18" s="1364"/>
      <c r="F18" s="1604"/>
      <c r="G18" s="1603"/>
    </row>
    <row r="19" spans="1:7" ht="13.5" customHeight="1">
      <c r="A19" s="1369"/>
      <c r="B19" s="1368"/>
      <c r="C19" s="1605"/>
      <c r="D19" s="1366"/>
      <c r="E19" s="1364"/>
      <c r="F19" s="1604"/>
      <c r="G19" s="1603"/>
    </row>
    <row r="20" spans="1:7" ht="13.5" customHeight="1">
      <c r="A20" s="1369"/>
      <c r="B20" s="1368"/>
      <c r="C20" s="1605"/>
      <c r="D20" s="1366"/>
      <c r="E20" s="1364"/>
      <c r="F20" s="1604"/>
      <c r="G20" s="1603"/>
    </row>
    <row r="21" spans="1:7" ht="13.5" customHeight="1">
      <c r="A21" s="1369"/>
      <c r="B21" s="1368"/>
      <c r="C21" s="1605"/>
      <c r="D21" s="1366"/>
      <c r="E21" s="1364"/>
      <c r="F21" s="1604"/>
      <c r="G21" s="1603"/>
    </row>
    <row r="22" spans="1:7" ht="13.5" customHeight="1">
      <c r="A22" s="1369"/>
      <c r="B22" s="1368"/>
      <c r="C22" s="1605"/>
      <c r="D22" s="1366"/>
      <c r="E22" s="1364"/>
      <c r="F22" s="1604"/>
      <c r="G22" s="1603"/>
    </row>
    <row r="23" spans="1:7" ht="13.5" customHeight="1">
      <c r="A23" s="1369"/>
      <c r="B23" s="1368"/>
      <c r="C23" s="1605"/>
      <c r="D23" s="1366"/>
      <c r="E23" s="1364"/>
      <c r="F23" s="1604"/>
      <c r="G23" s="1603"/>
    </row>
    <row r="24" spans="1:7" ht="13.5" customHeight="1">
      <c r="A24" s="1369"/>
      <c r="B24" s="1368"/>
      <c r="C24" s="1605"/>
      <c r="D24" s="1366"/>
      <c r="E24" s="1364"/>
      <c r="F24" s="1604"/>
      <c r="G24" s="1603"/>
    </row>
    <row r="25" spans="1:7" ht="13.5" customHeight="1">
      <c r="A25" s="1369"/>
      <c r="B25" s="1368"/>
      <c r="C25" s="1605"/>
      <c r="D25" s="1366"/>
      <c r="E25" s="1364"/>
      <c r="F25" s="1604"/>
      <c r="G25" s="1603"/>
    </row>
    <row r="26" spans="1:7" ht="13.5" customHeight="1">
      <c r="A26" s="1369"/>
      <c r="B26" s="1368"/>
      <c r="C26" s="1605"/>
      <c r="D26" s="1366"/>
      <c r="E26" s="1364"/>
      <c r="F26" s="1604"/>
      <c r="G26" s="1603"/>
    </row>
    <row r="27" spans="1:7" ht="13.5" customHeight="1">
      <c r="A27" s="1369"/>
      <c r="B27" s="1368"/>
      <c r="C27" s="1605"/>
      <c r="D27" s="1366"/>
      <c r="E27" s="1364"/>
      <c r="F27" s="1604"/>
      <c r="G27" s="1603"/>
    </row>
    <row r="28" spans="1:7" ht="13.5" customHeight="1">
      <c r="A28" s="1369"/>
      <c r="B28" s="1368"/>
      <c r="C28" s="1605"/>
      <c r="D28" s="1366"/>
      <c r="E28" s="1364"/>
      <c r="F28" s="1604"/>
      <c r="G28" s="1603"/>
    </row>
    <row r="29" spans="1:7" ht="13.5" customHeight="1">
      <c r="A29" s="1369"/>
      <c r="B29" s="1368"/>
      <c r="C29" s="1605"/>
      <c r="D29" s="1366"/>
      <c r="E29" s="1364"/>
      <c r="F29" s="1604"/>
      <c r="G29" s="1603"/>
    </row>
    <row r="30" spans="1:7" ht="13.5" customHeight="1">
      <c r="A30" s="1369"/>
      <c r="B30" s="1368"/>
      <c r="C30" s="1605"/>
      <c r="D30" s="1366"/>
      <c r="E30" s="1364"/>
      <c r="F30" s="1604"/>
      <c r="G30" s="1603"/>
    </row>
    <row r="31" spans="1:7" ht="13.5" customHeight="1">
      <c r="A31" s="1369"/>
      <c r="B31" s="1368"/>
      <c r="C31" s="1605"/>
      <c r="D31" s="1366"/>
      <c r="E31" s="1364"/>
      <c r="F31" s="1604"/>
      <c r="G31" s="1603"/>
    </row>
    <row r="32" spans="1:7" ht="13.5" customHeight="1">
      <c r="A32" s="1369"/>
      <c r="B32" s="1368"/>
      <c r="C32" s="1605"/>
      <c r="D32" s="1366"/>
      <c r="E32" s="1364"/>
      <c r="F32" s="1604"/>
      <c r="G32" s="1603"/>
    </row>
    <row r="33" spans="1:7" ht="13.5" customHeight="1">
      <c r="A33" s="1369"/>
      <c r="B33" s="1368"/>
      <c r="C33" s="1605"/>
      <c r="D33" s="1366"/>
      <c r="E33" s="1364"/>
      <c r="F33" s="1604"/>
      <c r="G33" s="1603"/>
    </row>
    <row r="34" spans="1:7" ht="13.5" customHeight="1">
      <c r="A34" s="1369"/>
      <c r="B34" s="1368"/>
      <c r="C34" s="1605"/>
      <c r="D34" s="1366"/>
      <c r="E34" s="1364"/>
      <c r="F34" s="1604"/>
      <c r="G34" s="1603"/>
    </row>
    <row r="35" spans="1:7" ht="13.5" customHeight="1">
      <c r="A35" s="1369"/>
      <c r="B35" s="1368"/>
      <c r="C35" s="1605"/>
      <c r="D35" s="1366"/>
      <c r="E35" s="1364"/>
      <c r="F35" s="1604"/>
      <c r="G35" s="1603"/>
    </row>
    <row r="36" spans="1:7" ht="13.5" customHeight="1">
      <c r="A36" s="1369"/>
      <c r="B36" s="1368"/>
      <c r="C36" s="1605"/>
      <c r="D36" s="1366"/>
      <c r="E36" s="1364"/>
      <c r="F36" s="1604"/>
      <c r="G36" s="1603"/>
    </row>
    <row r="37" spans="1:7" ht="13.5" customHeight="1" thickBot="1">
      <c r="A37" s="1434"/>
      <c r="B37" s="1435"/>
      <c r="C37" s="1629"/>
      <c r="D37" s="1437"/>
      <c r="E37" s="1439"/>
      <c r="F37" s="1630"/>
      <c r="G37" s="1631"/>
    </row>
    <row r="38" spans="1:7" ht="18.95" customHeight="1" thickTop="1" thickBot="1">
      <c r="A38" s="1681" t="s">
        <v>1274</v>
      </c>
      <c r="B38" s="1674"/>
      <c r="C38" s="1675"/>
      <c r="D38" s="1682">
        <v>223.15999999999997</v>
      </c>
      <c r="E38" s="1683">
        <v>21929</v>
      </c>
      <c r="F38" s="1685">
        <v>22280</v>
      </c>
      <c r="G38" s="1719"/>
    </row>
    <row r="39" spans="1:7" ht="13.5" customHeight="1" thickTop="1">
      <c r="A39" s="1681" t="s">
        <v>1247</v>
      </c>
      <c r="B39" s="1674"/>
      <c r="C39" s="1675"/>
      <c r="D39" s="1682">
        <v>223.15999999999997</v>
      </c>
      <c r="E39" s="1683">
        <v>22</v>
      </c>
      <c r="F39" s="1685">
        <v>23</v>
      </c>
      <c r="G39" s="1686"/>
    </row>
    <row r="40" spans="1:7" ht="13.5" customHeight="1">
      <c r="A40" s="1687" t="s">
        <v>1248</v>
      </c>
      <c r="B40" s="1628"/>
      <c r="C40" s="1688"/>
      <c r="D40" s="1689">
        <v>223.15999999999997</v>
      </c>
      <c r="E40" s="1690">
        <v>98</v>
      </c>
      <c r="F40" s="1693">
        <v>100</v>
      </c>
      <c r="G40" s="1692"/>
    </row>
    <row r="46" spans="1:7" s="1351" customFormat="1" ht="13.5" customHeight="1">
      <c r="C46" s="1464"/>
      <c r="D46" s="1464"/>
      <c r="E46" s="1464"/>
      <c r="F46" s="1352"/>
    </row>
    <row r="47" spans="1:7" s="1351" customFormat="1" ht="13.5" customHeight="1">
      <c r="C47" s="1464"/>
      <c r="D47" s="1464"/>
      <c r="E47" s="1464"/>
      <c r="F47" s="1352"/>
    </row>
    <row r="48" spans="1:7" s="1351" customFormat="1" ht="13.5" customHeight="1">
      <c r="C48" s="1464"/>
      <c r="D48" s="1464"/>
      <c r="E48" s="1464"/>
      <c r="F48" s="1352"/>
    </row>
    <row r="49" spans="3:5" s="1351" customFormat="1" ht="13.5" customHeight="1">
      <c r="C49" s="1353"/>
      <c r="D49" s="1353"/>
      <c r="E49" s="1353"/>
    </row>
  </sheetData>
  <mergeCells count="11">
    <mergeCell ref="A6:C6"/>
    <mergeCell ref="A14:C14"/>
    <mergeCell ref="A38:C38"/>
    <mergeCell ref="A39:C39"/>
    <mergeCell ref="A40:C40"/>
    <mergeCell ref="A4:A5"/>
    <mergeCell ref="B4:B5"/>
    <mergeCell ref="C4:C5"/>
    <mergeCell ref="D4:D5"/>
    <mergeCell ref="E4:F4"/>
    <mergeCell ref="G4:G5"/>
  </mergeCells>
  <phoneticPr fontId="4"/>
  <printOptions horizontalCentered="1"/>
  <pageMargins left="0.39370078740157483" right="0.39370078740157483" top="0.78740157480314965" bottom="0.55118110236220474" header="0.59055118110236227" footer="0.31496062992125984"/>
  <pageSetup paperSize="9" scale="87" orientation="landscape" horizontalDpi="1200" verticalDpi="1200" r:id="rId1"/>
  <headerFooter scaleWithDoc="0" alignWithMargins="0">
    <oddFooter>&amp;C&amp;"ＭＳ Ｐゴシック,標準"&amp;9( &amp;P / &amp;N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G49"/>
  <sheetViews>
    <sheetView showGridLines="0" zoomScale="80" zoomScaleNormal="80" workbookViewId="0">
      <pane xSplit="4" ySplit="5" topLeftCell="E6" activePane="bottomRight" state="frozenSplit"/>
      <selection pane="topRight"/>
      <selection pane="bottomLeft"/>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6" width="15.7109375" style="1351" customWidth="1"/>
    <col min="7" max="7" width="30.7109375" style="1351" customWidth="1"/>
    <col min="8" max="16384" width="9.140625" style="1458"/>
  </cols>
  <sheetData>
    <row r="1" spans="1:7" s="1710" customFormat="1" ht="21" customHeight="1">
      <c r="A1" s="1716" t="s">
        <v>1276</v>
      </c>
      <c r="B1" s="1715"/>
      <c r="C1" s="1714"/>
      <c r="D1" s="1713"/>
      <c r="E1" s="1712"/>
      <c r="F1" s="1712"/>
      <c r="G1" s="1711"/>
    </row>
    <row r="4" spans="1:7" ht="13.5" customHeight="1">
      <c r="A4" s="1415" t="s">
        <v>394</v>
      </c>
      <c r="B4" s="1414" t="s">
        <v>370</v>
      </c>
      <c r="C4" s="1614" t="s">
        <v>1083</v>
      </c>
      <c r="D4" s="1613" t="s">
        <v>1082</v>
      </c>
      <c r="E4" s="1612" t="s">
        <v>1272</v>
      </c>
      <c r="F4" s="1610"/>
      <c r="G4" s="1709" t="s">
        <v>1235</v>
      </c>
    </row>
    <row r="5" spans="1:7" ht="13.5" customHeight="1">
      <c r="A5" s="1396"/>
      <c r="B5" s="1395"/>
      <c r="C5" s="1624"/>
      <c r="D5" s="1625"/>
      <c r="E5" s="1708" t="s">
        <v>36</v>
      </c>
      <c r="F5" s="1707" t="s">
        <v>60</v>
      </c>
      <c r="G5" s="1717"/>
    </row>
    <row r="6" spans="1:7" ht="13.5" customHeight="1">
      <c r="A6" s="1641" t="s">
        <v>1256</v>
      </c>
      <c r="B6" s="1642"/>
      <c r="C6" s="1643"/>
      <c r="D6" s="1636"/>
      <c r="E6" s="1637"/>
      <c r="F6" s="1639"/>
      <c r="G6" s="1640"/>
    </row>
    <row r="7" spans="1:7" ht="13.5" customHeight="1" thickBot="1">
      <c r="A7" s="1434">
        <v>2</v>
      </c>
      <c r="B7" s="1435">
        <v>209</v>
      </c>
      <c r="C7" s="1654" t="s">
        <v>949</v>
      </c>
      <c r="D7" s="1437">
        <v>71.19</v>
      </c>
      <c r="E7" s="1439">
        <v>8385</v>
      </c>
      <c r="F7" s="1630">
        <v>8194</v>
      </c>
      <c r="G7" s="1631"/>
    </row>
    <row r="8" spans="1:7" ht="13.5" customHeight="1" thickTop="1">
      <c r="A8" s="1651" t="s">
        <v>1258</v>
      </c>
      <c r="B8" s="1652"/>
      <c r="C8" s="1653"/>
      <c r="D8" s="1647">
        <v>71.19</v>
      </c>
      <c r="E8" s="1648">
        <v>8385</v>
      </c>
      <c r="F8" s="1649">
        <v>8194</v>
      </c>
      <c r="G8" s="1650"/>
    </row>
    <row r="9" spans="1:7" ht="13.5" customHeight="1">
      <c r="A9" s="1369"/>
      <c r="B9" s="1368"/>
      <c r="C9" s="1627"/>
      <c r="D9" s="1366"/>
      <c r="E9" s="1364"/>
      <c r="F9" s="1604"/>
      <c r="G9" s="1603"/>
    </row>
    <row r="10" spans="1:7" ht="13.5" customHeight="1">
      <c r="A10" s="1369"/>
      <c r="B10" s="1368"/>
      <c r="C10" s="1605"/>
      <c r="D10" s="1366"/>
      <c r="E10" s="1364"/>
      <c r="F10" s="1604"/>
      <c r="G10" s="1603"/>
    </row>
    <row r="11" spans="1:7" ht="13.5" customHeight="1">
      <c r="A11" s="1369"/>
      <c r="B11" s="1368"/>
      <c r="C11" s="1605"/>
      <c r="D11" s="1366"/>
      <c r="E11" s="1364"/>
      <c r="F11" s="1604"/>
      <c r="G11" s="1603"/>
    </row>
    <row r="12" spans="1:7" ht="13.5" customHeight="1">
      <c r="A12" s="1369"/>
      <c r="B12" s="1368"/>
      <c r="C12" s="1605"/>
      <c r="D12" s="1366"/>
      <c r="E12" s="1364"/>
      <c r="F12" s="1604"/>
      <c r="G12" s="1603"/>
    </row>
    <row r="13" spans="1:7" ht="13.5" customHeight="1">
      <c r="A13" s="1369"/>
      <c r="B13" s="1368"/>
      <c r="C13" s="1605"/>
      <c r="D13" s="1366"/>
      <c r="E13" s="1364"/>
      <c r="F13" s="1604"/>
      <c r="G13" s="1603"/>
    </row>
    <row r="14" spans="1:7" ht="13.5" customHeight="1">
      <c r="A14" s="1369"/>
      <c r="B14" s="1368"/>
      <c r="C14" s="1605"/>
      <c r="D14" s="1366"/>
      <c r="E14" s="1364"/>
      <c r="F14" s="1604"/>
      <c r="G14" s="1603"/>
    </row>
    <row r="15" spans="1:7" ht="13.5" customHeight="1">
      <c r="A15" s="1369"/>
      <c r="B15" s="1368"/>
      <c r="C15" s="1605"/>
      <c r="D15" s="1366"/>
      <c r="E15" s="1364"/>
      <c r="F15" s="1604"/>
      <c r="G15" s="1603"/>
    </row>
    <row r="16" spans="1:7" ht="13.5" customHeight="1">
      <c r="A16" s="1369"/>
      <c r="B16" s="1368"/>
      <c r="C16" s="1605"/>
      <c r="D16" s="1366"/>
      <c r="E16" s="1364"/>
      <c r="F16" s="1604"/>
      <c r="G16" s="1603"/>
    </row>
    <row r="17" spans="1:7" ht="13.5" customHeight="1">
      <c r="A17" s="1369"/>
      <c r="B17" s="1368"/>
      <c r="C17" s="1605"/>
      <c r="D17" s="1366"/>
      <c r="E17" s="1364"/>
      <c r="F17" s="1604"/>
      <c r="G17" s="1603"/>
    </row>
    <row r="18" spans="1:7" ht="13.5" customHeight="1">
      <c r="A18" s="1369"/>
      <c r="B18" s="1368"/>
      <c r="C18" s="1605"/>
      <c r="D18" s="1366"/>
      <c r="E18" s="1364"/>
      <c r="F18" s="1604"/>
      <c r="G18" s="1603"/>
    </row>
    <row r="19" spans="1:7" ht="13.5" customHeight="1">
      <c r="A19" s="1369"/>
      <c r="B19" s="1368"/>
      <c r="C19" s="1605"/>
      <c r="D19" s="1366"/>
      <c r="E19" s="1364"/>
      <c r="F19" s="1604"/>
      <c r="G19" s="1603"/>
    </row>
    <row r="20" spans="1:7" ht="13.5" customHeight="1">
      <c r="A20" s="1369"/>
      <c r="B20" s="1368"/>
      <c r="C20" s="1605"/>
      <c r="D20" s="1366"/>
      <c r="E20" s="1364"/>
      <c r="F20" s="1604"/>
      <c r="G20" s="1603"/>
    </row>
    <row r="21" spans="1:7" ht="13.5" customHeight="1">
      <c r="A21" s="1369"/>
      <c r="B21" s="1368"/>
      <c r="C21" s="1605"/>
      <c r="D21" s="1366"/>
      <c r="E21" s="1364"/>
      <c r="F21" s="1604"/>
      <c r="G21" s="1603"/>
    </row>
    <row r="22" spans="1:7" ht="13.5" customHeight="1">
      <c r="A22" s="1369"/>
      <c r="B22" s="1368"/>
      <c r="C22" s="1605"/>
      <c r="D22" s="1366"/>
      <c r="E22" s="1364"/>
      <c r="F22" s="1604"/>
      <c r="G22" s="1603"/>
    </row>
    <row r="23" spans="1:7" ht="13.5" customHeight="1">
      <c r="A23" s="1369"/>
      <c r="B23" s="1368"/>
      <c r="C23" s="1605"/>
      <c r="D23" s="1366"/>
      <c r="E23" s="1364"/>
      <c r="F23" s="1604"/>
      <c r="G23" s="1603"/>
    </row>
    <row r="24" spans="1:7" ht="13.5" customHeight="1">
      <c r="A24" s="1369"/>
      <c r="B24" s="1368"/>
      <c r="C24" s="1605"/>
      <c r="D24" s="1366"/>
      <c r="E24" s="1364"/>
      <c r="F24" s="1604"/>
      <c r="G24" s="1603"/>
    </row>
    <row r="25" spans="1:7" ht="13.5" customHeight="1">
      <c r="A25" s="1369"/>
      <c r="B25" s="1368"/>
      <c r="C25" s="1605"/>
      <c r="D25" s="1366"/>
      <c r="E25" s="1364"/>
      <c r="F25" s="1604"/>
      <c r="G25" s="1603"/>
    </row>
    <row r="26" spans="1:7" ht="13.5" customHeight="1">
      <c r="A26" s="1369"/>
      <c r="B26" s="1368"/>
      <c r="C26" s="1605"/>
      <c r="D26" s="1366"/>
      <c r="E26" s="1364"/>
      <c r="F26" s="1604"/>
      <c r="G26" s="1603"/>
    </row>
    <row r="27" spans="1:7" ht="13.5" customHeight="1">
      <c r="A27" s="1369"/>
      <c r="B27" s="1368"/>
      <c r="C27" s="1605"/>
      <c r="D27" s="1366"/>
      <c r="E27" s="1364"/>
      <c r="F27" s="1604"/>
      <c r="G27" s="1603"/>
    </row>
    <row r="28" spans="1:7" ht="13.5" customHeight="1">
      <c r="A28" s="1369"/>
      <c r="B28" s="1368"/>
      <c r="C28" s="1605"/>
      <c r="D28" s="1366"/>
      <c r="E28" s="1364"/>
      <c r="F28" s="1604"/>
      <c r="G28" s="1603"/>
    </row>
    <row r="29" spans="1:7" ht="13.5" customHeight="1">
      <c r="A29" s="1369"/>
      <c r="B29" s="1368"/>
      <c r="C29" s="1605"/>
      <c r="D29" s="1366"/>
      <c r="E29" s="1364"/>
      <c r="F29" s="1604"/>
      <c r="G29" s="1603"/>
    </row>
    <row r="30" spans="1:7" ht="13.5" customHeight="1">
      <c r="A30" s="1369"/>
      <c r="B30" s="1368"/>
      <c r="C30" s="1605"/>
      <c r="D30" s="1366"/>
      <c r="E30" s="1364"/>
      <c r="F30" s="1604"/>
      <c r="G30" s="1603"/>
    </row>
    <row r="31" spans="1:7" ht="13.5" customHeight="1">
      <c r="A31" s="1369"/>
      <c r="B31" s="1368"/>
      <c r="C31" s="1605"/>
      <c r="D31" s="1366"/>
      <c r="E31" s="1364"/>
      <c r="F31" s="1604"/>
      <c r="G31" s="1603"/>
    </row>
    <row r="32" spans="1:7" ht="13.5" customHeight="1">
      <c r="A32" s="1369"/>
      <c r="B32" s="1368"/>
      <c r="C32" s="1605"/>
      <c r="D32" s="1366"/>
      <c r="E32" s="1364"/>
      <c r="F32" s="1604"/>
      <c r="G32" s="1603"/>
    </row>
    <row r="33" spans="1:7" ht="13.5" customHeight="1">
      <c r="A33" s="1369"/>
      <c r="B33" s="1368"/>
      <c r="C33" s="1605"/>
      <c r="D33" s="1366"/>
      <c r="E33" s="1364"/>
      <c r="F33" s="1604"/>
      <c r="G33" s="1603"/>
    </row>
    <row r="34" spans="1:7" ht="13.5" customHeight="1">
      <c r="A34" s="1369"/>
      <c r="B34" s="1368"/>
      <c r="C34" s="1605"/>
      <c r="D34" s="1366"/>
      <c r="E34" s="1364"/>
      <c r="F34" s="1604"/>
      <c r="G34" s="1603"/>
    </row>
    <row r="35" spans="1:7" ht="13.5" customHeight="1">
      <c r="A35" s="1369"/>
      <c r="B35" s="1368"/>
      <c r="C35" s="1605"/>
      <c r="D35" s="1366"/>
      <c r="E35" s="1364"/>
      <c r="F35" s="1604"/>
      <c r="G35" s="1603"/>
    </row>
    <row r="36" spans="1:7" ht="13.5" customHeight="1">
      <c r="A36" s="1369"/>
      <c r="B36" s="1368"/>
      <c r="C36" s="1605"/>
      <c r="D36" s="1366"/>
      <c r="E36" s="1364"/>
      <c r="F36" s="1604"/>
      <c r="G36" s="1603"/>
    </row>
    <row r="37" spans="1:7" ht="13.5" customHeight="1" thickBot="1">
      <c r="A37" s="1434"/>
      <c r="B37" s="1435"/>
      <c r="C37" s="1629"/>
      <c r="D37" s="1437"/>
      <c r="E37" s="1439"/>
      <c r="F37" s="1630"/>
      <c r="G37" s="1631"/>
    </row>
    <row r="38" spans="1:7" ht="18.95" customHeight="1" thickTop="1" thickBot="1">
      <c r="A38" s="1681" t="s">
        <v>1274</v>
      </c>
      <c r="B38" s="1674"/>
      <c r="C38" s="1675"/>
      <c r="D38" s="1682">
        <v>71.19</v>
      </c>
      <c r="E38" s="1718">
        <v>8385</v>
      </c>
      <c r="F38" s="1684">
        <v>8194</v>
      </c>
      <c r="G38" s="1719"/>
    </row>
    <row r="39" spans="1:7" ht="13.5" customHeight="1" thickTop="1">
      <c r="A39" s="1681" t="s">
        <v>1247</v>
      </c>
      <c r="B39" s="1674"/>
      <c r="C39" s="1675"/>
      <c r="D39" s="1682">
        <v>71.19</v>
      </c>
      <c r="E39" s="1718">
        <v>9</v>
      </c>
      <c r="F39" s="1684">
        <v>9</v>
      </c>
      <c r="G39" s="1686"/>
    </row>
    <row r="40" spans="1:7" ht="13.5" customHeight="1">
      <c r="A40" s="1687" t="s">
        <v>1248</v>
      </c>
      <c r="B40" s="1628"/>
      <c r="C40" s="1688"/>
      <c r="D40" s="1689">
        <v>71.19</v>
      </c>
      <c r="E40" s="1720">
        <v>118</v>
      </c>
      <c r="F40" s="1691">
        <v>115</v>
      </c>
      <c r="G40" s="1692"/>
    </row>
    <row r="46" spans="1:7" s="1351" customFormat="1" ht="13.5" customHeight="1">
      <c r="C46" s="1464"/>
      <c r="D46" s="1464"/>
      <c r="E46" s="1464"/>
      <c r="F46" s="1352"/>
    </row>
    <row r="47" spans="1:7" s="1351" customFormat="1" ht="13.5" customHeight="1">
      <c r="C47" s="1464"/>
      <c r="D47" s="1464"/>
      <c r="E47" s="1464"/>
      <c r="F47" s="1352"/>
    </row>
    <row r="48" spans="1:7" s="1351" customFormat="1" ht="13.5" customHeight="1">
      <c r="C48" s="1464"/>
      <c r="D48" s="1464"/>
      <c r="E48" s="1464"/>
      <c r="F48" s="1352"/>
    </row>
    <row r="49" spans="3:5" s="1351" customFormat="1" ht="13.5" customHeight="1">
      <c r="C49" s="1353"/>
      <c r="D49" s="1353"/>
      <c r="E49" s="1353"/>
    </row>
  </sheetData>
  <mergeCells count="11">
    <mergeCell ref="A6:C6"/>
    <mergeCell ref="A8:C8"/>
    <mergeCell ref="A38:C38"/>
    <mergeCell ref="A39:C39"/>
    <mergeCell ref="A40:C40"/>
    <mergeCell ref="A4:A5"/>
    <mergeCell ref="B4:B5"/>
    <mergeCell ref="C4:C5"/>
    <mergeCell ref="D4:D5"/>
    <mergeCell ref="E4:F4"/>
    <mergeCell ref="G4:G5"/>
  </mergeCells>
  <phoneticPr fontId="4"/>
  <printOptions horizontalCentered="1"/>
  <pageMargins left="0.39370078740157483" right="0.39370078740157483" top="0.78740157480314965" bottom="0.55118110236220474" header="0.59055118110236227" footer="0.31496062992125984"/>
  <pageSetup paperSize="9" scale="87" orientation="landscape" horizontalDpi="1200" verticalDpi="1200" r:id="rId1"/>
  <headerFooter scaleWithDoc="0" alignWithMargins="0">
    <oddFooter>&amp;C&amp;"ＭＳ Ｐゴシック,標準"&amp;9( &amp;P / &amp;N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G49"/>
  <sheetViews>
    <sheetView showGridLines="0" zoomScale="80" zoomScaleNormal="80" workbookViewId="0">
      <pane xSplit="4" ySplit="5" topLeftCell="E6" activePane="bottomRight" state="frozenSplit"/>
      <selection pane="topRight"/>
      <selection pane="bottomLeft"/>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6" width="15.7109375" style="1351" customWidth="1"/>
    <col min="7" max="7" width="30.7109375" style="1351" customWidth="1"/>
    <col min="8" max="16384" width="9.140625" style="1458"/>
  </cols>
  <sheetData>
    <row r="1" spans="1:7" s="1710" customFormat="1" ht="21" customHeight="1">
      <c r="A1" s="1716" t="s">
        <v>1277</v>
      </c>
      <c r="B1" s="1715"/>
      <c r="C1" s="1714"/>
      <c r="D1" s="1713"/>
      <c r="E1" s="1712"/>
      <c r="F1" s="1712"/>
      <c r="G1" s="1711"/>
    </row>
    <row r="4" spans="1:7" ht="13.5" customHeight="1">
      <c r="A4" s="1415" t="s">
        <v>394</v>
      </c>
      <c r="B4" s="1414" t="s">
        <v>370</v>
      </c>
      <c r="C4" s="1614" t="s">
        <v>1083</v>
      </c>
      <c r="D4" s="1613" t="s">
        <v>1082</v>
      </c>
      <c r="E4" s="1612" t="s">
        <v>1272</v>
      </c>
      <c r="F4" s="1610"/>
      <c r="G4" s="1709" t="s">
        <v>1235</v>
      </c>
    </row>
    <row r="5" spans="1:7" ht="13.5" customHeight="1">
      <c r="A5" s="1396"/>
      <c r="B5" s="1395"/>
      <c r="C5" s="1624"/>
      <c r="D5" s="1625"/>
      <c r="E5" s="1708" t="s">
        <v>36</v>
      </c>
      <c r="F5" s="1707" t="s">
        <v>60</v>
      </c>
      <c r="G5" s="1717"/>
    </row>
    <row r="6" spans="1:7" ht="13.5" customHeight="1">
      <c r="A6" s="1641" t="s">
        <v>1261</v>
      </c>
      <c r="B6" s="1642"/>
      <c r="C6" s="1643"/>
      <c r="D6" s="1636"/>
      <c r="E6" s="1637"/>
      <c r="F6" s="1639"/>
      <c r="G6" s="1640"/>
    </row>
    <row r="7" spans="1:7" ht="13.5" customHeight="1" thickBot="1">
      <c r="A7" s="1434">
        <v>2</v>
      </c>
      <c r="B7" s="1435">
        <v>202</v>
      </c>
      <c r="C7" s="1654" t="s">
        <v>1012</v>
      </c>
      <c r="D7" s="1437">
        <v>68</v>
      </c>
      <c r="E7" s="1439">
        <v>35077</v>
      </c>
      <c r="F7" s="1630">
        <v>32673</v>
      </c>
      <c r="G7" s="1631"/>
    </row>
    <row r="8" spans="1:7" ht="13.5" customHeight="1" thickTop="1">
      <c r="A8" s="1651" t="s">
        <v>1262</v>
      </c>
      <c r="B8" s="1652"/>
      <c r="C8" s="1653"/>
      <c r="D8" s="1647">
        <v>68</v>
      </c>
      <c r="E8" s="1648">
        <v>35077</v>
      </c>
      <c r="F8" s="1649">
        <v>32673</v>
      </c>
      <c r="G8" s="1650"/>
    </row>
    <row r="9" spans="1:7" ht="13.5" customHeight="1">
      <c r="A9" s="1434"/>
      <c r="B9" s="1435"/>
      <c r="C9" s="1654"/>
      <c r="D9" s="1437"/>
      <c r="E9" s="1439"/>
      <c r="F9" s="1630"/>
      <c r="G9" s="1631"/>
    </row>
    <row r="10" spans="1:7" ht="13.5" customHeight="1">
      <c r="A10" s="1641" t="s">
        <v>1263</v>
      </c>
      <c r="B10" s="1642"/>
      <c r="C10" s="1643"/>
      <c r="D10" s="1636"/>
      <c r="E10" s="1637"/>
      <c r="F10" s="1639"/>
      <c r="G10" s="1640"/>
    </row>
    <row r="11" spans="1:7" ht="13.5" customHeight="1" thickBot="1">
      <c r="A11" s="1434">
        <v>2</v>
      </c>
      <c r="B11" s="1435" t="s">
        <v>1048</v>
      </c>
      <c r="C11" s="1654" t="s">
        <v>1049</v>
      </c>
      <c r="D11" s="1437">
        <v>0</v>
      </c>
      <c r="E11" s="1439">
        <v>7128</v>
      </c>
      <c r="F11" s="1630">
        <v>6600</v>
      </c>
      <c r="G11" s="1631"/>
    </row>
    <row r="12" spans="1:7" ht="13.5" customHeight="1" thickTop="1">
      <c r="A12" s="1651" t="s">
        <v>1264</v>
      </c>
      <c r="B12" s="1652"/>
      <c r="C12" s="1653"/>
      <c r="D12" s="1647">
        <v>0</v>
      </c>
      <c r="E12" s="1648">
        <v>7128</v>
      </c>
      <c r="F12" s="1649">
        <v>6600</v>
      </c>
      <c r="G12" s="1650"/>
    </row>
    <row r="13" spans="1:7" ht="13.5" customHeight="1">
      <c r="A13" s="1369"/>
      <c r="B13" s="1368"/>
      <c r="C13" s="1627"/>
      <c r="D13" s="1366"/>
      <c r="E13" s="1364"/>
      <c r="F13" s="1604"/>
      <c r="G13" s="1603"/>
    </row>
    <row r="14" spans="1:7" ht="13.5" customHeight="1">
      <c r="A14" s="1369"/>
      <c r="B14" s="1368"/>
      <c r="C14" s="1605"/>
      <c r="D14" s="1366"/>
      <c r="E14" s="1364"/>
      <c r="F14" s="1604"/>
      <c r="G14" s="1603"/>
    </row>
    <row r="15" spans="1:7" ht="13.5" customHeight="1">
      <c r="A15" s="1369"/>
      <c r="B15" s="1368"/>
      <c r="C15" s="1605"/>
      <c r="D15" s="1366"/>
      <c r="E15" s="1364"/>
      <c r="F15" s="1604"/>
      <c r="G15" s="1603"/>
    </row>
    <row r="16" spans="1:7" ht="13.5" customHeight="1">
      <c r="A16" s="1369"/>
      <c r="B16" s="1368"/>
      <c r="C16" s="1605"/>
      <c r="D16" s="1366"/>
      <c r="E16" s="1364"/>
      <c r="F16" s="1604"/>
      <c r="G16" s="1603"/>
    </row>
    <row r="17" spans="1:7" ht="13.5" customHeight="1">
      <c r="A17" s="1369"/>
      <c r="B17" s="1368"/>
      <c r="C17" s="1605"/>
      <c r="D17" s="1366"/>
      <c r="E17" s="1364"/>
      <c r="F17" s="1604"/>
      <c r="G17" s="1603"/>
    </row>
    <row r="18" spans="1:7" ht="13.5" customHeight="1">
      <c r="A18" s="1369"/>
      <c r="B18" s="1368"/>
      <c r="C18" s="1605"/>
      <c r="D18" s="1366"/>
      <c r="E18" s="1364"/>
      <c r="F18" s="1604"/>
      <c r="G18" s="1603"/>
    </row>
    <row r="19" spans="1:7" ht="13.5" customHeight="1">
      <c r="A19" s="1369"/>
      <c r="B19" s="1368"/>
      <c r="C19" s="1605"/>
      <c r="D19" s="1366"/>
      <c r="E19" s="1364"/>
      <c r="F19" s="1604"/>
      <c r="G19" s="1603"/>
    </row>
    <row r="20" spans="1:7" ht="13.5" customHeight="1">
      <c r="A20" s="1369"/>
      <c r="B20" s="1368"/>
      <c r="C20" s="1605"/>
      <c r="D20" s="1366"/>
      <c r="E20" s="1364"/>
      <c r="F20" s="1604"/>
      <c r="G20" s="1603"/>
    </row>
    <row r="21" spans="1:7" ht="13.5" customHeight="1">
      <c r="A21" s="1369"/>
      <c r="B21" s="1368"/>
      <c r="C21" s="1605"/>
      <c r="D21" s="1366"/>
      <c r="E21" s="1364"/>
      <c r="F21" s="1604"/>
      <c r="G21" s="1603"/>
    </row>
    <row r="22" spans="1:7" ht="13.5" customHeight="1">
      <c r="A22" s="1369"/>
      <c r="B22" s="1368"/>
      <c r="C22" s="1605"/>
      <c r="D22" s="1366"/>
      <c r="E22" s="1364"/>
      <c r="F22" s="1604"/>
      <c r="G22" s="1603"/>
    </row>
    <row r="23" spans="1:7" ht="13.5" customHeight="1">
      <c r="A23" s="1369"/>
      <c r="B23" s="1368"/>
      <c r="C23" s="1605"/>
      <c r="D23" s="1366"/>
      <c r="E23" s="1364"/>
      <c r="F23" s="1604"/>
      <c r="G23" s="1603"/>
    </row>
    <row r="24" spans="1:7" ht="13.5" customHeight="1">
      <c r="A24" s="1369"/>
      <c r="B24" s="1368"/>
      <c r="C24" s="1605"/>
      <c r="D24" s="1366"/>
      <c r="E24" s="1364"/>
      <c r="F24" s="1604"/>
      <c r="G24" s="1603"/>
    </row>
    <row r="25" spans="1:7" ht="13.5" customHeight="1">
      <c r="A25" s="1369"/>
      <c r="B25" s="1368"/>
      <c r="C25" s="1605"/>
      <c r="D25" s="1366"/>
      <c r="E25" s="1364"/>
      <c r="F25" s="1604"/>
      <c r="G25" s="1603"/>
    </row>
    <row r="26" spans="1:7" ht="13.5" customHeight="1">
      <c r="A26" s="1369"/>
      <c r="B26" s="1368"/>
      <c r="C26" s="1605"/>
      <c r="D26" s="1366"/>
      <c r="E26" s="1364"/>
      <c r="F26" s="1604"/>
      <c r="G26" s="1603"/>
    </row>
    <row r="27" spans="1:7" ht="13.5" customHeight="1">
      <c r="A27" s="1369"/>
      <c r="B27" s="1368"/>
      <c r="C27" s="1605"/>
      <c r="D27" s="1366"/>
      <c r="E27" s="1364"/>
      <c r="F27" s="1604"/>
      <c r="G27" s="1603"/>
    </row>
    <row r="28" spans="1:7" ht="13.5" customHeight="1">
      <c r="A28" s="1369"/>
      <c r="B28" s="1368"/>
      <c r="C28" s="1605"/>
      <c r="D28" s="1366"/>
      <c r="E28" s="1364"/>
      <c r="F28" s="1604"/>
      <c r="G28" s="1603"/>
    </row>
    <row r="29" spans="1:7" ht="13.5" customHeight="1">
      <c r="A29" s="1369"/>
      <c r="B29" s="1368"/>
      <c r="C29" s="1605"/>
      <c r="D29" s="1366"/>
      <c r="E29" s="1364"/>
      <c r="F29" s="1604"/>
      <c r="G29" s="1603"/>
    </row>
    <row r="30" spans="1:7" ht="13.5" customHeight="1">
      <c r="A30" s="1369"/>
      <c r="B30" s="1368"/>
      <c r="C30" s="1605"/>
      <c r="D30" s="1366"/>
      <c r="E30" s="1364"/>
      <c r="F30" s="1604"/>
      <c r="G30" s="1603"/>
    </row>
    <row r="31" spans="1:7" ht="13.5" customHeight="1">
      <c r="A31" s="1369"/>
      <c r="B31" s="1368"/>
      <c r="C31" s="1605"/>
      <c r="D31" s="1366"/>
      <c r="E31" s="1364"/>
      <c r="F31" s="1604"/>
      <c r="G31" s="1603"/>
    </row>
    <row r="32" spans="1:7" ht="13.5" customHeight="1">
      <c r="A32" s="1369"/>
      <c r="B32" s="1368"/>
      <c r="C32" s="1605"/>
      <c r="D32" s="1366"/>
      <c r="E32" s="1364"/>
      <c r="F32" s="1604"/>
      <c r="G32" s="1603"/>
    </row>
    <row r="33" spans="1:7" ht="13.5" customHeight="1">
      <c r="A33" s="1369"/>
      <c r="B33" s="1368"/>
      <c r="C33" s="1605"/>
      <c r="D33" s="1366"/>
      <c r="E33" s="1364"/>
      <c r="F33" s="1604"/>
      <c r="G33" s="1603"/>
    </row>
    <row r="34" spans="1:7" ht="13.5" customHeight="1">
      <c r="A34" s="1369"/>
      <c r="B34" s="1368"/>
      <c r="C34" s="1605"/>
      <c r="D34" s="1366"/>
      <c r="E34" s="1364"/>
      <c r="F34" s="1604"/>
      <c r="G34" s="1603"/>
    </row>
    <row r="35" spans="1:7" ht="13.5" customHeight="1">
      <c r="A35" s="1369"/>
      <c r="B35" s="1368"/>
      <c r="C35" s="1605"/>
      <c r="D35" s="1366"/>
      <c r="E35" s="1364"/>
      <c r="F35" s="1604"/>
      <c r="G35" s="1603"/>
    </row>
    <row r="36" spans="1:7" ht="13.5" customHeight="1">
      <c r="A36" s="1369"/>
      <c r="B36" s="1368"/>
      <c r="C36" s="1605"/>
      <c r="D36" s="1366"/>
      <c r="E36" s="1364"/>
      <c r="F36" s="1604"/>
      <c r="G36" s="1603"/>
    </row>
    <row r="37" spans="1:7" ht="13.5" customHeight="1" thickBot="1">
      <c r="A37" s="1434"/>
      <c r="B37" s="1435"/>
      <c r="C37" s="1629"/>
      <c r="D37" s="1437"/>
      <c r="E37" s="1439"/>
      <c r="F37" s="1630"/>
      <c r="G37" s="1631"/>
    </row>
    <row r="38" spans="1:7" ht="18.95" customHeight="1" thickTop="1" thickBot="1">
      <c r="A38" s="1681" t="s">
        <v>1274</v>
      </c>
      <c r="B38" s="1674"/>
      <c r="C38" s="1675"/>
      <c r="D38" s="1682">
        <v>68</v>
      </c>
      <c r="E38" s="1718">
        <v>42205</v>
      </c>
      <c r="F38" s="1684">
        <v>39273</v>
      </c>
      <c r="G38" s="1719"/>
    </row>
    <row r="39" spans="1:7" ht="13.5" customHeight="1" thickTop="1">
      <c r="A39" s="1681" t="s">
        <v>1247</v>
      </c>
      <c r="B39" s="1674"/>
      <c r="C39" s="1675"/>
      <c r="D39" s="1682">
        <v>68</v>
      </c>
      <c r="E39" s="1718">
        <v>43</v>
      </c>
      <c r="F39" s="1684">
        <v>40</v>
      </c>
      <c r="G39" s="1686"/>
    </row>
    <row r="40" spans="1:7" ht="13.5" customHeight="1">
      <c r="A40" s="1687" t="s">
        <v>1248</v>
      </c>
      <c r="B40" s="1628"/>
      <c r="C40" s="1688"/>
      <c r="D40" s="1689">
        <v>68</v>
      </c>
      <c r="E40" s="1720">
        <v>621</v>
      </c>
      <c r="F40" s="1691">
        <v>578</v>
      </c>
      <c r="G40" s="1692"/>
    </row>
    <row r="46" spans="1:7" s="1351" customFormat="1" ht="13.5" customHeight="1">
      <c r="C46" s="1464"/>
      <c r="D46" s="1464"/>
      <c r="E46" s="1464"/>
      <c r="F46" s="1352"/>
    </row>
    <row r="47" spans="1:7" s="1351" customFormat="1" ht="13.5" customHeight="1">
      <c r="C47" s="1464"/>
      <c r="D47" s="1464"/>
      <c r="E47" s="1464"/>
      <c r="F47" s="1352"/>
    </row>
    <row r="48" spans="1:7" s="1351" customFormat="1" ht="13.5" customHeight="1">
      <c r="C48" s="1464"/>
      <c r="D48" s="1464"/>
      <c r="E48" s="1464"/>
      <c r="F48" s="1352"/>
    </row>
    <row r="49" spans="3:5" s="1351" customFormat="1" ht="13.5" customHeight="1">
      <c r="C49" s="1353"/>
      <c r="D49" s="1353"/>
      <c r="E49" s="1353"/>
    </row>
  </sheetData>
  <mergeCells count="13">
    <mergeCell ref="A40:C40"/>
    <mergeCell ref="A6:C6"/>
    <mergeCell ref="A8:C8"/>
    <mergeCell ref="A10:C10"/>
    <mergeCell ref="A12:C12"/>
    <mergeCell ref="A38:C38"/>
    <mergeCell ref="A39:C39"/>
    <mergeCell ref="A4:A5"/>
    <mergeCell ref="B4:B5"/>
    <mergeCell ref="C4:C5"/>
    <mergeCell ref="D4:D5"/>
    <mergeCell ref="E4:F4"/>
    <mergeCell ref="G4:G5"/>
  </mergeCells>
  <phoneticPr fontId="4"/>
  <printOptions horizontalCentered="1"/>
  <pageMargins left="0.39370078740157483" right="0.39370078740157483" top="0.78740157480314965" bottom="0.55118110236220474" header="0.59055118110236227" footer="0.31496062992125984"/>
  <pageSetup paperSize="9" scale="87" orientation="landscape" horizontalDpi="1200" verticalDpi="1200" r:id="rId1"/>
  <headerFooter scaleWithDoc="0" alignWithMargins="0">
    <oddFooter>&amp;C&amp;"ＭＳ Ｐゴシック,標準"&amp;9(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67"/>
  <sheetViews>
    <sheetView showGridLines="0" zoomScale="80" zoomScaleNormal="80" workbookViewId="0"/>
  </sheetViews>
  <sheetFormatPr defaultColWidth="8" defaultRowHeight="12" customHeight="1"/>
  <cols>
    <col min="1" max="1" width="8.7109375" style="73" customWidth="1"/>
    <col min="2" max="19" width="7.5703125" style="73" customWidth="1"/>
    <col min="20" max="16384" width="8" style="73"/>
  </cols>
  <sheetData>
    <row r="1" spans="1:25" s="147" customFormat="1" ht="24" customHeight="1">
      <c r="A1" s="143" t="s">
        <v>94</v>
      </c>
      <c r="B1" s="144"/>
      <c r="C1" s="144"/>
      <c r="D1" s="144"/>
      <c r="E1" s="144"/>
      <c r="F1" s="144"/>
      <c r="G1" s="144"/>
      <c r="H1" s="144"/>
      <c r="I1" s="144"/>
      <c r="J1" s="144"/>
      <c r="K1" s="144"/>
      <c r="L1" s="144"/>
      <c r="M1" s="144"/>
      <c r="N1" s="144"/>
      <c r="O1" s="144"/>
      <c r="P1" s="144"/>
      <c r="Q1" s="144"/>
      <c r="R1" s="144"/>
      <c r="S1" s="145"/>
      <c r="T1" s="145"/>
      <c r="U1" s="145"/>
      <c r="V1" s="145"/>
      <c r="W1" s="145"/>
      <c r="X1" s="145"/>
      <c r="Y1" s="146"/>
    </row>
    <row r="2" spans="1:25" ht="12" customHeight="1" thickBot="1">
      <c r="S2" s="63"/>
    </row>
    <row r="3" spans="1:25" ht="12" customHeight="1">
      <c r="A3" s="148" t="s">
        <v>66</v>
      </c>
      <c r="B3" s="148"/>
      <c r="C3" s="148"/>
      <c r="D3" s="37" t="s">
        <v>29</v>
      </c>
      <c r="E3" s="148"/>
      <c r="F3" s="148"/>
      <c r="G3" s="148"/>
      <c r="H3" s="148"/>
      <c r="I3" s="148"/>
      <c r="J3" s="148"/>
      <c r="K3" s="148"/>
      <c r="L3" s="148"/>
      <c r="M3" s="148"/>
      <c r="N3" s="148"/>
      <c r="O3" s="148"/>
      <c r="P3" s="148"/>
      <c r="Q3" s="148"/>
      <c r="R3" s="148"/>
      <c r="S3" s="149"/>
      <c r="T3" s="148"/>
      <c r="U3" s="148"/>
      <c r="V3" s="148"/>
      <c r="W3" s="148"/>
      <c r="X3" s="148"/>
      <c r="Y3" s="148"/>
    </row>
    <row r="4" spans="1:25" ht="16.5" customHeight="1">
      <c r="A4" s="150"/>
      <c r="B4" s="151">
        <v>1</v>
      </c>
      <c r="C4" s="152">
        <v>2</v>
      </c>
      <c r="D4" s="153">
        <v>3</v>
      </c>
      <c r="E4" s="152">
        <v>4</v>
      </c>
      <c r="F4" s="152">
        <v>5</v>
      </c>
      <c r="G4" s="152">
        <v>6</v>
      </c>
      <c r="H4" s="152">
        <v>7</v>
      </c>
      <c r="I4" s="152">
        <v>8</v>
      </c>
      <c r="J4" s="152">
        <v>9</v>
      </c>
      <c r="K4" s="152">
        <v>10</v>
      </c>
      <c r="L4" s="152">
        <v>11</v>
      </c>
      <c r="M4" s="152">
        <v>12</v>
      </c>
      <c r="N4" s="152">
        <v>13</v>
      </c>
      <c r="O4" s="152">
        <v>14</v>
      </c>
      <c r="P4" s="152">
        <v>15</v>
      </c>
      <c r="Q4" s="152">
        <v>16</v>
      </c>
      <c r="R4" s="152">
        <v>17</v>
      </c>
      <c r="S4" s="152">
        <v>18</v>
      </c>
      <c r="T4" s="154">
        <v>19</v>
      </c>
      <c r="U4" s="154">
        <v>20</v>
      </c>
      <c r="V4" s="154">
        <v>21</v>
      </c>
      <c r="W4" s="154">
        <v>22</v>
      </c>
      <c r="X4" s="154">
        <v>23</v>
      </c>
      <c r="Y4" s="155">
        <v>24</v>
      </c>
    </row>
    <row r="5" spans="1:25" ht="12" customHeight="1">
      <c r="A5" s="156" t="s">
        <v>80</v>
      </c>
      <c r="B5" s="157">
        <v>3.4</v>
      </c>
      <c r="C5" s="158">
        <v>3</v>
      </c>
      <c r="D5" s="158">
        <v>2.7</v>
      </c>
      <c r="E5" s="158">
        <v>2.4</v>
      </c>
      <c r="F5" s="158">
        <v>2.1</v>
      </c>
      <c r="G5" s="158">
        <v>2.1</v>
      </c>
      <c r="H5" s="158">
        <v>2.5</v>
      </c>
      <c r="I5" s="158">
        <v>3.6</v>
      </c>
      <c r="J5" s="158">
        <v>5.0999999999999996</v>
      </c>
      <c r="K5" s="158">
        <v>6.8</v>
      </c>
      <c r="L5" s="158">
        <v>8.5</v>
      </c>
      <c r="M5" s="158">
        <v>9.9</v>
      </c>
      <c r="N5" s="158">
        <v>11</v>
      </c>
      <c r="O5" s="158">
        <v>11.7</v>
      </c>
      <c r="P5" s="158">
        <v>12</v>
      </c>
      <c r="Q5" s="158">
        <v>11.7</v>
      </c>
      <c r="R5" s="158">
        <v>11</v>
      </c>
      <c r="S5" s="158">
        <v>9.8000000000000007</v>
      </c>
      <c r="T5" s="159">
        <v>8.3000000000000007</v>
      </c>
      <c r="U5" s="159">
        <v>6.9</v>
      </c>
      <c r="V5" s="159">
        <v>5.7</v>
      </c>
      <c r="W5" s="159">
        <v>4.9000000000000004</v>
      </c>
      <c r="X5" s="159">
        <v>4.3</v>
      </c>
      <c r="Y5" s="160">
        <v>3.8</v>
      </c>
    </row>
    <row r="6" spans="1:25" ht="12" customHeight="1">
      <c r="A6" s="161" t="s">
        <v>67</v>
      </c>
      <c r="B6" s="162">
        <v>3.7</v>
      </c>
      <c r="C6" s="163">
        <v>3.2</v>
      </c>
      <c r="D6" s="163">
        <v>2.8</v>
      </c>
      <c r="E6" s="163">
        <v>2.5</v>
      </c>
      <c r="F6" s="163">
        <v>2.2000000000000002</v>
      </c>
      <c r="G6" s="163">
        <v>2.2999999999999998</v>
      </c>
      <c r="H6" s="163">
        <v>3.4</v>
      </c>
      <c r="I6" s="163">
        <v>5.9</v>
      </c>
      <c r="J6" s="163">
        <v>9.4</v>
      </c>
      <c r="K6" s="163">
        <v>13.5</v>
      </c>
      <c r="L6" s="163">
        <v>17.600000000000001</v>
      </c>
      <c r="M6" s="163">
        <v>21.2</v>
      </c>
      <c r="N6" s="163">
        <v>23.8</v>
      </c>
      <c r="O6" s="163">
        <v>25.1</v>
      </c>
      <c r="P6" s="163">
        <v>25.1</v>
      </c>
      <c r="Q6" s="163">
        <v>23.5</v>
      </c>
      <c r="R6" s="163">
        <v>20.7</v>
      </c>
      <c r="S6" s="163">
        <v>17</v>
      </c>
      <c r="T6" s="164">
        <v>13.2</v>
      </c>
      <c r="U6" s="164">
        <v>9.9</v>
      </c>
      <c r="V6" s="164">
        <v>7.6</v>
      </c>
      <c r="W6" s="164">
        <v>6.1</v>
      </c>
      <c r="X6" s="164">
        <v>5</v>
      </c>
      <c r="Y6" s="165">
        <v>4.2</v>
      </c>
    </row>
    <row r="7" spans="1:25" ht="12" customHeight="1">
      <c r="A7" s="161" t="s">
        <v>68</v>
      </c>
      <c r="B7" s="195">
        <v>3.4</v>
      </c>
      <c r="C7" s="196">
        <v>3</v>
      </c>
      <c r="D7" s="196">
        <v>2.7</v>
      </c>
      <c r="E7" s="196">
        <v>2.4</v>
      </c>
      <c r="F7" s="196">
        <v>2.2000000000000002</v>
      </c>
      <c r="G7" s="196">
        <v>2.4</v>
      </c>
      <c r="H7" s="196">
        <v>3.8</v>
      </c>
      <c r="I7" s="196">
        <v>5.5</v>
      </c>
      <c r="J7" s="196">
        <v>7.1</v>
      </c>
      <c r="K7" s="196">
        <v>8.4</v>
      </c>
      <c r="L7" s="196">
        <v>9.6</v>
      </c>
      <c r="M7" s="196">
        <v>10.6</v>
      </c>
      <c r="N7" s="196">
        <v>11.4</v>
      </c>
      <c r="O7" s="196">
        <v>12</v>
      </c>
      <c r="P7" s="196">
        <v>12.1</v>
      </c>
      <c r="Q7" s="196">
        <v>11.8</v>
      </c>
      <c r="R7" s="196">
        <v>11.1</v>
      </c>
      <c r="S7" s="196">
        <v>9.8000000000000007</v>
      </c>
      <c r="T7" s="197">
        <v>8.3000000000000007</v>
      </c>
      <c r="U7" s="197">
        <v>6.9</v>
      </c>
      <c r="V7" s="197">
        <v>5.7</v>
      </c>
      <c r="W7" s="197">
        <v>4.9000000000000004</v>
      </c>
      <c r="X7" s="197">
        <v>4.2</v>
      </c>
      <c r="Y7" s="198">
        <v>3.7</v>
      </c>
    </row>
    <row r="8" spans="1:25" ht="12" customHeight="1">
      <c r="A8" s="161" t="s">
        <v>69</v>
      </c>
      <c r="B8" s="195">
        <v>3.4</v>
      </c>
      <c r="C8" s="196">
        <v>3</v>
      </c>
      <c r="D8" s="196">
        <v>2.7</v>
      </c>
      <c r="E8" s="196">
        <v>2.4</v>
      </c>
      <c r="F8" s="196">
        <v>2.2000000000000002</v>
      </c>
      <c r="G8" s="196">
        <v>2.6</v>
      </c>
      <c r="H8" s="196">
        <v>4.8</v>
      </c>
      <c r="I8" s="196">
        <v>7.6</v>
      </c>
      <c r="J8" s="196">
        <v>10.3</v>
      </c>
      <c r="K8" s="196">
        <v>12.4</v>
      </c>
      <c r="L8" s="196">
        <v>13.5</v>
      </c>
      <c r="M8" s="196">
        <v>13.4</v>
      </c>
      <c r="N8" s="196">
        <v>13.2</v>
      </c>
      <c r="O8" s="196">
        <v>13.1</v>
      </c>
      <c r="P8" s="196">
        <v>12.8</v>
      </c>
      <c r="Q8" s="196">
        <v>12.3</v>
      </c>
      <c r="R8" s="196">
        <v>11.3</v>
      </c>
      <c r="S8" s="196">
        <v>10</v>
      </c>
      <c r="T8" s="197">
        <v>8.4</v>
      </c>
      <c r="U8" s="197">
        <v>6.9</v>
      </c>
      <c r="V8" s="197">
        <v>5.8</v>
      </c>
      <c r="W8" s="197">
        <v>4.9000000000000004</v>
      </c>
      <c r="X8" s="197">
        <v>4.2</v>
      </c>
      <c r="Y8" s="198">
        <v>3.7</v>
      </c>
    </row>
    <row r="9" spans="1:25" ht="12" customHeight="1">
      <c r="A9" s="161" t="s">
        <v>70</v>
      </c>
      <c r="B9" s="195">
        <v>3.4</v>
      </c>
      <c r="C9" s="196">
        <v>3</v>
      </c>
      <c r="D9" s="196">
        <v>2.7</v>
      </c>
      <c r="E9" s="196">
        <v>2.4</v>
      </c>
      <c r="F9" s="196">
        <v>2.2000000000000002</v>
      </c>
      <c r="G9" s="196">
        <v>2.5</v>
      </c>
      <c r="H9" s="196">
        <v>4.5</v>
      </c>
      <c r="I9" s="196">
        <v>7.3</v>
      </c>
      <c r="J9" s="196">
        <v>10.5</v>
      </c>
      <c r="K9" s="196">
        <v>13.2</v>
      </c>
      <c r="L9" s="196">
        <v>15</v>
      </c>
      <c r="M9" s="196">
        <v>15.5</v>
      </c>
      <c r="N9" s="196">
        <v>14.9</v>
      </c>
      <c r="O9" s="196">
        <v>14.2</v>
      </c>
      <c r="P9" s="196">
        <v>13.5</v>
      </c>
      <c r="Q9" s="196">
        <v>12.7</v>
      </c>
      <c r="R9" s="196">
        <v>11.6</v>
      </c>
      <c r="S9" s="196">
        <v>10.199999999999999</v>
      </c>
      <c r="T9" s="197">
        <v>8.5</v>
      </c>
      <c r="U9" s="197">
        <v>7</v>
      </c>
      <c r="V9" s="197">
        <v>5.8</v>
      </c>
      <c r="W9" s="197">
        <v>4.9000000000000004</v>
      </c>
      <c r="X9" s="197">
        <v>4.3</v>
      </c>
      <c r="Y9" s="198">
        <v>3.8</v>
      </c>
    </row>
    <row r="10" spans="1:25" ht="12" customHeight="1">
      <c r="A10" s="161" t="s">
        <v>71</v>
      </c>
      <c r="B10" s="195">
        <v>3.4</v>
      </c>
      <c r="C10" s="196">
        <v>3</v>
      </c>
      <c r="D10" s="196">
        <v>2.7</v>
      </c>
      <c r="E10" s="196">
        <v>2.4</v>
      </c>
      <c r="F10" s="196">
        <v>2.1</v>
      </c>
      <c r="G10" s="196">
        <v>2.2000000000000002</v>
      </c>
      <c r="H10" s="196">
        <v>3.1</v>
      </c>
      <c r="I10" s="196">
        <v>4.9000000000000004</v>
      </c>
      <c r="J10" s="196">
        <v>7.5</v>
      </c>
      <c r="K10" s="196">
        <v>10.3</v>
      </c>
      <c r="L10" s="196">
        <v>12.8</v>
      </c>
      <c r="M10" s="196">
        <v>14.5</v>
      </c>
      <c r="N10" s="196">
        <v>15.3</v>
      </c>
      <c r="O10" s="196">
        <v>15.1</v>
      </c>
      <c r="P10" s="196">
        <v>14.2</v>
      </c>
      <c r="Q10" s="196">
        <v>13.1</v>
      </c>
      <c r="R10" s="196">
        <v>11.8</v>
      </c>
      <c r="S10" s="196">
        <v>10.3</v>
      </c>
      <c r="T10" s="197">
        <v>8.6</v>
      </c>
      <c r="U10" s="197">
        <v>7.1</v>
      </c>
      <c r="V10" s="197">
        <v>5.8</v>
      </c>
      <c r="W10" s="197">
        <v>4.9000000000000004</v>
      </c>
      <c r="X10" s="197">
        <v>4.3</v>
      </c>
      <c r="Y10" s="198">
        <v>3.8</v>
      </c>
    </row>
    <row r="11" spans="1:25" ht="12" customHeight="1">
      <c r="A11" s="161" t="s">
        <v>72</v>
      </c>
      <c r="B11" s="195">
        <v>3.5</v>
      </c>
      <c r="C11" s="196">
        <v>3.1</v>
      </c>
      <c r="D11" s="196">
        <v>2.7</v>
      </c>
      <c r="E11" s="196">
        <v>2.4</v>
      </c>
      <c r="F11" s="196">
        <v>2.1</v>
      </c>
      <c r="G11" s="196">
        <v>2.1</v>
      </c>
      <c r="H11" s="196">
        <v>2.5</v>
      </c>
      <c r="I11" s="196">
        <v>3.6</v>
      </c>
      <c r="J11" s="196">
        <v>5.0999999999999996</v>
      </c>
      <c r="K11" s="196">
        <v>6.9</v>
      </c>
      <c r="L11" s="196">
        <v>9.1</v>
      </c>
      <c r="M11" s="196">
        <v>11.5</v>
      </c>
      <c r="N11" s="196">
        <v>13.7</v>
      </c>
      <c r="O11" s="196">
        <v>15.5</v>
      </c>
      <c r="P11" s="196">
        <v>16.3</v>
      </c>
      <c r="Q11" s="196">
        <v>16</v>
      </c>
      <c r="R11" s="196">
        <v>14.7</v>
      </c>
      <c r="S11" s="196">
        <v>12.6</v>
      </c>
      <c r="T11" s="197">
        <v>10.199999999999999</v>
      </c>
      <c r="U11" s="197">
        <v>8</v>
      </c>
      <c r="V11" s="197">
        <v>6.4</v>
      </c>
      <c r="W11" s="197">
        <v>5.3</v>
      </c>
      <c r="X11" s="197">
        <v>4.5</v>
      </c>
      <c r="Y11" s="198">
        <v>3.9</v>
      </c>
    </row>
    <row r="12" spans="1:25" ht="12" customHeight="1">
      <c r="A12" s="161" t="s">
        <v>73</v>
      </c>
      <c r="B12" s="195">
        <v>3.6</v>
      </c>
      <c r="C12" s="196">
        <v>3.2</v>
      </c>
      <c r="D12" s="196">
        <v>2.8</v>
      </c>
      <c r="E12" s="196">
        <v>2.4</v>
      </c>
      <c r="F12" s="196">
        <v>2.2000000000000002</v>
      </c>
      <c r="G12" s="196">
        <v>2.1</v>
      </c>
      <c r="H12" s="196">
        <v>2.5</v>
      </c>
      <c r="I12" s="196">
        <v>3.6</v>
      </c>
      <c r="J12" s="196">
        <v>5.0999999999999996</v>
      </c>
      <c r="K12" s="196">
        <v>6.8</v>
      </c>
      <c r="L12" s="196">
        <v>8.5</v>
      </c>
      <c r="M12" s="196">
        <v>10.1</v>
      </c>
      <c r="N12" s="196">
        <v>12.2</v>
      </c>
      <c r="O12" s="196">
        <v>14.7</v>
      </c>
      <c r="P12" s="196">
        <v>16.8</v>
      </c>
      <c r="Q12" s="196">
        <v>17.899999999999999</v>
      </c>
      <c r="R12" s="196">
        <v>17.600000000000001</v>
      </c>
      <c r="S12" s="196">
        <v>15.8</v>
      </c>
      <c r="T12" s="197">
        <v>12.7</v>
      </c>
      <c r="U12" s="197">
        <v>9.6999999999999993</v>
      </c>
      <c r="V12" s="197">
        <v>7.5</v>
      </c>
      <c r="W12" s="197">
        <v>6</v>
      </c>
      <c r="X12" s="197">
        <v>4.9000000000000004</v>
      </c>
      <c r="Y12" s="198">
        <v>4.0999999999999996</v>
      </c>
    </row>
    <row r="13" spans="1:25" ht="12" customHeight="1">
      <c r="A13" s="161" t="s">
        <v>74</v>
      </c>
      <c r="B13" s="195">
        <v>3.6</v>
      </c>
      <c r="C13" s="196">
        <v>3.2</v>
      </c>
      <c r="D13" s="196">
        <v>2.8</v>
      </c>
      <c r="E13" s="196">
        <v>2.4</v>
      </c>
      <c r="F13" s="196">
        <v>2.2000000000000002</v>
      </c>
      <c r="G13" s="196">
        <v>2.1</v>
      </c>
      <c r="H13" s="196">
        <v>2.5</v>
      </c>
      <c r="I13" s="196">
        <v>3.6</v>
      </c>
      <c r="J13" s="196">
        <v>5.0999999999999996</v>
      </c>
      <c r="K13" s="196">
        <v>6.8</v>
      </c>
      <c r="L13" s="196">
        <v>8.5</v>
      </c>
      <c r="M13" s="196">
        <v>9.9</v>
      </c>
      <c r="N13" s="196">
        <v>11.2</v>
      </c>
      <c r="O13" s="196">
        <v>13</v>
      </c>
      <c r="P13" s="196">
        <v>15</v>
      </c>
      <c r="Q13" s="196">
        <v>16.5</v>
      </c>
      <c r="R13" s="196">
        <v>16.8</v>
      </c>
      <c r="S13" s="196">
        <v>15.6</v>
      </c>
      <c r="T13" s="197">
        <v>12.7</v>
      </c>
      <c r="U13" s="197">
        <v>9.6999999999999993</v>
      </c>
      <c r="V13" s="197">
        <v>7.5</v>
      </c>
      <c r="W13" s="197">
        <v>6</v>
      </c>
      <c r="X13" s="197">
        <v>4.9000000000000004</v>
      </c>
      <c r="Y13" s="198">
        <v>4.2</v>
      </c>
    </row>
    <row r="14" spans="1:25" ht="12" customHeight="1">
      <c r="A14" s="166" t="s">
        <v>75</v>
      </c>
      <c r="B14" s="199">
        <v>3.5</v>
      </c>
      <c r="C14" s="200">
        <v>3.1</v>
      </c>
      <c r="D14" s="200">
        <v>2.7</v>
      </c>
      <c r="E14" s="200">
        <v>2.4</v>
      </c>
      <c r="F14" s="200">
        <v>2.2000000000000002</v>
      </c>
      <c r="G14" s="200">
        <v>2.1</v>
      </c>
      <c r="H14" s="200">
        <v>2.5</v>
      </c>
      <c r="I14" s="200">
        <v>3.6</v>
      </c>
      <c r="J14" s="200">
        <v>5.0999999999999996</v>
      </c>
      <c r="K14" s="200">
        <v>6.8</v>
      </c>
      <c r="L14" s="200">
        <v>8.5</v>
      </c>
      <c r="M14" s="200">
        <v>9.9</v>
      </c>
      <c r="N14" s="200">
        <v>11</v>
      </c>
      <c r="O14" s="200">
        <v>11.7</v>
      </c>
      <c r="P14" s="200">
        <v>12.3</v>
      </c>
      <c r="Q14" s="200">
        <v>12.8</v>
      </c>
      <c r="R14" s="200">
        <v>12.9</v>
      </c>
      <c r="S14" s="200">
        <v>12.2</v>
      </c>
      <c r="T14" s="201">
        <v>10.3</v>
      </c>
      <c r="U14" s="201">
        <v>8.1999999999999993</v>
      </c>
      <c r="V14" s="201">
        <v>6.5</v>
      </c>
      <c r="W14" s="201">
        <v>5.4</v>
      </c>
      <c r="X14" s="201">
        <v>4.5</v>
      </c>
      <c r="Y14" s="202">
        <v>3.9</v>
      </c>
    </row>
    <row r="15" spans="1:25" ht="12" customHeight="1" thickBot="1"/>
    <row r="16" spans="1:25" ht="12" customHeight="1">
      <c r="A16" s="148" t="s">
        <v>66</v>
      </c>
      <c r="B16" s="148"/>
      <c r="C16" s="148"/>
      <c r="D16" s="38" t="s">
        <v>34</v>
      </c>
      <c r="E16" s="148"/>
      <c r="F16" s="148"/>
      <c r="G16" s="148"/>
      <c r="H16" s="148"/>
      <c r="I16" s="148"/>
      <c r="J16" s="148"/>
      <c r="K16" s="148"/>
      <c r="L16" s="148"/>
      <c r="M16" s="148"/>
      <c r="N16" s="148"/>
      <c r="O16" s="148"/>
      <c r="P16" s="148"/>
      <c r="Q16" s="148"/>
      <c r="R16" s="148"/>
      <c r="S16" s="149"/>
      <c r="T16" s="148"/>
      <c r="U16" s="148"/>
      <c r="V16" s="148"/>
      <c r="W16" s="148"/>
      <c r="X16" s="148"/>
      <c r="Y16" s="148"/>
    </row>
    <row r="17" spans="1:25" ht="16.5" customHeight="1">
      <c r="A17" s="150"/>
      <c r="B17" s="151">
        <v>1</v>
      </c>
      <c r="C17" s="152">
        <v>2</v>
      </c>
      <c r="D17" s="153">
        <v>3</v>
      </c>
      <c r="E17" s="152">
        <v>4</v>
      </c>
      <c r="F17" s="152">
        <v>5</v>
      </c>
      <c r="G17" s="152">
        <v>6</v>
      </c>
      <c r="H17" s="152">
        <v>7</v>
      </c>
      <c r="I17" s="152">
        <v>8</v>
      </c>
      <c r="J17" s="152">
        <v>9</v>
      </c>
      <c r="K17" s="152">
        <v>10</v>
      </c>
      <c r="L17" s="152">
        <v>11</v>
      </c>
      <c r="M17" s="152">
        <v>12</v>
      </c>
      <c r="N17" s="152">
        <v>13</v>
      </c>
      <c r="O17" s="152">
        <v>14</v>
      </c>
      <c r="P17" s="152">
        <v>15</v>
      </c>
      <c r="Q17" s="152">
        <v>16</v>
      </c>
      <c r="R17" s="152">
        <v>17</v>
      </c>
      <c r="S17" s="152">
        <v>18</v>
      </c>
      <c r="T17" s="154">
        <v>19</v>
      </c>
      <c r="U17" s="154">
        <v>20</v>
      </c>
      <c r="V17" s="154">
        <v>21</v>
      </c>
      <c r="W17" s="154">
        <v>22</v>
      </c>
      <c r="X17" s="154">
        <v>23</v>
      </c>
      <c r="Y17" s="155">
        <v>24</v>
      </c>
    </row>
    <row r="18" spans="1:25" ht="12" customHeight="1">
      <c r="A18" s="156" t="s">
        <v>81</v>
      </c>
      <c r="B18" s="157">
        <v>2.7</v>
      </c>
      <c r="C18" s="158">
        <v>2.2999999999999998</v>
      </c>
      <c r="D18" s="158">
        <v>2</v>
      </c>
      <c r="E18" s="158">
        <v>1.8</v>
      </c>
      <c r="F18" s="158">
        <v>1.5</v>
      </c>
      <c r="G18" s="158">
        <v>1.5</v>
      </c>
      <c r="H18" s="158">
        <v>2</v>
      </c>
      <c r="I18" s="158">
        <v>3</v>
      </c>
      <c r="J18" s="158">
        <v>4.5999999999999996</v>
      </c>
      <c r="K18" s="158">
        <v>6.2</v>
      </c>
      <c r="L18" s="158">
        <v>7.7</v>
      </c>
      <c r="M18" s="158">
        <v>9</v>
      </c>
      <c r="N18" s="158">
        <v>9.9</v>
      </c>
      <c r="O18" s="158">
        <v>10.6</v>
      </c>
      <c r="P18" s="158">
        <v>10.9</v>
      </c>
      <c r="Q18" s="158">
        <v>10.7</v>
      </c>
      <c r="R18" s="158">
        <v>10.199999999999999</v>
      </c>
      <c r="S18" s="158">
        <v>9.3000000000000007</v>
      </c>
      <c r="T18" s="159">
        <v>8</v>
      </c>
      <c r="U18" s="159">
        <v>6.5</v>
      </c>
      <c r="V18" s="159">
        <v>5.3</v>
      </c>
      <c r="W18" s="159">
        <v>4.3</v>
      </c>
      <c r="X18" s="159">
        <v>3.6</v>
      </c>
      <c r="Y18" s="160">
        <v>3.1</v>
      </c>
    </row>
    <row r="19" spans="1:25" ht="12" customHeight="1">
      <c r="A19" s="161" t="s">
        <v>67</v>
      </c>
      <c r="B19" s="162">
        <v>3.1</v>
      </c>
      <c r="C19" s="163">
        <v>2.6</v>
      </c>
      <c r="D19" s="163">
        <v>2.2000000000000002</v>
      </c>
      <c r="E19" s="163">
        <v>1.9</v>
      </c>
      <c r="F19" s="163">
        <v>1.6</v>
      </c>
      <c r="G19" s="163">
        <v>1.8</v>
      </c>
      <c r="H19" s="163">
        <v>3.5</v>
      </c>
      <c r="I19" s="163">
        <v>6.8</v>
      </c>
      <c r="J19" s="163">
        <v>11.4</v>
      </c>
      <c r="K19" s="163">
        <v>16.3</v>
      </c>
      <c r="L19" s="163">
        <v>21.1</v>
      </c>
      <c r="M19" s="163">
        <v>25.1</v>
      </c>
      <c r="N19" s="163">
        <v>27.9</v>
      </c>
      <c r="O19" s="163">
        <v>29.3</v>
      </c>
      <c r="P19" s="163">
        <v>29</v>
      </c>
      <c r="Q19" s="163">
        <v>27.2</v>
      </c>
      <c r="R19" s="163">
        <v>24.1</v>
      </c>
      <c r="S19" s="163">
        <v>20</v>
      </c>
      <c r="T19" s="164">
        <v>15.3</v>
      </c>
      <c r="U19" s="164">
        <v>11.2</v>
      </c>
      <c r="V19" s="164">
        <v>8.1999999999999993</v>
      </c>
      <c r="W19" s="164">
        <v>6.1</v>
      </c>
      <c r="X19" s="164">
        <v>4.7</v>
      </c>
      <c r="Y19" s="165">
        <v>3.8</v>
      </c>
    </row>
    <row r="20" spans="1:25" ht="12" customHeight="1">
      <c r="A20" s="161" t="s">
        <v>68</v>
      </c>
      <c r="B20" s="195">
        <v>2.7</v>
      </c>
      <c r="C20" s="196">
        <v>2.2999999999999998</v>
      </c>
      <c r="D20" s="196">
        <v>2</v>
      </c>
      <c r="E20" s="196">
        <v>1.7</v>
      </c>
      <c r="F20" s="196">
        <v>1.6</v>
      </c>
      <c r="G20" s="196">
        <v>2.5</v>
      </c>
      <c r="H20" s="196">
        <v>4.9000000000000004</v>
      </c>
      <c r="I20" s="196">
        <v>7.4</v>
      </c>
      <c r="J20" s="196">
        <v>8.9</v>
      </c>
      <c r="K20" s="196">
        <v>9.6</v>
      </c>
      <c r="L20" s="196">
        <v>9.9</v>
      </c>
      <c r="M20" s="196">
        <v>10.4</v>
      </c>
      <c r="N20" s="196">
        <v>10.8</v>
      </c>
      <c r="O20" s="196">
        <v>11.2</v>
      </c>
      <c r="P20" s="196">
        <v>11.2</v>
      </c>
      <c r="Q20" s="196">
        <v>11</v>
      </c>
      <c r="R20" s="196">
        <v>10.3</v>
      </c>
      <c r="S20" s="196">
        <v>9.4</v>
      </c>
      <c r="T20" s="197">
        <v>8</v>
      </c>
      <c r="U20" s="197">
        <v>6.5</v>
      </c>
      <c r="V20" s="197">
        <v>5.3</v>
      </c>
      <c r="W20" s="197">
        <v>4.3</v>
      </c>
      <c r="X20" s="197">
        <v>3.6</v>
      </c>
      <c r="Y20" s="198">
        <v>3.1</v>
      </c>
    </row>
    <row r="21" spans="1:25" ht="12" customHeight="1">
      <c r="A21" s="161" t="s">
        <v>69</v>
      </c>
      <c r="B21" s="195">
        <v>2.7</v>
      </c>
      <c r="C21" s="196">
        <v>2.2999999999999998</v>
      </c>
      <c r="D21" s="196">
        <v>2</v>
      </c>
      <c r="E21" s="196">
        <v>1.7</v>
      </c>
      <c r="F21" s="196">
        <v>1.7</v>
      </c>
      <c r="G21" s="196">
        <v>3.1</v>
      </c>
      <c r="H21" s="196">
        <v>7.4</v>
      </c>
      <c r="I21" s="196">
        <v>12</v>
      </c>
      <c r="J21" s="196">
        <v>15.5</v>
      </c>
      <c r="K21" s="196">
        <v>17.100000000000001</v>
      </c>
      <c r="L21" s="196">
        <v>17</v>
      </c>
      <c r="M21" s="196">
        <v>15.4</v>
      </c>
      <c r="N21" s="196">
        <v>14</v>
      </c>
      <c r="O21" s="196">
        <v>13.2</v>
      </c>
      <c r="P21" s="196">
        <v>12.5</v>
      </c>
      <c r="Q21" s="196">
        <v>11.7</v>
      </c>
      <c r="R21" s="196">
        <v>10.8</v>
      </c>
      <c r="S21" s="196">
        <v>9.6999999999999993</v>
      </c>
      <c r="T21" s="197">
        <v>8.1999999999999993</v>
      </c>
      <c r="U21" s="197">
        <v>6.6</v>
      </c>
      <c r="V21" s="197">
        <v>5.3</v>
      </c>
      <c r="W21" s="197">
        <v>4.3</v>
      </c>
      <c r="X21" s="197">
        <v>3.6</v>
      </c>
      <c r="Y21" s="198">
        <v>3.1</v>
      </c>
    </row>
    <row r="22" spans="1:25" ht="12" customHeight="1">
      <c r="A22" s="161" t="s">
        <v>70</v>
      </c>
      <c r="B22" s="195">
        <v>2.7</v>
      </c>
      <c r="C22" s="196">
        <v>2.2999999999999998</v>
      </c>
      <c r="D22" s="196">
        <v>2</v>
      </c>
      <c r="E22" s="196">
        <v>1.7</v>
      </c>
      <c r="F22" s="196">
        <v>1.6</v>
      </c>
      <c r="G22" s="196">
        <v>2.8</v>
      </c>
      <c r="H22" s="196">
        <v>6.6</v>
      </c>
      <c r="I22" s="196">
        <v>11.4</v>
      </c>
      <c r="J22" s="196">
        <v>15.6</v>
      </c>
      <c r="K22" s="196">
        <v>18.5</v>
      </c>
      <c r="L22" s="196">
        <v>19.5</v>
      </c>
      <c r="M22" s="196">
        <v>18.8</v>
      </c>
      <c r="N22" s="196">
        <v>16.8</v>
      </c>
      <c r="O22" s="196">
        <v>14.9</v>
      </c>
      <c r="P22" s="196">
        <v>13.6</v>
      </c>
      <c r="Q22" s="196">
        <v>12.4</v>
      </c>
      <c r="R22" s="196">
        <v>11.2</v>
      </c>
      <c r="S22" s="196">
        <v>9.9</v>
      </c>
      <c r="T22" s="197">
        <v>8.4</v>
      </c>
      <c r="U22" s="197">
        <v>6.7</v>
      </c>
      <c r="V22" s="197">
        <v>5.4</v>
      </c>
      <c r="W22" s="197">
        <v>4.4000000000000004</v>
      </c>
      <c r="X22" s="197">
        <v>3.6</v>
      </c>
      <c r="Y22" s="198">
        <v>3.1</v>
      </c>
    </row>
    <row r="23" spans="1:25" ht="12" customHeight="1">
      <c r="A23" s="161" t="s">
        <v>71</v>
      </c>
      <c r="B23" s="195">
        <v>2.7</v>
      </c>
      <c r="C23" s="196">
        <v>2.2999999999999998</v>
      </c>
      <c r="D23" s="196">
        <v>2</v>
      </c>
      <c r="E23" s="196">
        <v>1.7</v>
      </c>
      <c r="F23" s="196">
        <v>1.5</v>
      </c>
      <c r="G23" s="196">
        <v>1.7</v>
      </c>
      <c r="H23" s="196">
        <v>3.2</v>
      </c>
      <c r="I23" s="196">
        <v>5.9</v>
      </c>
      <c r="J23" s="196">
        <v>9.3000000000000007</v>
      </c>
      <c r="K23" s="196">
        <v>12.6</v>
      </c>
      <c r="L23" s="196">
        <v>15.2</v>
      </c>
      <c r="M23" s="196">
        <v>16.7</v>
      </c>
      <c r="N23" s="196">
        <v>17</v>
      </c>
      <c r="O23" s="196">
        <v>16.100000000000001</v>
      </c>
      <c r="P23" s="196">
        <v>14.5</v>
      </c>
      <c r="Q23" s="196">
        <v>13</v>
      </c>
      <c r="R23" s="196">
        <v>11.6</v>
      </c>
      <c r="S23" s="196">
        <v>10.1</v>
      </c>
      <c r="T23" s="197">
        <v>8.5</v>
      </c>
      <c r="U23" s="197">
        <v>6.8</v>
      </c>
      <c r="V23" s="197">
        <v>5.4</v>
      </c>
      <c r="W23" s="197">
        <v>4.4000000000000004</v>
      </c>
      <c r="X23" s="197">
        <v>3.6</v>
      </c>
      <c r="Y23" s="198">
        <v>3.1</v>
      </c>
    </row>
    <row r="24" spans="1:25" ht="12" customHeight="1">
      <c r="A24" s="161" t="s">
        <v>72</v>
      </c>
      <c r="B24" s="195">
        <v>2.9</v>
      </c>
      <c r="C24" s="196">
        <v>2.4</v>
      </c>
      <c r="D24" s="196">
        <v>2.1</v>
      </c>
      <c r="E24" s="196">
        <v>1.8</v>
      </c>
      <c r="F24" s="196">
        <v>1.5</v>
      </c>
      <c r="G24" s="196">
        <v>1.5</v>
      </c>
      <c r="H24" s="196">
        <v>2</v>
      </c>
      <c r="I24" s="196">
        <v>3.1</v>
      </c>
      <c r="J24" s="196">
        <v>4.5999999999999996</v>
      </c>
      <c r="K24" s="196">
        <v>6.4</v>
      </c>
      <c r="L24" s="196">
        <v>8.6999999999999993</v>
      </c>
      <c r="M24" s="196">
        <v>11.5</v>
      </c>
      <c r="N24" s="196">
        <v>14.2</v>
      </c>
      <c r="O24" s="196">
        <v>16.5</v>
      </c>
      <c r="P24" s="196">
        <v>17.7</v>
      </c>
      <c r="Q24" s="196">
        <v>17.8</v>
      </c>
      <c r="R24" s="196">
        <v>16.600000000000001</v>
      </c>
      <c r="S24" s="196">
        <v>14.4</v>
      </c>
      <c r="T24" s="197">
        <v>11.4</v>
      </c>
      <c r="U24" s="197">
        <v>8.6999999999999993</v>
      </c>
      <c r="V24" s="197">
        <v>6.6</v>
      </c>
      <c r="W24" s="197">
        <v>5.0999999999999996</v>
      </c>
      <c r="X24" s="197">
        <v>4.0999999999999996</v>
      </c>
      <c r="Y24" s="198">
        <v>3.4</v>
      </c>
    </row>
    <row r="25" spans="1:25" ht="12" customHeight="1">
      <c r="A25" s="161" t="s">
        <v>73</v>
      </c>
      <c r="B25" s="195">
        <v>3.2</v>
      </c>
      <c r="C25" s="196">
        <v>2.7</v>
      </c>
      <c r="D25" s="196">
        <v>2.2000000000000002</v>
      </c>
      <c r="E25" s="196">
        <v>1.9</v>
      </c>
      <c r="F25" s="196">
        <v>1.6</v>
      </c>
      <c r="G25" s="196">
        <v>1.5</v>
      </c>
      <c r="H25" s="196">
        <v>2</v>
      </c>
      <c r="I25" s="196">
        <v>3.1</v>
      </c>
      <c r="J25" s="196">
        <v>4.5999999999999996</v>
      </c>
      <c r="K25" s="196">
        <v>6.2</v>
      </c>
      <c r="L25" s="196">
        <v>7.7</v>
      </c>
      <c r="M25" s="196">
        <v>9.3000000000000007</v>
      </c>
      <c r="N25" s="196">
        <v>11.9</v>
      </c>
      <c r="O25" s="196">
        <v>15.3</v>
      </c>
      <c r="P25" s="196">
        <v>18.600000000000001</v>
      </c>
      <c r="Q25" s="196">
        <v>21</v>
      </c>
      <c r="R25" s="196">
        <v>22</v>
      </c>
      <c r="S25" s="196">
        <v>21.1</v>
      </c>
      <c r="T25" s="197">
        <v>17.600000000000001</v>
      </c>
      <c r="U25" s="197">
        <v>12.8</v>
      </c>
      <c r="V25" s="197">
        <v>9.1999999999999993</v>
      </c>
      <c r="W25" s="197">
        <v>6.7</v>
      </c>
      <c r="X25" s="197">
        <v>5.0999999999999996</v>
      </c>
      <c r="Y25" s="198">
        <v>4</v>
      </c>
    </row>
    <row r="26" spans="1:25" ht="12" customHeight="1">
      <c r="A26" s="161" t="s">
        <v>74</v>
      </c>
      <c r="B26" s="195">
        <v>3.3</v>
      </c>
      <c r="C26" s="196">
        <v>2.7</v>
      </c>
      <c r="D26" s="196">
        <v>2.2000000000000002</v>
      </c>
      <c r="E26" s="196">
        <v>1.9</v>
      </c>
      <c r="F26" s="196">
        <v>1.6</v>
      </c>
      <c r="G26" s="196">
        <v>1.5</v>
      </c>
      <c r="H26" s="196">
        <v>2</v>
      </c>
      <c r="I26" s="196">
        <v>3.1</v>
      </c>
      <c r="J26" s="196">
        <v>4.5999999999999996</v>
      </c>
      <c r="K26" s="196">
        <v>6.2</v>
      </c>
      <c r="L26" s="196">
        <v>7.7</v>
      </c>
      <c r="M26" s="196">
        <v>9</v>
      </c>
      <c r="N26" s="196">
        <v>10.3</v>
      </c>
      <c r="O26" s="196">
        <v>12.6</v>
      </c>
      <c r="P26" s="196">
        <v>15.8</v>
      </c>
      <c r="Q26" s="196">
        <v>18.8</v>
      </c>
      <c r="R26" s="196">
        <v>20.8</v>
      </c>
      <c r="S26" s="196">
        <v>21.1</v>
      </c>
      <c r="T26" s="197">
        <v>18.2</v>
      </c>
      <c r="U26" s="197">
        <v>13.3</v>
      </c>
      <c r="V26" s="197">
        <v>9.5</v>
      </c>
      <c r="W26" s="197">
        <v>6.9</v>
      </c>
      <c r="X26" s="197">
        <v>5.2</v>
      </c>
      <c r="Y26" s="198">
        <v>4.0999999999999996</v>
      </c>
    </row>
    <row r="27" spans="1:25" ht="12" customHeight="1">
      <c r="A27" s="166" t="s">
        <v>75</v>
      </c>
      <c r="B27" s="199">
        <v>3</v>
      </c>
      <c r="C27" s="200">
        <v>2.5</v>
      </c>
      <c r="D27" s="200">
        <v>2.1</v>
      </c>
      <c r="E27" s="200">
        <v>1.8</v>
      </c>
      <c r="F27" s="200">
        <v>1.6</v>
      </c>
      <c r="G27" s="200">
        <v>1.5</v>
      </c>
      <c r="H27" s="200">
        <v>2</v>
      </c>
      <c r="I27" s="200">
        <v>3.1</v>
      </c>
      <c r="J27" s="200">
        <v>4.5999999999999996</v>
      </c>
      <c r="K27" s="200">
        <v>6.2</v>
      </c>
      <c r="L27" s="200">
        <v>7.7</v>
      </c>
      <c r="M27" s="200">
        <v>9</v>
      </c>
      <c r="N27" s="200">
        <v>10</v>
      </c>
      <c r="O27" s="200">
        <v>10.7</v>
      </c>
      <c r="P27" s="200">
        <v>11.4</v>
      </c>
      <c r="Q27" s="200">
        <v>12.6</v>
      </c>
      <c r="R27" s="200">
        <v>13.9</v>
      </c>
      <c r="S27" s="200">
        <v>14.5</v>
      </c>
      <c r="T27" s="201">
        <v>13.1</v>
      </c>
      <c r="U27" s="201">
        <v>10</v>
      </c>
      <c r="V27" s="201">
        <v>7.4</v>
      </c>
      <c r="W27" s="201">
        <v>5.6</v>
      </c>
      <c r="X27" s="201">
        <v>4.4000000000000004</v>
      </c>
      <c r="Y27" s="202">
        <v>3.6</v>
      </c>
    </row>
    <row r="28" spans="1:25" ht="12" customHeight="1" thickBot="1"/>
    <row r="29" spans="1:25" ht="12" customHeight="1">
      <c r="A29" s="148" t="s">
        <v>66</v>
      </c>
      <c r="B29" s="148"/>
      <c r="C29" s="148"/>
      <c r="D29" s="39" t="s">
        <v>19</v>
      </c>
      <c r="E29" s="148"/>
      <c r="F29" s="148"/>
      <c r="G29" s="148"/>
      <c r="H29" s="148"/>
      <c r="I29" s="148"/>
      <c r="J29" s="148"/>
      <c r="K29" s="148"/>
      <c r="L29" s="148"/>
      <c r="M29" s="148"/>
      <c r="N29" s="148"/>
      <c r="O29" s="148"/>
      <c r="P29" s="148"/>
      <c r="Q29" s="148"/>
      <c r="R29" s="148"/>
      <c r="S29" s="149"/>
      <c r="T29" s="148"/>
      <c r="U29" s="148"/>
      <c r="V29" s="148"/>
      <c r="W29" s="148"/>
      <c r="X29" s="148"/>
      <c r="Y29" s="148"/>
    </row>
    <row r="30" spans="1:25" ht="16.5" customHeight="1">
      <c r="A30" s="150"/>
      <c r="B30" s="151">
        <v>1</v>
      </c>
      <c r="C30" s="152">
        <v>2</v>
      </c>
      <c r="D30" s="153">
        <v>3</v>
      </c>
      <c r="E30" s="152">
        <v>4</v>
      </c>
      <c r="F30" s="152">
        <v>5</v>
      </c>
      <c r="G30" s="152">
        <v>6</v>
      </c>
      <c r="H30" s="152">
        <v>7</v>
      </c>
      <c r="I30" s="152">
        <v>8</v>
      </c>
      <c r="J30" s="152">
        <v>9</v>
      </c>
      <c r="K30" s="152">
        <v>10</v>
      </c>
      <c r="L30" s="152">
        <v>11</v>
      </c>
      <c r="M30" s="152">
        <v>12</v>
      </c>
      <c r="N30" s="152">
        <v>13</v>
      </c>
      <c r="O30" s="152">
        <v>14</v>
      </c>
      <c r="P30" s="152">
        <v>15</v>
      </c>
      <c r="Q30" s="152">
        <v>16</v>
      </c>
      <c r="R30" s="152">
        <v>17</v>
      </c>
      <c r="S30" s="152">
        <v>18</v>
      </c>
      <c r="T30" s="154">
        <v>19</v>
      </c>
      <c r="U30" s="154">
        <v>20</v>
      </c>
      <c r="V30" s="154">
        <v>21</v>
      </c>
      <c r="W30" s="154">
        <v>22</v>
      </c>
      <c r="X30" s="154">
        <v>23</v>
      </c>
      <c r="Y30" s="155">
        <v>24</v>
      </c>
    </row>
    <row r="31" spans="1:25" ht="12" customHeight="1">
      <c r="A31" s="156" t="s">
        <v>82</v>
      </c>
      <c r="B31" s="157">
        <v>0.9</v>
      </c>
      <c r="C31" s="158">
        <v>0.5</v>
      </c>
      <c r="D31" s="158">
        <v>0.1</v>
      </c>
      <c r="E31" s="158">
        <v>-0.2</v>
      </c>
      <c r="F31" s="158">
        <v>-0.5</v>
      </c>
      <c r="G31" s="158">
        <v>-0.6</v>
      </c>
      <c r="H31" s="158">
        <v>-0.4</v>
      </c>
      <c r="I31" s="158">
        <v>0.5</v>
      </c>
      <c r="J31" s="158">
        <v>1.9</v>
      </c>
      <c r="K31" s="158">
        <v>3.5</v>
      </c>
      <c r="L31" s="158">
        <v>5</v>
      </c>
      <c r="M31" s="158">
        <v>6.4</v>
      </c>
      <c r="N31" s="158">
        <v>7.5</v>
      </c>
      <c r="O31" s="158">
        <v>8.1999999999999993</v>
      </c>
      <c r="P31" s="158">
        <v>8.4</v>
      </c>
      <c r="Q31" s="158">
        <v>8.1999999999999993</v>
      </c>
      <c r="R31" s="158">
        <v>7.6</v>
      </c>
      <c r="S31" s="158">
        <v>6.5</v>
      </c>
      <c r="T31" s="159">
        <v>5.0999999999999996</v>
      </c>
      <c r="U31" s="159">
        <v>3.9</v>
      </c>
      <c r="V31" s="159">
        <v>2.9</v>
      </c>
      <c r="W31" s="159">
        <v>2.2000000000000002</v>
      </c>
      <c r="X31" s="159">
        <v>1.7</v>
      </c>
      <c r="Y31" s="160">
        <v>1.3</v>
      </c>
    </row>
    <row r="32" spans="1:25" ht="12" customHeight="1">
      <c r="A32" s="161" t="s">
        <v>67</v>
      </c>
      <c r="B32" s="162">
        <v>1.1000000000000001</v>
      </c>
      <c r="C32" s="163">
        <v>0.6</v>
      </c>
      <c r="D32" s="163">
        <v>0.2</v>
      </c>
      <c r="E32" s="163">
        <v>-0.1</v>
      </c>
      <c r="F32" s="163">
        <v>-0.4</v>
      </c>
      <c r="G32" s="163">
        <v>-0.5</v>
      </c>
      <c r="H32" s="163">
        <v>0.3</v>
      </c>
      <c r="I32" s="163">
        <v>3</v>
      </c>
      <c r="J32" s="163">
        <v>7</v>
      </c>
      <c r="K32" s="163">
        <v>11.8</v>
      </c>
      <c r="L32" s="163">
        <v>16.399999999999999</v>
      </c>
      <c r="M32" s="163">
        <v>20.3</v>
      </c>
      <c r="N32" s="163">
        <v>23</v>
      </c>
      <c r="O32" s="163">
        <v>24.2</v>
      </c>
      <c r="P32" s="163">
        <v>23.7</v>
      </c>
      <c r="Q32" s="163">
        <v>21.6</v>
      </c>
      <c r="R32" s="163">
        <v>18.100000000000001</v>
      </c>
      <c r="S32" s="163">
        <v>13.8</v>
      </c>
      <c r="T32" s="164">
        <v>9.8000000000000007</v>
      </c>
      <c r="U32" s="164">
        <v>6.9</v>
      </c>
      <c r="V32" s="164">
        <v>4.8</v>
      </c>
      <c r="W32" s="164">
        <v>3.4</v>
      </c>
      <c r="X32" s="164">
        <v>2.4</v>
      </c>
      <c r="Y32" s="165">
        <v>1.7</v>
      </c>
    </row>
    <row r="33" spans="1:25" ht="12" customHeight="1">
      <c r="A33" s="161" t="s">
        <v>68</v>
      </c>
      <c r="B33" s="195">
        <v>0.8</v>
      </c>
      <c r="C33" s="196">
        <v>0.4</v>
      </c>
      <c r="D33" s="196">
        <v>0.1</v>
      </c>
      <c r="E33" s="196">
        <v>-0.2</v>
      </c>
      <c r="F33" s="196">
        <v>-0.5</v>
      </c>
      <c r="G33" s="196">
        <v>-0.4</v>
      </c>
      <c r="H33" s="196">
        <v>0.8</v>
      </c>
      <c r="I33" s="196">
        <v>2.2000000000000002</v>
      </c>
      <c r="J33" s="196">
        <v>3.1</v>
      </c>
      <c r="K33" s="196">
        <v>4.2</v>
      </c>
      <c r="L33" s="196">
        <v>5.6</v>
      </c>
      <c r="M33" s="196">
        <v>6.7</v>
      </c>
      <c r="N33" s="196">
        <v>7.7</v>
      </c>
      <c r="O33" s="196">
        <v>8.4</v>
      </c>
      <c r="P33" s="196">
        <v>8.5</v>
      </c>
      <c r="Q33" s="196">
        <v>8.3000000000000007</v>
      </c>
      <c r="R33" s="196">
        <v>7.6</v>
      </c>
      <c r="S33" s="196">
        <v>6.5</v>
      </c>
      <c r="T33" s="197">
        <v>5.0999999999999996</v>
      </c>
      <c r="U33" s="197">
        <v>3.9</v>
      </c>
      <c r="V33" s="197">
        <v>2.9</v>
      </c>
      <c r="W33" s="197">
        <v>2.2000000000000002</v>
      </c>
      <c r="X33" s="197">
        <v>1.7</v>
      </c>
      <c r="Y33" s="198">
        <v>1.2</v>
      </c>
    </row>
    <row r="34" spans="1:25" ht="12" customHeight="1">
      <c r="A34" s="161" t="s">
        <v>69</v>
      </c>
      <c r="B34" s="195">
        <v>0.8</v>
      </c>
      <c r="C34" s="196">
        <v>0.4</v>
      </c>
      <c r="D34" s="196">
        <v>0.1</v>
      </c>
      <c r="E34" s="196">
        <v>-0.2</v>
      </c>
      <c r="F34" s="196">
        <v>-0.5</v>
      </c>
      <c r="G34" s="196">
        <v>0</v>
      </c>
      <c r="H34" s="196">
        <v>3.3</v>
      </c>
      <c r="I34" s="196">
        <v>7.4</v>
      </c>
      <c r="J34" s="196">
        <v>10.7</v>
      </c>
      <c r="K34" s="196">
        <v>12.2</v>
      </c>
      <c r="L34" s="196">
        <v>12</v>
      </c>
      <c r="M34" s="196">
        <v>10.9</v>
      </c>
      <c r="N34" s="196">
        <v>10.3</v>
      </c>
      <c r="O34" s="196">
        <v>10</v>
      </c>
      <c r="P34" s="196">
        <v>9.6</v>
      </c>
      <c r="Q34" s="196">
        <v>8.9</v>
      </c>
      <c r="R34" s="196">
        <v>8</v>
      </c>
      <c r="S34" s="196">
        <v>6.7</v>
      </c>
      <c r="T34" s="197">
        <v>5.3</v>
      </c>
      <c r="U34" s="197">
        <v>4</v>
      </c>
      <c r="V34" s="197">
        <v>3</v>
      </c>
      <c r="W34" s="197">
        <v>2.2000000000000002</v>
      </c>
      <c r="X34" s="197">
        <v>1.7</v>
      </c>
      <c r="Y34" s="198">
        <v>1.3</v>
      </c>
    </row>
    <row r="35" spans="1:25" ht="12" customHeight="1">
      <c r="A35" s="161" t="s">
        <v>70</v>
      </c>
      <c r="B35" s="195">
        <v>0.9</v>
      </c>
      <c r="C35" s="196">
        <v>0.5</v>
      </c>
      <c r="D35" s="196">
        <v>0.1</v>
      </c>
      <c r="E35" s="196">
        <v>-0.2</v>
      </c>
      <c r="F35" s="196">
        <v>-0.5</v>
      </c>
      <c r="G35" s="196">
        <v>0</v>
      </c>
      <c r="H35" s="196">
        <v>3.6</v>
      </c>
      <c r="I35" s="196">
        <v>8.6999999999999993</v>
      </c>
      <c r="J35" s="196">
        <v>13.4</v>
      </c>
      <c r="K35" s="196">
        <v>16.600000000000001</v>
      </c>
      <c r="L35" s="196">
        <v>18</v>
      </c>
      <c r="M35" s="196">
        <v>17.399999999999999</v>
      </c>
      <c r="N35" s="196">
        <v>15.3</v>
      </c>
      <c r="O35" s="196">
        <v>13.2</v>
      </c>
      <c r="P35" s="196">
        <v>11.6</v>
      </c>
      <c r="Q35" s="196">
        <v>10.199999999999999</v>
      </c>
      <c r="R35" s="196">
        <v>8.8000000000000007</v>
      </c>
      <c r="S35" s="196">
        <v>7.2</v>
      </c>
      <c r="T35" s="197">
        <v>5.6</v>
      </c>
      <c r="U35" s="197">
        <v>4.2</v>
      </c>
      <c r="V35" s="197">
        <v>3.1</v>
      </c>
      <c r="W35" s="197">
        <v>2.2999999999999998</v>
      </c>
      <c r="X35" s="197">
        <v>1.7</v>
      </c>
      <c r="Y35" s="198">
        <v>1.3</v>
      </c>
    </row>
    <row r="36" spans="1:25" ht="12" customHeight="1">
      <c r="A36" s="161" t="s">
        <v>71</v>
      </c>
      <c r="B36" s="195">
        <v>0.9</v>
      </c>
      <c r="C36" s="196">
        <v>0.5</v>
      </c>
      <c r="D36" s="196">
        <v>0.1</v>
      </c>
      <c r="E36" s="196">
        <v>-0.2</v>
      </c>
      <c r="F36" s="196">
        <v>-0.5</v>
      </c>
      <c r="G36" s="196">
        <v>-0.3</v>
      </c>
      <c r="H36" s="196">
        <v>1.6</v>
      </c>
      <c r="I36" s="196">
        <v>5.0999999999999996</v>
      </c>
      <c r="J36" s="196">
        <v>9.3000000000000007</v>
      </c>
      <c r="K36" s="196">
        <v>13.4</v>
      </c>
      <c r="L36" s="196">
        <v>16.600000000000001</v>
      </c>
      <c r="M36" s="196">
        <v>18.5</v>
      </c>
      <c r="N36" s="196">
        <v>19</v>
      </c>
      <c r="O36" s="196">
        <v>18</v>
      </c>
      <c r="P36" s="196">
        <v>15.7</v>
      </c>
      <c r="Q36" s="196">
        <v>13</v>
      </c>
      <c r="R36" s="196">
        <v>10.5</v>
      </c>
      <c r="S36" s="196">
        <v>8.3000000000000007</v>
      </c>
      <c r="T36" s="197">
        <v>6.2</v>
      </c>
      <c r="U36" s="197">
        <v>4.5999999999999996</v>
      </c>
      <c r="V36" s="197">
        <v>3.4</v>
      </c>
      <c r="W36" s="197">
        <v>2.5</v>
      </c>
      <c r="X36" s="197">
        <v>1.8</v>
      </c>
      <c r="Y36" s="198">
        <v>1.3</v>
      </c>
    </row>
    <row r="37" spans="1:25" ht="12" customHeight="1">
      <c r="A37" s="161" t="s">
        <v>72</v>
      </c>
      <c r="B37" s="195">
        <v>1.1000000000000001</v>
      </c>
      <c r="C37" s="196">
        <v>0.6</v>
      </c>
      <c r="D37" s="196">
        <v>0.2</v>
      </c>
      <c r="E37" s="196">
        <v>-0.1</v>
      </c>
      <c r="F37" s="196">
        <v>-0.4</v>
      </c>
      <c r="G37" s="196">
        <v>-0.6</v>
      </c>
      <c r="H37" s="196">
        <v>-0.4</v>
      </c>
      <c r="I37" s="196">
        <v>0.5</v>
      </c>
      <c r="J37" s="196">
        <v>2.2000000000000002</v>
      </c>
      <c r="K37" s="196">
        <v>5.0999999999999996</v>
      </c>
      <c r="L37" s="196">
        <v>8.9</v>
      </c>
      <c r="M37" s="196">
        <v>12.9</v>
      </c>
      <c r="N37" s="196">
        <v>16.399999999999999</v>
      </c>
      <c r="O37" s="196">
        <v>18.899999999999999</v>
      </c>
      <c r="P37" s="196">
        <v>20.2</v>
      </c>
      <c r="Q37" s="196">
        <v>19.8</v>
      </c>
      <c r="R37" s="196">
        <v>17.7</v>
      </c>
      <c r="S37" s="196">
        <v>14.1</v>
      </c>
      <c r="T37" s="197">
        <v>10.1</v>
      </c>
      <c r="U37" s="197">
        <v>7</v>
      </c>
      <c r="V37" s="197">
        <v>4.8</v>
      </c>
      <c r="W37" s="197">
        <v>3.4</v>
      </c>
      <c r="X37" s="197">
        <v>2.4</v>
      </c>
      <c r="Y37" s="198">
        <v>1.7</v>
      </c>
    </row>
    <row r="38" spans="1:25" ht="12" customHeight="1">
      <c r="A38" s="161" t="s">
        <v>73</v>
      </c>
      <c r="B38" s="195">
        <v>1.3</v>
      </c>
      <c r="C38" s="196">
        <v>0.7</v>
      </c>
      <c r="D38" s="196">
        <v>0.3</v>
      </c>
      <c r="E38" s="196">
        <v>-0.1</v>
      </c>
      <c r="F38" s="196">
        <v>-0.4</v>
      </c>
      <c r="G38" s="196">
        <v>-0.6</v>
      </c>
      <c r="H38" s="196">
        <v>-0.4</v>
      </c>
      <c r="I38" s="196">
        <v>0.5</v>
      </c>
      <c r="J38" s="196">
        <v>1.9</v>
      </c>
      <c r="K38" s="196">
        <v>3.5</v>
      </c>
      <c r="L38" s="196">
        <v>5.2</v>
      </c>
      <c r="M38" s="196">
        <v>7.6</v>
      </c>
      <c r="N38" s="196">
        <v>11.2</v>
      </c>
      <c r="O38" s="196">
        <v>15.2</v>
      </c>
      <c r="P38" s="196">
        <v>18.8</v>
      </c>
      <c r="Q38" s="196">
        <v>20.9</v>
      </c>
      <c r="R38" s="196">
        <v>20.7</v>
      </c>
      <c r="S38" s="196">
        <v>17.8</v>
      </c>
      <c r="T38" s="197">
        <v>12.6</v>
      </c>
      <c r="U38" s="197">
        <v>8.6</v>
      </c>
      <c r="V38" s="197">
        <v>5.9</v>
      </c>
      <c r="W38" s="197">
        <v>4</v>
      </c>
      <c r="X38" s="197">
        <v>2.8</v>
      </c>
      <c r="Y38" s="198">
        <v>1.9</v>
      </c>
    </row>
    <row r="39" spans="1:25" ht="12" customHeight="1">
      <c r="A39" s="161" t="s">
        <v>74</v>
      </c>
      <c r="B39" s="195">
        <v>1.2</v>
      </c>
      <c r="C39" s="196">
        <v>0.7</v>
      </c>
      <c r="D39" s="196">
        <v>0.2</v>
      </c>
      <c r="E39" s="196">
        <v>-0.1</v>
      </c>
      <c r="F39" s="196">
        <v>-0.4</v>
      </c>
      <c r="G39" s="196">
        <v>-0.6</v>
      </c>
      <c r="H39" s="196">
        <v>-0.4</v>
      </c>
      <c r="I39" s="196">
        <v>0.5</v>
      </c>
      <c r="J39" s="196">
        <v>1.9</v>
      </c>
      <c r="K39" s="196">
        <v>3.5</v>
      </c>
      <c r="L39" s="196">
        <v>5.0999999999999996</v>
      </c>
      <c r="M39" s="196">
        <v>6.5</v>
      </c>
      <c r="N39" s="196">
        <v>7.8</v>
      </c>
      <c r="O39" s="196">
        <v>10</v>
      </c>
      <c r="P39" s="196">
        <v>13</v>
      </c>
      <c r="Q39" s="196">
        <v>15.7</v>
      </c>
      <c r="R39" s="196">
        <v>16.7</v>
      </c>
      <c r="S39" s="196">
        <v>15.2</v>
      </c>
      <c r="T39" s="197">
        <v>11</v>
      </c>
      <c r="U39" s="197">
        <v>7.6</v>
      </c>
      <c r="V39" s="197">
        <v>5.2</v>
      </c>
      <c r="W39" s="197">
        <v>3.6</v>
      </c>
      <c r="X39" s="197">
        <v>2.6</v>
      </c>
      <c r="Y39" s="198">
        <v>1.8</v>
      </c>
    </row>
    <row r="40" spans="1:25" ht="12" customHeight="1">
      <c r="A40" s="166" t="s">
        <v>75</v>
      </c>
      <c r="B40" s="199">
        <v>0.9</v>
      </c>
      <c r="C40" s="200">
        <v>0.5</v>
      </c>
      <c r="D40" s="200">
        <v>0.1</v>
      </c>
      <c r="E40" s="200">
        <v>-0.2</v>
      </c>
      <c r="F40" s="200">
        <v>-0.5</v>
      </c>
      <c r="G40" s="200">
        <v>-0.6</v>
      </c>
      <c r="H40" s="200">
        <v>-0.4</v>
      </c>
      <c r="I40" s="200">
        <v>0.5</v>
      </c>
      <c r="J40" s="200">
        <v>1.9</v>
      </c>
      <c r="K40" s="200">
        <v>3.5</v>
      </c>
      <c r="L40" s="200">
        <v>5.0999999999999996</v>
      </c>
      <c r="M40" s="200">
        <v>6.5</v>
      </c>
      <c r="N40" s="200">
        <v>7.5</v>
      </c>
      <c r="O40" s="200">
        <v>8.1999999999999993</v>
      </c>
      <c r="P40" s="200">
        <v>8.5</v>
      </c>
      <c r="Q40" s="200">
        <v>8.6999999999999993</v>
      </c>
      <c r="R40" s="200">
        <v>9.1</v>
      </c>
      <c r="S40" s="200">
        <v>8.5</v>
      </c>
      <c r="T40" s="201">
        <v>6.6</v>
      </c>
      <c r="U40" s="201">
        <v>4.8</v>
      </c>
      <c r="V40" s="201">
        <v>3.5</v>
      </c>
      <c r="W40" s="201">
        <v>2.6</v>
      </c>
      <c r="X40" s="201">
        <v>1.9</v>
      </c>
      <c r="Y40" s="202">
        <v>1.4</v>
      </c>
    </row>
    <row r="42" spans="1:25" ht="12" customHeight="1">
      <c r="A42" s="148" t="s">
        <v>76</v>
      </c>
      <c r="B42" s="148"/>
      <c r="C42" s="148"/>
      <c r="D42" s="148"/>
      <c r="E42" s="148"/>
      <c r="G42" s="148"/>
      <c r="H42" s="148"/>
      <c r="I42" s="148"/>
      <c r="J42" s="148"/>
      <c r="K42" s="148"/>
    </row>
    <row r="43" spans="1:25" ht="15" customHeight="1">
      <c r="A43" s="171" t="s">
        <v>77</v>
      </c>
      <c r="B43" s="172" t="s">
        <v>78</v>
      </c>
      <c r="C43" s="173" t="s">
        <v>79</v>
      </c>
      <c r="D43" s="172" t="s">
        <v>78</v>
      </c>
      <c r="E43" s="173" t="s">
        <v>79</v>
      </c>
      <c r="F43" s="172" t="s">
        <v>78</v>
      </c>
      <c r="G43" s="173" t="s">
        <v>79</v>
      </c>
      <c r="H43" s="172" t="s">
        <v>78</v>
      </c>
      <c r="I43" s="173" t="s">
        <v>79</v>
      </c>
      <c r="J43" s="172" t="s">
        <v>78</v>
      </c>
      <c r="K43" s="173" t="s">
        <v>79</v>
      </c>
      <c r="L43" s="172" t="s">
        <v>78</v>
      </c>
      <c r="M43" s="174" t="s">
        <v>78</v>
      </c>
      <c r="N43" s="172" t="s">
        <v>78</v>
      </c>
      <c r="P43" s="73" t="s">
        <v>49</v>
      </c>
    </row>
    <row r="44" spans="1:25" ht="12" customHeight="1">
      <c r="A44" s="175">
        <v>0</v>
      </c>
      <c r="B44" s="176">
        <v>6.8000000000000005E-2</v>
      </c>
      <c r="C44" s="177">
        <f t="shared" ref="C44:C67" si="0">A44+24</f>
        <v>24</v>
      </c>
      <c r="D44" s="176">
        <v>0</v>
      </c>
      <c r="E44" s="177">
        <f t="shared" ref="E44:E67" si="1">C44+24</f>
        <v>48</v>
      </c>
      <c r="F44" s="176">
        <v>0</v>
      </c>
      <c r="G44" s="177">
        <f t="shared" ref="G44:G67" si="2">E44+24</f>
        <v>72</v>
      </c>
      <c r="H44" s="178">
        <v>0</v>
      </c>
      <c r="I44" s="177">
        <f t="shared" ref="I44:I67" si="3">G44+24</f>
        <v>96</v>
      </c>
      <c r="J44" s="178">
        <v>0</v>
      </c>
      <c r="K44" s="177">
        <f t="shared" ref="K44:K67" si="4">I44+24</f>
        <v>120</v>
      </c>
      <c r="L44" s="178">
        <v>0</v>
      </c>
      <c r="M44" s="179">
        <f t="shared" ref="M44:M67" si="5">K44+24</f>
        <v>144</v>
      </c>
      <c r="N44" s="180">
        <v>0</v>
      </c>
      <c r="P44" s="181" t="s">
        <v>83</v>
      </c>
    </row>
    <row r="45" spans="1:25" ht="12" customHeight="1">
      <c r="A45" s="182">
        <v>1</v>
      </c>
      <c r="B45" s="183">
        <v>0.29799999999999999</v>
      </c>
      <c r="C45" s="184">
        <f t="shared" si="0"/>
        <v>25</v>
      </c>
      <c r="D45" s="183">
        <v>0</v>
      </c>
      <c r="E45" s="184">
        <f t="shared" si="1"/>
        <v>49</v>
      </c>
      <c r="F45" s="183">
        <v>0</v>
      </c>
      <c r="G45" s="184">
        <f t="shared" si="2"/>
        <v>73</v>
      </c>
      <c r="H45" s="185">
        <v>0</v>
      </c>
      <c r="I45" s="184">
        <f t="shared" si="3"/>
        <v>97</v>
      </c>
      <c r="J45" s="185">
        <v>0</v>
      </c>
      <c r="K45" s="184">
        <f t="shared" si="4"/>
        <v>121</v>
      </c>
      <c r="L45" s="185">
        <v>0</v>
      </c>
      <c r="M45" s="186">
        <f t="shared" si="5"/>
        <v>145</v>
      </c>
      <c r="N45" s="187">
        <v>0</v>
      </c>
      <c r="P45" s="188" t="s">
        <v>84</v>
      </c>
    </row>
    <row r="46" spans="1:25" ht="12" customHeight="1">
      <c r="A46" s="182">
        <v>2</v>
      </c>
      <c r="B46" s="183">
        <v>0.23799999999999999</v>
      </c>
      <c r="C46" s="184">
        <f t="shared" si="0"/>
        <v>26</v>
      </c>
      <c r="D46" s="183">
        <v>0</v>
      </c>
      <c r="E46" s="184">
        <f t="shared" si="1"/>
        <v>50</v>
      </c>
      <c r="F46" s="183">
        <v>0</v>
      </c>
      <c r="G46" s="184">
        <f t="shared" si="2"/>
        <v>74</v>
      </c>
      <c r="H46" s="185">
        <v>0</v>
      </c>
      <c r="I46" s="184">
        <f t="shared" si="3"/>
        <v>98</v>
      </c>
      <c r="J46" s="185">
        <v>0</v>
      </c>
      <c r="K46" s="184">
        <f t="shared" si="4"/>
        <v>122</v>
      </c>
      <c r="L46" s="185">
        <v>0</v>
      </c>
      <c r="M46" s="186">
        <f t="shared" si="5"/>
        <v>146</v>
      </c>
      <c r="N46" s="187">
        <v>0</v>
      </c>
      <c r="P46" s="181" t="s">
        <v>85</v>
      </c>
    </row>
    <row r="47" spans="1:25" ht="12" customHeight="1">
      <c r="A47" s="182">
        <v>3</v>
      </c>
      <c r="B47" s="183">
        <v>0.14899999999999999</v>
      </c>
      <c r="C47" s="184">
        <f t="shared" si="0"/>
        <v>27</v>
      </c>
      <c r="D47" s="183">
        <v>0</v>
      </c>
      <c r="E47" s="184">
        <f t="shared" si="1"/>
        <v>51</v>
      </c>
      <c r="F47" s="183">
        <v>0</v>
      </c>
      <c r="G47" s="184">
        <f t="shared" si="2"/>
        <v>75</v>
      </c>
      <c r="H47" s="185">
        <v>0</v>
      </c>
      <c r="I47" s="184">
        <f t="shared" si="3"/>
        <v>99</v>
      </c>
      <c r="J47" s="185">
        <v>0</v>
      </c>
      <c r="K47" s="184">
        <f t="shared" si="4"/>
        <v>123</v>
      </c>
      <c r="L47" s="185">
        <v>0</v>
      </c>
      <c r="M47" s="186">
        <f t="shared" si="5"/>
        <v>147</v>
      </c>
      <c r="N47" s="187">
        <v>0</v>
      </c>
      <c r="P47" s="181" t="s">
        <v>86</v>
      </c>
    </row>
    <row r="48" spans="1:25" ht="12" customHeight="1">
      <c r="A48" s="182">
        <v>4</v>
      </c>
      <c r="B48" s="183">
        <v>9.2999999999999999E-2</v>
      </c>
      <c r="C48" s="184">
        <f t="shared" si="0"/>
        <v>28</v>
      </c>
      <c r="D48" s="183">
        <v>0</v>
      </c>
      <c r="E48" s="184">
        <f t="shared" si="1"/>
        <v>52</v>
      </c>
      <c r="F48" s="183">
        <v>0</v>
      </c>
      <c r="G48" s="184">
        <f t="shared" si="2"/>
        <v>76</v>
      </c>
      <c r="H48" s="185">
        <v>0</v>
      </c>
      <c r="I48" s="184">
        <f t="shared" si="3"/>
        <v>100</v>
      </c>
      <c r="J48" s="185">
        <v>0</v>
      </c>
      <c r="K48" s="184">
        <f t="shared" si="4"/>
        <v>124</v>
      </c>
      <c r="L48" s="185">
        <v>0</v>
      </c>
      <c r="M48" s="186">
        <f t="shared" si="5"/>
        <v>148</v>
      </c>
      <c r="N48" s="187">
        <v>0</v>
      </c>
      <c r="P48" s="181" t="s">
        <v>87</v>
      </c>
    </row>
    <row r="49" spans="1:16" ht="12" customHeight="1">
      <c r="A49" s="182">
        <v>5</v>
      </c>
      <c r="B49" s="183">
        <v>5.8000000000000003E-2</v>
      </c>
      <c r="C49" s="184">
        <f t="shared" si="0"/>
        <v>29</v>
      </c>
      <c r="D49" s="183">
        <v>0</v>
      </c>
      <c r="E49" s="184">
        <f t="shared" si="1"/>
        <v>53</v>
      </c>
      <c r="F49" s="183">
        <v>0</v>
      </c>
      <c r="G49" s="184">
        <f t="shared" si="2"/>
        <v>77</v>
      </c>
      <c r="H49" s="185">
        <v>0</v>
      </c>
      <c r="I49" s="184">
        <f t="shared" si="3"/>
        <v>101</v>
      </c>
      <c r="J49" s="185">
        <v>0</v>
      </c>
      <c r="K49" s="184">
        <f t="shared" si="4"/>
        <v>125</v>
      </c>
      <c r="L49" s="185">
        <v>0</v>
      </c>
      <c r="M49" s="186">
        <f t="shared" si="5"/>
        <v>149</v>
      </c>
      <c r="N49" s="187">
        <v>0</v>
      </c>
      <c r="P49" s="181" t="s">
        <v>88</v>
      </c>
    </row>
    <row r="50" spans="1:16" ht="12" customHeight="1">
      <c r="A50" s="182">
        <v>6</v>
      </c>
      <c r="B50" s="183">
        <v>3.5999999999999997E-2</v>
      </c>
      <c r="C50" s="184">
        <f t="shared" si="0"/>
        <v>30</v>
      </c>
      <c r="D50" s="183">
        <v>0</v>
      </c>
      <c r="E50" s="184">
        <f t="shared" si="1"/>
        <v>54</v>
      </c>
      <c r="F50" s="183">
        <v>0</v>
      </c>
      <c r="G50" s="184">
        <f t="shared" si="2"/>
        <v>78</v>
      </c>
      <c r="H50" s="185">
        <v>0</v>
      </c>
      <c r="I50" s="184">
        <f t="shared" si="3"/>
        <v>102</v>
      </c>
      <c r="J50" s="185">
        <v>0</v>
      </c>
      <c r="K50" s="184">
        <f t="shared" si="4"/>
        <v>126</v>
      </c>
      <c r="L50" s="185">
        <v>0</v>
      </c>
      <c r="M50" s="186">
        <f t="shared" si="5"/>
        <v>150</v>
      </c>
      <c r="N50" s="187">
        <v>0</v>
      </c>
      <c r="P50" s="181" t="s">
        <v>89</v>
      </c>
    </row>
    <row r="51" spans="1:16" ht="12" customHeight="1">
      <c r="A51" s="182">
        <v>7</v>
      </c>
      <c r="B51" s="183">
        <v>2.1999999999999999E-2</v>
      </c>
      <c r="C51" s="184">
        <f t="shared" si="0"/>
        <v>31</v>
      </c>
      <c r="D51" s="183">
        <v>0</v>
      </c>
      <c r="E51" s="184">
        <f t="shared" si="1"/>
        <v>55</v>
      </c>
      <c r="F51" s="183">
        <v>0</v>
      </c>
      <c r="G51" s="184">
        <f t="shared" si="2"/>
        <v>79</v>
      </c>
      <c r="H51" s="185">
        <v>0</v>
      </c>
      <c r="I51" s="184">
        <f t="shared" si="3"/>
        <v>103</v>
      </c>
      <c r="J51" s="185">
        <v>0</v>
      </c>
      <c r="K51" s="184">
        <f t="shared" si="4"/>
        <v>127</v>
      </c>
      <c r="L51" s="185">
        <v>0</v>
      </c>
      <c r="M51" s="186">
        <f t="shared" si="5"/>
        <v>151</v>
      </c>
      <c r="N51" s="187">
        <v>0</v>
      </c>
      <c r="P51" s="181" t="s">
        <v>90</v>
      </c>
    </row>
    <row r="52" spans="1:16" ht="12" customHeight="1">
      <c r="A52" s="182">
        <v>8</v>
      </c>
      <c r="B52" s="183">
        <v>1.4E-2</v>
      </c>
      <c r="C52" s="184">
        <f t="shared" si="0"/>
        <v>32</v>
      </c>
      <c r="D52" s="183">
        <v>0</v>
      </c>
      <c r="E52" s="184">
        <f t="shared" si="1"/>
        <v>56</v>
      </c>
      <c r="F52" s="183">
        <v>0</v>
      </c>
      <c r="G52" s="184">
        <f t="shared" si="2"/>
        <v>80</v>
      </c>
      <c r="H52" s="185">
        <v>0</v>
      </c>
      <c r="I52" s="184">
        <f t="shared" si="3"/>
        <v>104</v>
      </c>
      <c r="J52" s="185">
        <v>0</v>
      </c>
      <c r="K52" s="184">
        <f t="shared" si="4"/>
        <v>128</v>
      </c>
      <c r="L52" s="185">
        <v>0</v>
      </c>
      <c r="M52" s="186">
        <f t="shared" si="5"/>
        <v>152</v>
      </c>
      <c r="N52" s="187">
        <v>0</v>
      </c>
      <c r="P52" s="181" t="s">
        <v>91</v>
      </c>
    </row>
    <row r="53" spans="1:16" ht="12" customHeight="1">
      <c r="A53" s="182">
        <v>9</v>
      </c>
      <c r="B53" s="183">
        <v>8.9999999999999993E-3</v>
      </c>
      <c r="C53" s="184">
        <f t="shared" si="0"/>
        <v>33</v>
      </c>
      <c r="D53" s="183">
        <v>0</v>
      </c>
      <c r="E53" s="184">
        <f t="shared" si="1"/>
        <v>57</v>
      </c>
      <c r="F53" s="183">
        <v>0</v>
      </c>
      <c r="G53" s="184">
        <f t="shared" si="2"/>
        <v>81</v>
      </c>
      <c r="H53" s="185">
        <v>0</v>
      </c>
      <c r="I53" s="184">
        <f t="shared" si="3"/>
        <v>105</v>
      </c>
      <c r="J53" s="185">
        <v>0</v>
      </c>
      <c r="K53" s="184">
        <f t="shared" si="4"/>
        <v>129</v>
      </c>
      <c r="L53" s="185">
        <v>0</v>
      </c>
      <c r="M53" s="186">
        <f t="shared" si="5"/>
        <v>153</v>
      </c>
      <c r="N53" s="187">
        <v>0</v>
      </c>
      <c r="P53" s="181" t="s">
        <v>92</v>
      </c>
    </row>
    <row r="54" spans="1:16" ht="12" customHeight="1">
      <c r="A54" s="182">
        <v>10</v>
      </c>
      <c r="B54" s="183">
        <v>5.0000000000000001E-3</v>
      </c>
      <c r="C54" s="184">
        <f t="shared" si="0"/>
        <v>34</v>
      </c>
      <c r="D54" s="183">
        <v>0</v>
      </c>
      <c r="E54" s="184">
        <f t="shared" si="1"/>
        <v>58</v>
      </c>
      <c r="F54" s="183">
        <v>0</v>
      </c>
      <c r="G54" s="184">
        <f t="shared" si="2"/>
        <v>82</v>
      </c>
      <c r="H54" s="185">
        <v>0</v>
      </c>
      <c r="I54" s="184">
        <f t="shared" si="3"/>
        <v>106</v>
      </c>
      <c r="J54" s="185">
        <v>0</v>
      </c>
      <c r="K54" s="184">
        <f t="shared" si="4"/>
        <v>130</v>
      </c>
      <c r="L54" s="185">
        <v>0</v>
      </c>
      <c r="M54" s="186">
        <f t="shared" si="5"/>
        <v>154</v>
      </c>
      <c r="N54" s="187">
        <v>0</v>
      </c>
      <c r="P54" s="181" t="s">
        <v>93</v>
      </c>
    </row>
    <row r="55" spans="1:16" ht="12" customHeight="1">
      <c r="A55" s="182">
        <v>11</v>
      </c>
      <c r="B55" s="183">
        <v>3.0000000000000001E-3</v>
      </c>
      <c r="C55" s="184">
        <f t="shared" si="0"/>
        <v>35</v>
      </c>
      <c r="D55" s="183">
        <v>0</v>
      </c>
      <c r="E55" s="184">
        <f t="shared" si="1"/>
        <v>59</v>
      </c>
      <c r="F55" s="183">
        <v>0</v>
      </c>
      <c r="G55" s="184">
        <f t="shared" si="2"/>
        <v>83</v>
      </c>
      <c r="H55" s="185">
        <v>0</v>
      </c>
      <c r="I55" s="184">
        <f t="shared" si="3"/>
        <v>107</v>
      </c>
      <c r="J55" s="185">
        <v>0</v>
      </c>
      <c r="K55" s="184">
        <f t="shared" si="4"/>
        <v>131</v>
      </c>
      <c r="L55" s="185">
        <v>0</v>
      </c>
      <c r="M55" s="186">
        <f t="shared" si="5"/>
        <v>155</v>
      </c>
      <c r="N55" s="187">
        <v>0</v>
      </c>
      <c r="P55" s="181"/>
    </row>
    <row r="56" spans="1:16" ht="12" customHeight="1">
      <c r="A56" s="182">
        <v>12</v>
      </c>
      <c r="B56" s="183">
        <v>2E-3</v>
      </c>
      <c r="C56" s="184">
        <f t="shared" si="0"/>
        <v>36</v>
      </c>
      <c r="D56" s="183">
        <v>0</v>
      </c>
      <c r="E56" s="184">
        <f t="shared" si="1"/>
        <v>60</v>
      </c>
      <c r="F56" s="183">
        <v>0</v>
      </c>
      <c r="G56" s="184">
        <f t="shared" si="2"/>
        <v>84</v>
      </c>
      <c r="H56" s="185">
        <v>0</v>
      </c>
      <c r="I56" s="184">
        <f t="shared" si="3"/>
        <v>108</v>
      </c>
      <c r="J56" s="185">
        <v>0</v>
      </c>
      <c r="K56" s="184">
        <f t="shared" si="4"/>
        <v>132</v>
      </c>
      <c r="L56" s="185">
        <v>0</v>
      </c>
      <c r="M56" s="186">
        <f t="shared" si="5"/>
        <v>156</v>
      </c>
      <c r="N56" s="187">
        <v>0</v>
      </c>
      <c r="P56" s="181"/>
    </row>
    <row r="57" spans="1:16" ht="12" customHeight="1">
      <c r="A57" s="182">
        <v>13</v>
      </c>
      <c r="B57" s="183">
        <v>1E-3</v>
      </c>
      <c r="C57" s="184">
        <f t="shared" si="0"/>
        <v>37</v>
      </c>
      <c r="D57" s="183">
        <v>0</v>
      </c>
      <c r="E57" s="184">
        <f t="shared" si="1"/>
        <v>61</v>
      </c>
      <c r="F57" s="183">
        <v>0</v>
      </c>
      <c r="G57" s="184">
        <f t="shared" si="2"/>
        <v>85</v>
      </c>
      <c r="H57" s="185">
        <v>0</v>
      </c>
      <c r="I57" s="184">
        <f t="shared" si="3"/>
        <v>109</v>
      </c>
      <c r="J57" s="185">
        <v>0</v>
      </c>
      <c r="K57" s="184">
        <f t="shared" si="4"/>
        <v>133</v>
      </c>
      <c r="L57" s="185">
        <v>0</v>
      </c>
      <c r="M57" s="186">
        <f t="shared" si="5"/>
        <v>157</v>
      </c>
      <c r="N57" s="187">
        <v>0</v>
      </c>
      <c r="P57" s="181"/>
    </row>
    <row r="58" spans="1:16" ht="12" customHeight="1">
      <c r="A58" s="182">
        <v>14</v>
      </c>
      <c r="B58" s="183">
        <v>1E-3</v>
      </c>
      <c r="C58" s="184">
        <f t="shared" si="0"/>
        <v>38</v>
      </c>
      <c r="D58" s="183">
        <v>0</v>
      </c>
      <c r="E58" s="184">
        <f t="shared" si="1"/>
        <v>62</v>
      </c>
      <c r="F58" s="183">
        <v>0</v>
      </c>
      <c r="G58" s="184">
        <f t="shared" si="2"/>
        <v>86</v>
      </c>
      <c r="H58" s="185">
        <v>0</v>
      </c>
      <c r="I58" s="184">
        <f t="shared" si="3"/>
        <v>110</v>
      </c>
      <c r="J58" s="185">
        <v>0</v>
      </c>
      <c r="K58" s="184">
        <f t="shared" si="4"/>
        <v>134</v>
      </c>
      <c r="L58" s="185">
        <v>0</v>
      </c>
      <c r="M58" s="186">
        <f t="shared" si="5"/>
        <v>158</v>
      </c>
      <c r="N58" s="187">
        <v>0</v>
      </c>
      <c r="P58" s="181"/>
    </row>
    <row r="59" spans="1:16" ht="12" customHeight="1">
      <c r="A59" s="182">
        <v>15</v>
      </c>
      <c r="B59" s="183">
        <v>1E-3</v>
      </c>
      <c r="C59" s="184">
        <f t="shared" si="0"/>
        <v>39</v>
      </c>
      <c r="D59" s="183">
        <v>0</v>
      </c>
      <c r="E59" s="184">
        <f t="shared" si="1"/>
        <v>63</v>
      </c>
      <c r="F59" s="183">
        <v>0</v>
      </c>
      <c r="G59" s="184">
        <f t="shared" si="2"/>
        <v>87</v>
      </c>
      <c r="H59" s="185">
        <v>0</v>
      </c>
      <c r="I59" s="184">
        <f t="shared" si="3"/>
        <v>111</v>
      </c>
      <c r="J59" s="185">
        <v>0</v>
      </c>
      <c r="K59" s="184">
        <f t="shared" si="4"/>
        <v>135</v>
      </c>
      <c r="L59" s="185">
        <v>0</v>
      </c>
      <c r="M59" s="186">
        <f t="shared" si="5"/>
        <v>159</v>
      </c>
      <c r="N59" s="187">
        <v>0</v>
      </c>
      <c r="P59" s="181"/>
    </row>
    <row r="60" spans="1:16" ht="12" customHeight="1">
      <c r="A60" s="182">
        <v>16</v>
      </c>
      <c r="B60" s="183">
        <v>0</v>
      </c>
      <c r="C60" s="184">
        <f t="shared" si="0"/>
        <v>40</v>
      </c>
      <c r="D60" s="183">
        <v>0</v>
      </c>
      <c r="E60" s="184">
        <f t="shared" si="1"/>
        <v>64</v>
      </c>
      <c r="F60" s="183">
        <v>0</v>
      </c>
      <c r="G60" s="184">
        <f t="shared" si="2"/>
        <v>88</v>
      </c>
      <c r="H60" s="185">
        <v>0</v>
      </c>
      <c r="I60" s="184">
        <f t="shared" si="3"/>
        <v>112</v>
      </c>
      <c r="J60" s="185">
        <v>0</v>
      </c>
      <c r="K60" s="184">
        <f t="shared" si="4"/>
        <v>136</v>
      </c>
      <c r="L60" s="185">
        <v>0</v>
      </c>
      <c r="M60" s="186">
        <f t="shared" si="5"/>
        <v>160</v>
      </c>
      <c r="N60" s="187">
        <v>0</v>
      </c>
      <c r="P60" s="181"/>
    </row>
    <row r="61" spans="1:16" ht="12" customHeight="1">
      <c r="A61" s="182">
        <v>17</v>
      </c>
      <c r="B61" s="183">
        <v>0</v>
      </c>
      <c r="C61" s="184">
        <f t="shared" si="0"/>
        <v>41</v>
      </c>
      <c r="D61" s="183">
        <v>0</v>
      </c>
      <c r="E61" s="184">
        <f t="shared" si="1"/>
        <v>65</v>
      </c>
      <c r="F61" s="183">
        <v>0</v>
      </c>
      <c r="G61" s="184">
        <f t="shared" si="2"/>
        <v>89</v>
      </c>
      <c r="H61" s="185">
        <v>0</v>
      </c>
      <c r="I61" s="184">
        <f t="shared" si="3"/>
        <v>113</v>
      </c>
      <c r="J61" s="185">
        <v>0</v>
      </c>
      <c r="K61" s="184">
        <f t="shared" si="4"/>
        <v>137</v>
      </c>
      <c r="L61" s="185">
        <v>0</v>
      </c>
      <c r="M61" s="186">
        <f t="shared" si="5"/>
        <v>161</v>
      </c>
      <c r="N61" s="187">
        <v>0</v>
      </c>
      <c r="P61" s="181"/>
    </row>
    <row r="62" spans="1:16" ht="12" customHeight="1">
      <c r="A62" s="182">
        <v>18</v>
      </c>
      <c r="B62" s="183">
        <v>0</v>
      </c>
      <c r="C62" s="184">
        <f t="shared" si="0"/>
        <v>42</v>
      </c>
      <c r="D62" s="183">
        <v>0</v>
      </c>
      <c r="E62" s="184">
        <f t="shared" si="1"/>
        <v>66</v>
      </c>
      <c r="F62" s="183">
        <v>0</v>
      </c>
      <c r="G62" s="184">
        <f t="shared" si="2"/>
        <v>90</v>
      </c>
      <c r="H62" s="185">
        <v>0</v>
      </c>
      <c r="I62" s="184">
        <f t="shared" si="3"/>
        <v>114</v>
      </c>
      <c r="J62" s="185">
        <v>0</v>
      </c>
      <c r="K62" s="184">
        <f t="shared" si="4"/>
        <v>138</v>
      </c>
      <c r="L62" s="185">
        <v>0</v>
      </c>
      <c r="M62" s="186">
        <f t="shared" si="5"/>
        <v>162</v>
      </c>
      <c r="N62" s="187">
        <v>0</v>
      </c>
      <c r="P62" s="181"/>
    </row>
    <row r="63" spans="1:16" ht="12" customHeight="1">
      <c r="A63" s="182">
        <v>19</v>
      </c>
      <c r="B63" s="183">
        <v>0</v>
      </c>
      <c r="C63" s="184">
        <f t="shared" si="0"/>
        <v>43</v>
      </c>
      <c r="D63" s="183">
        <v>0</v>
      </c>
      <c r="E63" s="184">
        <f t="shared" si="1"/>
        <v>67</v>
      </c>
      <c r="F63" s="183">
        <v>0</v>
      </c>
      <c r="G63" s="184">
        <f t="shared" si="2"/>
        <v>91</v>
      </c>
      <c r="H63" s="185">
        <v>0</v>
      </c>
      <c r="I63" s="184">
        <f t="shared" si="3"/>
        <v>115</v>
      </c>
      <c r="J63" s="185">
        <v>0</v>
      </c>
      <c r="K63" s="184">
        <f t="shared" si="4"/>
        <v>139</v>
      </c>
      <c r="L63" s="185">
        <v>0</v>
      </c>
      <c r="M63" s="186">
        <f t="shared" si="5"/>
        <v>163</v>
      </c>
      <c r="N63" s="187">
        <v>0</v>
      </c>
      <c r="P63" s="181"/>
    </row>
    <row r="64" spans="1:16" ht="12" customHeight="1">
      <c r="A64" s="182">
        <v>20</v>
      </c>
      <c r="B64" s="183">
        <v>0</v>
      </c>
      <c r="C64" s="184">
        <f t="shared" si="0"/>
        <v>44</v>
      </c>
      <c r="D64" s="183">
        <v>0</v>
      </c>
      <c r="E64" s="184">
        <f t="shared" si="1"/>
        <v>68</v>
      </c>
      <c r="F64" s="183">
        <v>0</v>
      </c>
      <c r="G64" s="184">
        <f t="shared" si="2"/>
        <v>92</v>
      </c>
      <c r="H64" s="185">
        <v>0</v>
      </c>
      <c r="I64" s="184">
        <f t="shared" si="3"/>
        <v>116</v>
      </c>
      <c r="J64" s="185">
        <v>0</v>
      </c>
      <c r="K64" s="184">
        <f t="shared" si="4"/>
        <v>140</v>
      </c>
      <c r="L64" s="185">
        <v>0</v>
      </c>
      <c r="M64" s="186">
        <f t="shared" si="5"/>
        <v>164</v>
      </c>
      <c r="N64" s="187">
        <v>0</v>
      </c>
      <c r="P64" s="181"/>
    </row>
    <row r="65" spans="1:16" ht="12" customHeight="1">
      <c r="A65" s="182">
        <v>21</v>
      </c>
      <c r="B65" s="183">
        <v>0</v>
      </c>
      <c r="C65" s="184">
        <f t="shared" si="0"/>
        <v>45</v>
      </c>
      <c r="D65" s="183">
        <v>0</v>
      </c>
      <c r="E65" s="184">
        <f t="shared" si="1"/>
        <v>69</v>
      </c>
      <c r="F65" s="183">
        <v>0</v>
      </c>
      <c r="G65" s="184">
        <f t="shared" si="2"/>
        <v>93</v>
      </c>
      <c r="H65" s="185">
        <v>0</v>
      </c>
      <c r="I65" s="184">
        <f t="shared" si="3"/>
        <v>117</v>
      </c>
      <c r="J65" s="185">
        <v>0</v>
      </c>
      <c r="K65" s="184">
        <f t="shared" si="4"/>
        <v>141</v>
      </c>
      <c r="L65" s="185">
        <v>0</v>
      </c>
      <c r="M65" s="186">
        <f t="shared" si="5"/>
        <v>165</v>
      </c>
      <c r="N65" s="187">
        <v>0</v>
      </c>
      <c r="P65" s="181"/>
    </row>
    <row r="66" spans="1:16" ht="12" customHeight="1">
      <c r="A66" s="182">
        <v>22</v>
      </c>
      <c r="B66" s="183">
        <v>0</v>
      </c>
      <c r="C66" s="184">
        <f t="shared" si="0"/>
        <v>46</v>
      </c>
      <c r="D66" s="183">
        <v>0</v>
      </c>
      <c r="E66" s="184">
        <f t="shared" si="1"/>
        <v>70</v>
      </c>
      <c r="F66" s="183">
        <v>0</v>
      </c>
      <c r="G66" s="184">
        <f t="shared" si="2"/>
        <v>94</v>
      </c>
      <c r="H66" s="185">
        <v>0</v>
      </c>
      <c r="I66" s="184">
        <f t="shared" si="3"/>
        <v>118</v>
      </c>
      <c r="J66" s="185">
        <v>0</v>
      </c>
      <c r="K66" s="184">
        <f t="shared" si="4"/>
        <v>142</v>
      </c>
      <c r="L66" s="185">
        <v>0</v>
      </c>
      <c r="M66" s="186">
        <f t="shared" si="5"/>
        <v>166</v>
      </c>
      <c r="N66" s="187">
        <v>0</v>
      </c>
      <c r="P66" s="181"/>
    </row>
    <row r="67" spans="1:16" ht="12" customHeight="1">
      <c r="A67" s="189">
        <v>23</v>
      </c>
      <c r="B67" s="190">
        <v>0</v>
      </c>
      <c r="C67" s="191">
        <f t="shared" si="0"/>
        <v>47</v>
      </c>
      <c r="D67" s="190">
        <v>0</v>
      </c>
      <c r="E67" s="191">
        <f t="shared" si="1"/>
        <v>71</v>
      </c>
      <c r="F67" s="190">
        <v>0</v>
      </c>
      <c r="G67" s="191">
        <f t="shared" si="2"/>
        <v>95</v>
      </c>
      <c r="H67" s="192">
        <v>0</v>
      </c>
      <c r="I67" s="191">
        <f t="shared" si="3"/>
        <v>119</v>
      </c>
      <c r="J67" s="192">
        <v>0</v>
      </c>
      <c r="K67" s="191">
        <f t="shared" si="4"/>
        <v>143</v>
      </c>
      <c r="L67" s="192">
        <v>0</v>
      </c>
      <c r="M67" s="193">
        <f t="shared" si="5"/>
        <v>167</v>
      </c>
      <c r="N67" s="194">
        <v>0</v>
      </c>
      <c r="P67" s="181"/>
    </row>
  </sheetData>
  <phoneticPr fontId="4"/>
  <pageMargins left="1.1811023622047245" right="0.70866141732283472" top="0.59055118110236227" bottom="0.39370078740157483" header="0.39370078740157483" footer="0.11811023622047245"/>
  <pageSetup paperSize="9" scale="67" orientation="landscape" horizontalDpi="1200" verticalDpi="1200" r:id="rId1"/>
  <headerFooter scaleWithDoc="0" alignWithMargins="0">
    <oddFooter>&amp;C&amp;"ＭＳ Ｐゴシック,標準"&amp;9( &amp;P / &amp;N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G49"/>
  <sheetViews>
    <sheetView showGridLines="0" zoomScale="80" zoomScaleNormal="80" workbookViewId="0">
      <pane xSplit="4" ySplit="5" topLeftCell="E6" activePane="bottomRight" state="frozenSplit"/>
      <selection pane="topRight"/>
      <selection pane="bottomLeft"/>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6" width="15.7109375" style="1351" customWidth="1"/>
    <col min="7" max="7" width="30.7109375" style="1351" customWidth="1"/>
    <col min="8" max="16384" width="9.140625" style="1458"/>
  </cols>
  <sheetData>
    <row r="1" spans="1:7" s="1710" customFormat="1" ht="21" customHeight="1">
      <c r="A1" s="1716" t="s">
        <v>1278</v>
      </c>
      <c r="B1" s="1715"/>
      <c r="C1" s="1714"/>
      <c r="D1" s="1713"/>
      <c r="E1" s="1712"/>
      <c r="F1" s="1712"/>
      <c r="G1" s="1711"/>
    </row>
    <row r="4" spans="1:7" ht="13.5" customHeight="1">
      <c r="A4" s="1415" t="s">
        <v>394</v>
      </c>
      <c r="B4" s="1414" t="s">
        <v>370</v>
      </c>
      <c r="C4" s="1614" t="s">
        <v>1083</v>
      </c>
      <c r="D4" s="1613" t="s">
        <v>1082</v>
      </c>
      <c r="E4" s="1612" t="s">
        <v>1272</v>
      </c>
      <c r="F4" s="1610"/>
      <c r="G4" s="1709" t="s">
        <v>1235</v>
      </c>
    </row>
    <row r="5" spans="1:7" ht="13.5" customHeight="1">
      <c r="A5" s="1396"/>
      <c r="B5" s="1395"/>
      <c r="C5" s="1624"/>
      <c r="D5" s="1625"/>
      <c r="E5" s="1708" t="s">
        <v>36</v>
      </c>
      <c r="F5" s="1707" t="s">
        <v>60</v>
      </c>
      <c r="G5" s="1717"/>
    </row>
    <row r="6" spans="1:7" ht="13.5" customHeight="1">
      <c r="A6" s="1641" t="s">
        <v>1268</v>
      </c>
      <c r="B6" s="1642"/>
      <c r="C6" s="1643"/>
      <c r="D6" s="1636"/>
      <c r="E6" s="1637"/>
      <c r="F6" s="1639"/>
      <c r="G6" s="1640"/>
    </row>
    <row r="7" spans="1:7" ht="13.5" customHeight="1" thickBot="1">
      <c r="A7" s="1434" t="s">
        <v>362</v>
      </c>
      <c r="B7" s="1435" t="s">
        <v>361</v>
      </c>
      <c r="C7" s="1654" t="s">
        <v>363</v>
      </c>
      <c r="D7" s="1437">
        <v>13</v>
      </c>
      <c r="E7" s="1439">
        <v>2027</v>
      </c>
      <c r="F7" s="1630">
        <v>1931</v>
      </c>
      <c r="G7" s="1631"/>
    </row>
    <row r="8" spans="1:7" ht="13.5" customHeight="1" thickTop="1">
      <c r="A8" s="1651" t="s">
        <v>1269</v>
      </c>
      <c r="B8" s="1652"/>
      <c r="C8" s="1653"/>
      <c r="D8" s="1647">
        <v>13</v>
      </c>
      <c r="E8" s="1648">
        <v>2027</v>
      </c>
      <c r="F8" s="1649">
        <v>1931</v>
      </c>
      <c r="G8" s="1650"/>
    </row>
    <row r="9" spans="1:7" ht="13.5" customHeight="1">
      <c r="A9" s="1369"/>
      <c r="B9" s="1368"/>
      <c r="C9" s="1627"/>
      <c r="D9" s="1366"/>
      <c r="E9" s="1364"/>
      <c r="F9" s="1604"/>
      <c r="G9" s="1603"/>
    </row>
    <row r="10" spans="1:7" ht="13.5" customHeight="1">
      <c r="A10" s="1369"/>
      <c r="B10" s="1368"/>
      <c r="C10" s="1605"/>
      <c r="D10" s="1366"/>
      <c r="E10" s="1364"/>
      <c r="F10" s="1604"/>
      <c r="G10" s="1603"/>
    </row>
    <row r="11" spans="1:7" ht="13.5" customHeight="1">
      <c r="A11" s="1369"/>
      <c r="B11" s="1368"/>
      <c r="C11" s="1605"/>
      <c r="D11" s="1366"/>
      <c r="E11" s="1364"/>
      <c r="F11" s="1604"/>
      <c r="G11" s="1603"/>
    </row>
    <row r="12" spans="1:7" ht="13.5" customHeight="1">
      <c r="A12" s="1369"/>
      <c r="B12" s="1368"/>
      <c r="C12" s="1605"/>
      <c r="D12" s="1366"/>
      <c r="E12" s="1364"/>
      <c r="F12" s="1604"/>
      <c r="G12" s="1603"/>
    </row>
    <row r="13" spans="1:7" ht="13.5" customHeight="1">
      <c r="A13" s="1369"/>
      <c r="B13" s="1368"/>
      <c r="C13" s="1605"/>
      <c r="D13" s="1366"/>
      <c r="E13" s="1364"/>
      <c r="F13" s="1604"/>
      <c r="G13" s="1603"/>
    </row>
    <row r="14" spans="1:7" ht="13.5" customHeight="1">
      <c r="A14" s="1369"/>
      <c r="B14" s="1368"/>
      <c r="C14" s="1605"/>
      <c r="D14" s="1366"/>
      <c r="E14" s="1364"/>
      <c r="F14" s="1604"/>
      <c r="G14" s="1603"/>
    </row>
    <row r="15" spans="1:7" ht="13.5" customHeight="1">
      <c r="A15" s="1369"/>
      <c r="B15" s="1368"/>
      <c r="C15" s="1605"/>
      <c r="D15" s="1366"/>
      <c r="E15" s="1364"/>
      <c r="F15" s="1604"/>
      <c r="G15" s="1603"/>
    </row>
    <row r="16" spans="1:7" ht="13.5" customHeight="1">
      <c r="A16" s="1369"/>
      <c r="B16" s="1368"/>
      <c r="C16" s="1605"/>
      <c r="D16" s="1366"/>
      <c r="E16" s="1364"/>
      <c r="F16" s="1604"/>
      <c r="G16" s="1603"/>
    </row>
    <row r="17" spans="1:7" ht="13.5" customHeight="1">
      <c r="A17" s="1369"/>
      <c r="B17" s="1368"/>
      <c r="C17" s="1605"/>
      <c r="D17" s="1366"/>
      <c r="E17" s="1364"/>
      <c r="F17" s="1604"/>
      <c r="G17" s="1603"/>
    </row>
    <row r="18" spans="1:7" ht="13.5" customHeight="1">
      <c r="A18" s="1369"/>
      <c r="B18" s="1368"/>
      <c r="C18" s="1605"/>
      <c r="D18" s="1366"/>
      <c r="E18" s="1364"/>
      <c r="F18" s="1604"/>
      <c r="G18" s="1603"/>
    </row>
    <row r="19" spans="1:7" ht="13.5" customHeight="1">
      <c r="A19" s="1369"/>
      <c r="B19" s="1368"/>
      <c r="C19" s="1605"/>
      <c r="D19" s="1366"/>
      <c r="E19" s="1364"/>
      <c r="F19" s="1604"/>
      <c r="G19" s="1603"/>
    </row>
    <row r="20" spans="1:7" ht="13.5" customHeight="1">
      <c r="A20" s="1369"/>
      <c r="B20" s="1368"/>
      <c r="C20" s="1605"/>
      <c r="D20" s="1366"/>
      <c r="E20" s="1364"/>
      <c r="F20" s="1604"/>
      <c r="G20" s="1603"/>
    </row>
    <row r="21" spans="1:7" ht="13.5" customHeight="1">
      <c r="A21" s="1369"/>
      <c r="B21" s="1368"/>
      <c r="C21" s="1605"/>
      <c r="D21" s="1366"/>
      <c r="E21" s="1364"/>
      <c r="F21" s="1604"/>
      <c r="G21" s="1603"/>
    </row>
    <row r="22" spans="1:7" ht="13.5" customHeight="1">
      <c r="A22" s="1369"/>
      <c r="B22" s="1368"/>
      <c r="C22" s="1605"/>
      <c r="D22" s="1366"/>
      <c r="E22" s="1364"/>
      <c r="F22" s="1604"/>
      <c r="G22" s="1603"/>
    </row>
    <row r="23" spans="1:7" ht="13.5" customHeight="1">
      <c r="A23" s="1369"/>
      <c r="B23" s="1368"/>
      <c r="C23" s="1605"/>
      <c r="D23" s="1366"/>
      <c r="E23" s="1364"/>
      <c r="F23" s="1604"/>
      <c r="G23" s="1603"/>
    </row>
    <row r="24" spans="1:7" ht="13.5" customHeight="1">
      <c r="A24" s="1369"/>
      <c r="B24" s="1368"/>
      <c r="C24" s="1605"/>
      <c r="D24" s="1366"/>
      <c r="E24" s="1364"/>
      <c r="F24" s="1604"/>
      <c r="G24" s="1603"/>
    </row>
    <row r="25" spans="1:7" ht="13.5" customHeight="1">
      <c r="A25" s="1369"/>
      <c r="B25" s="1368"/>
      <c r="C25" s="1605"/>
      <c r="D25" s="1366"/>
      <c r="E25" s="1364"/>
      <c r="F25" s="1604"/>
      <c r="G25" s="1603"/>
    </row>
    <row r="26" spans="1:7" ht="13.5" customHeight="1">
      <c r="A26" s="1369"/>
      <c r="B26" s="1368"/>
      <c r="C26" s="1605"/>
      <c r="D26" s="1366"/>
      <c r="E26" s="1364"/>
      <c r="F26" s="1604"/>
      <c r="G26" s="1603"/>
    </row>
    <row r="27" spans="1:7" ht="13.5" customHeight="1">
      <c r="A27" s="1369"/>
      <c r="B27" s="1368"/>
      <c r="C27" s="1605"/>
      <c r="D27" s="1366"/>
      <c r="E27" s="1364"/>
      <c r="F27" s="1604"/>
      <c r="G27" s="1603"/>
    </row>
    <row r="28" spans="1:7" ht="13.5" customHeight="1">
      <c r="A28" s="1369"/>
      <c r="B28" s="1368"/>
      <c r="C28" s="1605"/>
      <c r="D28" s="1366"/>
      <c r="E28" s="1364"/>
      <c r="F28" s="1604"/>
      <c r="G28" s="1603"/>
    </row>
    <row r="29" spans="1:7" ht="13.5" customHeight="1">
      <c r="A29" s="1369"/>
      <c r="B29" s="1368"/>
      <c r="C29" s="1605"/>
      <c r="D29" s="1366"/>
      <c r="E29" s="1364"/>
      <c r="F29" s="1604"/>
      <c r="G29" s="1603"/>
    </row>
    <row r="30" spans="1:7" ht="13.5" customHeight="1">
      <c r="A30" s="1369"/>
      <c r="B30" s="1368"/>
      <c r="C30" s="1605"/>
      <c r="D30" s="1366"/>
      <c r="E30" s="1364"/>
      <c r="F30" s="1604"/>
      <c r="G30" s="1603"/>
    </row>
    <row r="31" spans="1:7" ht="13.5" customHeight="1">
      <c r="A31" s="1369"/>
      <c r="B31" s="1368"/>
      <c r="C31" s="1605"/>
      <c r="D31" s="1366"/>
      <c r="E31" s="1364"/>
      <c r="F31" s="1604"/>
      <c r="G31" s="1603"/>
    </row>
    <row r="32" spans="1:7" ht="13.5" customHeight="1">
      <c r="A32" s="1369"/>
      <c r="B32" s="1368"/>
      <c r="C32" s="1605"/>
      <c r="D32" s="1366"/>
      <c r="E32" s="1364"/>
      <c r="F32" s="1604"/>
      <c r="G32" s="1603"/>
    </row>
    <row r="33" spans="1:7" ht="13.5" customHeight="1">
      <c r="A33" s="1369"/>
      <c r="B33" s="1368"/>
      <c r="C33" s="1605"/>
      <c r="D33" s="1366"/>
      <c r="E33" s="1364"/>
      <c r="F33" s="1604"/>
      <c r="G33" s="1603"/>
    </row>
    <row r="34" spans="1:7" ht="13.5" customHeight="1">
      <c r="A34" s="1369"/>
      <c r="B34" s="1368"/>
      <c r="C34" s="1605"/>
      <c r="D34" s="1366"/>
      <c r="E34" s="1364"/>
      <c r="F34" s="1604"/>
      <c r="G34" s="1603"/>
    </row>
    <row r="35" spans="1:7" ht="13.5" customHeight="1">
      <c r="A35" s="1369"/>
      <c r="B35" s="1368"/>
      <c r="C35" s="1605"/>
      <c r="D35" s="1366"/>
      <c r="E35" s="1364"/>
      <c r="F35" s="1604"/>
      <c r="G35" s="1603"/>
    </row>
    <row r="36" spans="1:7" ht="13.5" customHeight="1">
      <c r="A36" s="1369"/>
      <c r="B36" s="1368"/>
      <c r="C36" s="1605"/>
      <c r="D36" s="1366"/>
      <c r="E36" s="1364"/>
      <c r="F36" s="1604"/>
      <c r="G36" s="1603"/>
    </row>
    <row r="37" spans="1:7" ht="13.5" customHeight="1" thickBot="1">
      <c r="A37" s="1434"/>
      <c r="B37" s="1435"/>
      <c r="C37" s="1629"/>
      <c r="D37" s="1437"/>
      <c r="E37" s="1439"/>
      <c r="F37" s="1630"/>
      <c r="G37" s="1631"/>
    </row>
    <row r="38" spans="1:7" ht="18.95" customHeight="1" thickTop="1" thickBot="1">
      <c r="A38" s="1681" t="s">
        <v>1274</v>
      </c>
      <c r="B38" s="1674"/>
      <c r="C38" s="1675"/>
      <c r="D38" s="1682">
        <v>13</v>
      </c>
      <c r="E38" s="1718">
        <v>2027</v>
      </c>
      <c r="F38" s="1684">
        <v>1931</v>
      </c>
      <c r="G38" s="1719"/>
    </row>
    <row r="39" spans="1:7" ht="13.5" customHeight="1" thickTop="1">
      <c r="A39" s="1681" t="s">
        <v>1247</v>
      </c>
      <c r="B39" s="1674"/>
      <c r="C39" s="1675"/>
      <c r="D39" s="1682">
        <v>13</v>
      </c>
      <c r="E39" s="1718">
        <v>2</v>
      </c>
      <c r="F39" s="1684">
        <v>2</v>
      </c>
      <c r="G39" s="1686"/>
    </row>
    <row r="40" spans="1:7" ht="13.5" customHeight="1">
      <c r="A40" s="1687" t="s">
        <v>1248</v>
      </c>
      <c r="B40" s="1628"/>
      <c r="C40" s="1688"/>
      <c r="D40" s="1689">
        <v>13</v>
      </c>
      <c r="E40" s="1720">
        <v>156</v>
      </c>
      <c r="F40" s="1691">
        <v>149</v>
      </c>
      <c r="G40" s="1692"/>
    </row>
    <row r="46" spans="1:7" s="1351" customFormat="1" ht="13.5" customHeight="1">
      <c r="C46" s="1464"/>
      <c r="D46" s="1464"/>
      <c r="E46" s="1464"/>
      <c r="F46" s="1352"/>
    </row>
    <row r="47" spans="1:7" s="1351" customFormat="1" ht="13.5" customHeight="1">
      <c r="C47" s="1464"/>
      <c r="D47" s="1464"/>
      <c r="E47" s="1464"/>
      <c r="F47" s="1352"/>
    </row>
    <row r="48" spans="1:7" s="1351" customFormat="1" ht="13.5" customHeight="1">
      <c r="C48" s="1464"/>
      <c r="D48" s="1464"/>
      <c r="E48" s="1464"/>
      <c r="F48" s="1352"/>
    </row>
    <row r="49" spans="3:5" s="1351" customFormat="1" ht="13.5" customHeight="1">
      <c r="C49" s="1353"/>
      <c r="D49" s="1353"/>
      <c r="E49" s="1353"/>
    </row>
  </sheetData>
  <mergeCells count="11">
    <mergeCell ref="A6:C6"/>
    <mergeCell ref="A8:C8"/>
    <mergeCell ref="A38:C38"/>
    <mergeCell ref="A39:C39"/>
    <mergeCell ref="A40:C40"/>
    <mergeCell ref="A4:A5"/>
    <mergeCell ref="B4:B5"/>
    <mergeCell ref="C4:C5"/>
    <mergeCell ref="D4:D5"/>
    <mergeCell ref="E4:F4"/>
    <mergeCell ref="G4:G5"/>
  </mergeCells>
  <phoneticPr fontId="4"/>
  <printOptions horizontalCentered="1"/>
  <pageMargins left="0.39370078740157483" right="0.39370078740157483" top="0.78740157480314965" bottom="0.55118110236220474" header="0.59055118110236227" footer="0.31496062992125984"/>
  <pageSetup paperSize="9" scale="87" orientation="landscape" horizontalDpi="1200" verticalDpi="1200" r:id="rId1"/>
  <headerFooter scaleWithDoc="0" alignWithMargins="0">
    <oddFooter>&amp;C&amp;"ＭＳ Ｐゴシック,標準"&amp;9( &amp;P / &amp;N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R51"/>
  <sheetViews>
    <sheetView showGridLines="0" zoomScale="80" zoomScaleNormal="80" workbookViewId="0">
      <pane xSplit="4" ySplit="6" topLeftCell="E7" activePane="bottomRight" state="frozenSplit"/>
      <selection pane="topRight"/>
      <selection pane="bottomLeft"/>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5" width="13.5703125" style="1351" bestFit="1" customWidth="1"/>
    <col min="6" max="6" width="7.7109375" style="1351" customWidth="1"/>
    <col min="7" max="8" width="10.7109375" style="1351" customWidth="1"/>
    <col min="9" max="17" width="7.7109375" style="1351" customWidth="1"/>
    <col min="18" max="18" width="14.7109375" style="1351" customWidth="1"/>
    <col min="19" max="16384" width="9.140625" style="1458"/>
  </cols>
  <sheetData>
    <row r="1" spans="1:18" s="1740" customFormat="1" ht="21" customHeight="1">
      <c r="A1" s="1429" t="s">
        <v>1290</v>
      </c>
      <c r="B1" s="1428"/>
      <c r="C1" s="1427"/>
      <c r="D1" s="1426"/>
      <c r="E1" s="1425"/>
      <c r="F1" s="1425"/>
      <c r="G1" s="1425"/>
      <c r="H1" s="1425"/>
      <c r="I1" s="1425"/>
      <c r="J1" s="1425"/>
      <c r="K1" s="1425"/>
      <c r="L1" s="1425"/>
      <c r="M1" s="1425"/>
      <c r="N1" s="1425"/>
      <c r="O1" s="1425"/>
      <c r="P1" s="1425"/>
      <c r="Q1" s="1425"/>
      <c r="R1" s="1741"/>
    </row>
    <row r="4" spans="1:18" ht="13.5" customHeight="1">
      <c r="A4" s="1415" t="s">
        <v>394</v>
      </c>
      <c r="B4" s="1414" t="s">
        <v>370</v>
      </c>
      <c r="C4" s="1614" t="s">
        <v>1254</v>
      </c>
      <c r="D4" s="1739" t="s">
        <v>1249</v>
      </c>
      <c r="E4" s="1410" t="s">
        <v>1289</v>
      </c>
      <c r="F4" s="1409"/>
      <c r="G4" s="1409"/>
      <c r="H4" s="1409"/>
      <c r="I4" s="1411"/>
      <c r="J4" s="1410" t="s">
        <v>1288</v>
      </c>
      <c r="K4" s="1409"/>
      <c r="L4" s="1409"/>
      <c r="M4" s="1409"/>
      <c r="N4" s="1409"/>
      <c r="O4" s="1409"/>
      <c r="P4" s="1409"/>
      <c r="Q4" s="1411"/>
      <c r="R4" s="1738" t="s">
        <v>1235</v>
      </c>
    </row>
    <row r="5" spans="1:18" ht="13.5" customHeight="1">
      <c r="A5" s="1396"/>
      <c r="B5" s="1395"/>
      <c r="C5" s="1624"/>
      <c r="D5" s="1728"/>
      <c r="E5" s="1737" t="s">
        <v>1287</v>
      </c>
      <c r="F5" s="1736" t="s">
        <v>1286</v>
      </c>
      <c r="G5" s="1736" t="s">
        <v>1285</v>
      </c>
      <c r="H5" s="1736" t="s">
        <v>1284</v>
      </c>
      <c r="I5" s="1735" t="s">
        <v>1283</v>
      </c>
      <c r="J5" s="1734" t="s">
        <v>36</v>
      </c>
      <c r="K5" s="1733"/>
      <c r="L5" s="1733"/>
      <c r="M5" s="1732"/>
      <c r="N5" s="1731" t="s">
        <v>47</v>
      </c>
      <c r="O5" s="1730"/>
      <c r="P5" s="1730"/>
      <c r="Q5" s="1729"/>
      <c r="R5" s="1725"/>
    </row>
    <row r="6" spans="1:18" ht="33.75">
      <c r="A6" s="1396"/>
      <c r="B6" s="1395"/>
      <c r="C6" s="1624"/>
      <c r="D6" s="1728"/>
      <c r="E6" s="1742"/>
      <c r="F6" s="1394"/>
      <c r="G6" s="1394"/>
      <c r="H6" s="1394"/>
      <c r="I6" s="1625"/>
      <c r="J6" s="1727" t="s">
        <v>1282</v>
      </c>
      <c r="K6" s="1727" t="s">
        <v>1281</v>
      </c>
      <c r="L6" s="1727" t="s">
        <v>1280</v>
      </c>
      <c r="M6" s="1726" t="s">
        <v>1279</v>
      </c>
      <c r="N6" s="1727" t="s">
        <v>1282</v>
      </c>
      <c r="O6" s="1727" t="s">
        <v>1281</v>
      </c>
      <c r="P6" s="1727" t="s">
        <v>1280</v>
      </c>
      <c r="Q6" s="1726" t="s">
        <v>1279</v>
      </c>
      <c r="R6" s="1725"/>
    </row>
    <row r="7" spans="1:18" ht="13.5" customHeight="1">
      <c r="A7" s="1641" t="s">
        <v>1256</v>
      </c>
      <c r="B7" s="1642"/>
      <c r="C7" s="1643"/>
      <c r="D7" s="1636"/>
      <c r="E7" s="1743"/>
      <c r="F7" s="1744"/>
      <c r="G7" s="1744"/>
      <c r="H7" s="1744"/>
      <c r="I7" s="1635"/>
      <c r="J7" s="1745"/>
      <c r="K7" s="1745"/>
      <c r="L7" s="1745"/>
      <c r="M7" s="1746"/>
      <c r="N7" s="1745"/>
      <c r="O7" s="1745"/>
      <c r="P7" s="1745"/>
      <c r="Q7" s="1746"/>
      <c r="R7" s="1747"/>
    </row>
    <row r="8" spans="1:18" ht="13.5" customHeight="1" thickBot="1">
      <c r="A8" s="1434">
        <v>2</v>
      </c>
      <c r="B8" s="1435">
        <v>209</v>
      </c>
      <c r="C8" s="1654" t="s">
        <v>949</v>
      </c>
      <c r="D8" s="1437">
        <v>71.19</v>
      </c>
      <c r="E8" s="1748" t="s">
        <v>1291</v>
      </c>
      <c r="F8" s="1749">
        <v>60</v>
      </c>
      <c r="G8" s="1749"/>
      <c r="H8" s="1749"/>
      <c r="I8" s="1654"/>
      <c r="J8" s="1750">
        <v>1.2</v>
      </c>
      <c r="K8" s="1750">
        <v>2</v>
      </c>
      <c r="L8" s="1750"/>
      <c r="M8" s="1751"/>
      <c r="N8" s="1750">
        <v>0.7</v>
      </c>
      <c r="O8" s="1750">
        <v>1.2</v>
      </c>
      <c r="P8" s="1750"/>
      <c r="Q8" s="1751"/>
      <c r="R8" s="1545"/>
    </row>
    <row r="9" spans="1:18" ht="13.5" customHeight="1" thickTop="1">
      <c r="A9" s="1651" t="s">
        <v>1258</v>
      </c>
      <c r="B9" s="1652"/>
      <c r="C9" s="1653"/>
      <c r="D9" s="1647">
        <v>71.19</v>
      </c>
      <c r="E9" s="1752"/>
      <c r="F9" s="1646"/>
      <c r="G9" s="1646"/>
      <c r="H9" s="1646"/>
      <c r="I9" s="1646"/>
      <c r="J9" s="1753">
        <v>1.2</v>
      </c>
      <c r="K9" s="1754">
        <v>2</v>
      </c>
      <c r="L9" s="1754">
        <v>0</v>
      </c>
      <c r="M9" s="1754">
        <v>0</v>
      </c>
      <c r="N9" s="1753">
        <v>0.7</v>
      </c>
      <c r="O9" s="1754">
        <v>1.2</v>
      </c>
      <c r="P9" s="1754">
        <v>0</v>
      </c>
      <c r="Q9" s="1754">
        <v>0</v>
      </c>
      <c r="R9" s="1755"/>
    </row>
    <row r="10" spans="1:18" ht="13.5" customHeight="1">
      <c r="A10" s="1434"/>
      <c r="B10" s="1435"/>
      <c r="C10" s="1654"/>
      <c r="D10" s="1437"/>
      <c r="E10" s="1748"/>
      <c r="F10" s="1749"/>
      <c r="G10" s="1749"/>
      <c r="H10" s="1749"/>
      <c r="I10" s="1654"/>
      <c r="J10" s="1750"/>
      <c r="K10" s="1750"/>
      <c r="L10" s="1750"/>
      <c r="M10" s="1751"/>
      <c r="N10" s="1750"/>
      <c r="O10" s="1750"/>
      <c r="P10" s="1750"/>
      <c r="Q10" s="1751"/>
      <c r="R10" s="1545"/>
    </row>
    <row r="11" spans="1:18" ht="13.5" customHeight="1">
      <c r="A11" s="1641" t="s">
        <v>1268</v>
      </c>
      <c r="B11" s="1642"/>
      <c r="C11" s="1643"/>
      <c r="D11" s="1636"/>
      <c r="E11" s="1743"/>
      <c r="F11" s="1744"/>
      <c r="G11" s="1744"/>
      <c r="H11" s="1744"/>
      <c r="I11" s="1635"/>
      <c r="J11" s="1745"/>
      <c r="K11" s="1745"/>
      <c r="L11" s="1745"/>
      <c r="M11" s="1746"/>
      <c r="N11" s="1745"/>
      <c r="O11" s="1745"/>
      <c r="P11" s="1745"/>
      <c r="Q11" s="1746"/>
      <c r="R11" s="1747"/>
    </row>
    <row r="12" spans="1:18" ht="13.5" customHeight="1" thickBot="1">
      <c r="A12" s="1434" t="s">
        <v>362</v>
      </c>
      <c r="B12" s="1435" t="s">
        <v>361</v>
      </c>
      <c r="C12" s="1654" t="s">
        <v>363</v>
      </c>
      <c r="D12" s="1437">
        <v>13</v>
      </c>
      <c r="E12" s="1748" t="s">
        <v>1291</v>
      </c>
      <c r="F12" s="1749">
        <v>60</v>
      </c>
      <c r="G12" s="1749"/>
      <c r="H12" s="1749"/>
      <c r="I12" s="1654"/>
      <c r="J12" s="1750">
        <v>0.1</v>
      </c>
      <c r="K12" s="1750">
        <v>0.2</v>
      </c>
      <c r="L12" s="1750"/>
      <c r="M12" s="1751"/>
      <c r="N12" s="1750">
        <v>0.1</v>
      </c>
      <c r="O12" s="1750">
        <v>0.2</v>
      </c>
      <c r="P12" s="1750"/>
      <c r="Q12" s="1751"/>
      <c r="R12" s="1545"/>
    </row>
    <row r="13" spans="1:18" ht="13.5" customHeight="1" thickTop="1">
      <c r="A13" s="1651" t="s">
        <v>1269</v>
      </c>
      <c r="B13" s="1652"/>
      <c r="C13" s="1653"/>
      <c r="D13" s="1647">
        <v>13</v>
      </c>
      <c r="E13" s="1752"/>
      <c r="F13" s="1646"/>
      <c r="G13" s="1646"/>
      <c r="H13" s="1646"/>
      <c r="I13" s="1646"/>
      <c r="J13" s="1753">
        <v>0.1</v>
      </c>
      <c r="K13" s="1754">
        <v>0.2</v>
      </c>
      <c r="L13" s="1754">
        <v>0</v>
      </c>
      <c r="M13" s="1754">
        <v>0</v>
      </c>
      <c r="N13" s="1753">
        <v>0.1</v>
      </c>
      <c r="O13" s="1754">
        <v>0.2</v>
      </c>
      <c r="P13" s="1754">
        <v>0</v>
      </c>
      <c r="Q13" s="1754">
        <v>0</v>
      </c>
      <c r="R13" s="1755"/>
    </row>
    <row r="14" spans="1:18" ht="13.5" customHeight="1">
      <c r="A14" s="1369"/>
      <c r="B14" s="1368"/>
      <c r="C14" s="1627"/>
      <c r="D14" s="1366"/>
      <c r="E14" s="1724"/>
      <c r="F14" s="1723"/>
      <c r="G14" s="1723"/>
      <c r="H14" s="1723"/>
      <c r="I14" s="1627"/>
      <c r="J14" s="1722"/>
      <c r="K14" s="1722"/>
      <c r="L14" s="1722"/>
      <c r="M14" s="1721"/>
      <c r="N14" s="1722"/>
      <c r="O14" s="1722"/>
      <c r="P14" s="1722"/>
      <c r="Q14" s="1721"/>
      <c r="R14" s="1465"/>
    </row>
    <row r="15" spans="1:18" ht="13.5" customHeight="1">
      <c r="A15" s="1369"/>
      <c r="B15" s="1368"/>
      <c r="C15" s="1605"/>
      <c r="D15" s="1366"/>
      <c r="E15" s="1724"/>
      <c r="F15" s="1723"/>
      <c r="G15" s="1723"/>
      <c r="H15" s="1723"/>
      <c r="I15" s="1627"/>
      <c r="J15" s="1722"/>
      <c r="K15" s="1722"/>
      <c r="L15" s="1722"/>
      <c r="M15" s="1721"/>
      <c r="N15" s="1722"/>
      <c r="O15" s="1722"/>
      <c r="P15" s="1722"/>
      <c r="Q15" s="1721"/>
      <c r="R15" s="1465"/>
    </row>
    <row r="16" spans="1:18" ht="13.5" customHeight="1">
      <c r="A16" s="1369"/>
      <c r="B16" s="1368"/>
      <c r="C16" s="1605"/>
      <c r="D16" s="1366"/>
      <c r="E16" s="1724"/>
      <c r="F16" s="1723"/>
      <c r="G16" s="1723"/>
      <c r="H16" s="1723"/>
      <c r="I16" s="1627"/>
      <c r="J16" s="1722"/>
      <c r="K16" s="1722"/>
      <c r="L16" s="1722"/>
      <c r="M16" s="1721"/>
      <c r="N16" s="1722"/>
      <c r="O16" s="1722"/>
      <c r="P16" s="1722"/>
      <c r="Q16" s="1721"/>
      <c r="R16" s="1465"/>
    </row>
    <row r="17" spans="1:18" ht="13.5" customHeight="1">
      <c r="A17" s="1369"/>
      <c r="B17" s="1368"/>
      <c r="C17" s="1605"/>
      <c r="D17" s="1366"/>
      <c r="E17" s="1724"/>
      <c r="F17" s="1723"/>
      <c r="G17" s="1723"/>
      <c r="H17" s="1723"/>
      <c r="I17" s="1627"/>
      <c r="J17" s="1722"/>
      <c r="K17" s="1722"/>
      <c r="L17" s="1722"/>
      <c r="M17" s="1721"/>
      <c r="N17" s="1722"/>
      <c r="O17" s="1722"/>
      <c r="P17" s="1722"/>
      <c r="Q17" s="1721"/>
      <c r="R17" s="1465"/>
    </row>
    <row r="18" spans="1:18" ht="13.5" customHeight="1">
      <c r="A18" s="1369"/>
      <c r="B18" s="1368"/>
      <c r="C18" s="1605"/>
      <c r="D18" s="1366"/>
      <c r="E18" s="1724"/>
      <c r="F18" s="1723"/>
      <c r="G18" s="1723"/>
      <c r="H18" s="1723"/>
      <c r="I18" s="1627"/>
      <c r="J18" s="1722"/>
      <c r="K18" s="1722"/>
      <c r="L18" s="1722"/>
      <c r="M18" s="1721"/>
      <c r="N18" s="1722"/>
      <c r="O18" s="1722"/>
      <c r="P18" s="1722"/>
      <c r="Q18" s="1721"/>
      <c r="R18" s="1465"/>
    </row>
    <row r="19" spans="1:18" ht="13.5" customHeight="1">
      <c r="A19" s="1369"/>
      <c r="B19" s="1368"/>
      <c r="C19" s="1605"/>
      <c r="D19" s="1366"/>
      <c r="E19" s="1724"/>
      <c r="F19" s="1723"/>
      <c r="G19" s="1723"/>
      <c r="H19" s="1723"/>
      <c r="I19" s="1627"/>
      <c r="J19" s="1722"/>
      <c r="K19" s="1722"/>
      <c r="L19" s="1722"/>
      <c r="M19" s="1721"/>
      <c r="N19" s="1722"/>
      <c r="O19" s="1722"/>
      <c r="P19" s="1722"/>
      <c r="Q19" s="1721"/>
      <c r="R19" s="1465"/>
    </row>
    <row r="20" spans="1:18" ht="13.5" customHeight="1">
      <c r="A20" s="1369"/>
      <c r="B20" s="1368"/>
      <c r="C20" s="1605"/>
      <c r="D20" s="1366"/>
      <c r="E20" s="1724"/>
      <c r="F20" s="1723"/>
      <c r="G20" s="1723"/>
      <c r="H20" s="1723"/>
      <c r="I20" s="1627"/>
      <c r="J20" s="1722"/>
      <c r="K20" s="1722"/>
      <c r="L20" s="1722"/>
      <c r="M20" s="1721"/>
      <c r="N20" s="1722"/>
      <c r="O20" s="1722"/>
      <c r="P20" s="1722"/>
      <c r="Q20" s="1721"/>
      <c r="R20" s="1465"/>
    </row>
    <row r="21" spans="1:18" ht="13.5" customHeight="1">
      <c r="A21" s="1369"/>
      <c r="B21" s="1368"/>
      <c r="C21" s="1605"/>
      <c r="D21" s="1366"/>
      <c r="E21" s="1724"/>
      <c r="F21" s="1723"/>
      <c r="G21" s="1723"/>
      <c r="H21" s="1723"/>
      <c r="I21" s="1627"/>
      <c r="J21" s="1722"/>
      <c r="K21" s="1722"/>
      <c r="L21" s="1722"/>
      <c r="M21" s="1721"/>
      <c r="N21" s="1722"/>
      <c r="O21" s="1722"/>
      <c r="P21" s="1722"/>
      <c r="Q21" s="1721"/>
      <c r="R21" s="1465"/>
    </row>
    <row r="22" spans="1:18" ht="13.5" customHeight="1">
      <c r="A22" s="1369"/>
      <c r="B22" s="1368"/>
      <c r="C22" s="1605"/>
      <c r="D22" s="1366"/>
      <c r="E22" s="1724"/>
      <c r="F22" s="1723"/>
      <c r="G22" s="1723"/>
      <c r="H22" s="1723"/>
      <c r="I22" s="1627"/>
      <c r="J22" s="1722"/>
      <c r="K22" s="1722"/>
      <c r="L22" s="1722"/>
      <c r="M22" s="1721"/>
      <c r="N22" s="1722"/>
      <c r="O22" s="1722"/>
      <c r="P22" s="1722"/>
      <c r="Q22" s="1721"/>
      <c r="R22" s="1465"/>
    </row>
    <row r="23" spans="1:18" ht="13.5" customHeight="1">
      <c r="A23" s="1369"/>
      <c r="B23" s="1368"/>
      <c r="C23" s="1605"/>
      <c r="D23" s="1366"/>
      <c r="E23" s="1724"/>
      <c r="F23" s="1723"/>
      <c r="G23" s="1723"/>
      <c r="H23" s="1723"/>
      <c r="I23" s="1627"/>
      <c r="J23" s="1722"/>
      <c r="K23" s="1722"/>
      <c r="L23" s="1722"/>
      <c r="M23" s="1721"/>
      <c r="N23" s="1722"/>
      <c r="O23" s="1722"/>
      <c r="P23" s="1722"/>
      <c r="Q23" s="1721"/>
      <c r="R23" s="1465"/>
    </row>
    <row r="24" spans="1:18" ht="13.5" customHeight="1">
      <c r="A24" s="1369"/>
      <c r="B24" s="1368"/>
      <c r="C24" s="1605"/>
      <c r="D24" s="1366"/>
      <c r="E24" s="1724"/>
      <c r="F24" s="1723"/>
      <c r="G24" s="1723"/>
      <c r="H24" s="1723"/>
      <c r="I24" s="1627"/>
      <c r="J24" s="1722"/>
      <c r="K24" s="1722"/>
      <c r="L24" s="1722"/>
      <c r="M24" s="1721"/>
      <c r="N24" s="1722"/>
      <c r="O24" s="1722"/>
      <c r="P24" s="1722"/>
      <c r="Q24" s="1721"/>
      <c r="R24" s="1465"/>
    </row>
    <row r="25" spans="1:18" ht="13.5" customHeight="1">
      <c r="A25" s="1369"/>
      <c r="B25" s="1368"/>
      <c r="C25" s="1605"/>
      <c r="D25" s="1366"/>
      <c r="E25" s="1724"/>
      <c r="F25" s="1723"/>
      <c r="G25" s="1723"/>
      <c r="H25" s="1723"/>
      <c r="I25" s="1627"/>
      <c r="J25" s="1722"/>
      <c r="K25" s="1722"/>
      <c r="L25" s="1722"/>
      <c r="M25" s="1721"/>
      <c r="N25" s="1722"/>
      <c r="O25" s="1722"/>
      <c r="P25" s="1722"/>
      <c r="Q25" s="1721"/>
      <c r="R25" s="1465"/>
    </row>
    <row r="26" spans="1:18" ht="13.5" customHeight="1">
      <c r="A26" s="1369"/>
      <c r="B26" s="1368"/>
      <c r="C26" s="1605"/>
      <c r="D26" s="1366"/>
      <c r="E26" s="1724"/>
      <c r="F26" s="1723"/>
      <c r="G26" s="1723"/>
      <c r="H26" s="1723"/>
      <c r="I26" s="1627"/>
      <c r="J26" s="1722"/>
      <c r="K26" s="1722"/>
      <c r="L26" s="1722"/>
      <c r="M26" s="1721"/>
      <c r="N26" s="1722"/>
      <c r="O26" s="1722"/>
      <c r="P26" s="1722"/>
      <c r="Q26" s="1721"/>
      <c r="R26" s="1465"/>
    </row>
    <row r="27" spans="1:18" ht="13.5" customHeight="1">
      <c r="A27" s="1369"/>
      <c r="B27" s="1368"/>
      <c r="C27" s="1605"/>
      <c r="D27" s="1366"/>
      <c r="E27" s="1724"/>
      <c r="F27" s="1723"/>
      <c r="G27" s="1723"/>
      <c r="H27" s="1723"/>
      <c r="I27" s="1627"/>
      <c r="J27" s="1722"/>
      <c r="K27" s="1722"/>
      <c r="L27" s="1722"/>
      <c r="M27" s="1721"/>
      <c r="N27" s="1722"/>
      <c r="O27" s="1722"/>
      <c r="P27" s="1722"/>
      <c r="Q27" s="1721"/>
      <c r="R27" s="1465"/>
    </row>
    <row r="28" spans="1:18" ht="13.5" customHeight="1">
      <c r="A28" s="1369"/>
      <c r="B28" s="1368"/>
      <c r="C28" s="1605"/>
      <c r="D28" s="1366"/>
      <c r="E28" s="1724"/>
      <c r="F28" s="1723"/>
      <c r="G28" s="1723"/>
      <c r="H28" s="1723"/>
      <c r="I28" s="1627"/>
      <c r="J28" s="1722"/>
      <c r="K28" s="1722"/>
      <c r="L28" s="1722"/>
      <c r="M28" s="1721"/>
      <c r="N28" s="1722"/>
      <c r="O28" s="1722"/>
      <c r="P28" s="1722"/>
      <c r="Q28" s="1721"/>
      <c r="R28" s="1465"/>
    </row>
    <row r="29" spans="1:18" ht="13.5" customHeight="1">
      <c r="A29" s="1369"/>
      <c r="B29" s="1368"/>
      <c r="C29" s="1605"/>
      <c r="D29" s="1366"/>
      <c r="E29" s="1724"/>
      <c r="F29" s="1723"/>
      <c r="G29" s="1723"/>
      <c r="H29" s="1723"/>
      <c r="I29" s="1627"/>
      <c r="J29" s="1722"/>
      <c r="K29" s="1722"/>
      <c r="L29" s="1722"/>
      <c r="M29" s="1721"/>
      <c r="N29" s="1722"/>
      <c r="O29" s="1722"/>
      <c r="P29" s="1722"/>
      <c r="Q29" s="1721"/>
      <c r="R29" s="1465"/>
    </row>
    <row r="30" spans="1:18" ht="13.5" customHeight="1">
      <c r="A30" s="1369"/>
      <c r="B30" s="1368"/>
      <c r="C30" s="1605"/>
      <c r="D30" s="1366"/>
      <c r="E30" s="1724"/>
      <c r="F30" s="1723"/>
      <c r="G30" s="1723"/>
      <c r="H30" s="1723"/>
      <c r="I30" s="1627"/>
      <c r="J30" s="1722"/>
      <c r="K30" s="1722"/>
      <c r="L30" s="1722"/>
      <c r="M30" s="1721"/>
      <c r="N30" s="1722"/>
      <c r="O30" s="1722"/>
      <c r="P30" s="1722"/>
      <c r="Q30" s="1721"/>
      <c r="R30" s="1465"/>
    </row>
    <row r="31" spans="1:18" ht="13.5" customHeight="1">
      <c r="A31" s="1369"/>
      <c r="B31" s="1368"/>
      <c r="C31" s="1605"/>
      <c r="D31" s="1366"/>
      <c r="E31" s="1724"/>
      <c r="F31" s="1723"/>
      <c r="G31" s="1723"/>
      <c r="H31" s="1723"/>
      <c r="I31" s="1627"/>
      <c r="J31" s="1722"/>
      <c r="K31" s="1722"/>
      <c r="L31" s="1722"/>
      <c r="M31" s="1721"/>
      <c r="N31" s="1722"/>
      <c r="O31" s="1722"/>
      <c r="P31" s="1722"/>
      <c r="Q31" s="1721"/>
      <c r="R31" s="1465"/>
    </row>
    <row r="32" spans="1:18" ht="13.5" customHeight="1">
      <c r="A32" s="1369"/>
      <c r="B32" s="1368"/>
      <c r="C32" s="1605"/>
      <c r="D32" s="1366"/>
      <c r="E32" s="1724"/>
      <c r="F32" s="1723"/>
      <c r="G32" s="1723"/>
      <c r="H32" s="1723"/>
      <c r="I32" s="1627"/>
      <c r="J32" s="1722"/>
      <c r="K32" s="1722"/>
      <c r="L32" s="1722"/>
      <c r="M32" s="1721"/>
      <c r="N32" s="1722"/>
      <c r="O32" s="1722"/>
      <c r="P32" s="1722"/>
      <c r="Q32" s="1721"/>
      <c r="R32" s="1465"/>
    </row>
    <row r="33" spans="1:18" ht="13.5" customHeight="1">
      <c r="A33" s="1369"/>
      <c r="B33" s="1368"/>
      <c r="C33" s="1605"/>
      <c r="D33" s="1366"/>
      <c r="E33" s="1724"/>
      <c r="F33" s="1723"/>
      <c r="G33" s="1723"/>
      <c r="H33" s="1723"/>
      <c r="I33" s="1627"/>
      <c r="J33" s="1722"/>
      <c r="K33" s="1722"/>
      <c r="L33" s="1722"/>
      <c r="M33" s="1721"/>
      <c r="N33" s="1722"/>
      <c r="O33" s="1722"/>
      <c r="P33" s="1722"/>
      <c r="Q33" s="1721"/>
      <c r="R33" s="1465"/>
    </row>
    <row r="34" spans="1:18" ht="13.5" customHeight="1">
      <c r="A34" s="1369"/>
      <c r="B34" s="1368"/>
      <c r="C34" s="1605"/>
      <c r="D34" s="1366"/>
      <c r="E34" s="1724"/>
      <c r="F34" s="1723"/>
      <c r="G34" s="1723"/>
      <c r="H34" s="1723"/>
      <c r="I34" s="1627"/>
      <c r="J34" s="1722"/>
      <c r="K34" s="1722"/>
      <c r="L34" s="1722"/>
      <c r="M34" s="1721"/>
      <c r="N34" s="1722"/>
      <c r="O34" s="1722"/>
      <c r="P34" s="1722"/>
      <c r="Q34" s="1721"/>
      <c r="R34" s="1465"/>
    </row>
    <row r="35" spans="1:18" ht="13.5" customHeight="1">
      <c r="A35" s="1369"/>
      <c r="B35" s="1368"/>
      <c r="C35" s="1605"/>
      <c r="D35" s="1366"/>
      <c r="E35" s="1724"/>
      <c r="F35" s="1723"/>
      <c r="G35" s="1723"/>
      <c r="H35" s="1723"/>
      <c r="I35" s="1627"/>
      <c r="J35" s="1722"/>
      <c r="K35" s="1722"/>
      <c r="L35" s="1722"/>
      <c r="M35" s="1721"/>
      <c r="N35" s="1722"/>
      <c r="O35" s="1722"/>
      <c r="P35" s="1722"/>
      <c r="Q35" s="1721"/>
      <c r="R35" s="1465"/>
    </row>
    <row r="36" spans="1:18" ht="13.5" customHeight="1">
      <c r="A36" s="1369"/>
      <c r="B36" s="1368"/>
      <c r="C36" s="1605"/>
      <c r="D36" s="1366"/>
      <c r="E36" s="1724"/>
      <c r="F36" s="1723"/>
      <c r="G36" s="1723"/>
      <c r="H36" s="1723"/>
      <c r="I36" s="1627"/>
      <c r="J36" s="1722"/>
      <c r="K36" s="1722"/>
      <c r="L36" s="1722"/>
      <c r="M36" s="1721"/>
      <c r="N36" s="1722"/>
      <c r="O36" s="1722"/>
      <c r="P36" s="1722"/>
      <c r="Q36" s="1721"/>
      <c r="R36" s="1465"/>
    </row>
    <row r="37" spans="1:18" ht="13.5" customHeight="1">
      <c r="A37" s="1369"/>
      <c r="B37" s="1368"/>
      <c r="C37" s="1605"/>
      <c r="D37" s="1366"/>
      <c r="E37" s="1724"/>
      <c r="F37" s="1723"/>
      <c r="G37" s="1723"/>
      <c r="H37" s="1723"/>
      <c r="I37" s="1627"/>
      <c r="J37" s="1722"/>
      <c r="K37" s="1722"/>
      <c r="L37" s="1722"/>
      <c r="M37" s="1721"/>
      <c r="N37" s="1722"/>
      <c r="O37" s="1722"/>
      <c r="P37" s="1722"/>
      <c r="Q37" s="1721"/>
      <c r="R37" s="1465"/>
    </row>
    <row r="38" spans="1:18" ht="13.5" customHeight="1" thickBot="1">
      <c r="A38" s="1434"/>
      <c r="B38" s="1435"/>
      <c r="C38" s="1629"/>
      <c r="D38" s="1437"/>
      <c r="E38" s="1748"/>
      <c r="F38" s="1749"/>
      <c r="G38" s="1749"/>
      <c r="H38" s="1749"/>
      <c r="I38" s="1654"/>
      <c r="J38" s="1750"/>
      <c r="K38" s="1750"/>
      <c r="L38" s="1750"/>
      <c r="M38" s="1751"/>
      <c r="N38" s="1750"/>
      <c r="O38" s="1750"/>
      <c r="P38" s="1750"/>
      <c r="Q38" s="1751"/>
      <c r="R38" s="1545"/>
    </row>
    <row r="39" spans="1:18" ht="18.95" customHeight="1" thickTop="1">
      <c r="A39" s="1681" t="s">
        <v>1274</v>
      </c>
      <c r="B39" s="1674"/>
      <c r="C39" s="1675"/>
      <c r="D39" s="1682">
        <v>84.19</v>
      </c>
      <c r="E39" s="1756"/>
      <c r="F39" s="1757"/>
      <c r="G39" s="1757"/>
      <c r="H39" s="1757"/>
      <c r="I39" s="1757"/>
      <c r="J39" s="1758">
        <v>1.3</v>
      </c>
      <c r="K39" s="1759">
        <v>2.2000000000000002</v>
      </c>
      <c r="L39" s="1760">
        <v>0</v>
      </c>
      <c r="M39" s="1760">
        <v>0</v>
      </c>
      <c r="N39" s="1756">
        <v>0.79999999999999993</v>
      </c>
      <c r="O39" s="1760">
        <v>1.4</v>
      </c>
      <c r="P39" s="1760">
        <v>0</v>
      </c>
      <c r="Q39" s="1760">
        <v>0</v>
      </c>
      <c r="R39" s="1761"/>
    </row>
    <row r="40" spans="1:18" ht="13.5" customHeight="1">
      <c r="A40" s="1687" t="s">
        <v>1292</v>
      </c>
      <c r="B40" s="1628"/>
      <c r="C40" s="1688"/>
      <c r="D40" s="1689">
        <v>84.19</v>
      </c>
      <c r="E40" s="1762"/>
      <c r="F40" s="1763"/>
      <c r="G40" s="1763"/>
      <c r="H40" s="1763"/>
      <c r="I40" s="1763"/>
      <c r="J40" s="1720">
        <v>15.4</v>
      </c>
      <c r="K40" s="1764"/>
      <c r="L40" s="1764"/>
      <c r="M40" s="1764"/>
      <c r="N40" s="1690">
        <v>9.5</v>
      </c>
      <c r="O40" s="1764"/>
      <c r="P40" s="1764"/>
      <c r="Q40" s="1764"/>
      <c r="R40" s="1765"/>
    </row>
    <row r="48" spans="1:18" s="1351" customFormat="1" ht="13.5" customHeight="1">
      <c r="C48" s="1464"/>
      <c r="D48" s="1464"/>
      <c r="E48" s="1464"/>
      <c r="M48" s="1352"/>
      <c r="Q48" s="1352"/>
    </row>
    <row r="49" spans="3:17" s="1351" customFormat="1" ht="13.5" customHeight="1">
      <c r="C49" s="1464"/>
      <c r="D49" s="1464"/>
      <c r="E49" s="1464"/>
      <c r="F49" s="1356"/>
      <c r="G49" s="1356"/>
      <c r="H49" s="1356"/>
      <c r="I49" s="1356"/>
      <c r="J49" s="1356"/>
      <c r="K49" s="1356"/>
      <c r="L49" s="1356"/>
      <c r="M49" s="1352"/>
      <c r="N49" s="1356"/>
      <c r="O49" s="1356"/>
      <c r="P49" s="1356"/>
      <c r="Q49" s="1352"/>
    </row>
    <row r="50" spans="3:17" s="1351" customFormat="1" ht="13.5" customHeight="1">
      <c r="C50" s="1464"/>
      <c r="D50" s="1464"/>
      <c r="E50" s="1464"/>
      <c r="F50" s="1354"/>
      <c r="G50" s="1354"/>
      <c r="H50" s="1354"/>
      <c r="I50" s="1354"/>
      <c r="J50" s="1354"/>
      <c r="K50" s="1354"/>
      <c r="L50" s="1354"/>
      <c r="M50" s="1352"/>
      <c r="N50" s="1354"/>
      <c r="O50" s="1354"/>
      <c r="P50" s="1354"/>
      <c r="Q50" s="1352"/>
    </row>
    <row r="51" spans="3:17" s="1351" customFormat="1" ht="13.5" customHeight="1">
      <c r="C51" s="1353"/>
      <c r="D51" s="1353"/>
      <c r="E51" s="1353"/>
      <c r="F51" s="1352"/>
      <c r="G51" s="1352"/>
      <c r="H51" s="1352"/>
      <c r="I51" s="1352"/>
      <c r="J51" s="1352"/>
      <c r="K51" s="1352"/>
      <c r="L51" s="1352"/>
      <c r="N51" s="1352"/>
      <c r="O51" s="1352"/>
      <c r="P51" s="1352"/>
    </row>
  </sheetData>
  <mergeCells count="20">
    <mergeCell ref="A7:C7"/>
    <mergeCell ref="A9:C9"/>
    <mergeCell ref="A11:C11"/>
    <mergeCell ref="A13:C13"/>
    <mergeCell ref="A39:C39"/>
    <mergeCell ref="A40:C40"/>
    <mergeCell ref="A4:A6"/>
    <mergeCell ref="B4:B6"/>
    <mergeCell ref="C4:C6"/>
    <mergeCell ref="D4:D6"/>
    <mergeCell ref="E4:I4"/>
    <mergeCell ref="J4:Q4"/>
    <mergeCell ref="R4:R6"/>
    <mergeCell ref="E5:E6"/>
    <mergeCell ref="F5:F6"/>
    <mergeCell ref="G5:G6"/>
    <mergeCell ref="H5:H6"/>
    <mergeCell ref="I5:I6"/>
    <mergeCell ref="J5:M5"/>
    <mergeCell ref="N5:Q5"/>
  </mergeCells>
  <phoneticPr fontId="4"/>
  <pageMargins left="0.39370078740157483" right="0.39370078740157483" top="0.78740157480314965" bottom="0.55118110236220474" header="0.59055118110236227" footer="0.31496062992125984"/>
  <pageSetup paperSize="9" scale="75" fitToHeight="0" orientation="landscape" horizontalDpi="1200" verticalDpi="1200" r:id="rId1"/>
  <headerFooter scaleWithDoc="0" alignWithMargins="0">
    <oddFooter>&amp;C&amp;"ＭＳ Ｐゴシック,標準"&amp;9( &amp;P / &amp;N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R51"/>
  <sheetViews>
    <sheetView showGridLines="0" zoomScale="80" zoomScaleNormal="80" workbookViewId="0">
      <pane xSplit="4" ySplit="6" topLeftCell="E7" activePane="bottomRight" state="frozenSplit"/>
      <selection pane="topRight"/>
      <selection pane="bottomLeft"/>
      <selection pane="bottomRight"/>
    </sheetView>
  </sheetViews>
  <sheetFormatPr defaultColWidth="9.140625" defaultRowHeight="13.5" customHeight="1"/>
  <cols>
    <col min="1" max="1" width="5.42578125" style="1351" customWidth="1"/>
    <col min="2" max="2" width="7.5703125" style="1351" customWidth="1"/>
    <col min="3" max="3" width="33.7109375" style="1351" customWidth="1"/>
    <col min="4" max="4" width="10.7109375" style="1351" customWidth="1"/>
    <col min="5" max="5" width="13.5703125" style="1351" bestFit="1" customWidth="1"/>
    <col min="6" max="6" width="7.7109375" style="1351" customWidth="1"/>
    <col min="7" max="8" width="10.7109375" style="1351" customWidth="1"/>
    <col min="9" max="17" width="7.7109375" style="1351" customWidth="1"/>
    <col min="18" max="18" width="14.7109375" style="1351" customWidth="1"/>
    <col min="19" max="16384" width="9.140625" style="1458"/>
  </cols>
  <sheetData>
    <row r="1" spans="1:18" s="1740" customFormat="1" ht="21" customHeight="1">
      <c r="A1" s="1429" t="s">
        <v>1293</v>
      </c>
      <c r="B1" s="1428"/>
      <c r="C1" s="1427"/>
      <c r="D1" s="1426"/>
      <c r="E1" s="1425"/>
      <c r="F1" s="1425"/>
      <c r="G1" s="1425"/>
      <c r="H1" s="1425"/>
      <c r="I1" s="1425"/>
      <c r="J1" s="1425"/>
      <c r="K1" s="1425"/>
      <c r="L1" s="1425"/>
      <c r="M1" s="1425"/>
      <c r="N1" s="1425"/>
      <c r="O1" s="1425"/>
      <c r="P1" s="1425"/>
      <c r="Q1" s="1425"/>
      <c r="R1" s="1741"/>
    </row>
    <row r="4" spans="1:18" ht="13.5" customHeight="1">
      <c r="A4" s="1415" t="s">
        <v>394</v>
      </c>
      <c r="B4" s="1414" t="s">
        <v>370</v>
      </c>
      <c r="C4" s="1614" t="s">
        <v>1083</v>
      </c>
      <c r="D4" s="1739" t="s">
        <v>1082</v>
      </c>
      <c r="E4" s="1410" t="s">
        <v>1289</v>
      </c>
      <c r="F4" s="1409"/>
      <c r="G4" s="1409"/>
      <c r="H4" s="1409"/>
      <c r="I4" s="1411"/>
      <c r="J4" s="1410" t="s">
        <v>1288</v>
      </c>
      <c r="K4" s="1409"/>
      <c r="L4" s="1409"/>
      <c r="M4" s="1409"/>
      <c r="N4" s="1409"/>
      <c r="O4" s="1409"/>
      <c r="P4" s="1409"/>
      <c r="Q4" s="1411"/>
      <c r="R4" s="1738" t="s">
        <v>1235</v>
      </c>
    </row>
    <row r="5" spans="1:18" ht="13.5" customHeight="1">
      <c r="A5" s="1396"/>
      <c r="B5" s="1395"/>
      <c r="C5" s="1624"/>
      <c r="D5" s="1728"/>
      <c r="E5" s="1737" t="s">
        <v>1287</v>
      </c>
      <c r="F5" s="1736" t="s">
        <v>1286</v>
      </c>
      <c r="G5" s="1736" t="s">
        <v>1285</v>
      </c>
      <c r="H5" s="1736" t="s">
        <v>1284</v>
      </c>
      <c r="I5" s="1735" t="s">
        <v>1283</v>
      </c>
      <c r="J5" s="1734" t="s">
        <v>36</v>
      </c>
      <c r="K5" s="1733"/>
      <c r="L5" s="1733"/>
      <c r="M5" s="1732"/>
      <c r="N5" s="1731" t="s">
        <v>47</v>
      </c>
      <c r="O5" s="1730"/>
      <c r="P5" s="1730"/>
      <c r="Q5" s="1729"/>
      <c r="R5" s="1725"/>
    </row>
    <row r="6" spans="1:18" ht="33.75">
      <c r="A6" s="1396"/>
      <c r="B6" s="1395"/>
      <c r="C6" s="1624"/>
      <c r="D6" s="1728"/>
      <c r="E6" s="1742"/>
      <c r="F6" s="1394"/>
      <c r="G6" s="1394"/>
      <c r="H6" s="1394"/>
      <c r="I6" s="1625"/>
      <c r="J6" s="1727" t="s">
        <v>1282</v>
      </c>
      <c r="K6" s="1727" t="s">
        <v>1281</v>
      </c>
      <c r="L6" s="1727" t="s">
        <v>1280</v>
      </c>
      <c r="M6" s="1726" t="s">
        <v>1279</v>
      </c>
      <c r="N6" s="1727" t="s">
        <v>1282</v>
      </c>
      <c r="O6" s="1727" t="s">
        <v>1281</v>
      </c>
      <c r="P6" s="1727" t="s">
        <v>1280</v>
      </c>
      <c r="Q6" s="1726" t="s">
        <v>1279</v>
      </c>
      <c r="R6" s="1725"/>
    </row>
    <row r="7" spans="1:18" ht="13.5" customHeight="1">
      <c r="A7" s="1641" t="s">
        <v>1261</v>
      </c>
      <c r="B7" s="1642"/>
      <c r="C7" s="1643"/>
      <c r="D7" s="1636"/>
      <c r="E7" s="1743"/>
      <c r="F7" s="1744"/>
      <c r="G7" s="1744"/>
      <c r="H7" s="1744"/>
      <c r="I7" s="1635"/>
      <c r="J7" s="1745"/>
      <c r="K7" s="1745"/>
      <c r="L7" s="1745"/>
      <c r="M7" s="1746"/>
      <c r="N7" s="1745"/>
      <c r="O7" s="1745"/>
      <c r="P7" s="1745"/>
      <c r="Q7" s="1746"/>
      <c r="R7" s="1747"/>
    </row>
    <row r="8" spans="1:18" ht="13.5" customHeight="1" thickBot="1">
      <c r="A8" s="1434">
        <v>2</v>
      </c>
      <c r="B8" s="1435">
        <v>202</v>
      </c>
      <c r="C8" s="1654" t="s">
        <v>1012</v>
      </c>
      <c r="D8" s="1437">
        <v>68</v>
      </c>
      <c r="E8" s="1748" t="s">
        <v>1294</v>
      </c>
      <c r="F8" s="1749">
        <v>80</v>
      </c>
      <c r="G8" s="1749">
        <v>2725</v>
      </c>
      <c r="H8" s="1749">
        <v>2163</v>
      </c>
      <c r="I8" s="1654">
        <v>95</v>
      </c>
      <c r="J8" s="1750">
        <v>30.8</v>
      </c>
      <c r="K8" s="1750">
        <v>38.5</v>
      </c>
      <c r="L8" s="1750"/>
      <c r="M8" s="1751">
        <v>40.9</v>
      </c>
      <c r="N8" s="1750">
        <v>25.4</v>
      </c>
      <c r="O8" s="1750">
        <v>31.8</v>
      </c>
      <c r="P8" s="1750"/>
      <c r="Q8" s="1751">
        <v>33.700000000000003</v>
      </c>
      <c r="R8" s="1545"/>
    </row>
    <row r="9" spans="1:18" ht="13.5" customHeight="1" thickTop="1">
      <c r="A9" s="1651" t="s">
        <v>1262</v>
      </c>
      <c r="B9" s="1652"/>
      <c r="C9" s="1653"/>
      <c r="D9" s="1647">
        <v>68</v>
      </c>
      <c r="E9" s="1752"/>
      <c r="F9" s="1646"/>
      <c r="G9" s="1646"/>
      <c r="H9" s="1646"/>
      <c r="I9" s="1646"/>
      <c r="J9" s="1753">
        <v>30.8</v>
      </c>
      <c r="K9" s="1754">
        <v>38.5</v>
      </c>
      <c r="L9" s="1754">
        <v>0</v>
      </c>
      <c r="M9" s="1754">
        <v>40.9</v>
      </c>
      <c r="N9" s="1753">
        <v>25.4</v>
      </c>
      <c r="O9" s="1754">
        <v>31.8</v>
      </c>
      <c r="P9" s="1754">
        <v>0</v>
      </c>
      <c r="Q9" s="1754">
        <v>33.700000000000003</v>
      </c>
      <c r="R9" s="1755"/>
    </row>
    <row r="10" spans="1:18" ht="13.5" customHeight="1">
      <c r="A10" s="1369"/>
      <c r="B10" s="1368"/>
      <c r="C10" s="1627"/>
      <c r="D10" s="1366"/>
      <c r="E10" s="1724"/>
      <c r="F10" s="1723"/>
      <c r="G10" s="1723"/>
      <c r="H10" s="1723"/>
      <c r="I10" s="1627"/>
      <c r="J10" s="1722"/>
      <c r="K10" s="1722"/>
      <c r="L10" s="1722"/>
      <c r="M10" s="1721"/>
      <c r="N10" s="1722"/>
      <c r="O10" s="1722"/>
      <c r="P10" s="1722"/>
      <c r="Q10" s="1721"/>
      <c r="R10" s="1465"/>
    </row>
    <row r="11" spans="1:18" ht="13.5" customHeight="1">
      <c r="A11" s="1369"/>
      <c r="B11" s="1368"/>
      <c r="C11" s="1605"/>
      <c r="D11" s="1366"/>
      <c r="E11" s="1724"/>
      <c r="F11" s="1723"/>
      <c r="G11" s="1723"/>
      <c r="H11" s="1723"/>
      <c r="I11" s="1627"/>
      <c r="J11" s="1722"/>
      <c r="K11" s="1722"/>
      <c r="L11" s="1722"/>
      <c r="M11" s="1721"/>
      <c r="N11" s="1722"/>
      <c r="O11" s="1722"/>
      <c r="P11" s="1722"/>
      <c r="Q11" s="1721"/>
      <c r="R11" s="1465"/>
    </row>
    <row r="12" spans="1:18" ht="13.5" customHeight="1">
      <c r="A12" s="1369"/>
      <c r="B12" s="1368"/>
      <c r="C12" s="1605"/>
      <c r="D12" s="1366"/>
      <c r="E12" s="1724"/>
      <c r="F12" s="1723"/>
      <c r="G12" s="1723"/>
      <c r="H12" s="1723"/>
      <c r="I12" s="1627"/>
      <c r="J12" s="1722"/>
      <c r="K12" s="1722"/>
      <c r="L12" s="1722"/>
      <c r="M12" s="1721"/>
      <c r="N12" s="1722"/>
      <c r="O12" s="1722"/>
      <c r="P12" s="1722"/>
      <c r="Q12" s="1721"/>
      <c r="R12" s="1465"/>
    </row>
    <row r="13" spans="1:18" ht="13.5" customHeight="1">
      <c r="A13" s="1369"/>
      <c r="B13" s="1368"/>
      <c r="C13" s="1605"/>
      <c r="D13" s="1366"/>
      <c r="E13" s="1724"/>
      <c r="F13" s="1723"/>
      <c r="G13" s="1723"/>
      <c r="H13" s="1723"/>
      <c r="I13" s="1627"/>
      <c r="J13" s="1722"/>
      <c r="K13" s="1722"/>
      <c r="L13" s="1722"/>
      <c r="M13" s="1721"/>
      <c r="N13" s="1722"/>
      <c r="O13" s="1722"/>
      <c r="P13" s="1722"/>
      <c r="Q13" s="1721"/>
      <c r="R13" s="1465"/>
    </row>
    <row r="14" spans="1:18" ht="13.5" customHeight="1">
      <c r="A14" s="1369"/>
      <c r="B14" s="1368"/>
      <c r="C14" s="1605"/>
      <c r="D14" s="1366"/>
      <c r="E14" s="1724"/>
      <c r="F14" s="1723"/>
      <c r="G14" s="1723"/>
      <c r="H14" s="1723"/>
      <c r="I14" s="1627"/>
      <c r="J14" s="1722"/>
      <c r="K14" s="1722"/>
      <c r="L14" s="1722"/>
      <c r="M14" s="1721"/>
      <c r="N14" s="1722"/>
      <c r="O14" s="1722"/>
      <c r="P14" s="1722"/>
      <c r="Q14" s="1721"/>
      <c r="R14" s="1465"/>
    </row>
    <row r="15" spans="1:18" ht="13.5" customHeight="1">
      <c r="A15" s="1369"/>
      <c r="B15" s="1368"/>
      <c r="C15" s="1605"/>
      <c r="D15" s="1366"/>
      <c r="E15" s="1724"/>
      <c r="F15" s="1723"/>
      <c r="G15" s="1723"/>
      <c r="H15" s="1723"/>
      <c r="I15" s="1627"/>
      <c r="J15" s="1722"/>
      <c r="K15" s="1722"/>
      <c r="L15" s="1722"/>
      <c r="M15" s="1721"/>
      <c r="N15" s="1722"/>
      <c r="O15" s="1722"/>
      <c r="P15" s="1722"/>
      <c r="Q15" s="1721"/>
      <c r="R15" s="1465"/>
    </row>
    <row r="16" spans="1:18" ht="13.5" customHeight="1">
      <c r="A16" s="1369"/>
      <c r="B16" s="1368"/>
      <c r="C16" s="1605"/>
      <c r="D16" s="1366"/>
      <c r="E16" s="1724"/>
      <c r="F16" s="1723"/>
      <c r="G16" s="1723"/>
      <c r="H16" s="1723"/>
      <c r="I16" s="1627"/>
      <c r="J16" s="1722"/>
      <c r="K16" s="1722"/>
      <c r="L16" s="1722"/>
      <c r="M16" s="1721"/>
      <c r="N16" s="1722"/>
      <c r="O16" s="1722"/>
      <c r="P16" s="1722"/>
      <c r="Q16" s="1721"/>
      <c r="R16" s="1465"/>
    </row>
    <row r="17" spans="1:18" ht="13.5" customHeight="1">
      <c r="A17" s="1369"/>
      <c r="B17" s="1368"/>
      <c r="C17" s="1605"/>
      <c r="D17" s="1366"/>
      <c r="E17" s="1724"/>
      <c r="F17" s="1723"/>
      <c r="G17" s="1723"/>
      <c r="H17" s="1723"/>
      <c r="I17" s="1627"/>
      <c r="J17" s="1722"/>
      <c r="K17" s="1722"/>
      <c r="L17" s="1722"/>
      <c r="M17" s="1721"/>
      <c r="N17" s="1722"/>
      <c r="O17" s="1722"/>
      <c r="P17" s="1722"/>
      <c r="Q17" s="1721"/>
      <c r="R17" s="1465"/>
    </row>
    <row r="18" spans="1:18" ht="13.5" customHeight="1">
      <c r="A18" s="1369"/>
      <c r="B18" s="1368"/>
      <c r="C18" s="1605"/>
      <c r="D18" s="1366"/>
      <c r="E18" s="1724"/>
      <c r="F18" s="1723"/>
      <c r="G18" s="1723"/>
      <c r="H18" s="1723"/>
      <c r="I18" s="1627"/>
      <c r="J18" s="1722"/>
      <c r="K18" s="1722"/>
      <c r="L18" s="1722"/>
      <c r="M18" s="1721"/>
      <c r="N18" s="1722"/>
      <c r="O18" s="1722"/>
      <c r="P18" s="1722"/>
      <c r="Q18" s="1721"/>
      <c r="R18" s="1465"/>
    </row>
    <row r="19" spans="1:18" ht="13.5" customHeight="1">
      <c r="A19" s="1369"/>
      <c r="B19" s="1368"/>
      <c r="C19" s="1605"/>
      <c r="D19" s="1366"/>
      <c r="E19" s="1724"/>
      <c r="F19" s="1723"/>
      <c r="G19" s="1723"/>
      <c r="H19" s="1723"/>
      <c r="I19" s="1627"/>
      <c r="J19" s="1722"/>
      <c r="K19" s="1722"/>
      <c r="L19" s="1722"/>
      <c r="M19" s="1721"/>
      <c r="N19" s="1722"/>
      <c r="O19" s="1722"/>
      <c r="P19" s="1722"/>
      <c r="Q19" s="1721"/>
      <c r="R19" s="1465"/>
    </row>
    <row r="20" spans="1:18" ht="13.5" customHeight="1">
      <c r="A20" s="1369"/>
      <c r="B20" s="1368"/>
      <c r="C20" s="1605"/>
      <c r="D20" s="1366"/>
      <c r="E20" s="1724"/>
      <c r="F20" s="1723"/>
      <c r="G20" s="1723"/>
      <c r="H20" s="1723"/>
      <c r="I20" s="1627"/>
      <c r="J20" s="1722"/>
      <c r="K20" s="1722"/>
      <c r="L20" s="1722"/>
      <c r="M20" s="1721"/>
      <c r="N20" s="1722"/>
      <c r="O20" s="1722"/>
      <c r="P20" s="1722"/>
      <c r="Q20" s="1721"/>
      <c r="R20" s="1465"/>
    </row>
    <row r="21" spans="1:18" ht="13.5" customHeight="1">
      <c r="A21" s="1369"/>
      <c r="B21" s="1368"/>
      <c r="C21" s="1605"/>
      <c r="D21" s="1366"/>
      <c r="E21" s="1724"/>
      <c r="F21" s="1723"/>
      <c r="G21" s="1723"/>
      <c r="H21" s="1723"/>
      <c r="I21" s="1627"/>
      <c r="J21" s="1722"/>
      <c r="K21" s="1722"/>
      <c r="L21" s="1722"/>
      <c r="M21" s="1721"/>
      <c r="N21" s="1722"/>
      <c r="O21" s="1722"/>
      <c r="P21" s="1722"/>
      <c r="Q21" s="1721"/>
      <c r="R21" s="1465"/>
    </row>
    <row r="22" spans="1:18" ht="13.5" customHeight="1">
      <c r="A22" s="1369"/>
      <c r="B22" s="1368"/>
      <c r="C22" s="1605"/>
      <c r="D22" s="1366"/>
      <c r="E22" s="1724"/>
      <c r="F22" s="1723"/>
      <c r="G22" s="1723"/>
      <c r="H22" s="1723"/>
      <c r="I22" s="1627"/>
      <c r="J22" s="1722"/>
      <c r="K22" s="1722"/>
      <c r="L22" s="1722"/>
      <c r="M22" s="1721"/>
      <c r="N22" s="1722"/>
      <c r="O22" s="1722"/>
      <c r="P22" s="1722"/>
      <c r="Q22" s="1721"/>
      <c r="R22" s="1465"/>
    </row>
    <row r="23" spans="1:18" ht="13.5" customHeight="1">
      <c r="A23" s="1369"/>
      <c r="B23" s="1368"/>
      <c r="C23" s="1605"/>
      <c r="D23" s="1366"/>
      <c r="E23" s="1724"/>
      <c r="F23" s="1723"/>
      <c r="G23" s="1723"/>
      <c r="H23" s="1723"/>
      <c r="I23" s="1627"/>
      <c r="J23" s="1722"/>
      <c r="K23" s="1722"/>
      <c r="L23" s="1722"/>
      <c r="M23" s="1721"/>
      <c r="N23" s="1722"/>
      <c r="O23" s="1722"/>
      <c r="P23" s="1722"/>
      <c r="Q23" s="1721"/>
      <c r="R23" s="1465"/>
    </row>
    <row r="24" spans="1:18" ht="13.5" customHeight="1">
      <c r="A24" s="1369"/>
      <c r="B24" s="1368"/>
      <c r="C24" s="1605"/>
      <c r="D24" s="1366"/>
      <c r="E24" s="1724"/>
      <c r="F24" s="1723"/>
      <c r="G24" s="1723"/>
      <c r="H24" s="1723"/>
      <c r="I24" s="1627"/>
      <c r="J24" s="1722"/>
      <c r="K24" s="1722"/>
      <c r="L24" s="1722"/>
      <c r="M24" s="1721"/>
      <c r="N24" s="1722"/>
      <c r="O24" s="1722"/>
      <c r="P24" s="1722"/>
      <c r="Q24" s="1721"/>
      <c r="R24" s="1465"/>
    </row>
    <row r="25" spans="1:18" ht="13.5" customHeight="1">
      <c r="A25" s="1369"/>
      <c r="B25" s="1368"/>
      <c r="C25" s="1605"/>
      <c r="D25" s="1366"/>
      <c r="E25" s="1724"/>
      <c r="F25" s="1723"/>
      <c r="G25" s="1723"/>
      <c r="H25" s="1723"/>
      <c r="I25" s="1627"/>
      <c r="J25" s="1722"/>
      <c r="K25" s="1722"/>
      <c r="L25" s="1722"/>
      <c r="M25" s="1721"/>
      <c r="N25" s="1722"/>
      <c r="O25" s="1722"/>
      <c r="P25" s="1722"/>
      <c r="Q25" s="1721"/>
      <c r="R25" s="1465"/>
    </row>
    <row r="26" spans="1:18" ht="13.5" customHeight="1">
      <c r="A26" s="1369"/>
      <c r="B26" s="1368"/>
      <c r="C26" s="1605"/>
      <c r="D26" s="1366"/>
      <c r="E26" s="1724"/>
      <c r="F26" s="1723"/>
      <c r="G26" s="1723"/>
      <c r="H26" s="1723"/>
      <c r="I26" s="1627"/>
      <c r="J26" s="1722"/>
      <c r="K26" s="1722"/>
      <c r="L26" s="1722"/>
      <c r="M26" s="1721"/>
      <c r="N26" s="1722"/>
      <c r="O26" s="1722"/>
      <c r="P26" s="1722"/>
      <c r="Q26" s="1721"/>
      <c r="R26" s="1465"/>
    </row>
    <row r="27" spans="1:18" ht="13.5" customHeight="1">
      <c r="A27" s="1369"/>
      <c r="B27" s="1368"/>
      <c r="C27" s="1605"/>
      <c r="D27" s="1366"/>
      <c r="E27" s="1724"/>
      <c r="F27" s="1723"/>
      <c r="G27" s="1723"/>
      <c r="H27" s="1723"/>
      <c r="I27" s="1627"/>
      <c r="J27" s="1722"/>
      <c r="K27" s="1722"/>
      <c r="L27" s="1722"/>
      <c r="M27" s="1721"/>
      <c r="N27" s="1722"/>
      <c r="O27" s="1722"/>
      <c r="P27" s="1722"/>
      <c r="Q27" s="1721"/>
      <c r="R27" s="1465"/>
    </row>
    <row r="28" spans="1:18" ht="13.5" customHeight="1">
      <c r="A28" s="1369"/>
      <c r="B28" s="1368"/>
      <c r="C28" s="1605"/>
      <c r="D28" s="1366"/>
      <c r="E28" s="1724"/>
      <c r="F28" s="1723"/>
      <c r="G28" s="1723"/>
      <c r="H28" s="1723"/>
      <c r="I28" s="1627"/>
      <c r="J28" s="1722"/>
      <c r="K28" s="1722"/>
      <c r="L28" s="1722"/>
      <c r="M28" s="1721"/>
      <c r="N28" s="1722"/>
      <c r="O28" s="1722"/>
      <c r="P28" s="1722"/>
      <c r="Q28" s="1721"/>
      <c r="R28" s="1465"/>
    </row>
    <row r="29" spans="1:18" ht="13.5" customHeight="1">
      <c r="A29" s="1369"/>
      <c r="B29" s="1368"/>
      <c r="C29" s="1605"/>
      <c r="D29" s="1366"/>
      <c r="E29" s="1724"/>
      <c r="F29" s="1723"/>
      <c r="G29" s="1723"/>
      <c r="H29" s="1723"/>
      <c r="I29" s="1627"/>
      <c r="J29" s="1722"/>
      <c r="K29" s="1722"/>
      <c r="L29" s="1722"/>
      <c r="M29" s="1721"/>
      <c r="N29" s="1722"/>
      <c r="O29" s="1722"/>
      <c r="P29" s="1722"/>
      <c r="Q29" s="1721"/>
      <c r="R29" s="1465"/>
    </row>
    <row r="30" spans="1:18" ht="13.5" customHeight="1">
      <c r="A30" s="1369"/>
      <c r="B30" s="1368"/>
      <c r="C30" s="1605"/>
      <c r="D30" s="1366"/>
      <c r="E30" s="1724"/>
      <c r="F30" s="1723"/>
      <c r="G30" s="1723"/>
      <c r="H30" s="1723"/>
      <c r="I30" s="1627"/>
      <c r="J30" s="1722"/>
      <c r="K30" s="1722"/>
      <c r="L30" s="1722"/>
      <c r="M30" s="1721"/>
      <c r="N30" s="1722"/>
      <c r="O30" s="1722"/>
      <c r="P30" s="1722"/>
      <c r="Q30" s="1721"/>
      <c r="R30" s="1465"/>
    </row>
    <row r="31" spans="1:18" ht="13.5" customHeight="1">
      <c r="A31" s="1369"/>
      <c r="B31" s="1368"/>
      <c r="C31" s="1605"/>
      <c r="D31" s="1366"/>
      <c r="E31" s="1724"/>
      <c r="F31" s="1723"/>
      <c r="G31" s="1723"/>
      <c r="H31" s="1723"/>
      <c r="I31" s="1627"/>
      <c r="J31" s="1722"/>
      <c r="K31" s="1722"/>
      <c r="L31" s="1722"/>
      <c r="M31" s="1721"/>
      <c r="N31" s="1722"/>
      <c r="O31" s="1722"/>
      <c r="P31" s="1722"/>
      <c r="Q31" s="1721"/>
      <c r="R31" s="1465"/>
    </row>
    <row r="32" spans="1:18" ht="13.5" customHeight="1">
      <c r="A32" s="1369"/>
      <c r="B32" s="1368"/>
      <c r="C32" s="1605"/>
      <c r="D32" s="1366"/>
      <c r="E32" s="1724"/>
      <c r="F32" s="1723"/>
      <c r="G32" s="1723"/>
      <c r="H32" s="1723"/>
      <c r="I32" s="1627"/>
      <c r="J32" s="1722"/>
      <c r="K32" s="1722"/>
      <c r="L32" s="1722"/>
      <c r="M32" s="1721"/>
      <c r="N32" s="1722"/>
      <c r="O32" s="1722"/>
      <c r="P32" s="1722"/>
      <c r="Q32" s="1721"/>
      <c r="R32" s="1465"/>
    </row>
    <row r="33" spans="1:18" ht="13.5" customHeight="1">
      <c r="A33" s="1369"/>
      <c r="B33" s="1368"/>
      <c r="C33" s="1605"/>
      <c r="D33" s="1366"/>
      <c r="E33" s="1724"/>
      <c r="F33" s="1723"/>
      <c r="G33" s="1723"/>
      <c r="H33" s="1723"/>
      <c r="I33" s="1627"/>
      <c r="J33" s="1722"/>
      <c r="K33" s="1722"/>
      <c r="L33" s="1722"/>
      <c r="M33" s="1721"/>
      <c r="N33" s="1722"/>
      <c r="O33" s="1722"/>
      <c r="P33" s="1722"/>
      <c r="Q33" s="1721"/>
      <c r="R33" s="1465"/>
    </row>
    <row r="34" spans="1:18" ht="13.5" customHeight="1">
      <c r="A34" s="1369"/>
      <c r="B34" s="1368"/>
      <c r="C34" s="1605"/>
      <c r="D34" s="1366"/>
      <c r="E34" s="1724"/>
      <c r="F34" s="1723"/>
      <c r="G34" s="1723"/>
      <c r="H34" s="1723"/>
      <c r="I34" s="1627"/>
      <c r="J34" s="1722"/>
      <c r="K34" s="1722"/>
      <c r="L34" s="1722"/>
      <c r="M34" s="1721"/>
      <c r="N34" s="1722"/>
      <c r="O34" s="1722"/>
      <c r="P34" s="1722"/>
      <c r="Q34" s="1721"/>
      <c r="R34" s="1465"/>
    </row>
    <row r="35" spans="1:18" ht="13.5" customHeight="1">
      <c r="A35" s="1369"/>
      <c r="B35" s="1368"/>
      <c r="C35" s="1605"/>
      <c r="D35" s="1366"/>
      <c r="E35" s="1724"/>
      <c r="F35" s="1723"/>
      <c r="G35" s="1723"/>
      <c r="H35" s="1723"/>
      <c r="I35" s="1627"/>
      <c r="J35" s="1722"/>
      <c r="K35" s="1722"/>
      <c r="L35" s="1722"/>
      <c r="M35" s="1721"/>
      <c r="N35" s="1722"/>
      <c r="O35" s="1722"/>
      <c r="P35" s="1722"/>
      <c r="Q35" s="1721"/>
      <c r="R35" s="1465"/>
    </row>
    <row r="36" spans="1:18" ht="13.5" customHeight="1">
      <c r="A36" s="1369"/>
      <c r="B36" s="1368"/>
      <c r="C36" s="1605"/>
      <c r="D36" s="1366"/>
      <c r="E36" s="1724"/>
      <c r="F36" s="1723"/>
      <c r="G36" s="1723"/>
      <c r="H36" s="1723"/>
      <c r="I36" s="1627"/>
      <c r="J36" s="1722"/>
      <c r="K36" s="1722"/>
      <c r="L36" s="1722"/>
      <c r="M36" s="1721"/>
      <c r="N36" s="1722"/>
      <c r="O36" s="1722"/>
      <c r="P36" s="1722"/>
      <c r="Q36" s="1721"/>
      <c r="R36" s="1465"/>
    </row>
    <row r="37" spans="1:18" ht="13.5" customHeight="1">
      <c r="A37" s="1369"/>
      <c r="B37" s="1368"/>
      <c r="C37" s="1605"/>
      <c r="D37" s="1366"/>
      <c r="E37" s="1724"/>
      <c r="F37" s="1723"/>
      <c r="G37" s="1723"/>
      <c r="H37" s="1723"/>
      <c r="I37" s="1627"/>
      <c r="J37" s="1722"/>
      <c r="K37" s="1722"/>
      <c r="L37" s="1722"/>
      <c r="M37" s="1721"/>
      <c r="N37" s="1722"/>
      <c r="O37" s="1722"/>
      <c r="P37" s="1722"/>
      <c r="Q37" s="1721"/>
      <c r="R37" s="1465"/>
    </row>
    <row r="38" spans="1:18" ht="13.5" customHeight="1" thickBot="1">
      <c r="A38" s="1434"/>
      <c r="B38" s="1435"/>
      <c r="C38" s="1629"/>
      <c r="D38" s="1437"/>
      <c r="E38" s="1748"/>
      <c r="F38" s="1749"/>
      <c r="G38" s="1749"/>
      <c r="H38" s="1749"/>
      <c r="I38" s="1654"/>
      <c r="J38" s="1750"/>
      <c r="K38" s="1750"/>
      <c r="L38" s="1750"/>
      <c r="M38" s="1751"/>
      <c r="N38" s="1750"/>
      <c r="O38" s="1750"/>
      <c r="P38" s="1750"/>
      <c r="Q38" s="1751"/>
      <c r="R38" s="1545"/>
    </row>
    <row r="39" spans="1:18" ht="18.95" customHeight="1" thickTop="1">
      <c r="A39" s="1681" t="s">
        <v>1274</v>
      </c>
      <c r="B39" s="1674"/>
      <c r="C39" s="1675"/>
      <c r="D39" s="1682">
        <v>68</v>
      </c>
      <c r="E39" s="1756"/>
      <c r="F39" s="1757"/>
      <c r="G39" s="1757"/>
      <c r="H39" s="1757"/>
      <c r="I39" s="1757"/>
      <c r="J39" s="1758">
        <v>30.8</v>
      </c>
      <c r="K39" s="1759">
        <v>38.5</v>
      </c>
      <c r="L39" s="1760">
        <v>0</v>
      </c>
      <c r="M39" s="1759">
        <v>40.9</v>
      </c>
      <c r="N39" s="1756">
        <v>25.4</v>
      </c>
      <c r="O39" s="1760">
        <v>31.8</v>
      </c>
      <c r="P39" s="1760">
        <v>0</v>
      </c>
      <c r="Q39" s="1760">
        <v>33.700000000000003</v>
      </c>
      <c r="R39" s="1761"/>
    </row>
    <row r="40" spans="1:18" ht="13.5" customHeight="1">
      <c r="A40" s="1687" t="s">
        <v>1292</v>
      </c>
      <c r="B40" s="1628"/>
      <c r="C40" s="1688"/>
      <c r="D40" s="1689">
        <v>68</v>
      </c>
      <c r="E40" s="1762"/>
      <c r="F40" s="1763"/>
      <c r="G40" s="1763"/>
      <c r="H40" s="1763"/>
      <c r="I40" s="1763"/>
      <c r="J40" s="1720">
        <v>452.9</v>
      </c>
      <c r="K40" s="1764"/>
      <c r="L40" s="1764"/>
      <c r="M40" s="1764"/>
      <c r="N40" s="1690">
        <v>373.5</v>
      </c>
      <c r="O40" s="1764"/>
      <c r="P40" s="1764"/>
      <c r="Q40" s="1764"/>
      <c r="R40" s="1765"/>
    </row>
    <row r="48" spans="1:18" s="1351" customFormat="1" ht="13.5" customHeight="1">
      <c r="C48" s="1464"/>
      <c r="D48" s="1464"/>
      <c r="E48" s="1464"/>
      <c r="M48" s="1352"/>
      <c r="Q48" s="1352"/>
    </row>
    <row r="49" spans="3:17" s="1351" customFormat="1" ht="13.5" customHeight="1">
      <c r="C49" s="1464"/>
      <c r="D49" s="1464"/>
      <c r="E49" s="1464"/>
      <c r="F49" s="1356"/>
      <c r="G49" s="1356"/>
      <c r="H49" s="1356"/>
      <c r="I49" s="1356"/>
      <c r="J49" s="1356"/>
      <c r="K49" s="1356"/>
      <c r="L49" s="1356"/>
      <c r="M49" s="1352"/>
      <c r="N49" s="1356"/>
      <c r="O49" s="1356"/>
      <c r="P49" s="1356"/>
      <c r="Q49" s="1352"/>
    </row>
    <row r="50" spans="3:17" s="1351" customFormat="1" ht="13.5" customHeight="1">
      <c r="C50" s="1464"/>
      <c r="D50" s="1464"/>
      <c r="E50" s="1464"/>
      <c r="F50" s="1354"/>
      <c r="G50" s="1354"/>
      <c r="H50" s="1354"/>
      <c r="I50" s="1354"/>
      <c r="J50" s="1354"/>
      <c r="K50" s="1354"/>
      <c r="L50" s="1354"/>
      <c r="M50" s="1352"/>
      <c r="N50" s="1354"/>
      <c r="O50" s="1354"/>
      <c r="P50" s="1354"/>
      <c r="Q50" s="1352"/>
    </row>
    <row r="51" spans="3:17" s="1351" customFormat="1" ht="13.5" customHeight="1">
      <c r="C51" s="1353"/>
      <c r="D51" s="1353"/>
      <c r="E51" s="1353"/>
      <c r="F51" s="1352"/>
      <c r="G51" s="1352"/>
      <c r="H51" s="1352"/>
      <c r="I51" s="1352"/>
      <c r="J51" s="1352"/>
      <c r="K51" s="1352"/>
      <c r="L51" s="1352"/>
      <c r="N51" s="1352"/>
      <c r="O51" s="1352"/>
      <c r="P51" s="1352"/>
    </row>
  </sheetData>
  <mergeCells count="18">
    <mergeCell ref="A7:C7"/>
    <mergeCell ref="A9:C9"/>
    <mergeCell ref="A39:C39"/>
    <mergeCell ref="A40:C40"/>
    <mergeCell ref="A4:A6"/>
    <mergeCell ref="B4:B6"/>
    <mergeCell ref="C4:C6"/>
    <mergeCell ref="D4:D6"/>
    <mergeCell ref="E4:I4"/>
    <mergeCell ref="J4:Q4"/>
    <mergeCell ref="R4:R6"/>
    <mergeCell ref="E5:E6"/>
    <mergeCell ref="F5:F6"/>
    <mergeCell ref="G5:G6"/>
    <mergeCell ref="H5:H6"/>
    <mergeCell ref="I5:I6"/>
    <mergeCell ref="J5:M5"/>
    <mergeCell ref="N5:Q5"/>
  </mergeCells>
  <phoneticPr fontId="4"/>
  <pageMargins left="0.39370078740157483" right="0.39370078740157483" top="0.78740157480314965" bottom="0.55118110236220474" header="0.59055118110236227" footer="0.31496062992125984"/>
  <pageSetup paperSize="9" scale="75" fitToHeight="0" orientation="landscape" horizontalDpi="1200" verticalDpi="1200" r:id="rId1"/>
  <headerFooter scaleWithDoc="0" alignWithMargins="0">
    <oddFooter>&amp;C&amp;"ＭＳ Ｐゴシック,標準"&amp;9( &amp;P /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Y67"/>
  <sheetViews>
    <sheetView showGridLines="0" zoomScale="80" zoomScaleNormal="80" workbookViewId="0"/>
  </sheetViews>
  <sheetFormatPr defaultColWidth="8" defaultRowHeight="12" customHeight="1"/>
  <cols>
    <col min="1" max="1" width="8.7109375" style="73" customWidth="1"/>
    <col min="2" max="19" width="7.5703125" style="73" customWidth="1"/>
    <col min="20" max="16384" width="8" style="73"/>
  </cols>
  <sheetData>
    <row r="1" spans="1:25" s="147" customFormat="1" ht="24" customHeight="1">
      <c r="A1" s="143" t="s">
        <v>97</v>
      </c>
      <c r="B1" s="144"/>
      <c r="C1" s="144"/>
      <c r="D1" s="144"/>
      <c r="E1" s="144"/>
      <c r="F1" s="144"/>
      <c r="G1" s="144"/>
      <c r="H1" s="144"/>
      <c r="I1" s="144"/>
      <c r="J1" s="144"/>
      <c r="K1" s="144"/>
      <c r="L1" s="144"/>
      <c r="M1" s="144"/>
      <c r="N1" s="144"/>
      <c r="O1" s="144"/>
      <c r="P1" s="144"/>
      <c r="Q1" s="144"/>
      <c r="R1" s="144"/>
      <c r="S1" s="145"/>
      <c r="T1" s="145"/>
      <c r="U1" s="145"/>
      <c r="V1" s="145"/>
      <c r="W1" s="145"/>
      <c r="X1" s="145"/>
      <c r="Y1" s="146"/>
    </row>
    <row r="2" spans="1:25" ht="12" customHeight="1" thickBot="1">
      <c r="S2" s="63"/>
    </row>
    <row r="3" spans="1:25" ht="12" customHeight="1">
      <c r="A3" s="148" t="s">
        <v>66</v>
      </c>
      <c r="B3" s="148"/>
      <c r="C3" s="148"/>
      <c r="D3" s="37" t="s">
        <v>29</v>
      </c>
      <c r="E3" s="148"/>
      <c r="F3" s="148"/>
      <c r="G3" s="148"/>
      <c r="H3" s="148"/>
      <c r="I3" s="148"/>
      <c r="J3" s="148"/>
      <c r="K3" s="148"/>
      <c r="L3" s="148"/>
      <c r="M3" s="148"/>
      <c r="N3" s="148"/>
      <c r="O3" s="148"/>
      <c r="P3" s="148"/>
      <c r="Q3" s="148"/>
      <c r="R3" s="148"/>
      <c r="S3" s="149"/>
      <c r="T3" s="148"/>
      <c r="U3" s="148"/>
      <c r="V3" s="148"/>
      <c r="W3" s="148"/>
      <c r="X3" s="148"/>
      <c r="Y3" s="148"/>
    </row>
    <row r="4" spans="1:25" ht="16.5" customHeight="1">
      <c r="A4" s="150"/>
      <c r="B4" s="151">
        <v>1</v>
      </c>
      <c r="C4" s="152">
        <v>2</v>
      </c>
      <c r="D4" s="153">
        <v>3</v>
      </c>
      <c r="E4" s="152">
        <v>4</v>
      </c>
      <c r="F4" s="152">
        <v>5</v>
      </c>
      <c r="G4" s="152">
        <v>6</v>
      </c>
      <c r="H4" s="152">
        <v>7</v>
      </c>
      <c r="I4" s="152">
        <v>8</v>
      </c>
      <c r="J4" s="152">
        <v>9</v>
      </c>
      <c r="K4" s="152">
        <v>10</v>
      </c>
      <c r="L4" s="152">
        <v>11</v>
      </c>
      <c r="M4" s="152">
        <v>12</v>
      </c>
      <c r="N4" s="152">
        <v>13</v>
      </c>
      <c r="O4" s="152">
        <v>14</v>
      </c>
      <c r="P4" s="152">
        <v>15</v>
      </c>
      <c r="Q4" s="152">
        <v>16</v>
      </c>
      <c r="R4" s="152">
        <v>17</v>
      </c>
      <c r="S4" s="152">
        <v>18</v>
      </c>
      <c r="T4" s="154">
        <v>19</v>
      </c>
      <c r="U4" s="154">
        <v>20</v>
      </c>
      <c r="V4" s="154">
        <v>21</v>
      </c>
      <c r="W4" s="154">
        <v>22</v>
      </c>
      <c r="X4" s="154">
        <v>23</v>
      </c>
      <c r="Y4" s="155">
        <v>24</v>
      </c>
    </row>
    <row r="5" spans="1:25" ht="12" customHeight="1">
      <c r="A5" s="156" t="s">
        <v>80</v>
      </c>
      <c r="B5" s="157">
        <v>3.4</v>
      </c>
      <c r="C5" s="158">
        <v>3</v>
      </c>
      <c r="D5" s="158">
        <v>2.7</v>
      </c>
      <c r="E5" s="158">
        <v>2.4</v>
      </c>
      <c r="F5" s="158">
        <v>2.1</v>
      </c>
      <c r="G5" s="158">
        <v>2.1</v>
      </c>
      <c r="H5" s="158">
        <v>2.5</v>
      </c>
      <c r="I5" s="158">
        <v>3.6</v>
      </c>
      <c r="J5" s="158">
        <v>5.0999999999999996</v>
      </c>
      <c r="K5" s="158">
        <v>6.8</v>
      </c>
      <c r="L5" s="158">
        <v>8.5</v>
      </c>
      <c r="M5" s="158">
        <v>9.9</v>
      </c>
      <c r="N5" s="158">
        <v>11</v>
      </c>
      <c r="O5" s="158">
        <v>11.7</v>
      </c>
      <c r="P5" s="158">
        <v>12</v>
      </c>
      <c r="Q5" s="158">
        <v>11.7</v>
      </c>
      <c r="R5" s="158">
        <v>11</v>
      </c>
      <c r="S5" s="158">
        <v>9.8000000000000007</v>
      </c>
      <c r="T5" s="159">
        <v>8.3000000000000007</v>
      </c>
      <c r="U5" s="159">
        <v>6.9</v>
      </c>
      <c r="V5" s="159">
        <v>5.7</v>
      </c>
      <c r="W5" s="159">
        <v>4.9000000000000004</v>
      </c>
      <c r="X5" s="159">
        <v>4.3</v>
      </c>
      <c r="Y5" s="160">
        <v>3.8</v>
      </c>
    </row>
    <row r="6" spans="1:25" ht="12" customHeight="1">
      <c r="A6" s="161" t="s">
        <v>67</v>
      </c>
      <c r="B6" s="162">
        <v>3.7</v>
      </c>
      <c r="C6" s="163">
        <v>3.2</v>
      </c>
      <c r="D6" s="163">
        <v>2.8</v>
      </c>
      <c r="E6" s="163">
        <v>2.5</v>
      </c>
      <c r="F6" s="163">
        <v>2.2000000000000002</v>
      </c>
      <c r="G6" s="163">
        <v>2.2999999999999998</v>
      </c>
      <c r="H6" s="163">
        <v>3.4</v>
      </c>
      <c r="I6" s="163">
        <v>5.9</v>
      </c>
      <c r="J6" s="163">
        <v>9.4</v>
      </c>
      <c r="K6" s="163">
        <v>13.5</v>
      </c>
      <c r="L6" s="163">
        <v>17.600000000000001</v>
      </c>
      <c r="M6" s="163">
        <v>21.2</v>
      </c>
      <c r="N6" s="163">
        <v>23.8</v>
      </c>
      <c r="O6" s="163">
        <v>25.1</v>
      </c>
      <c r="P6" s="163">
        <v>25.1</v>
      </c>
      <c r="Q6" s="163">
        <v>23.5</v>
      </c>
      <c r="R6" s="163">
        <v>20.7</v>
      </c>
      <c r="S6" s="163">
        <v>17</v>
      </c>
      <c r="T6" s="164">
        <v>13.2</v>
      </c>
      <c r="U6" s="164">
        <v>9.9</v>
      </c>
      <c r="V6" s="164">
        <v>7.6</v>
      </c>
      <c r="W6" s="164">
        <v>6.1</v>
      </c>
      <c r="X6" s="164">
        <v>5</v>
      </c>
      <c r="Y6" s="165">
        <v>4.2</v>
      </c>
    </row>
    <row r="7" spans="1:25" ht="12" customHeight="1">
      <c r="A7" s="161" t="s">
        <v>68</v>
      </c>
      <c r="B7" s="195">
        <v>3.4</v>
      </c>
      <c r="C7" s="196">
        <v>3</v>
      </c>
      <c r="D7" s="196">
        <v>2.7</v>
      </c>
      <c r="E7" s="196">
        <v>2.4</v>
      </c>
      <c r="F7" s="196">
        <v>2.2000000000000002</v>
      </c>
      <c r="G7" s="196">
        <v>2.4</v>
      </c>
      <c r="H7" s="196">
        <v>3.8</v>
      </c>
      <c r="I7" s="196">
        <v>5.5</v>
      </c>
      <c r="J7" s="196">
        <v>7.1</v>
      </c>
      <c r="K7" s="196">
        <v>8.4</v>
      </c>
      <c r="L7" s="196">
        <v>9.6</v>
      </c>
      <c r="M7" s="196">
        <v>10.6</v>
      </c>
      <c r="N7" s="196">
        <v>11.4</v>
      </c>
      <c r="O7" s="196">
        <v>12</v>
      </c>
      <c r="P7" s="196">
        <v>12.1</v>
      </c>
      <c r="Q7" s="196">
        <v>11.8</v>
      </c>
      <c r="R7" s="196">
        <v>11.1</v>
      </c>
      <c r="S7" s="196">
        <v>9.8000000000000007</v>
      </c>
      <c r="T7" s="197">
        <v>8.3000000000000007</v>
      </c>
      <c r="U7" s="197">
        <v>6.9</v>
      </c>
      <c r="V7" s="197">
        <v>5.7</v>
      </c>
      <c r="W7" s="197">
        <v>4.9000000000000004</v>
      </c>
      <c r="X7" s="197">
        <v>4.2</v>
      </c>
      <c r="Y7" s="198">
        <v>3.7</v>
      </c>
    </row>
    <row r="8" spans="1:25" ht="12" customHeight="1">
      <c r="A8" s="161" t="s">
        <v>69</v>
      </c>
      <c r="B8" s="195">
        <v>3.4</v>
      </c>
      <c r="C8" s="196">
        <v>3</v>
      </c>
      <c r="D8" s="196">
        <v>2.7</v>
      </c>
      <c r="E8" s="196">
        <v>2.4</v>
      </c>
      <c r="F8" s="196">
        <v>2.2000000000000002</v>
      </c>
      <c r="G8" s="196">
        <v>2.6</v>
      </c>
      <c r="H8" s="196">
        <v>4.8</v>
      </c>
      <c r="I8" s="196">
        <v>7.6</v>
      </c>
      <c r="J8" s="196">
        <v>10.3</v>
      </c>
      <c r="K8" s="196">
        <v>12.4</v>
      </c>
      <c r="L8" s="196">
        <v>13.5</v>
      </c>
      <c r="M8" s="196">
        <v>13.4</v>
      </c>
      <c r="N8" s="196">
        <v>13.2</v>
      </c>
      <c r="O8" s="196">
        <v>13.1</v>
      </c>
      <c r="P8" s="196">
        <v>12.8</v>
      </c>
      <c r="Q8" s="196">
        <v>12.3</v>
      </c>
      <c r="R8" s="196">
        <v>11.3</v>
      </c>
      <c r="S8" s="196">
        <v>10</v>
      </c>
      <c r="T8" s="197">
        <v>8.4</v>
      </c>
      <c r="U8" s="197">
        <v>6.9</v>
      </c>
      <c r="V8" s="197">
        <v>5.8</v>
      </c>
      <c r="W8" s="197">
        <v>4.9000000000000004</v>
      </c>
      <c r="X8" s="197">
        <v>4.2</v>
      </c>
      <c r="Y8" s="198">
        <v>3.7</v>
      </c>
    </row>
    <row r="9" spans="1:25" ht="12" customHeight="1">
      <c r="A9" s="161" t="s">
        <v>70</v>
      </c>
      <c r="B9" s="195">
        <v>3.4</v>
      </c>
      <c r="C9" s="196">
        <v>3</v>
      </c>
      <c r="D9" s="196">
        <v>2.7</v>
      </c>
      <c r="E9" s="196">
        <v>2.4</v>
      </c>
      <c r="F9" s="196">
        <v>2.2000000000000002</v>
      </c>
      <c r="G9" s="196">
        <v>2.5</v>
      </c>
      <c r="H9" s="196">
        <v>4.5</v>
      </c>
      <c r="I9" s="196">
        <v>7.3</v>
      </c>
      <c r="J9" s="196">
        <v>10.5</v>
      </c>
      <c r="K9" s="196">
        <v>13.2</v>
      </c>
      <c r="L9" s="196">
        <v>15</v>
      </c>
      <c r="M9" s="196">
        <v>15.5</v>
      </c>
      <c r="N9" s="196">
        <v>14.9</v>
      </c>
      <c r="O9" s="196">
        <v>14.2</v>
      </c>
      <c r="P9" s="196">
        <v>13.5</v>
      </c>
      <c r="Q9" s="196">
        <v>12.7</v>
      </c>
      <c r="R9" s="196">
        <v>11.6</v>
      </c>
      <c r="S9" s="196">
        <v>10.199999999999999</v>
      </c>
      <c r="T9" s="197">
        <v>8.5</v>
      </c>
      <c r="U9" s="197">
        <v>7</v>
      </c>
      <c r="V9" s="197">
        <v>5.8</v>
      </c>
      <c r="W9" s="197">
        <v>4.9000000000000004</v>
      </c>
      <c r="X9" s="197">
        <v>4.3</v>
      </c>
      <c r="Y9" s="198">
        <v>3.8</v>
      </c>
    </row>
    <row r="10" spans="1:25" ht="12" customHeight="1">
      <c r="A10" s="161" t="s">
        <v>71</v>
      </c>
      <c r="B10" s="195">
        <v>3.4</v>
      </c>
      <c r="C10" s="196">
        <v>3</v>
      </c>
      <c r="D10" s="196">
        <v>2.7</v>
      </c>
      <c r="E10" s="196">
        <v>2.4</v>
      </c>
      <c r="F10" s="196">
        <v>2.1</v>
      </c>
      <c r="G10" s="196">
        <v>2.2000000000000002</v>
      </c>
      <c r="H10" s="196">
        <v>3.1</v>
      </c>
      <c r="I10" s="196">
        <v>4.9000000000000004</v>
      </c>
      <c r="J10" s="196">
        <v>7.5</v>
      </c>
      <c r="K10" s="196">
        <v>10.3</v>
      </c>
      <c r="L10" s="196">
        <v>12.8</v>
      </c>
      <c r="M10" s="196">
        <v>14.5</v>
      </c>
      <c r="N10" s="196">
        <v>15.3</v>
      </c>
      <c r="O10" s="196">
        <v>15.1</v>
      </c>
      <c r="P10" s="196">
        <v>14.2</v>
      </c>
      <c r="Q10" s="196">
        <v>13.1</v>
      </c>
      <c r="R10" s="196">
        <v>11.8</v>
      </c>
      <c r="S10" s="196">
        <v>10.3</v>
      </c>
      <c r="T10" s="197">
        <v>8.6</v>
      </c>
      <c r="U10" s="197">
        <v>7.1</v>
      </c>
      <c r="V10" s="197">
        <v>5.8</v>
      </c>
      <c r="W10" s="197">
        <v>4.9000000000000004</v>
      </c>
      <c r="X10" s="197">
        <v>4.3</v>
      </c>
      <c r="Y10" s="198">
        <v>3.8</v>
      </c>
    </row>
    <row r="11" spans="1:25" ht="12" customHeight="1">
      <c r="A11" s="161" t="s">
        <v>72</v>
      </c>
      <c r="B11" s="195">
        <v>3.5</v>
      </c>
      <c r="C11" s="196">
        <v>3.1</v>
      </c>
      <c r="D11" s="196">
        <v>2.7</v>
      </c>
      <c r="E11" s="196">
        <v>2.4</v>
      </c>
      <c r="F11" s="196">
        <v>2.1</v>
      </c>
      <c r="G11" s="196">
        <v>2.1</v>
      </c>
      <c r="H11" s="196">
        <v>2.5</v>
      </c>
      <c r="I11" s="196">
        <v>3.6</v>
      </c>
      <c r="J11" s="196">
        <v>5.0999999999999996</v>
      </c>
      <c r="K11" s="196">
        <v>6.9</v>
      </c>
      <c r="L11" s="196">
        <v>9.1</v>
      </c>
      <c r="M11" s="196">
        <v>11.5</v>
      </c>
      <c r="N11" s="196">
        <v>13.7</v>
      </c>
      <c r="O11" s="196">
        <v>15.5</v>
      </c>
      <c r="P11" s="196">
        <v>16.3</v>
      </c>
      <c r="Q11" s="196">
        <v>16</v>
      </c>
      <c r="R11" s="196">
        <v>14.7</v>
      </c>
      <c r="S11" s="196">
        <v>12.6</v>
      </c>
      <c r="T11" s="197">
        <v>10.199999999999999</v>
      </c>
      <c r="U11" s="197">
        <v>8</v>
      </c>
      <c r="V11" s="197">
        <v>6.4</v>
      </c>
      <c r="W11" s="197">
        <v>5.3</v>
      </c>
      <c r="X11" s="197">
        <v>4.5</v>
      </c>
      <c r="Y11" s="198">
        <v>3.9</v>
      </c>
    </row>
    <row r="12" spans="1:25" ht="12" customHeight="1">
      <c r="A12" s="161" t="s">
        <v>73</v>
      </c>
      <c r="B12" s="195">
        <v>3.6</v>
      </c>
      <c r="C12" s="196">
        <v>3.2</v>
      </c>
      <c r="D12" s="196">
        <v>2.8</v>
      </c>
      <c r="E12" s="196">
        <v>2.4</v>
      </c>
      <c r="F12" s="196">
        <v>2.2000000000000002</v>
      </c>
      <c r="G12" s="196">
        <v>2.1</v>
      </c>
      <c r="H12" s="196">
        <v>2.5</v>
      </c>
      <c r="I12" s="196">
        <v>3.6</v>
      </c>
      <c r="J12" s="196">
        <v>5.0999999999999996</v>
      </c>
      <c r="K12" s="196">
        <v>6.8</v>
      </c>
      <c r="L12" s="196">
        <v>8.5</v>
      </c>
      <c r="M12" s="196">
        <v>10.1</v>
      </c>
      <c r="N12" s="196">
        <v>12.2</v>
      </c>
      <c r="O12" s="196">
        <v>14.7</v>
      </c>
      <c r="P12" s="196">
        <v>16.8</v>
      </c>
      <c r="Q12" s="196">
        <v>17.899999999999999</v>
      </c>
      <c r="R12" s="196">
        <v>17.600000000000001</v>
      </c>
      <c r="S12" s="196">
        <v>15.8</v>
      </c>
      <c r="T12" s="197">
        <v>12.7</v>
      </c>
      <c r="U12" s="197">
        <v>9.6999999999999993</v>
      </c>
      <c r="V12" s="197">
        <v>7.5</v>
      </c>
      <c r="W12" s="197">
        <v>6</v>
      </c>
      <c r="X12" s="197">
        <v>4.9000000000000004</v>
      </c>
      <c r="Y12" s="198">
        <v>4.0999999999999996</v>
      </c>
    </row>
    <row r="13" spans="1:25" ht="12" customHeight="1">
      <c r="A13" s="161" t="s">
        <v>74</v>
      </c>
      <c r="B13" s="195">
        <v>3.6</v>
      </c>
      <c r="C13" s="196">
        <v>3.2</v>
      </c>
      <c r="D13" s="196">
        <v>2.8</v>
      </c>
      <c r="E13" s="196">
        <v>2.4</v>
      </c>
      <c r="F13" s="196">
        <v>2.2000000000000002</v>
      </c>
      <c r="G13" s="196">
        <v>2.1</v>
      </c>
      <c r="H13" s="196">
        <v>2.5</v>
      </c>
      <c r="I13" s="196">
        <v>3.6</v>
      </c>
      <c r="J13" s="196">
        <v>5.0999999999999996</v>
      </c>
      <c r="K13" s="196">
        <v>6.8</v>
      </c>
      <c r="L13" s="196">
        <v>8.5</v>
      </c>
      <c r="M13" s="196">
        <v>9.9</v>
      </c>
      <c r="N13" s="196">
        <v>11.2</v>
      </c>
      <c r="O13" s="196">
        <v>13</v>
      </c>
      <c r="P13" s="196">
        <v>15</v>
      </c>
      <c r="Q13" s="196">
        <v>16.5</v>
      </c>
      <c r="R13" s="196">
        <v>16.8</v>
      </c>
      <c r="S13" s="196">
        <v>15.6</v>
      </c>
      <c r="T13" s="197">
        <v>12.7</v>
      </c>
      <c r="U13" s="197">
        <v>9.6999999999999993</v>
      </c>
      <c r="V13" s="197">
        <v>7.5</v>
      </c>
      <c r="W13" s="197">
        <v>6</v>
      </c>
      <c r="X13" s="197">
        <v>4.9000000000000004</v>
      </c>
      <c r="Y13" s="198">
        <v>4.2</v>
      </c>
    </row>
    <row r="14" spans="1:25" ht="12" customHeight="1">
      <c r="A14" s="166" t="s">
        <v>75</v>
      </c>
      <c r="B14" s="199">
        <v>3.5</v>
      </c>
      <c r="C14" s="200">
        <v>3.1</v>
      </c>
      <c r="D14" s="200">
        <v>2.7</v>
      </c>
      <c r="E14" s="200">
        <v>2.4</v>
      </c>
      <c r="F14" s="200">
        <v>2.2000000000000002</v>
      </c>
      <c r="G14" s="200">
        <v>2.1</v>
      </c>
      <c r="H14" s="200">
        <v>2.5</v>
      </c>
      <c r="I14" s="200">
        <v>3.6</v>
      </c>
      <c r="J14" s="200">
        <v>5.0999999999999996</v>
      </c>
      <c r="K14" s="200">
        <v>6.8</v>
      </c>
      <c r="L14" s="200">
        <v>8.5</v>
      </c>
      <c r="M14" s="200">
        <v>9.9</v>
      </c>
      <c r="N14" s="200">
        <v>11</v>
      </c>
      <c r="O14" s="200">
        <v>11.7</v>
      </c>
      <c r="P14" s="200">
        <v>12.3</v>
      </c>
      <c r="Q14" s="200">
        <v>12.8</v>
      </c>
      <c r="R14" s="200">
        <v>12.9</v>
      </c>
      <c r="S14" s="200">
        <v>12.2</v>
      </c>
      <c r="T14" s="201">
        <v>10.3</v>
      </c>
      <c r="U14" s="201">
        <v>8.1999999999999993</v>
      </c>
      <c r="V14" s="201">
        <v>6.5</v>
      </c>
      <c r="W14" s="201">
        <v>5.4</v>
      </c>
      <c r="X14" s="201">
        <v>4.5</v>
      </c>
      <c r="Y14" s="202">
        <v>3.9</v>
      </c>
    </row>
    <row r="15" spans="1:25" ht="12" customHeight="1" thickBot="1"/>
    <row r="16" spans="1:25" ht="12" customHeight="1">
      <c r="A16" s="148" t="s">
        <v>66</v>
      </c>
      <c r="B16" s="148"/>
      <c r="C16" s="148"/>
      <c r="D16" s="38" t="s">
        <v>34</v>
      </c>
      <c r="E16" s="148"/>
      <c r="F16" s="148"/>
      <c r="G16" s="148"/>
      <c r="H16" s="148"/>
      <c r="I16" s="148"/>
      <c r="J16" s="148"/>
      <c r="K16" s="148"/>
      <c r="L16" s="148"/>
      <c r="M16" s="148"/>
      <c r="N16" s="148"/>
      <c r="O16" s="148"/>
      <c r="P16" s="148"/>
      <c r="Q16" s="148"/>
      <c r="R16" s="148"/>
      <c r="S16" s="149"/>
      <c r="T16" s="148"/>
      <c r="U16" s="148"/>
      <c r="V16" s="148"/>
      <c r="W16" s="148"/>
      <c r="X16" s="148"/>
      <c r="Y16" s="148"/>
    </row>
    <row r="17" spans="1:25" ht="16.5" customHeight="1">
      <c r="A17" s="150"/>
      <c r="B17" s="151">
        <v>1</v>
      </c>
      <c r="C17" s="152">
        <v>2</v>
      </c>
      <c r="D17" s="153">
        <v>3</v>
      </c>
      <c r="E17" s="152">
        <v>4</v>
      </c>
      <c r="F17" s="152">
        <v>5</v>
      </c>
      <c r="G17" s="152">
        <v>6</v>
      </c>
      <c r="H17" s="152">
        <v>7</v>
      </c>
      <c r="I17" s="152">
        <v>8</v>
      </c>
      <c r="J17" s="152">
        <v>9</v>
      </c>
      <c r="K17" s="152">
        <v>10</v>
      </c>
      <c r="L17" s="152">
        <v>11</v>
      </c>
      <c r="M17" s="152">
        <v>12</v>
      </c>
      <c r="N17" s="152">
        <v>13</v>
      </c>
      <c r="O17" s="152">
        <v>14</v>
      </c>
      <c r="P17" s="152">
        <v>15</v>
      </c>
      <c r="Q17" s="152">
        <v>16</v>
      </c>
      <c r="R17" s="152">
        <v>17</v>
      </c>
      <c r="S17" s="152">
        <v>18</v>
      </c>
      <c r="T17" s="154">
        <v>19</v>
      </c>
      <c r="U17" s="154">
        <v>20</v>
      </c>
      <c r="V17" s="154">
        <v>21</v>
      </c>
      <c r="W17" s="154">
        <v>22</v>
      </c>
      <c r="X17" s="154">
        <v>23</v>
      </c>
      <c r="Y17" s="155">
        <v>24</v>
      </c>
    </row>
    <row r="18" spans="1:25" ht="12" customHeight="1">
      <c r="A18" s="156" t="s">
        <v>95</v>
      </c>
      <c r="B18" s="157">
        <v>2.7</v>
      </c>
      <c r="C18" s="158">
        <v>2.2999999999999998</v>
      </c>
      <c r="D18" s="158">
        <v>2</v>
      </c>
      <c r="E18" s="158">
        <v>1.8</v>
      </c>
      <c r="F18" s="158">
        <v>1.5</v>
      </c>
      <c r="G18" s="158">
        <v>1.5</v>
      </c>
      <c r="H18" s="158">
        <v>2</v>
      </c>
      <c r="I18" s="158">
        <v>3</v>
      </c>
      <c r="J18" s="158">
        <v>4.5999999999999996</v>
      </c>
      <c r="K18" s="158">
        <v>6.2</v>
      </c>
      <c r="L18" s="158">
        <v>7.7</v>
      </c>
      <c r="M18" s="158">
        <v>9</v>
      </c>
      <c r="N18" s="158">
        <v>9.9</v>
      </c>
      <c r="O18" s="158">
        <v>10.6</v>
      </c>
      <c r="P18" s="158">
        <v>10.9</v>
      </c>
      <c r="Q18" s="158">
        <v>10.7</v>
      </c>
      <c r="R18" s="158">
        <v>10.199999999999999</v>
      </c>
      <c r="S18" s="158">
        <v>9.3000000000000007</v>
      </c>
      <c r="T18" s="159">
        <v>8</v>
      </c>
      <c r="U18" s="159">
        <v>6.5</v>
      </c>
      <c r="V18" s="159">
        <v>5.3</v>
      </c>
      <c r="W18" s="159">
        <v>4.3</v>
      </c>
      <c r="X18" s="159">
        <v>3.6</v>
      </c>
      <c r="Y18" s="160">
        <v>3.1</v>
      </c>
    </row>
    <row r="19" spans="1:25" ht="12" customHeight="1">
      <c r="A19" s="161" t="s">
        <v>67</v>
      </c>
      <c r="B19" s="162">
        <v>3.1</v>
      </c>
      <c r="C19" s="163">
        <v>2.6</v>
      </c>
      <c r="D19" s="163">
        <v>2.2000000000000002</v>
      </c>
      <c r="E19" s="163">
        <v>1.9</v>
      </c>
      <c r="F19" s="163">
        <v>1.6</v>
      </c>
      <c r="G19" s="163">
        <v>1.8</v>
      </c>
      <c r="H19" s="163">
        <v>3.5</v>
      </c>
      <c r="I19" s="163">
        <v>6.8</v>
      </c>
      <c r="J19" s="163">
        <v>11.4</v>
      </c>
      <c r="K19" s="163">
        <v>16.3</v>
      </c>
      <c r="L19" s="163">
        <v>21.1</v>
      </c>
      <c r="M19" s="163">
        <v>25.1</v>
      </c>
      <c r="N19" s="163">
        <v>27.9</v>
      </c>
      <c r="O19" s="163">
        <v>29.3</v>
      </c>
      <c r="P19" s="163">
        <v>29</v>
      </c>
      <c r="Q19" s="163">
        <v>27.2</v>
      </c>
      <c r="R19" s="163">
        <v>24.1</v>
      </c>
      <c r="S19" s="163">
        <v>20</v>
      </c>
      <c r="T19" s="164">
        <v>15.3</v>
      </c>
      <c r="U19" s="164">
        <v>11.2</v>
      </c>
      <c r="V19" s="164">
        <v>8.1999999999999993</v>
      </c>
      <c r="W19" s="164">
        <v>6.1</v>
      </c>
      <c r="X19" s="164">
        <v>4.7</v>
      </c>
      <c r="Y19" s="165">
        <v>3.8</v>
      </c>
    </row>
    <row r="20" spans="1:25" ht="12" customHeight="1">
      <c r="A20" s="161" t="s">
        <v>68</v>
      </c>
      <c r="B20" s="195">
        <v>2.7</v>
      </c>
      <c r="C20" s="196">
        <v>2.2999999999999998</v>
      </c>
      <c r="D20" s="196">
        <v>2</v>
      </c>
      <c r="E20" s="196">
        <v>1.7</v>
      </c>
      <c r="F20" s="196">
        <v>1.6</v>
      </c>
      <c r="G20" s="196">
        <v>2.5</v>
      </c>
      <c r="H20" s="196">
        <v>4.9000000000000004</v>
      </c>
      <c r="I20" s="196">
        <v>7.4</v>
      </c>
      <c r="J20" s="196">
        <v>8.9</v>
      </c>
      <c r="K20" s="196">
        <v>9.6</v>
      </c>
      <c r="L20" s="196">
        <v>9.9</v>
      </c>
      <c r="M20" s="196">
        <v>10.4</v>
      </c>
      <c r="N20" s="196">
        <v>10.8</v>
      </c>
      <c r="O20" s="196">
        <v>11.2</v>
      </c>
      <c r="P20" s="196">
        <v>11.2</v>
      </c>
      <c r="Q20" s="196">
        <v>11</v>
      </c>
      <c r="R20" s="196">
        <v>10.3</v>
      </c>
      <c r="S20" s="196">
        <v>9.4</v>
      </c>
      <c r="T20" s="197">
        <v>8</v>
      </c>
      <c r="U20" s="197">
        <v>6.5</v>
      </c>
      <c r="V20" s="197">
        <v>5.3</v>
      </c>
      <c r="W20" s="197">
        <v>4.3</v>
      </c>
      <c r="X20" s="197">
        <v>3.6</v>
      </c>
      <c r="Y20" s="198">
        <v>3.1</v>
      </c>
    </row>
    <row r="21" spans="1:25" ht="12" customHeight="1">
      <c r="A21" s="161" t="s">
        <v>69</v>
      </c>
      <c r="B21" s="195">
        <v>2.7</v>
      </c>
      <c r="C21" s="196">
        <v>2.2999999999999998</v>
      </c>
      <c r="D21" s="196">
        <v>2</v>
      </c>
      <c r="E21" s="196">
        <v>1.7</v>
      </c>
      <c r="F21" s="196">
        <v>1.7</v>
      </c>
      <c r="G21" s="196">
        <v>3.1</v>
      </c>
      <c r="H21" s="196">
        <v>7.4</v>
      </c>
      <c r="I21" s="196">
        <v>12</v>
      </c>
      <c r="J21" s="196">
        <v>15.5</v>
      </c>
      <c r="K21" s="196">
        <v>17.100000000000001</v>
      </c>
      <c r="L21" s="196">
        <v>17</v>
      </c>
      <c r="M21" s="196">
        <v>15.4</v>
      </c>
      <c r="N21" s="196">
        <v>14</v>
      </c>
      <c r="O21" s="196">
        <v>13.2</v>
      </c>
      <c r="P21" s="196">
        <v>12.5</v>
      </c>
      <c r="Q21" s="196">
        <v>11.7</v>
      </c>
      <c r="R21" s="196">
        <v>10.8</v>
      </c>
      <c r="S21" s="196">
        <v>9.6999999999999993</v>
      </c>
      <c r="T21" s="197">
        <v>8.1999999999999993</v>
      </c>
      <c r="U21" s="197">
        <v>6.6</v>
      </c>
      <c r="V21" s="197">
        <v>5.3</v>
      </c>
      <c r="W21" s="197">
        <v>4.3</v>
      </c>
      <c r="X21" s="197">
        <v>3.6</v>
      </c>
      <c r="Y21" s="198">
        <v>3.1</v>
      </c>
    </row>
    <row r="22" spans="1:25" ht="12" customHeight="1">
      <c r="A22" s="161" t="s">
        <v>70</v>
      </c>
      <c r="B22" s="195">
        <v>2.7</v>
      </c>
      <c r="C22" s="196">
        <v>2.2999999999999998</v>
      </c>
      <c r="D22" s="196">
        <v>2</v>
      </c>
      <c r="E22" s="196">
        <v>1.7</v>
      </c>
      <c r="F22" s="196">
        <v>1.6</v>
      </c>
      <c r="G22" s="196">
        <v>2.8</v>
      </c>
      <c r="H22" s="196">
        <v>6.6</v>
      </c>
      <c r="I22" s="196">
        <v>11.4</v>
      </c>
      <c r="J22" s="196">
        <v>15.6</v>
      </c>
      <c r="K22" s="196">
        <v>18.5</v>
      </c>
      <c r="L22" s="196">
        <v>19.5</v>
      </c>
      <c r="M22" s="196">
        <v>18.8</v>
      </c>
      <c r="N22" s="196">
        <v>16.8</v>
      </c>
      <c r="O22" s="196">
        <v>14.9</v>
      </c>
      <c r="P22" s="196">
        <v>13.6</v>
      </c>
      <c r="Q22" s="196">
        <v>12.4</v>
      </c>
      <c r="R22" s="196">
        <v>11.2</v>
      </c>
      <c r="S22" s="196">
        <v>9.9</v>
      </c>
      <c r="T22" s="197">
        <v>8.4</v>
      </c>
      <c r="U22" s="197">
        <v>6.7</v>
      </c>
      <c r="V22" s="197">
        <v>5.4</v>
      </c>
      <c r="W22" s="197">
        <v>4.4000000000000004</v>
      </c>
      <c r="X22" s="197">
        <v>3.6</v>
      </c>
      <c r="Y22" s="198">
        <v>3.1</v>
      </c>
    </row>
    <row r="23" spans="1:25" ht="12" customHeight="1">
      <c r="A23" s="161" t="s">
        <v>71</v>
      </c>
      <c r="B23" s="195">
        <v>2.7</v>
      </c>
      <c r="C23" s="196">
        <v>2.2999999999999998</v>
      </c>
      <c r="D23" s="196">
        <v>2</v>
      </c>
      <c r="E23" s="196">
        <v>1.7</v>
      </c>
      <c r="F23" s="196">
        <v>1.5</v>
      </c>
      <c r="G23" s="196">
        <v>1.7</v>
      </c>
      <c r="H23" s="196">
        <v>3.2</v>
      </c>
      <c r="I23" s="196">
        <v>5.9</v>
      </c>
      <c r="J23" s="196">
        <v>9.3000000000000007</v>
      </c>
      <c r="K23" s="196">
        <v>12.6</v>
      </c>
      <c r="L23" s="196">
        <v>15.2</v>
      </c>
      <c r="M23" s="196">
        <v>16.7</v>
      </c>
      <c r="N23" s="196">
        <v>17</v>
      </c>
      <c r="O23" s="196">
        <v>16.100000000000001</v>
      </c>
      <c r="P23" s="196">
        <v>14.5</v>
      </c>
      <c r="Q23" s="196">
        <v>13</v>
      </c>
      <c r="R23" s="196">
        <v>11.6</v>
      </c>
      <c r="S23" s="196">
        <v>10.1</v>
      </c>
      <c r="T23" s="197">
        <v>8.5</v>
      </c>
      <c r="U23" s="197">
        <v>6.8</v>
      </c>
      <c r="V23" s="197">
        <v>5.4</v>
      </c>
      <c r="W23" s="197">
        <v>4.4000000000000004</v>
      </c>
      <c r="X23" s="197">
        <v>3.6</v>
      </c>
      <c r="Y23" s="198">
        <v>3.1</v>
      </c>
    </row>
    <row r="24" spans="1:25" ht="12" customHeight="1">
      <c r="A24" s="161" t="s">
        <v>72</v>
      </c>
      <c r="B24" s="195">
        <v>2.9</v>
      </c>
      <c r="C24" s="196">
        <v>2.4</v>
      </c>
      <c r="D24" s="196">
        <v>2.1</v>
      </c>
      <c r="E24" s="196">
        <v>1.8</v>
      </c>
      <c r="F24" s="196">
        <v>1.5</v>
      </c>
      <c r="G24" s="196">
        <v>1.5</v>
      </c>
      <c r="H24" s="196">
        <v>2</v>
      </c>
      <c r="I24" s="196">
        <v>3.1</v>
      </c>
      <c r="J24" s="196">
        <v>4.5999999999999996</v>
      </c>
      <c r="K24" s="196">
        <v>6.4</v>
      </c>
      <c r="L24" s="196">
        <v>8.6999999999999993</v>
      </c>
      <c r="M24" s="196">
        <v>11.5</v>
      </c>
      <c r="N24" s="196">
        <v>14.2</v>
      </c>
      <c r="O24" s="196">
        <v>16.5</v>
      </c>
      <c r="P24" s="196">
        <v>17.7</v>
      </c>
      <c r="Q24" s="196">
        <v>17.8</v>
      </c>
      <c r="R24" s="196">
        <v>16.600000000000001</v>
      </c>
      <c r="S24" s="196">
        <v>14.4</v>
      </c>
      <c r="T24" s="197">
        <v>11.4</v>
      </c>
      <c r="U24" s="197">
        <v>8.6999999999999993</v>
      </c>
      <c r="V24" s="197">
        <v>6.6</v>
      </c>
      <c r="W24" s="197">
        <v>5.0999999999999996</v>
      </c>
      <c r="X24" s="197">
        <v>4.0999999999999996</v>
      </c>
      <c r="Y24" s="198">
        <v>3.4</v>
      </c>
    </row>
    <row r="25" spans="1:25" ht="12" customHeight="1">
      <c r="A25" s="161" t="s">
        <v>73</v>
      </c>
      <c r="B25" s="195">
        <v>3.2</v>
      </c>
      <c r="C25" s="196">
        <v>2.7</v>
      </c>
      <c r="D25" s="196">
        <v>2.2000000000000002</v>
      </c>
      <c r="E25" s="196">
        <v>1.9</v>
      </c>
      <c r="F25" s="196">
        <v>1.6</v>
      </c>
      <c r="G25" s="196">
        <v>1.5</v>
      </c>
      <c r="H25" s="196">
        <v>2</v>
      </c>
      <c r="I25" s="196">
        <v>3.1</v>
      </c>
      <c r="J25" s="196">
        <v>4.5999999999999996</v>
      </c>
      <c r="K25" s="196">
        <v>6.2</v>
      </c>
      <c r="L25" s="196">
        <v>7.7</v>
      </c>
      <c r="M25" s="196">
        <v>9.3000000000000007</v>
      </c>
      <c r="N25" s="196">
        <v>11.9</v>
      </c>
      <c r="O25" s="196">
        <v>15.3</v>
      </c>
      <c r="P25" s="196">
        <v>18.600000000000001</v>
      </c>
      <c r="Q25" s="196">
        <v>21</v>
      </c>
      <c r="R25" s="196">
        <v>22</v>
      </c>
      <c r="S25" s="196">
        <v>21.1</v>
      </c>
      <c r="T25" s="197">
        <v>17.600000000000001</v>
      </c>
      <c r="U25" s="197">
        <v>12.8</v>
      </c>
      <c r="V25" s="197">
        <v>9.1999999999999993</v>
      </c>
      <c r="W25" s="197">
        <v>6.7</v>
      </c>
      <c r="X25" s="197">
        <v>5.0999999999999996</v>
      </c>
      <c r="Y25" s="198">
        <v>4</v>
      </c>
    </row>
    <row r="26" spans="1:25" ht="12" customHeight="1">
      <c r="A26" s="161" t="s">
        <v>74</v>
      </c>
      <c r="B26" s="195">
        <v>3.3</v>
      </c>
      <c r="C26" s="196">
        <v>2.7</v>
      </c>
      <c r="D26" s="196">
        <v>2.2000000000000002</v>
      </c>
      <c r="E26" s="196">
        <v>1.9</v>
      </c>
      <c r="F26" s="196">
        <v>1.6</v>
      </c>
      <c r="G26" s="196">
        <v>1.5</v>
      </c>
      <c r="H26" s="196">
        <v>2</v>
      </c>
      <c r="I26" s="196">
        <v>3.1</v>
      </c>
      <c r="J26" s="196">
        <v>4.5999999999999996</v>
      </c>
      <c r="K26" s="196">
        <v>6.2</v>
      </c>
      <c r="L26" s="196">
        <v>7.7</v>
      </c>
      <c r="M26" s="196">
        <v>9</v>
      </c>
      <c r="N26" s="196">
        <v>10.3</v>
      </c>
      <c r="O26" s="196">
        <v>12.6</v>
      </c>
      <c r="P26" s="196">
        <v>15.8</v>
      </c>
      <c r="Q26" s="196">
        <v>18.8</v>
      </c>
      <c r="R26" s="196">
        <v>20.8</v>
      </c>
      <c r="S26" s="196">
        <v>21.1</v>
      </c>
      <c r="T26" s="197">
        <v>18.2</v>
      </c>
      <c r="U26" s="197">
        <v>13.3</v>
      </c>
      <c r="V26" s="197">
        <v>9.5</v>
      </c>
      <c r="W26" s="197">
        <v>6.9</v>
      </c>
      <c r="X26" s="197">
        <v>5.2</v>
      </c>
      <c r="Y26" s="198">
        <v>4.0999999999999996</v>
      </c>
    </row>
    <row r="27" spans="1:25" ht="12" customHeight="1">
      <c r="A27" s="166" t="s">
        <v>75</v>
      </c>
      <c r="B27" s="199">
        <v>3</v>
      </c>
      <c r="C27" s="200">
        <v>2.5</v>
      </c>
      <c r="D27" s="200">
        <v>2.1</v>
      </c>
      <c r="E27" s="200">
        <v>1.8</v>
      </c>
      <c r="F27" s="200">
        <v>1.6</v>
      </c>
      <c r="G27" s="200">
        <v>1.5</v>
      </c>
      <c r="H27" s="200">
        <v>2</v>
      </c>
      <c r="I27" s="200">
        <v>3.1</v>
      </c>
      <c r="J27" s="200">
        <v>4.5999999999999996</v>
      </c>
      <c r="K27" s="200">
        <v>6.2</v>
      </c>
      <c r="L27" s="200">
        <v>7.7</v>
      </c>
      <c r="M27" s="200">
        <v>9</v>
      </c>
      <c r="N27" s="200">
        <v>10</v>
      </c>
      <c r="O27" s="200">
        <v>10.7</v>
      </c>
      <c r="P27" s="200">
        <v>11.4</v>
      </c>
      <c r="Q27" s="200">
        <v>12.6</v>
      </c>
      <c r="R27" s="200">
        <v>13.9</v>
      </c>
      <c r="S27" s="200">
        <v>14.5</v>
      </c>
      <c r="T27" s="201">
        <v>13.1</v>
      </c>
      <c r="U27" s="201">
        <v>10</v>
      </c>
      <c r="V27" s="201">
        <v>7.4</v>
      </c>
      <c r="W27" s="201">
        <v>5.6</v>
      </c>
      <c r="X27" s="201">
        <v>4.4000000000000004</v>
      </c>
      <c r="Y27" s="202">
        <v>3.6</v>
      </c>
    </row>
    <row r="28" spans="1:25" ht="12" customHeight="1" thickBot="1"/>
    <row r="29" spans="1:25" ht="12" customHeight="1">
      <c r="A29" s="148" t="s">
        <v>66</v>
      </c>
      <c r="B29" s="148"/>
      <c r="C29" s="148"/>
      <c r="D29" s="39" t="s">
        <v>19</v>
      </c>
      <c r="E29" s="148"/>
      <c r="F29" s="148"/>
      <c r="G29" s="148"/>
      <c r="H29" s="148"/>
      <c r="I29" s="148"/>
      <c r="J29" s="148"/>
      <c r="K29" s="148"/>
      <c r="L29" s="148"/>
      <c r="M29" s="148"/>
      <c r="N29" s="148"/>
      <c r="O29" s="148"/>
      <c r="P29" s="148"/>
      <c r="Q29" s="148"/>
      <c r="R29" s="148"/>
      <c r="S29" s="149"/>
      <c r="T29" s="148"/>
      <c r="U29" s="148"/>
      <c r="V29" s="148"/>
      <c r="W29" s="148"/>
      <c r="X29" s="148"/>
      <c r="Y29" s="148"/>
    </row>
    <row r="30" spans="1:25" ht="16.5" customHeight="1">
      <c r="A30" s="150"/>
      <c r="B30" s="151">
        <v>1</v>
      </c>
      <c r="C30" s="152">
        <v>2</v>
      </c>
      <c r="D30" s="153">
        <v>3</v>
      </c>
      <c r="E30" s="152">
        <v>4</v>
      </c>
      <c r="F30" s="152">
        <v>5</v>
      </c>
      <c r="G30" s="152">
        <v>6</v>
      </c>
      <c r="H30" s="152">
        <v>7</v>
      </c>
      <c r="I30" s="152">
        <v>8</v>
      </c>
      <c r="J30" s="152">
        <v>9</v>
      </c>
      <c r="K30" s="152">
        <v>10</v>
      </c>
      <c r="L30" s="152">
        <v>11</v>
      </c>
      <c r="M30" s="152">
        <v>12</v>
      </c>
      <c r="N30" s="152">
        <v>13</v>
      </c>
      <c r="O30" s="152">
        <v>14</v>
      </c>
      <c r="P30" s="152">
        <v>15</v>
      </c>
      <c r="Q30" s="152">
        <v>16</v>
      </c>
      <c r="R30" s="152">
        <v>17</v>
      </c>
      <c r="S30" s="152">
        <v>18</v>
      </c>
      <c r="T30" s="154">
        <v>19</v>
      </c>
      <c r="U30" s="154">
        <v>20</v>
      </c>
      <c r="V30" s="154">
        <v>21</v>
      </c>
      <c r="W30" s="154">
        <v>22</v>
      </c>
      <c r="X30" s="154">
        <v>23</v>
      </c>
      <c r="Y30" s="155">
        <v>24</v>
      </c>
    </row>
    <row r="31" spans="1:25" ht="12" customHeight="1">
      <c r="A31" s="156" t="s">
        <v>96</v>
      </c>
      <c r="B31" s="157">
        <v>0.9</v>
      </c>
      <c r="C31" s="158">
        <v>0.5</v>
      </c>
      <c r="D31" s="158">
        <v>0.1</v>
      </c>
      <c r="E31" s="158">
        <v>-0.2</v>
      </c>
      <c r="F31" s="158">
        <v>-0.5</v>
      </c>
      <c r="G31" s="158">
        <v>-0.6</v>
      </c>
      <c r="H31" s="158">
        <v>-0.4</v>
      </c>
      <c r="I31" s="158">
        <v>0.5</v>
      </c>
      <c r="J31" s="158">
        <v>1.9</v>
      </c>
      <c r="K31" s="158">
        <v>3.5</v>
      </c>
      <c r="L31" s="158">
        <v>5</v>
      </c>
      <c r="M31" s="158">
        <v>6.4</v>
      </c>
      <c r="N31" s="158">
        <v>7.5</v>
      </c>
      <c r="O31" s="158">
        <v>8.1999999999999993</v>
      </c>
      <c r="P31" s="158">
        <v>8.4</v>
      </c>
      <c r="Q31" s="158">
        <v>8.1999999999999993</v>
      </c>
      <c r="R31" s="158">
        <v>7.6</v>
      </c>
      <c r="S31" s="158">
        <v>6.5</v>
      </c>
      <c r="T31" s="159">
        <v>5.0999999999999996</v>
      </c>
      <c r="U31" s="159">
        <v>3.9</v>
      </c>
      <c r="V31" s="159">
        <v>2.9</v>
      </c>
      <c r="W31" s="159">
        <v>2.2000000000000002</v>
      </c>
      <c r="X31" s="159">
        <v>1.7</v>
      </c>
      <c r="Y31" s="160">
        <v>1.3</v>
      </c>
    </row>
    <row r="32" spans="1:25" ht="12" customHeight="1">
      <c r="A32" s="161" t="s">
        <v>67</v>
      </c>
      <c r="B32" s="162">
        <v>1.1000000000000001</v>
      </c>
      <c r="C32" s="163">
        <v>0.6</v>
      </c>
      <c r="D32" s="163">
        <v>0.2</v>
      </c>
      <c r="E32" s="163">
        <v>-0.1</v>
      </c>
      <c r="F32" s="163">
        <v>-0.4</v>
      </c>
      <c r="G32" s="163">
        <v>-0.5</v>
      </c>
      <c r="H32" s="163">
        <v>0.3</v>
      </c>
      <c r="I32" s="163">
        <v>3</v>
      </c>
      <c r="J32" s="163">
        <v>7</v>
      </c>
      <c r="K32" s="163">
        <v>11.8</v>
      </c>
      <c r="L32" s="163">
        <v>16.399999999999999</v>
      </c>
      <c r="M32" s="163">
        <v>20.3</v>
      </c>
      <c r="N32" s="163">
        <v>23</v>
      </c>
      <c r="O32" s="163">
        <v>24.2</v>
      </c>
      <c r="P32" s="163">
        <v>23.7</v>
      </c>
      <c r="Q32" s="163">
        <v>21.6</v>
      </c>
      <c r="R32" s="163">
        <v>18.100000000000001</v>
      </c>
      <c r="S32" s="163">
        <v>13.8</v>
      </c>
      <c r="T32" s="164">
        <v>9.8000000000000007</v>
      </c>
      <c r="U32" s="164">
        <v>6.9</v>
      </c>
      <c r="V32" s="164">
        <v>4.8</v>
      </c>
      <c r="W32" s="164">
        <v>3.4</v>
      </c>
      <c r="X32" s="164">
        <v>2.4</v>
      </c>
      <c r="Y32" s="165">
        <v>1.7</v>
      </c>
    </row>
    <row r="33" spans="1:25" ht="12" customHeight="1">
      <c r="A33" s="161" t="s">
        <v>68</v>
      </c>
      <c r="B33" s="195">
        <v>0.8</v>
      </c>
      <c r="C33" s="196">
        <v>0.4</v>
      </c>
      <c r="D33" s="196">
        <v>0.1</v>
      </c>
      <c r="E33" s="196">
        <v>-0.2</v>
      </c>
      <c r="F33" s="196">
        <v>-0.5</v>
      </c>
      <c r="G33" s="196">
        <v>-0.4</v>
      </c>
      <c r="H33" s="196">
        <v>0.8</v>
      </c>
      <c r="I33" s="196">
        <v>2.2000000000000002</v>
      </c>
      <c r="J33" s="196">
        <v>3.1</v>
      </c>
      <c r="K33" s="196">
        <v>4.2</v>
      </c>
      <c r="L33" s="196">
        <v>5.6</v>
      </c>
      <c r="M33" s="196">
        <v>6.7</v>
      </c>
      <c r="N33" s="196">
        <v>7.7</v>
      </c>
      <c r="O33" s="196">
        <v>8.4</v>
      </c>
      <c r="P33" s="196">
        <v>8.5</v>
      </c>
      <c r="Q33" s="196">
        <v>8.3000000000000007</v>
      </c>
      <c r="R33" s="196">
        <v>7.6</v>
      </c>
      <c r="S33" s="196">
        <v>6.5</v>
      </c>
      <c r="T33" s="197">
        <v>5.0999999999999996</v>
      </c>
      <c r="U33" s="197">
        <v>3.9</v>
      </c>
      <c r="V33" s="197">
        <v>2.9</v>
      </c>
      <c r="W33" s="197">
        <v>2.2000000000000002</v>
      </c>
      <c r="X33" s="197">
        <v>1.7</v>
      </c>
      <c r="Y33" s="198">
        <v>1.2</v>
      </c>
    </row>
    <row r="34" spans="1:25" ht="12" customHeight="1">
      <c r="A34" s="161" t="s">
        <v>69</v>
      </c>
      <c r="B34" s="195">
        <v>0.8</v>
      </c>
      <c r="C34" s="196">
        <v>0.4</v>
      </c>
      <c r="D34" s="196">
        <v>0.1</v>
      </c>
      <c r="E34" s="196">
        <v>-0.2</v>
      </c>
      <c r="F34" s="196">
        <v>-0.5</v>
      </c>
      <c r="G34" s="196">
        <v>0</v>
      </c>
      <c r="H34" s="196">
        <v>3.3</v>
      </c>
      <c r="I34" s="196">
        <v>7.4</v>
      </c>
      <c r="J34" s="196">
        <v>10.7</v>
      </c>
      <c r="K34" s="196">
        <v>12.2</v>
      </c>
      <c r="L34" s="196">
        <v>12</v>
      </c>
      <c r="M34" s="196">
        <v>10.9</v>
      </c>
      <c r="N34" s="196">
        <v>10.3</v>
      </c>
      <c r="O34" s="196">
        <v>10</v>
      </c>
      <c r="P34" s="196">
        <v>9.6</v>
      </c>
      <c r="Q34" s="196">
        <v>8.9</v>
      </c>
      <c r="R34" s="196">
        <v>8</v>
      </c>
      <c r="S34" s="196">
        <v>6.7</v>
      </c>
      <c r="T34" s="197">
        <v>5.3</v>
      </c>
      <c r="U34" s="197">
        <v>4</v>
      </c>
      <c r="V34" s="197">
        <v>3</v>
      </c>
      <c r="W34" s="197">
        <v>2.2000000000000002</v>
      </c>
      <c r="X34" s="197">
        <v>1.7</v>
      </c>
      <c r="Y34" s="198">
        <v>1.3</v>
      </c>
    </row>
    <row r="35" spans="1:25" ht="12" customHeight="1">
      <c r="A35" s="161" t="s">
        <v>70</v>
      </c>
      <c r="B35" s="195">
        <v>0.9</v>
      </c>
      <c r="C35" s="196">
        <v>0.5</v>
      </c>
      <c r="D35" s="196">
        <v>0.1</v>
      </c>
      <c r="E35" s="196">
        <v>-0.2</v>
      </c>
      <c r="F35" s="196">
        <v>-0.5</v>
      </c>
      <c r="G35" s="196">
        <v>0</v>
      </c>
      <c r="H35" s="196">
        <v>3.6</v>
      </c>
      <c r="I35" s="196">
        <v>8.6999999999999993</v>
      </c>
      <c r="J35" s="196">
        <v>13.4</v>
      </c>
      <c r="K35" s="196">
        <v>16.600000000000001</v>
      </c>
      <c r="L35" s="196">
        <v>18</v>
      </c>
      <c r="M35" s="196">
        <v>17.399999999999999</v>
      </c>
      <c r="N35" s="196">
        <v>15.3</v>
      </c>
      <c r="O35" s="196">
        <v>13.2</v>
      </c>
      <c r="P35" s="196">
        <v>11.6</v>
      </c>
      <c r="Q35" s="196">
        <v>10.199999999999999</v>
      </c>
      <c r="R35" s="196">
        <v>8.8000000000000007</v>
      </c>
      <c r="S35" s="196">
        <v>7.2</v>
      </c>
      <c r="T35" s="197">
        <v>5.6</v>
      </c>
      <c r="U35" s="197">
        <v>4.2</v>
      </c>
      <c r="V35" s="197">
        <v>3.1</v>
      </c>
      <c r="W35" s="197">
        <v>2.2999999999999998</v>
      </c>
      <c r="X35" s="197">
        <v>1.7</v>
      </c>
      <c r="Y35" s="198">
        <v>1.3</v>
      </c>
    </row>
    <row r="36" spans="1:25" ht="12" customHeight="1">
      <c r="A36" s="161" t="s">
        <v>71</v>
      </c>
      <c r="B36" s="195">
        <v>0.9</v>
      </c>
      <c r="C36" s="196">
        <v>0.5</v>
      </c>
      <c r="D36" s="196">
        <v>0.1</v>
      </c>
      <c r="E36" s="196">
        <v>-0.2</v>
      </c>
      <c r="F36" s="196">
        <v>-0.5</v>
      </c>
      <c r="G36" s="196">
        <v>-0.3</v>
      </c>
      <c r="H36" s="196">
        <v>1.6</v>
      </c>
      <c r="I36" s="196">
        <v>5.0999999999999996</v>
      </c>
      <c r="J36" s="196">
        <v>9.3000000000000007</v>
      </c>
      <c r="K36" s="196">
        <v>13.4</v>
      </c>
      <c r="L36" s="196">
        <v>16.600000000000001</v>
      </c>
      <c r="M36" s="196">
        <v>18.5</v>
      </c>
      <c r="N36" s="196">
        <v>19</v>
      </c>
      <c r="O36" s="196">
        <v>18</v>
      </c>
      <c r="P36" s="196">
        <v>15.7</v>
      </c>
      <c r="Q36" s="196">
        <v>13</v>
      </c>
      <c r="R36" s="196">
        <v>10.5</v>
      </c>
      <c r="S36" s="196">
        <v>8.3000000000000007</v>
      </c>
      <c r="T36" s="197">
        <v>6.2</v>
      </c>
      <c r="U36" s="197">
        <v>4.5999999999999996</v>
      </c>
      <c r="V36" s="197">
        <v>3.4</v>
      </c>
      <c r="W36" s="197">
        <v>2.5</v>
      </c>
      <c r="X36" s="197">
        <v>1.8</v>
      </c>
      <c r="Y36" s="198">
        <v>1.3</v>
      </c>
    </row>
    <row r="37" spans="1:25" ht="12" customHeight="1">
      <c r="A37" s="161" t="s">
        <v>72</v>
      </c>
      <c r="B37" s="195">
        <v>1.1000000000000001</v>
      </c>
      <c r="C37" s="196">
        <v>0.6</v>
      </c>
      <c r="D37" s="196">
        <v>0.2</v>
      </c>
      <c r="E37" s="196">
        <v>-0.1</v>
      </c>
      <c r="F37" s="196">
        <v>-0.4</v>
      </c>
      <c r="G37" s="196">
        <v>-0.6</v>
      </c>
      <c r="H37" s="196">
        <v>-0.4</v>
      </c>
      <c r="I37" s="196">
        <v>0.5</v>
      </c>
      <c r="J37" s="196">
        <v>2.2000000000000002</v>
      </c>
      <c r="K37" s="196">
        <v>5.0999999999999996</v>
      </c>
      <c r="L37" s="196">
        <v>8.9</v>
      </c>
      <c r="M37" s="196">
        <v>12.9</v>
      </c>
      <c r="N37" s="196">
        <v>16.399999999999999</v>
      </c>
      <c r="O37" s="196">
        <v>18.899999999999999</v>
      </c>
      <c r="P37" s="196">
        <v>20.2</v>
      </c>
      <c r="Q37" s="196">
        <v>19.8</v>
      </c>
      <c r="R37" s="196">
        <v>17.7</v>
      </c>
      <c r="S37" s="196">
        <v>14.1</v>
      </c>
      <c r="T37" s="197">
        <v>10.1</v>
      </c>
      <c r="U37" s="197">
        <v>7</v>
      </c>
      <c r="V37" s="197">
        <v>4.8</v>
      </c>
      <c r="W37" s="197">
        <v>3.4</v>
      </c>
      <c r="X37" s="197">
        <v>2.4</v>
      </c>
      <c r="Y37" s="198">
        <v>1.7</v>
      </c>
    </row>
    <row r="38" spans="1:25" ht="12" customHeight="1">
      <c r="A38" s="161" t="s">
        <v>73</v>
      </c>
      <c r="B38" s="195">
        <v>1.3</v>
      </c>
      <c r="C38" s="196">
        <v>0.7</v>
      </c>
      <c r="D38" s="196">
        <v>0.3</v>
      </c>
      <c r="E38" s="196">
        <v>-0.1</v>
      </c>
      <c r="F38" s="196">
        <v>-0.4</v>
      </c>
      <c r="G38" s="196">
        <v>-0.6</v>
      </c>
      <c r="H38" s="196">
        <v>-0.4</v>
      </c>
      <c r="I38" s="196">
        <v>0.5</v>
      </c>
      <c r="J38" s="196">
        <v>1.9</v>
      </c>
      <c r="K38" s="196">
        <v>3.5</v>
      </c>
      <c r="L38" s="196">
        <v>5.2</v>
      </c>
      <c r="M38" s="196">
        <v>7.6</v>
      </c>
      <c r="N38" s="196">
        <v>11.2</v>
      </c>
      <c r="O38" s="196">
        <v>15.2</v>
      </c>
      <c r="P38" s="196">
        <v>18.8</v>
      </c>
      <c r="Q38" s="196">
        <v>20.9</v>
      </c>
      <c r="R38" s="196">
        <v>20.7</v>
      </c>
      <c r="S38" s="196">
        <v>17.8</v>
      </c>
      <c r="T38" s="197">
        <v>12.6</v>
      </c>
      <c r="U38" s="197">
        <v>8.6</v>
      </c>
      <c r="V38" s="197">
        <v>5.9</v>
      </c>
      <c r="W38" s="197">
        <v>4</v>
      </c>
      <c r="X38" s="197">
        <v>2.8</v>
      </c>
      <c r="Y38" s="198">
        <v>1.9</v>
      </c>
    </row>
    <row r="39" spans="1:25" ht="12" customHeight="1">
      <c r="A39" s="161" t="s">
        <v>74</v>
      </c>
      <c r="B39" s="195">
        <v>1.2</v>
      </c>
      <c r="C39" s="196">
        <v>0.7</v>
      </c>
      <c r="D39" s="196">
        <v>0.2</v>
      </c>
      <c r="E39" s="196">
        <v>-0.1</v>
      </c>
      <c r="F39" s="196">
        <v>-0.4</v>
      </c>
      <c r="G39" s="196">
        <v>-0.6</v>
      </c>
      <c r="H39" s="196">
        <v>-0.4</v>
      </c>
      <c r="I39" s="196">
        <v>0.5</v>
      </c>
      <c r="J39" s="196">
        <v>1.9</v>
      </c>
      <c r="K39" s="196">
        <v>3.5</v>
      </c>
      <c r="L39" s="196">
        <v>5.0999999999999996</v>
      </c>
      <c r="M39" s="196">
        <v>6.5</v>
      </c>
      <c r="N39" s="196">
        <v>7.8</v>
      </c>
      <c r="O39" s="196">
        <v>10</v>
      </c>
      <c r="P39" s="196">
        <v>13</v>
      </c>
      <c r="Q39" s="196">
        <v>15.7</v>
      </c>
      <c r="R39" s="196">
        <v>16.7</v>
      </c>
      <c r="S39" s="196">
        <v>15.2</v>
      </c>
      <c r="T39" s="197">
        <v>11</v>
      </c>
      <c r="U39" s="197">
        <v>7.6</v>
      </c>
      <c r="V39" s="197">
        <v>5.2</v>
      </c>
      <c r="W39" s="197">
        <v>3.6</v>
      </c>
      <c r="X39" s="197">
        <v>2.6</v>
      </c>
      <c r="Y39" s="198">
        <v>1.8</v>
      </c>
    </row>
    <row r="40" spans="1:25" ht="12" customHeight="1">
      <c r="A40" s="166" t="s">
        <v>75</v>
      </c>
      <c r="B40" s="199">
        <v>0.9</v>
      </c>
      <c r="C40" s="200">
        <v>0.5</v>
      </c>
      <c r="D40" s="200">
        <v>0.1</v>
      </c>
      <c r="E40" s="200">
        <v>-0.2</v>
      </c>
      <c r="F40" s="200">
        <v>-0.5</v>
      </c>
      <c r="G40" s="200">
        <v>-0.6</v>
      </c>
      <c r="H40" s="200">
        <v>-0.4</v>
      </c>
      <c r="I40" s="200">
        <v>0.5</v>
      </c>
      <c r="J40" s="200">
        <v>1.9</v>
      </c>
      <c r="K40" s="200">
        <v>3.5</v>
      </c>
      <c r="L40" s="200">
        <v>5.0999999999999996</v>
      </c>
      <c r="M40" s="200">
        <v>6.5</v>
      </c>
      <c r="N40" s="200">
        <v>7.5</v>
      </c>
      <c r="O40" s="200">
        <v>8.1999999999999993</v>
      </c>
      <c r="P40" s="200">
        <v>8.5</v>
      </c>
      <c r="Q40" s="200">
        <v>8.6999999999999993</v>
      </c>
      <c r="R40" s="200">
        <v>9.1</v>
      </c>
      <c r="S40" s="200">
        <v>8.5</v>
      </c>
      <c r="T40" s="201">
        <v>6.6</v>
      </c>
      <c r="U40" s="201">
        <v>4.8</v>
      </c>
      <c r="V40" s="201">
        <v>3.5</v>
      </c>
      <c r="W40" s="201">
        <v>2.6</v>
      </c>
      <c r="X40" s="201">
        <v>1.9</v>
      </c>
      <c r="Y40" s="202">
        <v>1.4</v>
      </c>
    </row>
    <row r="42" spans="1:25" ht="12" customHeight="1">
      <c r="A42" s="148" t="s">
        <v>76</v>
      </c>
      <c r="B42" s="148"/>
      <c r="C42" s="148"/>
      <c r="D42" s="148"/>
      <c r="E42" s="148"/>
      <c r="G42" s="148"/>
      <c r="H42" s="148"/>
      <c r="I42" s="148"/>
      <c r="J42" s="148"/>
      <c r="K42" s="148"/>
    </row>
    <row r="43" spans="1:25" ht="15" customHeight="1">
      <c r="A43" s="171" t="s">
        <v>77</v>
      </c>
      <c r="B43" s="172" t="s">
        <v>78</v>
      </c>
      <c r="C43" s="173" t="s">
        <v>79</v>
      </c>
      <c r="D43" s="172" t="s">
        <v>78</v>
      </c>
      <c r="E43" s="173" t="s">
        <v>79</v>
      </c>
      <c r="F43" s="172" t="s">
        <v>78</v>
      </c>
      <c r="G43" s="173" t="s">
        <v>79</v>
      </c>
      <c r="H43" s="172" t="s">
        <v>78</v>
      </c>
      <c r="I43" s="173" t="s">
        <v>79</v>
      </c>
      <c r="J43" s="172" t="s">
        <v>78</v>
      </c>
      <c r="K43" s="173" t="s">
        <v>79</v>
      </c>
      <c r="L43" s="172" t="s">
        <v>78</v>
      </c>
      <c r="M43" s="174" t="s">
        <v>78</v>
      </c>
      <c r="N43" s="172" t="s">
        <v>78</v>
      </c>
      <c r="P43" s="73" t="s">
        <v>49</v>
      </c>
    </row>
    <row r="44" spans="1:25" ht="12" customHeight="1">
      <c r="A44" s="175">
        <v>0</v>
      </c>
      <c r="B44" s="176">
        <v>6.8000000000000005E-2</v>
      </c>
      <c r="C44" s="177">
        <f t="shared" ref="C44:C67" si="0">A44+24</f>
        <v>24</v>
      </c>
      <c r="D44" s="176">
        <v>0</v>
      </c>
      <c r="E44" s="177">
        <f t="shared" ref="E44:E67" si="1">C44+24</f>
        <v>48</v>
      </c>
      <c r="F44" s="176">
        <v>0</v>
      </c>
      <c r="G44" s="177">
        <f t="shared" ref="G44:G67" si="2">E44+24</f>
        <v>72</v>
      </c>
      <c r="H44" s="178">
        <v>0</v>
      </c>
      <c r="I44" s="177">
        <f t="shared" ref="I44:I67" si="3">G44+24</f>
        <v>96</v>
      </c>
      <c r="J44" s="178">
        <v>0</v>
      </c>
      <c r="K44" s="177">
        <f t="shared" ref="K44:K67" si="4">I44+24</f>
        <v>120</v>
      </c>
      <c r="L44" s="178">
        <v>0</v>
      </c>
      <c r="M44" s="179">
        <f t="shared" ref="M44:M67" si="5">K44+24</f>
        <v>144</v>
      </c>
      <c r="N44" s="180">
        <v>0</v>
      </c>
      <c r="P44" s="181" t="s">
        <v>83</v>
      </c>
    </row>
    <row r="45" spans="1:25" ht="12" customHeight="1">
      <c r="A45" s="182">
        <v>1</v>
      </c>
      <c r="B45" s="183">
        <v>0.29799999999999999</v>
      </c>
      <c r="C45" s="184">
        <f t="shared" si="0"/>
        <v>25</v>
      </c>
      <c r="D45" s="183">
        <v>0</v>
      </c>
      <c r="E45" s="184">
        <f t="shared" si="1"/>
        <v>49</v>
      </c>
      <c r="F45" s="183">
        <v>0</v>
      </c>
      <c r="G45" s="184">
        <f t="shared" si="2"/>
        <v>73</v>
      </c>
      <c r="H45" s="185">
        <v>0</v>
      </c>
      <c r="I45" s="184">
        <f t="shared" si="3"/>
        <v>97</v>
      </c>
      <c r="J45" s="185">
        <v>0</v>
      </c>
      <c r="K45" s="184">
        <f t="shared" si="4"/>
        <v>121</v>
      </c>
      <c r="L45" s="185">
        <v>0</v>
      </c>
      <c r="M45" s="186">
        <f t="shared" si="5"/>
        <v>145</v>
      </c>
      <c r="N45" s="187">
        <v>0</v>
      </c>
      <c r="P45" s="188" t="s">
        <v>84</v>
      </c>
    </row>
    <row r="46" spans="1:25" ht="12" customHeight="1">
      <c r="A46" s="182">
        <v>2</v>
      </c>
      <c r="B46" s="183">
        <v>0.23799999999999999</v>
      </c>
      <c r="C46" s="184">
        <f t="shared" si="0"/>
        <v>26</v>
      </c>
      <c r="D46" s="183">
        <v>0</v>
      </c>
      <c r="E46" s="184">
        <f t="shared" si="1"/>
        <v>50</v>
      </c>
      <c r="F46" s="183">
        <v>0</v>
      </c>
      <c r="G46" s="184">
        <f t="shared" si="2"/>
        <v>74</v>
      </c>
      <c r="H46" s="185">
        <v>0</v>
      </c>
      <c r="I46" s="184">
        <f t="shared" si="3"/>
        <v>98</v>
      </c>
      <c r="J46" s="185">
        <v>0</v>
      </c>
      <c r="K46" s="184">
        <f t="shared" si="4"/>
        <v>122</v>
      </c>
      <c r="L46" s="185">
        <v>0</v>
      </c>
      <c r="M46" s="186">
        <f t="shared" si="5"/>
        <v>146</v>
      </c>
      <c r="N46" s="187">
        <v>0</v>
      </c>
      <c r="P46" s="181" t="s">
        <v>85</v>
      </c>
    </row>
    <row r="47" spans="1:25" ht="12" customHeight="1">
      <c r="A47" s="182">
        <v>3</v>
      </c>
      <c r="B47" s="183">
        <v>0.14899999999999999</v>
      </c>
      <c r="C47" s="184">
        <f t="shared" si="0"/>
        <v>27</v>
      </c>
      <c r="D47" s="183">
        <v>0</v>
      </c>
      <c r="E47" s="184">
        <f t="shared" si="1"/>
        <v>51</v>
      </c>
      <c r="F47" s="183">
        <v>0</v>
      </c>
      <c r="G47" s="184">
        <f t="shared" si="2"/>
        <v>75</v>
      </c>
      <c r="H47" s="185">
        <v>0</v>
      </c>
      <c r="I47" s="184">
        <f t="shared" si="3"/>
        <v>99</v>
      </c>
      <c r="J47" s="185">
        <v>0</v>
      </c>
      <c r="K47" s="184">
        <f t="shared" si="4"/>
        <v>123</v>
      </c>
      <c r="L47" s="185">
        <v>0</v>
      </c>
      <c r="M47" s="186">
        <f t="shared" si="5"/>
        <v>147</v>
      </c>
      <c r="N47" s="187">
        <v>0</v>
      </c>
      <c r="P47" s="181" t="s">
        <v>86</v>
      </c>
    </row>
    <row r="48" spans="1:25" ht="12" customHeight="1">
      <c r="A48" s="182">
        <v>4</v>
      </c>
      <c r="B48" s="183">
        <v>9.2999999999999999E-2</v>
      </c>
      <c r="C48" s="184">
        <f t="shared" si="0"/>
        <v>28</v>
      </c>
      <c r="D48" s="183">
        <v>0</v>
      </c>
      <c r="E48" s="184">
        <f t="shared" si="1"/>
        <v>52</v>
      </c>
      <c r="F48" s="183">
        <v>0</v>
      </c>
      <c r="G48" s="184">
        <f t="shared" si="2"/>
        <v>76</v>
      </c>
      <c r="H48" s="185">
        <v>0</v>
      </c>
      <c r="I48" s="184">
        <f t="shared" si="3"/>
        <v>100</v>
      </c>
      <c r="J48" s="185">
        <v>0</v>
      </c>
      <c r="K48" s="184">
        <f t="shared" si="4"/>
        <v>124</v>
      </c>
      <c r="L48" s="185">
        <v>0</v>
      </c>
      <c r="M48" s="186">
        <f t="shared" si="5"/>
        <v>148</v>
      </c>
      <c r="N48" s="187">
        <v>0</v>
      </c>
      <c r="P48" s="181" t="s">
        <v>87</v>
      </c>
    </row>
    <row r="49" spans="1:16" ht="12" customHeight="1">
      <c r="A49" s="182">
        <v>5</v>
      </c>
      <c r="B49" s="183">
        <v>5.8000000000000003E-2</v>
      </c>
      <c r="C49" s="184">
        <f t="shared" si="0"/>
        <v>29</v>
      </c>
      <c r="D49" s="183">
        <v>0</v>
      </c>
      <c r="E49" s="184">
        <f t="shared" si="1"/>
        <v>53</v>
      </c>
      <c r="F49" s="183">
        <v>0</v>
      </c>
      <c r="G49" s="184">
        <f t="shared" si="2"/>
        <v>77</v>
      </c>
      <c r="H49" s="185">
        <v>0</v>
      </c>
      <c r="I49" s="184">
        <f t="shared" si="3"/>
        <v>101</v>
      </c>
      <c r="J49" s="185">
        <v>0</v>
      </c>
      <c r="K49" s="184">
        <f t="shared" si="4"/>
        <v>125</v>
      </c>
      <c r="L49" s="185">
        <v>0</v>
      </c>
      <c r="M49" s="186">
        <f t="shared" si="5"/>
        <v>149</v>
      </c>
      <c r="N49" s="187">
        <v>0</v>
      </c>
      <c r="P49" s="181" t="s">
        <v>88</v>
      </c>
    </row>
    <row r="50" spans="1:16" ht="12" customHeight="1">
      <c r="A50" s="182">
        <v>6</v>
      </c>
      <c r="B50" s="183">
        <v>3.5999999999999997E-2</v>
      </c>
      <c r="C50" s="184">
        <f t="shared" si="0"/>
        <v>30</v>
      </c>
      <c r="D50" s="183">
        <v>0</v>
      </c>
      <c r="E50" s="184">
        <f t="shared" si="1"/>
        <v>54</v>
      </c>
      <c r="F50" s="183">
        <v>0</v>
      </c>
      <c r="G50" s="184">
        <f t="shared" si="2"/>
        <v>78</v>
      </c>
      <c r="H50" s="185">
        <v>0</v>
      </c>
      <c r="I50" s="184">
        <f t="shared" si="3"/>
        <v>102</v>
      </c>
      <c r="J50" s="185">
        <v>0</v>
      </c>
      <c r="K50" s="184">
        <f t="shared" si="4"/>
        <v>126</v>
      </c>
      <c r="L50" s="185">
        <v>0</v>
      </c>
      <c r="M50" s="186">
        <f t="shared" si="5"/>
        <v>150</v>
      </c>
      <c r="N50" s="187">
        <v>0</v>
      </c>
      <c r="P50" s="181" t="s">
        <v>89</v>
      </c>
    </row>
    <row r="51" spans="1:16" ht="12" customHeight="1">
      <c r="A51" s="182">
        <v>7</v>
      </c>
      <c r="B51" s="183">
        <v>2.1999999999999999E-2</v>
      </c>
      <c r="C51" s="184">
        <f t="shared" si="0"/>
        <v>31</v>
      </c>
      <c r="D51" s="183">
        <v>0</v>
      </c>
      <c r="E51" s="184">
        <f t="shared" si="1"/>
        <v>55</v>
      </c>
      <c r="F51" s="183">
        <v>0</v>
      </c>
      <c r="G51" s="184">
        <f t="shared" si="2"/>
        <v>79</v>
      </c>
      <c r="H51" s="185">
        <v>0</v>
      </c>
      <c r="I51" s="184">
        <f t="shared" si="3"/>
        <v>103</v>
      </c>
      <c r="J51" s="185">
        <v>0</v>
      </c>
      <c r="K51" s="184">
        <f t="shared" si="4"/>
        <v>127</v>
      </c>
      <c r="L51" s="185">
        <v>0</v>
      </c>
      <c r="M51" s="186">
        <f t="shared" si="5"/>
        <v>151</v>
      </c>
      <c r="N51" s="187">
        <v>0</v>
      </c>
      <c r="P51" s="181" t="s">
        <v>90</v>
      </c>
    </row>
    <row r="52" spans="1:16" ht="12" customHeight="1">
      <c r="A52" s="182">
        <v>8</v>
      </c>
      <c r="B52" s="183">
        <v>1.4E-2</v>
      </c>
      <c r="C52" s="184">
        <f t="shared" si="0"/>
        <v>32</v>
      </c>
      <c r="D52" s="183">
        <v>0</v>
      </c>
      <c r="E52" s="184">
        <f t="shared" si="1"/>
        <v>56</v>
      </c>
      <c r="F52" s="183">
        <v>0</v>
      </c>
      <c r="G52" s="184">
        <f t="shared" si="2"/>
        <v>80</v>
      </c>
      <c r="H52" s="185">
        <v>0</v>
      </c>
      <c r="I52" s="184">
        <f t="shared" si="3"/>
        <v>104</v>
      </c>
      <c r="J52" s="185">
        <v>0</v>
      </c>
      <c r="K52" s="184">
        <f t="shared" si="4"/>
        <v>128</v>
      </c>
      <c r="L52" s="185">
        <v>0</v>
      </c>
      <c r="M52" s="186">
        <f t="shared" si="5"/>
        <v>152</v>
      </c>
      <c r="N52" s="187">
        <v>0</v>
      </c>
      <c r="P52" s="181" t="s">
        <v>91</v>
      </c>
    </row>
    <row r="53" spans="1:16" ht="12" customHeight="1">
      <c r="A53" s="182">
        <v>9</v>
      </c>
      <c r="B53" s="183">
        <v>8.9999999999999993E-3</v>
      </c>
      <c r="C53" s="184">
        <f t="shared" si="0"/>
        <v>33</v>
      </c>
      <c r="D53" s="183">
        <v>0</v>
      </c>
      <c r="E53" s="184">
        <f t="shared" si="1"/>
        <v>57</v>
      </c>
      <c r="F53" s="183">
        <v>0</v>
      </c>
      <c r="G53" s="184">
        <f t="shared" si="2"/>
        <v>81</v>
      </c>
      <c r="H53" s="185">
        <v>0</v>
      </c>
      <c r="I53" s="184">
        <f t="shared" si="3"/>
        <v>105</v>
      </c>
      <c r="J53" s="185">
        <v>0</v>
      </c>
      <c r="K53" s="184">
        <f t="shared" si="4"/>
        <v>129</v>
      </c>
      <c r="L53" s="185">
        <v>0</v>
      </c>
      <c r="M53" s="186">
        <f t="shared" si="5"/>
        <v>153</v>
      </c>
      <c r="N53" s="187">
        <v>0</v>
      </c>
      <c r="P53" s="181" t="s">
        <v>92</v>
      </c>
    </row>
    <row r="54" spans="1:16" ht="12" customHeight="1">
      <c r="A54" s="182">
        <v>10</v>
      </c>
      <c r="B54" s="183">
        <v>5.0000000000000001E-3</v>
      </c>
      <c r="C54" s="184">
        <f t="shared" si="0"/>
        <v>34</v>
      </c>
      <c r="D54" s="183">
        <v>0</v>
      </c>
      <c r="E54" s="184">
        <f t="shared" si="1"/>
        <v>58</v>
      </c>
      <c r="F54" s="183">
        <v>0</v>
      </c>
      <c r="G54" s="184">
        <f t="shared" si="2"/>
        <v>82</v>
      </c>
      <c r="H54" s="185">
        <v>0</v>
      </c>
      <c r="I54" s="184">
        <f t="shared" si="3"/>
        <v>106</v>
      </c>
      <c r="J54" s="185">
        <v>0</v>
      </c>
      <c r="K54" s="184">
        <f t="shared" si="4"/>
        <v>130</v>
      </c>
      <c r="L54" s="185">
        <v>0</v>
      </c>
      <c r="M54" s="186">
        <f t="shared" si="5"/>
        <v>154</v>
      </c>
      <c r="N54" s="187">
        <v>0</v>
      </c>
      <c r="P54" s="181" t="s">
        <v>93</v>
      </c>
    </row>
    <row r="55" spans="1:16" ht="12" customHeight="1">
      <c r="A55" s="182">
        <v>11</v>
      </c>
      <c r="B55" s="183">
        <v>3.0000000000000001E-3</v>
      </c>
      <c r="C55" s="184">
        <f t="shared" si="0"/>
        <v>35</v>
      </c>
      <c r="D55" s="183">
        <v>0</v>
      </c>
      <c r="E55" s="184">
        <f t="shared" si="1"/>
        <v>59</v>
      </c>
      <c r="F55" s="183">
        <v>0</v>
      </c>
      <c r="G55" s="184">
        <f t="shared" si="2"/>
        <v>83</v>
      </c>
      <c r="H55" s="185">
        <v>0</v>
      </c>
      <c r="I55" s="184">
        <f t="shared" si="3"/>
        <v>107</v>
      </c>
      <c r="J55" s="185">
        <v>0</v>
      </c>
      <c r="K55" s="184">
        <f t="shared" si="4"/>
        <v>131</v>
      </c>
      <c r="L55" s="185">
        <v>0</v>
      </c>
      <c r="M55" s="186">
        <f t="shared" si="5"/>
        <v>155</v>
      </c>
      <c r="N55" s="187">
        <v>0</v>
      </c>
      <c r="P55" s="181"/>
    </row>
    <row r="56" spans="1:16" ht="12" customHeight="1">
      <c r="A56" s="182">
        <v>12</v>
      </c>
      <c r="B56" s="183">
        <v>2E-3</v>
      </c>
      <c r="C56" s="184">
        <f t="shared" si="0"/>
        <v>36</v>
      </c>
      <c r="D56" s="183">
        <v>0</v>
      </c>
      <c r="E56" s="184">
        <f t="shared" si="1"/>
        <v>60</v>
      </c>
      <c r="F56" s="183">
        <v>0</v>
      </c>
      <c r="G56" s="184">
        <f t="shared" si="2"/>
        <v>84</v>
      </c>
      <c r="H56" s="185">
        <v>0</v>
      </c>
      <c r="I56" s="184">
        <f t="shared" si="3"/>
        <v>108</v>
      </c>
      <c r="J56" s="185">
        <v>0</v>
      </c>
      <c r="K56" s="184">
        <f t="shared" si="4"/>
        <v>132</v>
      </c>
      <c r="L56" s="185">
        <v>0</v>
      </c>
      <c r="M56" s="186">
        <f t="shared" si="5"/>
        <v>156</v>
      </c>
      <c r="N56" s="187">
        <v>0</v>
      </c>
      <c r="P56" s="181"/>
    </row>
    <row r="57" spans="1:16" ht="12" customHeight="1">
      <c r="A57" s="182">
        <v>13</v>
      </c>
      <c r="B57" s="183">
        <v>1E-3</v>
      </c>
      <c r="C57" s="184">
        <f t="shared" si="0"/>
        <v>37</v>
      </c>
      <c r="D57" s="183">
        <v>0</v>
      </c>
      <c r="E57" s="184">
        <f t="shared" si="1"/>
        <v>61</v>
      </c>
      <c r="F57" s="183">
        <v>0</v>
      </c>
      <c r="G57" s="184">
        <f t="shared" si="2"/>
        <v>85</v>
      </c>
      <c r="H57" s="185">
        <v>0</v>
      </c>
      <c r="I57" s="184">
        <f t="shared" si="3"/>
        <v>109</v>
      </c>
      <c r="J57" s="185">
        <v>0</v>
      </c>
      <c r="K57" s="184">
        <f t="shared" si="4"/>
        <v>133</v>
      </c>
      <c r="L57" s="185">
        <v>0</v>
      </c>
      <c r="M57" s="186">
        <f t="shared" si="5"/>
        <v>157</v>
      </c>
      <c r="N57" s="187">
        <v>0</v>
      </c>
      <c r="P57" s="181"/>
    </row>
    <row r="58" spans="1:16" ht="12" customHeight="1">
      <c r="A58" s="182">
        <v>14</v>
      </c>
      <c r="B58" s="183">
        <v>1E-3</v>
      </c>
      <c r="C58" s="184">
        <f t="shared" si="0"/>
        <v>38</v>
      </c>
      <c r="D58" s="183">
        <v>0</v>
      </c>
      <c r="E58" s="184">
        <f t="shared" si="1"/>
        <v>62</v>
      </c>
      <c r="F58" s="183">
        <v>0</v>
      </c>
      <c r="G58" s="184">
        <f t="shared" si="2"/>
        <v>86</v>
      </c>
      <c r="H58" s="185">
        <v>0</v>
      </c>
      <c r="I58" s="184">
        <f t="shared" si="3"/>
        <v>110</v>
      </c>
      <c r="J58" s="185">
        <v>0</v>
      </c>
      <c r="K58" s="184">
        <f t="shared" si="4"/>
        <v>134</v>
      </c>
      <c r="L58" s="185">
        <v>0</v>
      </c>
      <c r="M58" s="186">
        <f t="shared" si="5"/>
        <v>158</v>
      </c>
      <c r="N58" s="187">
        <v>0</v>
      </c>
      <c r="P58" s="181"/>
    </row>
    <row r="59" spans="1:16" ht="12" customHeight="1">
      <c r="A59" s="182">
        <v>15</v>
      </c>
      <c r="B59" s="183">
        <v>1E-3</v>
      </c>
      <c r="C59" s="184">
        <f t="shared" si="0"/>
        <v>39</v>
      </c>
      <c r="D59" s="183">
        <v>0</v>
      </c>
      <c r="E59" s="184">
        <f t="shared" si="1"/>
        <v>63</v>
      </c>
      <c r="F59" s="183">
        <v>0</v>
      </c>
      <c r="G59" s="184">
        <f t="shared" si="2"/>
        <v>87</v>
      </c>
      <c r="H59" s="185">
        <v>0</v>
      </c>
      <c r="I59" s="184">
        <f t="shared" si="3"/>
        <v>111</v>
      </c>
      <c r="J59" s="185">
        <v>0</v>
      </c>
      <c r="K59" s="184">
        <f t="shared" si="4"/>
        <v>135</v>
      </c>
      <c r="L59" s="185">
        <v>0</v>
      </c>
      <c r="M59" s="186">
        <f t="shared" si="5"/>
        <v>159</v>
      </c>
      <c r="N59" s="187">
        <v>0</v>
      </c>
      <c r="P59" s="181"/>
    </row>
    <row r="60" spans="1:16" ht="12" customHeight="1">
      <c r="A60" s="182">
        <v>16</v>
      </c>
      <c r="B60" s="183">
        <v>0</v>
      </c>
      <c r="C60" s="184">
        <f t="shared" si="0"/>
        <v>40</v>
      </c>
      <c r="D60" s="183">
        <v>0</v>
      </c>
      <c r="E60" s="184">
        <f t="shared" si="1"/>
        <v>64</v>
      </c>
      <c r="F60" s="183">
        <v>0</v>
      </c>
      <c r="G60" s="184">
        <f t="shared" si="2"/>
        <v>88</v>
      </c>
      <c r="H60" s="185">
        <v>0</v>
      </c>
      <c r="I60" s="184">
        <f t="shared" si="3"/>
        <v>112</v>
      </c>
      <c r="J60" s="185">
        <v>0</v>
      </c>
      <c r="K60" s="184">
        <f t="shared" si="4"/>
        <v>136</v>
      </c>
      <c r="L60" s="185">
        <v>0</v>
      </c>
      <c r="M60" s="186">
        <f t="shared" si="5"/>
        <v>160</v>
      </c>
      <c r="N60" s="187">
        <v>0</v>
      </c>
      <c r="P60" s="181"/>
    </row>
    <row r="61" spans="1:16" ht="12" customHeight="1">
      <c r="A61" s="182">
        <v>17</v>
      </c>
      <c r="B61" s="183">
        <v>0</v>
      </c>
      <c r="C61" s="184">
        <f t="shared" si="0"/>
        <v>41</v>
      </c>
      <c r="D61" s="183">
        <v>0</v>
      </c>
      <c r="E61" s="184">
        <f t="shared" si="1"/>
        <v>65</v>
      </c>
      <c r="F61" s="183">
        <v>0</v>
      </c>
      <c r="G61" s="184">
        <f t="shared" si="2"/>
        <v>89</v>
      </c>
      <c r="H61" s="185">
        <v>0</v>
      </c>
      <c r="I61" s="184">
        <f t="shared" si="3"/>
        <v>113</v>
      </c>
      <c r="J61" s="185">
        <v>0</v>
      </c>
      <c r="K61" s="184">
        <f t="shared" si="4"/>
        <v>137</v>
      </c>
      <c r="L61" s="185">
        <v>0</v>
      </c>
      <c r="M61" s="186">
        <f t="shared" si="5"/>
        <v>161</v>
      </c>
      <c r="N61" s="187">
        <v>0</v>
      </c>
      <c r="P61" s="181"/>
    </row>
    <row r="62" spans="1:16" ht="12" customHeight="1">
      <c r="A62" s="182">
        <v>18</v>
      </c>
      <c r="B62" s="183">
        <v>0</v>
      </c>
      <c r="C62" s="184">
        <f t="shared" si="0"/>
        <v>42</v>
      </c>
      <c r="D62" s="183">
        <v>0</v>
      </c>
      <c r="E62" s="184">
        <f t="shared" si="1"/>
        <v>66</v>
      </c>
      <c r="F62" s="183">
        <v>0</v>
      </c>
      <c r="G62" s="184">
        <f t="shared" si="2"/>
        <v>90</v>
      </c>
      <c r="H62" s="185">
        <v>0</v>
      </c>
      <c r="I62" s="184">
        <f t="shared" si="3"/>
        <v>114</v>
      </c>
      <c r="J62" s="185">
        <v>0</v>
      </c>
      <c r="K62" s="184">
        <f t="shared" si="4"/>
        <v>138</v>
      </c>
      <c r="L62" s="185">
        <v>0</v>
      </c>
      <c r="M62" s="186">
        <f t="shared" si="5"/>
        <v>162</v>
      </c>
      <c r="N62" s="187">
        <v>0</v>
      </c>
      <c r="P62" s="181"/>
    </row>
    <row r="63" spans="1:16" ht="12" customHeight="1">
      <c r="A63" s="182">
        <v>19</v>
      </c>
      <c r="B63" s="183">
        <v>0</v>
      </c>
      <c r="C63" s="184">
        <f t="shared" si="0"/>
        <v>43</v>
      </c>
      <c r="D63" s="183">
        <v>0</v>
      </c>
      <c r="E63" s="184">
        <f t="shared" si="1"/>
        <v>67</v>
      </c>
      <c r="F63" s="183">
        <v>0</v>
      </c>
      <c r="G63" s="184">
        <f t="shared" si="2"/>
        <v>91</v>
      </c>
      <c r="H63" s="185">
        <v>0</v>
      </c>
      <c r="I63" s="184">
        <f t="shared" si="3"/>
        <v>115</v>
      </c>
      <c r="J63" s="185">
        <v>0</v>
      </c>
      <c r="K63" s="184">
        <f t="shared" si="4"/>
        <v>139</v>
      </c>
      <c r="L63" s="185">
        <v>0</v>
      </c>
      <c r="M63" s="186">
        <f t="shared" si="5"/>
        <v>163</v>
      </c>
      <c r="N63" s="187">
        <v>0</v>
      </c>
      <c r="P63" s="181"/>
    </row>
    <row r="64" spans="1:16" ht="12" customHeight="1">
      <c r="A64" s="182">
        <v>20</v>
      </c>
      <c r="B64" s="183">
        <v>0</v>
      </c>
      <c r="C64" s="184">
        <f t="shared" si="0"/>
        <v>44</v>
      </c>
      <c r="D64" s="183">
        <v>0</v>
      </c>
      <c r="E64" s="184">
        <f t="shared" si="1"/>
        <v>68</v>
      </c>
      <c r="F64" s="183">
        <v>0</v>
      </c>
      <c r="G64" s="184">
        <f t="shared" si="2"/>
        <v>92</v>
      </c>
      <c r="H64" s="185">
        <v>0</v>
      </c>
      <c r="I64" s="184">
        <f t="shared" si="3"/>
        <v>116</v>
      </c>
      <c r="J64" s="185">
        <v>0</v>
      </c>
      <c r="K64" s="184">
        <f t="shared" si="4"/>
        <v>140</v>
      </c>
      <c r="L64" s="185">
        <v>0</v>
      </c>
      <c r="M64" s="186">
        <f t="shared" si="5"/>
        <v>164</v>
      </c>
      <c r="N64" s="187">
        <v>0</v>
      </c>
      <c r="P64" s="181"/>
    </row>
    <row r="65" spans="1:16" ht="12" customHeight="1">
      <c r="A65" s="182">
        <v>21</v>
      </c>
      <c r="B65" s="183">
        <v>0</v>
      </c>
      <c r="C65" s="184">
        <f t="shared" si="0"/>
        <v>45</v>
      </c>
      <c r="D65" s="183">
        <v>0</v>
      </c>
      <c r="E65" s="184">
        <f t="shared" si="1"/>
        <v>69</v>
      </c>
      <c r="F65" s="183">
        <v>0</v>
      </c>
      <c r="G65" s="184">
        <f t="shared" si="2"/>
        <v>93</v>
      </c>
      <c r="H65" s="185">
        <v>0</v>
      </c>
      <c r="I65" s="184">
        <f t="shared" si="3"/>
        <v>117</v>
      </c>
      <c r="J65" s="185">
        <v>0</v>
      </c>
      <c r="K65" s="184">
        <f t="shared" si="4"/>
        <v>141</v>
      </c>
      <c r="L65" s="185">
        <v>0</v>
      </c>
      <c r="M65" s="186">
        <f t="shared" si="5"/>
        <v>165</v>
      </c>
      <c r="N65" s="187">
        <v>0</v>
      </c>
      <c r="P65" s="181"/>
    </row>
    <row r="66" spans="1:16" ht="12" customHeight="1">
      <c r="A66" s="182">
        <v>22</v>
      </c>
      <c r="B66" s="183">
        <v>0</v>
      </c>
      <c r="C66" s="184">
        <f t="shared" si="0"/>
        <v>46</v>
      </c>
      <c r="D66" s="183">
        <v>0</v>
      </c>
      <c r="E66" s="184">
        <f t="shared" si="1"/>
        <v>70</v>
      </c>
      <c r="F66" s="183">
        <v>0</v>
      </c>
      <c r="G66" s="184">
        <f t="shared" si="2"/>
        <v>94</v>
      </c>
      <c r="H66" s="185">
        <v>0</v>
      </c>
      <c r="I66" s="184">
        <f t="shared" si="3"/>
        <v>118</v>
      </c>
      <c r="J66" s="185">
        <v>0</v>
      </c>
      <c r="K66" s="184">
        <f t="shared" si="4"/>
        <v>142</v>
      </c>
      <c r="L66" s="185">
        <v>0</v>
      </c>
      <c r="M66" s="186">
        <f t="shared" si="5"/>
        <v>166</v>
      </c>
      <c r="N66" s="187">
        <v>0</v>
      </c>
      <c r="P66" s="181"/>
    </row>
    <row r="67" spans="1:16" ht="12" customHeight="1">
      <c r="A67" s="189">
        <v>23</v>
      </c>
      <c r="B67" s="190">
        <v>0</v>
      </c>
      <c r="C67" s="191">
        <f t="shared" si="0"/>
        <v>47</v>
      </c>
      <c r="D67" s="190">
        <v>0</v>
      </c>
      <c r="E67" s="191">
        <f t="shared" si="1"/>
        <v>71</v>
      </c>
      <c r="F67" s="190">
        <v>0</v>
      </c>
      <c r="G67" s="191">
        <f t="shared" si="2"/>
        <v>95</v>
      </c>
      <c r="H67" s="192">
        <v>0</v>
      </c>
      <c r="I67" s="191">
        <f t="shared" si="3"/>
        <v>119</v>
      </c>
      <c r="J67" s="192">
        <v>0</v>
      </c>
      <c r="K67" s="191">
        <f t="shared" si="4"/>
        <v>143</v>
      </c>
      <c r="L67" s="192">
        <v>0</v>
      </c>
      <c r="M67" s="193">
        <f t="shared" si="5"/>
        <v>167</v>
      </c>
      <c r="N67" s="194">
        <v>0</v>
      </c>
      <c r="P67" s="181"/>
    </row>
  </sheetData>
  <phoneticPr fontId="4"/>
  <pageMargins left="1.1811023622047245" right="0.70866141732283472" top="0.59055118110236227" bottom="0.39370078740157483" header="0.39370078740157483" footer="0.11811023622047245"/>
  <pageSetup paperSize="9" scale="67" orientation="landscape" horizontalDpi="1200" verticalDpi="1200" r:id="rId1"/>
  <headerFooter scaleWithDoc="0" alignWithMargins="0">
    <oddFooter>&amp;C&amp;"ＭＳ Ｐゴシック,標準"&amp;9( &amp;P /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Y67"/>
  <sheetViews>
    <sheetView showGridLines="0" zoomScale="80" zoomScaleNormal="80" workbookViewId="0"/>
  </sheetViews>
  <sheetFormatPr defaultColWidth="8" defaultRowHeight="12" customHeight="1"/>
  <cols>
    <col min="1" max="1" width="8.7109375" style="73" customWidth="1"/>
    <col min="2" max="19" width="7.5703125" style="73" customWidth="1"/>
    <col min="20" max="16384" width="8" style="73"/>
  </cols>
  <sheetData>
    <row r="1" spans="1:25" s="147" customFormat="1" ht="24" customHeight="1">
      <c r="A1" s="143" t="s">
        <v>104</v>
      </c>
      <c r="B1" s="144"/>
      <c r="C1" s="144"/>
      <c r="D1" s="144"/>
      <c r="E1" s="144"/>
      <c r="F1" s="144"/>
      <c r="G1" s="144"/>
      <c r="H1" s="144"/>
      <c r="I1" s="144"/>
      <c r="J1" s="144"/>
      <c r="K1" s="144"/>
      <c r="L1" s="144"/>
      <c r="M1" s="144"/>
      <c r="N1" s="144"/>
      <c r="O1" s="144"/>
      <c r="P1" s="144"/>
      <c r="Q1" s="144"/>
      <c r="R1" s="144"/>
      <c r="S1" s="145"/>
      <c r="T1" s="145"/>
      <c r="U1" s="145"/>
      <c r="V1" s="145"/>
      <c r="W1" s="145"/>
      <c r="X1" s="145"/>
      <c r="Y1" s="146"/>
    </row>
    <row r="2" spans="1:25" ht="12" customHeight="1" thickBot="1">
      <c r="S2" s="63"/>
    </row>
    <row r="3" spans="1:25" ht="12" customHeight="1">
      <c r="A3" s="148" t="s">
        <v>66</v>
      </c>
      <c r="B3" s="148"/>
      <c r="C3" s="148"/>
      <c r="D3" s="37" t="s">
        <v>29</v>
      </c>
      <c r="E3" s="148"/>
      <c r="F3" s="148"/>
      <c r="G3" s="148"/>
      <c r="H3" s="148"/>
      <c r="I3" s="148"/>
      <c r="J3" s="148"/>
      <c r="K3" s="148"/>
      <c r="L3" s="148"/>
      <c r="M3" s="148"/>
      <c r="N3" s="148"/>
      <c r="O3" s="148"/>
      <c r="P3" s="148"/>
      <c r="Q3" s="148"/>
      <c r="R3" s="148"/>
      <c r="S3" s="149"/>
      <c r="T3" s="148"/>
      <c r="U3" s="148"/>
      <c r="V3" s="148"/>
      <c r="W3" s="148"/>
      <c r="X3" s="148"/>
      <c r="Y3" s="148"/>
    </row>
    <row r="4" spans="1:25" ht="16.5" customHeight="1">
      <c r="A4" s="150"/>
      <c r="B4" s="151">
        <v>1</v>
      </c>
      <c r="C4" s="152">
        <v>2</v>
      </c>
      <c r="D4" s="153">
        <v>3</v>
      </c>
      <c r="E4" s="152">
        <v>4</v>
      </c>
      <c r="F4" s="152">
        <v>5</v>
      </c>
      <c r="G4" s="152">
        <v>6</v>
      </c>
      <c r="H4" s="152">
        <v>7</v>
      </c>
      <c r="I4" s="152">
        <v>8</v>
      </c>
      <c r="J4" s="152">
        <v>9</v>
      </c>
      <c r="K4" s="152">
        <v>10</v>
      </c>
      <c r="L4" s="152">
        <v>11</v>
      </c>
      <c r="M4" s="152">
        <v>12</v>
      </c>
      <c r="N4" s="152">
        <v>13</v>
      </c>
      <c r="O4" s="152">
        <v>14</v>
      </c>
      <c r="P4" s="152">
        <v>15</v>
      </c>
      <c r="Q4" s="152">
        <v>16</v>
      </c>
      <c r="R4" s="152">
        <v>17</v>
      </c>
      <c r="S4" s="152">
        <v>18</v>
      </c>
      <c r="T4" s="154">
        <v>19</v>
      </c>
      <c r="U4" s="154">
        <v>20</v>
      </c>
      <c r="V4" s="154">
        <v>21</v>
      </c>
      <c r="W4" s="154">
        <v>22</v>
      </c>
      <c r="X4" s="154">
        <v>23</v>
      </c>
      <c r="Y4" s="155">
        <v>24</v>
      </c>
    </row>
    <row r="5" spans="1:25" ht="12" customHeight="1">
      <c r="A5" s="156" t="s">
        <v>98</v>
      </c>
      <c r="B5" s="203">
        <v>9.6999999999999993</v>
      </c>
      <c r="C5" s="204">
        <v>9.1</v>
      </c>
      <c r="D5" s="204">
        <v>8.5</v>
      </c>
      <c r="E5" s="204">
        <v>8</v>
      </c>
      <c r="F5" s="204">
        <v>7.5</v>
      </c>
      <c r="G5" s="204">
        <v>7</v>
      </c>
      <c r="H5" s="204">
        <v>6.5</v>
      </c>
      <c r="I5" s="204">
        <v>6.1</v>
      </c>
      <c r="J5" s="204">
        <v>5.8</v>
      </c>
      <c r="K5" s="204">
        <v>5.7</v>
      </c>
      <c r="L5" s="204">
        <v>5.9</v>
      </c>
      <c r="M5" s="204">
        <v>6.3</v>
      </c>
      <c r="N5" s="204">
        <v>6.9</v>
      </c>
      <c r="O5" s="204">
        <v>7.7</v>
      </c>
      <c r="P5" s="204">
        <v>8.6</v>
      </c>
      <c r="Q5" s="204">
        <v>9.5</v>
      </c>
      <c r="R5" s="204">
        <v>10.3</v>
      </c>
      <c r="S5" s="204">
        <v>11</v>
      </c>
      <c r="T5" s="205">
        <v>11.4</v>
      </c>
      <c r="U5" s="205">
        <v>11.6</v>
      </c>
      <c r="V5" s="205">
        <v>11.5</v>
      </c>
      <c r="W5" s="205">
        <v>11.2</v>
      </c>
      <c r="X5" s="205">
        <v>10.7</v>
      </c>
      <c r="Y5" s="206">
        <v>10.199999999999999</v>
      </c>
    </row>
    <row r="6" spans="1:25" ht="12" customHeight="1">
      <c r="A6" s="161" t="s">
        <v>67</v>
      </c>
      <c r="B6" s="162">
        <v>12.6</v>
      </c>
      <c r="C6" s="163">
        <v>11.8</v>
      </c>
      <c r="D6" s="163">
        <v>11</v>
      </c>
      <c r="E6" s="163">
        <v>10.199999999999999</v>
      </c>
      <c r="F6" s="163">
        <v>9.5</v>
      </c>
      <c r="G6" s="163">
        <v>8.8000000000000007</v>
      </c>
      <c r="H6" s="163">
        <v>8.1999999999999993</v>
      </c>
      <c r="I6" s="163">
        <v>7.6</v>
      </c>
      <c r="J6" s="163">
        <v>7.2</v>
      </c>
      <c r="K6" s="163">
        <v>7.1</v>
      </c>
      <c r="L6" s="163">
        <v>7.3</v>
      </c>
      <c r="M6" s="163">
        <v>7.9</v>
      </c>
      <c r="N6" s="163">
        <v>8.8000000000000007</v>
      </c>
      <c r="O6" s="163">
        <v>9.9</v>
      </c>
      <c r="P6" s="163">
        <v>11.2</v>
      </c>
      <c r="Q6" s="163">
        <v>12.6</v>
      </c>
      <c r="R6" s="163">
        <v>13.8</v>
      </c>
      <c r="S6" s="163">
        <v>14.7</v>
      </c>
      <c r="T6" s="164">
        <v>15.3</v>
      </c>
      <c r="U6" s="164">
        <v>15.5</v>
      </c>
      <c r="V6" s="164">
        <v>15.4</v>
      </c>
      <c r="W6" s="164">
        <v>14.9</v>
      </c>
      <c r="X6" s="164">
        <v>14.2</v>
      </c>
      <c r="Y6" s="165">
        <v>13.4</v>
      </c>
    </row>
    <row r="7" spans="1:25" ht="12" customHeight="1">
      <c r="A7" s="161" t="s">
        <v>68</v>
      </c>
      <c r="B7" s="162" t="s">
        <v>99</v>
      </c>
      <c r="C7" s="163" t="s">
        <v>99</v>
      </c>
      <c r="D7" s="163" t="s">
        <v>99</v>
      </c>
      <c r="E7" s="163" t="s">
        <v>99</v>
      </c>
      <c r="F7" s="163" t="s">
        <v>99</v>
      </c>
      <c r="G7" s="163" t="s">
        <v>99</v>
      </c>
      <c r="H7" s="163" t="s">
        <v>99</v>
      </c>
      <c r="I7" s="163" t="s">
        <v>99</v>
      </c>
      <c r="J7" s="163" t="s">
        <v>99</v>
      </c>
      <c r="K7" s="163" t="s">
        <v>99</v>
      </c>
      <c r="L7" s="163" t="s">
        <v>99</v>
      </c>
      <c r="M7" s="163" t="s">
        <v>99</v>
      </c>
      <c r="N7" s="163" t="s">
        <v>99</v>
      </c>
      <c r="O7" s="163" t="s">
        <v>99</v>
      </c>
      <c r="P7" s="163" t="s">
        <v>99</v>
      </c>
      <c r="Q7" s="163" t="s">
        <v>99</v>
      </c>
      <c r="R7" s="163" t="s">
        <v>99</v>
      </c>
      <c r="S7" s="163" t="s">
        <v>99</v>
      </c>
      <c r="T7" s="164" t="s">
        <v>99</v>
      </c>
      <c r="U7" s="164" t="s">
        <v>99</v>
      </c>
      <c r="V7" s="164" t="s">
        <v>99</v>
      </c>
      <c r="W7" s="164" t="s">
        <v>99</v>
      </c>
      <c r="X7" s="164" t="s">
        <v>99</v>
      </c>
      <c r="Y7" s="165" t="s">
        <v>99</v>
      </c>
    </row>
    <row r="8" spans="1:25" ht="12" customHeight="1">
      <c r="A8" s="161" t="s">
        <v>69</v>
      </c>
      <c r="B8" s="162" t="s">
        <v>99</v>
      </c>
      <c r="C8" s="163" t="s">
        <v>99</v>
      </c>
      <c r="D8" s="163" t="s">
        <v>99</v>
      </c>
      <c r="E8" s="163" t="s">
        <v>99</v>
      </c>
      <c r="F8" s="163" t="s">
        <v>99</v>
      </c>
      <c r="G8" s="163" t="s">
        <v>99</v>
      </c>
      <c r="H8" s="163" t="s">
        <v>99</v>
      </c>
      <c r="I8" s="163" t="s">
        <v>99</v>
      </c>
      <c r="J8" s="163" t="s">
        <v>99</v>
      </c>
      <c r="K8" s="163" t="s">
        <v>99</v>
      </c>
      <c r="L8" s="163" t="s">
        <v>99</v>
      </c>
      <c r="M8" s="163" t="s">
        <v>99</v>
      </c>
      <c r="N8" s="163" t="s">
        <v>99</v>
      </c>
      <c r="O8" s="163" t="s">
        <v>99</v>
      </c>
      <c r="P8" s="163" t="s">
        <v>99</v>
      </c>
      <c r="Q8" s="163" t="s">
        <v>99</v>
      </c>
      <c r="R8" s="163" t="s">
        <v>99</v>
      </c>
      <c r="S8" s="163" t="s">
        <v>99</v>
      </c>
      <c r="T8" s="164" t="s">
        <v>99</v>
      </c>
      <c r="U8" s="164" t="s">
        <v>99</v>
      </c>
      <c r="V8" s="164" t="s">
        <v>99</v>
      </c>
      <c r="W8" s="164" t="s">
        <v>99</v>
      </c>
      <c r="X8" s="164" t="s">
        <v>99</v>
      </c>
      <c r="Y8" s="165" t="s">
        <v>99</v>
      </c>
    </row>
    <row r="9" spans="1:25" ht="12" customHeight="1">
      <c r="A9" s="161" t="s">
        <v>70</v>
      </c>
      <c r="B9" s="162" t="s">
        <v>99</v>
      </c>
      <c r="C9" s="163" t="s">
        <v>99</v>
      </c>
      <c r="D9" s="163" t="s">
        <v>99</v>
      </c>
      <c r="E9" s="163" t="s">
        <v>99</v>
      </c>
      <c r="F9" s="163" t="s">
        <v>99</v>
      </c>
      <c r="G9" s="163" t="s">
        <v>99</v>
      </c>
      <c r="H9" s="163" t="s">
        <v>99</v>
      </c>
      <c r="I9" s="163" t="s">
        <v>99</v>
      </c>
      <c r="J9" s="163" t="s">
        <v>99</v>
      </c>
      <c r="K9" s="163" t="s">
        <v>99</v>
      </c>
      <c r="L9" s="163" t="s">
        <v>99</v>
      </c>
      <c r="M9" s="163" t="s">
        <v>99</v>
      </c>
      <c r="N9" s="163" t="s">
        <v>99</v>
      </c>
      <c r="O9" s="163" t="s">
        <v>99</v>
      </c>
      <c r="P9" s="163" t="s">
        <v>99</v>
      </c>
      <c r="Q9" s="163" t="s">
        <v>99</v>
      </c>
      <c r="R9" s="163" t="s">
        <v>99</v>
      </c>
      <c r="S9" s="163" t="s">
        <v>99</v>
      </c>
      <c r="T9" s="164" t="s">
        <v>99</v>
      </c>
      <c r="U9" s="164" t="s">
        <v>99</v>
      </c>
      <c r="V9" s="164" t="s">
        <v>99</v>
      </c>
      <c r="W9" s="164" t="s">
        <v>99</v>
      </c>
      <c r="X9" s="164" t="s">
        <v>99</v>
      </c>
      <c r="Y9" s="165" t="s">
        <v>99</v>
      </c>
    </row>
    <row r="10" spans="1:25" ht="12" customHeight="1">
      <c r="A10" s="161" t="s">
        <v>71</v>
      </c>
      <c r="B10" s="162" t="s">
        <v>99</v>
      </c>
      <c r="C10" s="163" t="s">
        <v>99</v>
      </c>
      <c r="D10" s="163" t="s">
        <v>99</v>
      </c>
      <c r="E10" s="163" t="s">
        <v>99</v>
      </c>
      <c r="F10" s="163" t="s">
        <v>99</v>
      </c>
      <c r="G10" s="163" t="s">
        <v>99</v>
      </c>
      <c r="H10" s="163" t="s">
        <v>99</v>
      </c>
      <c r="I10" s="163" t="s">
        <v>99</v>
      </c>
      <c r="J10" s="163" t="s">
        <v>99</v>
      </c>
      <c r="K10" s="163" t="s">
        <v>99</v>
      </c>
      <c r="L10" s="163" t="s">
        <v>99</v>
      </c>
      <c r="M10" s="163" t="s">
        <v>99</v>
      </c>
      <c r="N10" s="163" t="s">
        <v>99</v>
      </c>
      <c r="O10" s="163" t="s">
        <v>99</v>
      </c>
      <c r="P10" s="163" t="s">
        <v>99</v>
      </c>
      <c r="Q10" s="163" t="s">
        <v>99</v>
      </c>
      <c r="R10" s="163" t="s">
        <v>99</v>
      </c>
      <c r="S10" s="163" t="s">
        <v>99</v>
      </c>
      <c r="T10" s="164" t="s">
        <v>99</v>
      </c>
      <c r="U10" s="164" t="s">
        <v>99</v>
      </c>
      <c r="V10" s="164" t="s">
        <v>99</v>
      </c>
      <c r="W10" s="164" t="s">
        <v>99</v>
      </c>
      <c r="X10" s="164" t="s">
        <v>99</v>
      </c>
      <c r="Y10" s="165" t="s">
        <v>99</v>
      </c>
    </row>
    <row r="11" spans="1:25" ht="12" customHeight="1">
      <c r="A11" s="161" t="s">
        <v>72</v>
      </c>
      <c r="B11" s="162" t="s">
        <v>99</v>
      </c>
      <c r="C11" s="163" t="s">
        <v>99</v>
      </c>
      <c r="D11" s="163" t="s">
        <v>99</v>
      </c>
      <c r="E11" s="163" t="s">
        <v>99</v>
      </c>
      <c r="F11" s="163" t="s">
        <v>99</v>
      </c>
      <c r="G11" s="163" t="s">
        <v>99</v>
      </c>
      <c r="H11" s="163" t="s">
        <v>99</v>
      </c>
      <c r="I11" s="163" t="s">
        <v>99</v>
      </c>
      <c r="J11" s="163" t="s">
        <v>99</v>
      </c>
      <c r="K11" s="163" t="s">
        <v>99</v>
      </c>
      <c r="L11" s="163" t="s">
        <v>99</v>
      </c>
      <c r="M11" s="163" t="s">
        <v>99</v>
      </c>
      <c r="N11" s="163" t="s">
        <v>99</v>
      </c>
      <c r="O11" s="163" t="s">
        <v>99</v>
      </c>
      <c r="P11" s="163" t="s">
        <v>99</v>
      </c>
      <c r="Q11" s="163" t="s">
        <v>99</v>
      </c>
      <c r="R11" s="163" t="s">
        <v>99</v>
      </c>
      <c r="S11" s="163" t="s">
        <v>99</v>
      </c>
      <c r="T11" s="164" t="s">
        <v>99</v>
      </c>
      <c r="U11" s="164" t="s">
        <v>99</v>
      </c>
      <c r="V11" s="164" t="s">
        <v>99</v>
      </c>
      <c r="W11" s="164" t="s">
        <v>99</v>
      </c>
      <c r="X11" s="164" t="s">
        <v>99</v>
      </c>
      <c r="Y11" s="165" t="s">
        <v>99</v>
      </c>
    </row>
    <row r="12" spans="1:25" ht="12" customHeight="1">
      <c r="A12" s="161" t="s">
        <v>73</v>
      </c>
      <c r="B12" s="162" t="s">
        <v>99</v>
      </c>
      <c r="C12" s="163" t="s">
        <v>99</v>
      </c>
      <c r="D12" s="163" t="s">
        <v>99</v>
      </c>
      <c r="E12" s="163" t="s">
        <v>99</v>
      </c>
      <c r="F12" s="163" t="s">
        <v>99</v>
      </c>
      <c r="G12" s="163" t="s">
        <v>99</v>
      </c>
      <c r="H12" s="163" t="s">
        <v>99</v>
      </c>
      <c r="I12" s="163" t="s">
        <v>99</v>
      </c>
      <c r="J12" s="163" t="s">
        <v>99</v>
      </c>
      <c r="K12" s="163" t="s">
        <v>99</v>
      </c>
      <c r="L12" s="163" t="s">
        <v>99</v>
      </c>
      <c r="M12" s="163" t="s">
        <v>99</v>
      </c>
      <c r="N12" s="163" t="s">
        <v>99</v>
      </c>
      <c r="O12" s="163" t="s">
        <v>99</v>
      </c>
      <c r="P12" s="163" t="s">
        <v>99</v>
      </c>
      <c r="Q12" s="163" t="s">
        <v>99</v>
      </c>
      <c r="R12" s="163" t="s">
        <v>99</v>
      </c>
      <c r="S12" s="163" t="s">
        <v>99</v>
      </c>
      <c r="T12" s="164" t="s">
        <v>99</v>
      </c>
      <c r="U12" s="164" t="s">
        <v>99</v>
      </c>
      <c r="V12" s="164" t="s">
        <v>99</v>
      </c>
      <c r="W12" s="164" t="s">
        <v>99</v>
      </c>
      <c r="X12" s="164" t="s">
        <v>99</v>
      </c>
      <c r="Y12" s="165" t="s">
        <v>99</v>
      </c>
    </row>
    <row r="13" spans="1:25" ht="12" customHeight="1">
      <c r="A13" s="161" t="s">
        <v>74</v>
      </c>
      <c r="B13" s="162" t="s">
        <v>99</v>
      </c>
      <c r="C13" s="163" t="s">
        <v>99</v>
      </c>
      <c r="D13" s="163" t="s">
        <v>99</v>
      </c>
      <c r="E13" s="163" t="s">
        <v>99</v>
      </c>
      <c r="F13" s="163" t="s">
        <v>99</v>
      </c>
      <c r="G13" s="163" t="s">
        <v>99</v>
      </c>
      <c r="H13" s="163" t="s">
        <v>99</v>
      </c>
      <c r="I13" s="163" t="s">
        <v>99</v>
      </c>
      <c r="J13" s="163" t="s">
        <v>99</v>
      </c>
      <c r="K13" s="163" t="s">
        <v>99</v>
      </c>
      <c r="L13" s="163" t="s">
        <v>99</v>
      </c>
      <c r="M13" s="163" t="s">
        <v>99</v>
      </c>
      <c r="N13" s="163" t="s">
        <v>99</v>
      </c>
      <c r="O13" s="163" t="s">
        <v>99</v>
      </c>
      <c r="P13" s="163" t="s">
        <v>99</v>
      </c>
      <c r="Q13" s="163" t="s">
        <v>99</v>
      </c>
      <c r="R13" s="163" t="s">
        <v>99</v>
      </c>
      <c r="S13" s="163" t="s">
        <v>99</v>
      </c>
      <c r="T13" s="164" t="s">
        <v>99</v>
      </c>
      <c r="U13" s="164" t="s">
        <v>99</v>
      </c>
      <c r="V13" s="164" t="s">
        <v>99</v>
      </c>
      <c r="W13" s="164" t="s">
        <v>99</v>
      </c>
      <c r="X13" s="164" t="s">
        <v>99</v>
      </c>
      <c r="Y13" s="165" t="s">
        <v>99</v>
      </c>
    </row>
    <row r="14" spans="1:25" ht="12" customHeight="1">
      <c r="A14" s="166" t="s">
        <v>75</v>
      </c>
      <c r="B14" s="167" t="s">
        <v>99</v>
      </c>
      <c r="C14" s="168" t="s">
        <v>99</v>
      </c>
      <c r="D14" s="168" t="s">
        <v>99</v>
      </c>
      <c r="E14" s="168" t="s">
        <v>99</v>
      </c>
      <c r="F14" s="168" t="s">
        <v>99</v>
      </c>
      <c r="G14" s="168" t="s">
        <v>99</v>
      </c>
      <c r="H14" s="168" t="s">
        <v>99</v>
      </c>
      <c r="I14" s="168" t="s">
        <v>99</v>
      </c>
      <c r="J14" s="168" t="s">
        <v>99</v>
      </c>
      <c r="K14" s="168" t="s">
        <v>99</v>
      </c>
      <c r="L14" s="168" t="s">
        <v>99</v>
      </c>
      <c r="M14" s="168" t="s">
        <v>99</v>
      </c>
      <c r="N14" s="168" t="s">
        <v>99</v>
      </c>
      <c r="O14" s="168" t="s">
        <v>99</v>
      </c>
      <c r="P14" s="168" t="s">
        <v>99</v>
      </c>
      <c r="Q14" s="168" t="s">
        <v>99</v>
      </c>
      <c r="R14" s="168" t="s">
        <v>99</v>
      </c>
      <c r="S14" s="168" t="s">
        <v>99</v>
      </c>
      <c r="T14" s="169" t="s">
        <v>99</v>
      </c>
      <c r="U14" s="169" t="s">
        <v>99</v>
      </c>
      <c r="V14" s="169" t="s">
        <v>99</v>
      </c>
      <c r="W14" s="169" t="s">
        <v>99</v>
      </c>
      <c r="X14" s="169" t="s">
        <v>99</v>
      </c>
      <c r="Y14" s="170" t="s">
        <v>99</v>
      </c>
    </row>
    <row r="15" spans="1:25" ht="12" customHeight="1" thickBot="1"/>
    <row r="16" spans="1:25" ht="12" customHeight="1">
      <c r="A16" s="148" t="s">
        <v>66</v>
      </c>
      <c r="B16" s="148"/>
      <c r="C16" s="148"/>
      <c r="D16" s="38" t="s">
        <v>34</v>
      </c>
      <c r="E16" s="148"/>
      <c r="F16" s="148"/>
      <c r="G16" s="148"/>
      <c r="H16" s="148"/>
      <c r="I16" s="148"/>
      <c r="J16" s="148"/>
      <c r="K16" s="148"/>
      <c r="L16" s="148"/>
      <c r="M16" s="148"/>
      <c r="N16" s="148"/>
      <c r="O16" s="148"/>
      <c r="P16" s="148"/>
      <c r="Q16" s="148"/>
      <c r="R16" s="148"/>
      <c r="S16" s="149"/>
      <c r="T16" s="148"/>
      <c r="U16" s="148"/>
      <c r="V16" s="148"/>
      <c r="W16" s="148"/>
      <c r="X16" s="148"/>
      <c r="Y16" s="148"/>
    </row>
    <row r="17" spans="1:25" ht="16.5" customHeight="1">
      <c r="A17" s="150"/>
      <c r="B17" s="151">
        <v>1</v>
      </c>
      <c r="C17" s="152">
        <v>2</v>
      </c>
      <c r="D17" s="153">
        <v>3</v>
      </c>
      <c r="E17" s="152">
        <v>4</v>
      </c>
      <c r="F17" s="152">
        <v>5</v>
      </c>
      <c r="G17" s="152">
        <v>6</v>
      </c>
      <c r="H17" s="152">
        <v>7</v>
      </c>
      <c r="I17" s="152">
        <v>8</v>
      </c>
      <c r="J17" s="152">
        <v>9</v>
      </c>
      <c r="K17" s="152">
        <v>10</v>
      </c>
      <c r="L17" s="152">
        <v>11</v>
      </c>
      <c r="M17" s="152">
        <v>12</v>
      </c>
      <c r="N17" s="152">
        <v>13</v>
      </c>
      <c r="O17" s="152">
        <v>14</v>
      </c>
      <c r="P17" s="152">
        <v>15</v>
      </c>
      <c r="Q17" s="152">
        <v>16</v>
      </c>
      <c r="R17" s="152">
        <v>17</v>
      </c>
      <c r="S17" s="152">
        <v>18</v>
      </c>
      <c r="T17" s="154">
        <v>19</v>
      </c>
      <c r="U17" s="154">
        <v>20</v>
      </c>
      <c r="V17" s="154">
        <v>21</v>
      </c>
      <c r="W17" s="154">
        <v>22</v>
      </c>
      <c r="X17" s="154">
        <v>23</v>
      </c>
      <c r="Y17" s="155">
        <v>24</v>
      </c>
    </row>
    <row r="18" spans="1:25" ht="12" customHeight="1">
      <c r="A18" s="156" t="s">
        <v>100</v>
      </c>
      <c r="B18" s="203">
        <v>8</v>
      </c>
      <c r="C18" s="204">
        <v>7.5</v>
      </c>
      <c r="D18" s="204">
        <v>7.1</v>
      </c>
      <c r="E18" s="204">
        <v>6.6</v>
      </c>
      <c r="F18" s="204">
        <v>6.2</v>
      </c>
      <c r="G18" s="204">
        <v>5.7</v>
      </c>
      <c r="H18" s="204">
        <v>5.3</v>
      </c>
      <c r="I18" s="204">
        <v>5</v>
      </c>
      <c r="J18" s="204">
        <v>4.7</v>
      </c>
      <c r="K18" s="204">
        <v>4.5999999999999996</v>
      </c>
      <c r="L18" s="204">
        <v>4.7</v>
      </c>
      <c r="M18" s="204">
        <v>5.0999999999999996</v>
      </c>
      <c r="N18" s="204">
        <v>5.6</v>
      </c>
      <c r="O18" s="204">
        <v>6.2</v>
      </c>
      <c r="P18" s="204">
        <v>6.9</v>
      </c>
      <c r="Q18" s="204">
        <v>7.6</v>
      </c>
      <c r="R18" s="204">
        <v>8.3000000000000007</v>
      </c>
      <c r="S18" s="204">
        <v>8.8000000000000007</v>
      </c>
      <c r="T18" s="205">
        <v>9.1999999999999993</v>
      </c>
      <c r="U18" s="205">
        <v>9.4</v>
      </c>
      <c r="V18" s="205">
        <v>9.4</v>
      </c>
      <c r="W18" s="205">
        <v>9.1999999999999993</v>
      </c>
      <c r="X18" s="205">
        <v>8.9</v>
      </c>
      <c r="Y18" s="206">
        <v>8.5</v>
      </c>
    </row>
    <row r="19" spans="1:25" ht="12" customHeight="1">
      <c r="A19" s="161" t="s">
        <v>67</v>
      </c>
      <c r="B19" s="162">
        <v>14.3</v>
      </c>
      <c r="C19" s="163">
        <v>13.3</v>
      </c>
      <c r="D19" s="163">
        <v>12.3</v>
      </c>
      <c r="E19" s="163">
        <v>11.3</v>
      </c>
      <c r="F19" s="163">
        <v>10.4</v>
      </c>
      <c r="G19" s="163">
        <v>9.6</v>
      </c>
      <c r="H19" s="163">
        <v>8.8000000000000007</v>
      </c>
      <c r="I19" s="163">
        <v>8.1999999999999993</v>
      </c>
      <c r="J19" s="163">
        <v>7.7</v>
      </c>
      <c r="K19" s="163">
        <v>7.6</v>
      </c>
      <c r="L19" s="163">
        <v>8</v>
      </c>
      <c r="M19" s="163">
        <v>8.6999999999999993</v>
      </c>
      <c r="N19" s="163">
        <v>9.9</v>
      </c>
      <c r="O19" s="163">
        <v>11.3</v>
      </c>
      <c r="P19" s="163">
        <v>12.9</v>
      </c>
      <c r="Q19" s="163">
        <v>14.5</v>
      </c>
      <c r="R19" s="163">
        <v>15.9</v>
      </c>
      <c r="S19" s="163">
        <v>17</v>
      </c>
      <c r="T19" s="164">
        <v>17.7</v>
      </c>
      <c r="U19" s="164">
        <v>18</v>
      </c>
      <c r="V19" s="164">
        <v>17.8</v>
      </c>
      <c r="W19" s="164">
        <v>17.2</v>
      </c>
      <c r="X19" s="164">
        <v>16.3</v>
      </c>
      <c r="Y19" s="165">
        <v>15.4</v>
      </c>
    </row>
    <row r="20" spans="1:25" ht="12" customHeight="1">
      <c r="A20" s="161" t="s">
        <v>68</v>
      </c>
      <c r="B20" s="162" t="s">
        <v>99</v>
      </c>
      <c r="C20" s="163" t="s">
        <v>99</v>
      </c>
      <c r="D20" s="163" t="s">
        <v>99</v>
      </c>
      <c r="E20" s="163" t="s">
        <v>99</v>
      </c>
      <c r="F20" s="163" t="s">
        <v>99</v>
      </c>
      <c r="G20" s="163" t="s">
        <v>99</v>
      </c>
      <c r="H20" s="163" t="s">
        <v>99</v>
      </c>
      <c r="I20" s="163" t="s">
        <v>99</v>
      </c>
      <c r="J20" s="163" t="s">
        <v>99</v>
      </c>
      <c r="K20" s="163" t="s">
        <v>99</v>
      </c>
      <c r="L20" s="163" t="s">
        <v>99</v>
      </c>
      <c r="M20" s="163" t="s">
        <v>99</v>
      </c>
      <c r="N20" s="163" t="s">
        <v>99</v>
      </c>
      <c r="O20" s="163" t="s">
        <v>99</v>
      </c>
      <c r="P20" s="163" t="s">
        <v>99</v>
      </c>
      <c r="Q20" s="163" t="s">
        <v>99</v>
      </c>
      <c r="R20" s="163" t="s">
        <v>99</v>
      </c>
      <c r="S20" s="163" t="s">
        <v>99</v>
      </c>
      <c r="T20" s="164" t="s">
        <v>99</v>
      </c>
      <c r="U20" s="164" t="s">
        <v>99</v>
      </c>
      <c r="V20" s="164" t="s">
        <v>99</v>
      </c>
      <c r="W20" s="164" t="s">
        <v>99</v>
      </c>
      <c r="X20" s="164" t="s">
        <v>99</v>
      </c>
      <c r="Y20" s="165" t="s">
        <v>99</v>
      </c>
    </row>
    <row r="21" spans="1:25" ht="12" customHeight="1">
      <c r="A21" s="161" t="s">
        <v>69</v>
      </c>
      <c r="B21" s="162" t="s">
        <v>99</v>
      </c>
      <c r="C21" s="163" t="s">
        <v>99</v>
      </c>
      <c r="D21" s="163" t="s">
        <v>99</v>
      </c>
      <c r="E21" s="163" t="s">
        <v>99</v>
      </c>
      <c r="F21" s="163" t="s">
        <v>99</v>
      </c>
      <c r="G21" s="163" t="s">
        <v>99</v>
      </c>
      <c r="H21" s="163" t="s">
        <v>99</v>
      </c>
      <c r="I21" s="163" t="s">
        <v>99</v>
      </c>
      <c r="J21" s="163" t="s">
        <v>99</v>
      </c>
      <c r="K21" s="163" t="s">
        <v>99</v>
      </c>
      <c r="L21" s="163" t="s">
        <v>99</v>
      </c>
      <c r="M21" s="163" t="s">
        <v>99</v>
      </c>
      <c r="N21" s="163" t="s">
        <v>99</v>
      </c>
      <c r="O21" s="163" t="s">
        <v>99</v>
      </c>
      <c r="P21" s="163" t="s">
        <v>99</v>
      </c>
      <c r="Q21" s="163" t="s">
        <v>99</v>
      </c>
      <c r="R21" s="163" t="s">
        <v>99</v>
      </c>
      <c r="S21" s="163" t="s">
        <v>99</v>
      </c>
      <c r="T21" s="164" t="s">
        <v>99</v>
      </c>
      <c r="U21" s="164" t="s">
        <v>99</v>
      </c>
      <c r="V21" s="164" t="s">
        <v>99</v>
      </c>
      <c r="W21" s="164" t="s">
        <v>99</v>
      </c>
      <c r="X21" s="164" t="s">
        <v>99</v>
      </c>
      <c r="Y21" s="165" t="s">
        <v>99</v>
      </c>
    </row>
    <row r="22" spans="1:25" ht="12" customHeight="1">
      <c r="A22" s="161" t="s">
        <v>70</v>
      </c>
      <c r="B22" s="162" t="s">
        <v>99</v>
      </c>
      <c r="C22" s="163" t="s">
        <v>99</v>
      </c>
      <c r="D22" s="163" t="s">
        <v>99</v>
      </c>
      <c r="E22" s="163" t="s">
        <v>99</v>
      </c>
      <c r="F22" s="163" t="s">
        <v>99</v>
      </c>
      <c r="G22" s="163" t="s">
        <v>99</v>
      </c>
      <c r="H22" s="163" t="s">
        <v>99</v>
      </c>
      <c r="I22" s="163" t="s">
        <v>99</v>
      </c>
      <c r="J22" s="163" t="s">
        <v>99</v>
      </c>
      <c r="K22" s="163" t="s">
        <v>99</v>
      </c>
      <c r="L22" s="163" t="s">
        <v>99</v>
      </c>
      <c r="M22" s="163" t="s">
        <v>99</v>
      </c>
      <c r="N22" s="163" t="s">
        <v>99</v>
      </c>
      <c r="O22" s="163" t="s">
        <v>99</v>
      </c>
      <c r="P22" s="163" t="s">
        <v>99</v>
      </c>
      <c r="Q22" s="163" t="s">
        <v>99</v>
      </c>
      <c r="R22" s="163" t="s">
        <v>99</v>
      </c>
      <c r="S22" s="163" t="s">
        <v>99</v>
      </c>
      <c r="T22" s="164" t="s">
        <v>99</v>
      </c>
      <c r="U22" s="164" t="s">
        <v>99</v>
      </c>
      <c r="V22" s="164" t="s">
        <v>99</v>
      </c>
      <c r="W22" s="164" t="s">
        <v>99</v>
      </c>
      <c r="X22" s="164" t="s">
        <v>99</v>
      </c>
      <c r="Y22" s="165" t="s">
        <v>99</v>
      </c>
    </row>
    <row r="23" spans="1:25" ht="12" customHeight="1">
      <c r="A23" s="161" t="s">
        <v>71</v>
      </c>
      <c r="B23" s="162" t="s">
        <v>99</v>
      </c>
      <c r="C23" s="163" t="s">
        <v>99</v>
      </c>
      <c r="D23" s="163" t="s">
        <v>99</v>
      </c>
      <c r="E23" s="163" t="s">
        <v>99</v>
      </c>
      <c r="F23" s="163" t="s">
        <v>99</v>
      </c>
      <c r="G23" s="163" t="s">
        <v>99</v>
      </c>
      <c r="H23" s="163" t="s">
        <v>99</v>
      </c>
      <c r="I23" s="163" t="s">
        <v>99</v>
      </c>
      <c r="J23" s="163" t="s">
        <v>99</v>
      </c>
      <c r="K23" s="163" t="s">
        <v>99</v>
      </c>
      <c r="L23" s="163" t="s">
        <v>99</v>
      </c>
      <c r="M23" s="163" t="s">
        <v>99</v>
      </c>
      <c r="N23" s="163" t="s">
        <v>99</v>
      </c>
      <c r="O23" s="163" t="s">
        <v>99</v>
      </c>
      <c r="P23" s="163" t="s">
        <v>99</v>
      </c>
      <c r="Q23" s="163" t="s">
        <v>99</v>
      </c>
      <c r="R23" s="163" t="s">
        <v>99</v>
      </c>
      <c r="S23" s="163" t="s">
        <v>99</v>
      </c>
      <c r="T23" s="164" t="s">
        <v>99</v>
      </c>
      <c r="U23" s="164" t="s">
        <v>99</v>
      </c>
      <c r="V23" s="164" t="s">
        <v>99</v>
      </c>
      <c r="W23" s="164" t="s">
        <v>99</v>
      </c>
      <c r="X23" s="164" t="s">
        <v>99</v>
      </c>
      <c r="Y23" s="165" t="s">
        <v>99</v>
      </c>
    </row>
    <row r="24" spans="1:25" ht="12" customHeight="1">
      <c r="A24" s="161" t="s">
        <v>72</v>
      </c>
      <c r="B24" s="162" t="s">
        <v>99</v>
      </c>
      <c r="C24" s="163" t="s">
        <v>99</v>
      </c>
      <c r="D24" s="163" t="s">
        <v>99</v>
      </c>
      <c r="E24" s="163" t="s">
        <v>99</v>
      </c>
      <c r="F24" s="163" t="s">
        <v>99</v>
      </c>
      <c r="G24" s="163" t="s">
        <v>99</v>
      </c>
      <c r="H24" s="163" t="s">
        <v>99</v>
      </c>
      <c r="I24" s="163" t="s">
        <v>99</v>
      </c>
      <c r="J24" s="163" t="s">
        <v>99</v>
      </c>
      <c r="K24" s="163" t="s">
        <v>99</v>
      </c>
      <c r="L24" s="163" t="s">
        <v>99</v>
      </c>
      <c r="M24" s="163" t="s">
        <v>99</v>
      </c>
      <c r="N24" s="163" t="s">
        <v>99</v>
      </c>
      <c r="O24" s="163" t="s">
        <v>99</v>
      </c>
      <c r="P24" s="163" t="s">
        <v>99</v>
      </c>
      <c r="Q24" s="163" t="s">
        <v>99</v>
      </c>
      <c r="R24" s="163" t="s">
        <v>99</v>
      </c>
      <c r="S24" s="163" t="s">
        <v>99</v>
      </c>
      <c r="T24" s="164" t="s">
        <v>99</v>
      </c>
      <c r="U24" s="164" t="s">
        <v>99</v>
      </c>
      <c r="V24" s="164" t="s">
        <v>99</v>
      </c>
      <c r="W24" s="164" t="s">
        <v>99</v>
      </c>
      <c r="X24" s="164" t="s">
        <v>99</v>
      </c>
      <c r="Y24" s="165" t="s">
        <v>99</v>
      </c>
    </row>
    <row r="25" spans="1:25" ht="12" customHeight="1">
      <c r="A25" s="161" t="s">
        <v>73</v>
      </c>
      <c r="B25" s="162" t="s">
        <v>99</v>
      </c>
      <c r="C25" s="163" t="s">
        <v>99</v>
      </c>
      <c r="D25" s="163" t="s">
        <v>99</v>
      </c>
      <c r="E25" s="163" t="s">
        <v>99</v>
      </c>
      <c r="F25" s="163" t="s">
        <v>99</v>
      </c>
      <c r="G25" s="163" t="s">
        <v>99</v>
      </c>
      <c r="H25" s="163" t="s">
        <v>99</v>
      </c>
      <c r="I25" s="163" t="s">
        <v>99</v>
      </c>
      <c r="J25" s="163" t="s">
        <v>99</v>
      </c>
      <c r="K25" s="163" t="s">
        <v>99</v>
      </c>
      <c r="L25" s="163" t="s">
        <v>99</v>
      </c>
      <c r="M25" s="163" t="s">
        <v>99</v>
      </c>
      <c r="N25" s="163" t="s">
        <v>99</v>
      </c>
      <c r="O25" s="163" t="s">
        <v>99</v>
      </c>
      <c r="P25" s="163" t="s">
        <v>99</v>
      </c>
      <c r="Q25" s="163" t="s">
        <v>99</v>
      </c>
      <c r="R25" s="163" t="s">
        <v>99</v>
      </c>
      <c r="S25" s="163" t="s">
        <v>99</v>
      </c>
      <c r="T25" s="164" t="s">
        <v>99</v>
      </c>
      <c r="U25" s="164" t="s">
        <v>99</v>
      </c>
      <c r="V25" s="164" t="s">
        <v>99</v>
      </c>
      <c r="W25" s="164" t="s">
        <v>99</v>
      </c>
      <c r="X25" s="164" t="s">
        <v>99</v>
      </c>
      <c r="Y25" s="165" t="s">
        <v>99</v>
      </c>
    </row>
    <row r="26" spans="1:25" ht="12" customHeight="1">
      <c r="A26" s="161" t="s">
        <v>74</v>
      </c>
      <c r="B26" s="162" t="s">
        <v>99</v>
      </c>
      <c r="C26" s="163" t="s">
        <v>99</v>
      </c>
      <c r="D26" s="163" t="s">
        <v>99</v>
      </c>
      <c r="E26" s="163" t="s">
        <v>99</v>
      </c>
      <c r="F26" s="163" t="s">
        <v>99</v>
      </c>
      <c r="G26" s="163" t="s">
        <v>99</v>
      </c>
      <c r="H26" s="163" t="s">
        <v>99</v>
      </c>
      <c r="I26" s="163" t="s">
        <v>99</v>
      </c>
      <c r="J26" s="163" t="s">
        <v>99</v>
      </c>
      <c r="K26" s="163" t="s">
        <v>99</v>
      </c>
      <c r="L26" s="163" t="s">
        <v>99</v>
      </c>
      <c r="M26" s="163" t="s">
        <v>99</v>
      </c>
      <c r="N26" s="163" t="s">
        <v>99</v>
      </c>
      <c r="O26" s="163" t="s">
        <v>99</v>
      </c>
      <c r="P26" s="163" t="s">
        <v>99</v>
      </c>
      <c r="Q26" s="163" t="s">
        <v>99</v>
      </c>
      <c r="R26" s="163" t="s">
        <v>99</v>
      </c>
      <c r="S26" s="163" t="s">
        <v>99</v>
      </c>
      <c r="T26" s="164" t="s">
        <v>99</v>
      </c>
      <c r="U26" s="164" t="s">
        <v>99</v>
      </c>
      <c r="V26" s="164" t="s">
        <v>99</v>
      </c>
      <c r="W26" s="164" t="s">
        <v>99</v>
      </c>
      <c r="X26" s="164" t="s">
        <v>99</v>
      </c>
      <c r="Y26" s="165" t="s">
        <v>99</v>
      </c>
    </row>
    <row r="27" spans="1:25" ht="12" customHeight="1">
      <c r="A27" s="166" t="s">
        <v>75</v>
      </c>
      <c r="B27" s="167" t="s">
        <v>99</v>
      </c>
      <c r="C27" s="168" t="s">
        <v>99</v>
      </c>
      <c r="D27" s="168" t="s">
        <v>99</v>
      </c>
      <c r="E27" s="168" t="s">
        <v>99</v>
      </c>
      <c r="F27" s="168" t="s">
        <v>99</v>
      </c>
      <c r="G27" s="168" t="s">
        <v>99</v>
      </c>
      <c r="H27" s="168" t="s">
        <v>99</v>
      </c>
      <c r="I27" s="168" t="s">
        <v>99</v>
      </c>
      <c r="J27" s="168" t="s">
        <v>99</v>
      </c>
      <c r="K27" s="168" t="s">
        <v>99</v>
      </c>
      <c r="L27" s="168" t="s">
        <v>99</v>
      </c>
      <c r="M27" s="168" t="s">
        <v>99</v>
      </c>
      <c r="N27" s="168" t="s">
        <v>99</v>
      </c>
      <c r="O27" s="168" t="s">
        <v>99</v>
      </c>
      <c r="P27" s="168" t="s">
        <v>99</v>
      </c>
      <c r="Q27" s="168" t="s">
        <v>99</v>
      </c>
      <c r="R27" s="168" t="s">
        <v>99</v>
      </c>
      <c r="S27" s="168" t="s">
        <v>99</v>
      </c>
      <c r="T27" s="169" t="s">
        <v>99</v>
      </c>
      <c r="U27" s="169" t="s">
        <v>99</v>
      </c>
      <c r="V27" s="169" t="s">
        <v>99</v>
      </c>
      <c r="W27" s="169" t="s">
        <v>99</v>
      </c>
      <c r="X27" s="169" t="s">
        <v>99</v>
      </c>
      <c r="Y27" s="170" t="s">
        <v>99</v>
      </c>
    </row>
    <row r="28" spans="1:25" ht="12" customHeight="1" thickBot="1"/>
    <row r="29" spans="1:25" ht="12" customHeight="1">
      <c r="A29" s="148" t="s">
        <v>66</v>
      </c>
      <c r="B29" s="148"/>
      <c r="C29" s="148"/>
      <c r="D29" s="39" t="s">
        <v>19</v>
      </c>
      <c r="E29" s="148"/>
      <c r="F29" s="148"/>
      <c r="G29" s="148"/>
      <c r="H29" s="148"/>
      <c r="I29" s="148"/>
      <c r="J29" s="148"/>
      <c r="K29" s="148"/>
      <c r="L29" s="148"/>
      <c r="M29" s="148"/>
      <c r="N29" s="148"/>
      <c r="O29" s="148"/>
      <c r="P29" s="148"/>
      <c r="Q29" s="148"/>
      <c r="R29" s="148"/>
      <c r="S29" s="149"/>
      <c r="T29" s="148"/>
      <c r="U29" s="148"/>
      <c r="V29" s="148"/>
      <c r="W29" s="148"/>
      <c r="X29" s="148"/>
      <c r="Y29" s="148"/>
    </row>
    <row r="30" spans="1:25" ht="16.5" customHeight="1">
      <c r="A30" s="150"/>
      <c r="B30" s="151">
        <v>1</v>
      </c>
      <c r="C30" s="152">
        <v>2</v>
      </c>
      <c r="D30" s="153">
        <v>3</v>
      </c>
      <c r="E30" s="152">
        <v>4</v>
      </c>
      <c r="F30" s="152">
        <v>5</v>
      </c>
      <c r="G30" s="152">
        <v>6</v>
      </c>
      <c r="H30" s="152">
        <v>7</v>
      </c>
      <c r="I30" s="152">
        <v>8</v>
      </c>
      <c r="J30" s="152">
        <v>9</v>
      </c>
      <c r="K30" s="152">
        <v>10</v>
      </c>
      <c r="L30" s="152">
        <v>11</v>
      </c>
      <c r="M30" s="152">
        <v>12</v>
      </c>
      <c r="N30" s="152">
        <v>13</v>
      </c>
      <c r="O30" s="152">
        <v>14</v>
      </c>
      <c r="P30" s="152">
        <v>15</v>
      </c>
      <c r="Q30" s="152">
        <v>16</v>
      </c>
      <c r="R30" s="152">
        <v>17</v>
      </c>
      <c r="S30" s="152">
        <v>18</v>
      </c>
      <c r="T30" s="154">
        <v>19</v>
      </c>
      <c r="U30" s="154">
        <v>20</v>
      </c>
      <c r="V30" s="154">
        <v>21</v>
      </c>
      <c r="W30" s="154">
        <v>22</v>
      </c>
      <c r="X30" s="154">
        <v>23</v>
      </c>
      <c r="Y30" s="155">
        <v>24</v>
      </c>
    </row>
    <row r="31" spans="1:25" ht="12" customHeight="1">
      <c r="A31" s="156" t="s">
        <v>101</v>
      </c>
      <c r="B31" s="203">
        <v>5</v>
      </c>
      <c r="C31" s="204">
        <v>4.5999999999999996</v>
      </c>
      <c r="D31" s="204">
        <v>4.3</v>
      </c>
      <c r="E31" s="204">
        <v>3.9</v>
      </c>
      <c r="F31" s="204">
        <v>3.5</v>
      </c>
      <c r="G31" s="204">
        <v>3.2</v>
      </c>
      <c r="H31" s="204">
        <v>2.8</v>
      </c>
      <c r="I31" s="204">
        <v>2.5</v>
      </c>
      <c r="J31" s="204">
        <v>2.2000000000000002</v>
      </c>
      <c r="K31" s="204">
        <v>2.1</v>
      </c>
      <c r="L31" s="204">
        <v>2.2000000000000002</v>
      </c>
      <c r="M31" s="204">
        <v>2.4</v>
      </c>
      <c r="N31" s="204">
        <v>2.8</v>
      </c>
      <c r="O31" s="204">
        <v>3.3</v>
      </c>
      <c r="P31" s="204">
        <v>4</v>
      </c>
      <c r="Q31" s="204">
        <v>4.5999999999999996</v>
      </c>
      <c r="R31" s="204">
        <v>5.2</v>
      </c>
      <c r="S31" s="204">
        <v>5.6</v>
      </c>
      <c r="T31" s="205">
        <v>6</v>
      </c>
      <c r="U31" s="205">
        <v>6.1</v>
      </c>
      <c r="V31" s="205">
        <v>6.1</v>
      </c>
      <c r="W31" s="205">
        <v>6</v>
      </c>
      <c r="X31" s="205">
        <v>5.7</v>
      </c>
      <c r="Y31" s="206">
        <v>5.4</v>
      </c>
    </row>
    <row r="32" spans="1:25" ht="12" customHeight="1">
      <c r="A32" s="161" t="s">
        <v>67</v>
      </c>
      <c r="B32" s="162">
        <v>10.199999999999999</v>
      </c>
      <c r="C32" s="163">
        <v>9.4</v>
      </c>
      <c r="D32" s="163">
        <v>8.5</v>
      </c>
      <c r="E32" s="163">
        <v>7.8</v>
      </c>
      <c r="F32" s="163">
        <v>7</v>
      </c>
      <c r="G32" s="163">
        <v>6.3</v>
      </c>
      <c r="H32" s="163">
        <v>5.7</v>
      </c>
      <c r="I32" s="163">
        <v>5.0999999999999996</v>
      </c>
      <c r="J32" s="163">
        <v>4.5999999999999996</v>
      </c>
      <c r="K32" s="163">
        <v>4.5</v>
      </c>
      <c r="L32" s="163">
        <v>4.7</v>
      </c>
      <c r="M32" s="163">
        <v>5.4</v>
      </c>
      <c r="N32" s="163">
        <v>6.4</v>
      </c>
      <c r="O32" s="163">
        <v>7.7</v>
      </c>
      <c r="P32" s="163">
        <v>9.1</v>
      </c>
      <c r="Q32" s="163">
        <v>10.6</v>
      </c>
      <c r="R32" s="163">
        <v>11.9</v>
      </c>
      <c r="S32" s="163">
        <v>12.8</v>
      </c>
      <c r="T32" s="164">
        <v>13.3</v>
      </c>
      <c r="U32" s="164">
        <v>13.4</v>
      </c>
      <c r="V32" s="164">
        <v>13.1</v>
      </c>
      <c r="W32" s="164">
        <v>12.6</v>
      </c>
      <c r="X32" s="164">
        <v>11.8</v>
      </c>
      <c r="Y32" s="165">
        <v>11</v>
      </c>
    </row>
    <row r="33" spans="1:25" ht="12" customHeight="1">
      <c r="A33" s="161" t="s">
        <v>68</v>
      </c>
      <c r="B33" s="162" t="s">
        <v>99</v>
      </c>
      <c r="C33" s="163" t="s">
        <v>99</v>
      </c>
      <c r="D33" s="163" t="s">
        <v>99</v>
      </c>
      <c r="E33" s="163" t="s">
        <v>99</v>
      </c>
      <c r="F33" s="163" t="s">
        <v>99</v>
      </c>
      <c r="G33" s="163" t="s">
        <v>99</v>
      </c>
      <c r="H33" s="163" t="s">
        <v>99</v>
      </c>
      <c r="I33" s="163" t="s">
        <v>99</v>
      </c>
      <c r="J33" s="163" t="s">
        <v>99</v>
      </c>
      <c r="K33" s="163" t="s">
        <v>99</v>
      </c>
      <c r="L33" s="163" t="s">
        <v>99</v>
      </c>
      <c r="M33" s="163" t="s">
        <v>99</v>
      </c>
      <c r="N33" s="163" t="s">
        <v>99</v>
      </c>
      <c r="O33" s="163" t="s">
        <v>99</v>
      </c>
      <c r="P33" s="163" t="s">
        <v>99</v>
      </c>
      <c r="Q33" s="163" t="s">
        <v>99</v>
      </c>
      <c r="R33" s="163" t="s">
        <v>99</v>
      </c>
      <c r="S33" s="163" t="s">
        <v>99</v>
      </c>
      <c r="T33" s="164" t="s">
        <v>99</v>
      </c>
      <c r="U33" s="164" t="s">
        <v>99</v>
      </c>
      <c r="V33" s="164" t="s">
        <v>99</v>
      </c>
      <c r="W33" s="164" t="s">
        <v>99</v>
      </c>
      <c r="X33" s="164" t="s">
        <v>99</v>
      </c>
      <c r="Y33" s="165" t="s">
        <v>99</v>
      </c>
    </row>
    <row r="34" spans="1:25" ht="12" customHeight="1">
      <c r="A34" s="161" t="s">
        <v>69</v>
      </c>
      <c r="B34" s="162" t="s">
        <v>99</v>
      </c>
      <c r="C34" s="163" t="s">
        <v>99</v>
      </c>
      <c r="D34" s="163" t="s">
        <v>99</v>
      </c>
      <c r="E34" s="163" t="s">
        <v>99</v>
      </c>
      <c r="F34" s="163" t="s">
        <v>99</v>
      </c>
      <c r="G34" s="163" t="s">
        <v>99</v>
      </c>
      <c r="H34" s="163" t="s">
        <v>99</v>
      </c>
      <c r="I34" s="163" t="s">
        <v>99</v>
      </c>
      <c r="J34" s="163" t="s">
        <v>99</v>
      </c>
      <c r="K34" s="163" t="s">
        <v>99</v>
      </c>
      <c r="L34" s="163" t="s">
        <v>99</v>
      </c>
      <c r="M34" s="163" t="s">
        <v>99</v>
      </c>
      <c r="N34" s="163" t="s">
        <v>99</v>
      </c>
      <c r="O34" s="163" t="s">
        <v>99</v>
      </c>
      <c r="P34" s="163" t="s">
        <v>99</v>
      </c>
      <c r="Q34" s="163" t="s">
        <v>99</v>
      </c>
      <c r="R34" s="163" t="s">
        <v>99</v>
      </c>
      <c r="S34" s="163" t="s">
        <v>99</v>
      </c>
      <c r="T34" s="164" t="s">
        <v>99</v>
      </c>
      <c r="U34" s="164" t="s">
        <v>99</v>
      </c>
      <c r="V34" s="164" t="s">
        <v>99</v>
      </c>
      <c r="W34" s="164" t="s">
        <v>99</v>
      </c>
      <c r="X34" s="164" t="s">
        <v>99</v>
      </c>
      <c r="Y34" s="165" t="s">
        <v>99</v>
      </c>
    </row>
    <row r="35" spans="1:25" ht="12" customHeight="1">
      <c r="A35" s="161" t="s">
        <v>70</v>
      </c>
      <c r="B35" s="162" t="s">
        <v>99</v>
      </c>
      <c r="C35" s="163" t="s">
        <v>99</v>
      </c>
      <c r="D35" s="163" t="s">
        <v>99</v>
      </c>
      <c r="E35" s="163" t="s">
        <v>99</v>
      </c>
      <c r="F35" s="163" t="s">
        <v>99</v>
      </c>
      <c r="G35" s="163" t="s">
        <v>99</v>
      </c>
      <c r="H35" s="163" t="s">
        <v>99</v>
      </c>
      <c r="I35" s="163" t="s">
        <v>99</v>
      </c>
      <c r="J35" s="163" t="s">
        <v>99</v>
      </c>
      <c r="K35" s="163" t="s">
        <v>99</v>
      </c>
      <c r="L35" s="163" t="s">
        <v>99</v>
      </c>
      <c r="M35" s="163" t="s">
        <v>99</v>
      </c>
      <c r="N35" s="163" t="s">
        <v>99</v>
      </c>
      <c r="O35" s="163" t="s">
        <v>99</v>
      </c>
      <c r="P35" s="163" t="s">
        <v>99</v>
      </c>
      <c r="Q35" s="163" t="s">
        <v>99</v>
      </c>
      <c r="R35" s="163" t="s">
        <v>99</v>
      </c>
      <c r="S35" s="163" t="s">
        <v>99</v>
      </c>
      <c r="T35" s="164" t="s">
        <v>99</v>
      </c>
      <c r="U35" s="164" t="s">
        <v>99</v>
      </c>
      <c r="V35" s="164" t="s">
        <v>99</v>
      </c>
      <c r="W35" s="164" t="s">
        <v>99</v>
      </c>
      <c r="X35" s="164" t="s">
        <v>99</v>
      </c>
      <c r="Y35" s="165" t="s">
        <v>99</v>
      </c>
    </row>
    <row r="36" spans="1:25" ht="12" customHeight="1">
      <c r="A36" s="161" t="s">
        <v>71</v>
      </c>
      <c r="B36" s="162" t="s">
        <v>99</v>
      </c>
      <c r="C36" s="163" t="s">
        <v>99</v>
      </c>
      <c r="D36" s="163" t="s">
        <v>99</v>
      </c>
      <c r="E36" s="163" t="s">
        <v>99</v>
      </c>
      <c r="F36" s="163" t="s">
        <v>99</v>
      </c>
      <c r="G36" s="163" t="s">
        <v>99</v>
      </c>
      <c r="H36" s="163" t="s">
        <v>99</v>
      </c>
      <c r="I36" s="163" t="s">
        <v>99</v>
      </c>
      <c r="J36" s="163" t="s">
        <v>99</v>
      </c>
      <c r="K36" s="163" t="s">
        <v>99</v>
      </c>
      <c r="L36" s="163" t="s">
        <v>99</v>
      </c>
      <c r="M36" s="163" t="s">
        <v>99</v>
      </c>
      <c r="N36" s="163" t="s">
        <v>99</v>
      </c>
      <c r="O36" s="163" t="s">
        <v>99</v>
      </c>
      <c r="P36" s="163" t="s">
        <v>99</v>
      </c>
      <c r="Q36" s="163" t="s">
        <v>99</v>
      </c>
      <c r="R36" s="163" t="s">
        <v>99</v>
      </c>
      <c r="S36" s="163" t="s">
        <v>99</v>
      </c>
      <c r="T36" s="164" t="s">
        <v>99</v>
      </c>
      <c r="U36" s="164" t="s">
        <v>99</v>
      </c>
      <c r="V36" s="164" t="s">
        <v>99</v>
      </c>
      <c r="W36" s="164" t="s">
        <v>99</v>
      </c>
      <c r="X36" s="164" t="s">
        <v>99</v>
      </c>
      <c r="Y36" s="165" t="s">
        <v>99</v>
      </c>
    </row>
    <row r="37" spans="1:25" ht="12" customHeight="1">
      <c r="A37" s="161" t="s">
        <v>72</v>
      </c>
      <c r="B37" s="162" t="s">
        <v>99</v>
      </c>
      <c r="C37" s="163" t="s">
        <v>99</v>
      </c>
      <c r="D37" s="163" t="s">
        <v>99</v>
      </c>
      <c r="E37" s="163" t="s">
        <v>99</v>
      </c>
      <c r="F37" s="163" t="s">
        <v>99</v>
      </c>
      <c r="G37" s="163" t="s">
        <v>99</v>
      </c>
      <c r="H37" s="163" t="s">
        <v>99</v>
      </c>
      <c r="I37" s="163" t="s">
        <v>99</v>
      </c>
      <c r="J37" s="163" t="s">
        <v>99</v>
      </c>
      <c r="K37" s="163" t="s">
        <v>99</v>
      </c>
      <c r="L37" s="163" t="s">
        <v>99</v>
      </c>
      <c r="M37" s="163" t="s">
        <v>99</v>
      </c>
      <c r="N37" s="163" t="s">
        <v>99</v>
      </c>
      <c r="O37" s="163" t="s">
        <v>99</v>
      </c>
      <c r="P37" s="163" t="s">
        <v>99</v>
      </c>
      <c r="Q37" s="163" t="s">
        <v>99</v>
      </c>
      <c r="R37" s="163" t="s">
        <v>99</v>
      </c>
      <c r="S37" s="163" t="s">
        <v>99</v>
      </c>
      <c r="T37" s="164" t="s">
        <v>99</v>
      </c>
      <c r="U37" s="164" t="s">
        <v>99</v>
      </c>
      <c r="V37" s="164" t="s">
        <v>99</v>
      </c>
      <c r="W37" s="164" t="s">
        <v>99</v>
      </c>
      <c r="X37" s="164" t="s">
        <v>99</v>
      </c>
      <c r="Y37" s="165" t="s">
        <v>99</v>
      </c>
    </row>
    <row r="38" spans="1:25" ht="12" customHeight="1">
      <c r="A38" s="161" t="s">
        <v>73</v>
      </c>
      <c r="B38" s="162" t="s">
        <v>99</v>
      </c>
      <c r="C38" s="163" t="s">
        <v>99</v>
      </c>
      <c r="D38" s="163" t="s">
        <v>99</v>
      </c>
      <c r="E38" s="163" t="s">
        <v>99</v>
      </c>
      <c r="F38" s="163" t="s">
        <v>99</v>
      </c>
      <c r="G38" s="163" t="s">
        <v>99</v>
      </c>
      <c r="H38" s="163" t="s">
        <v>99</v>
      </c>
      <c r="I38" s="163" t="s">
        <v>99</v>
      </c>
      <c r="J38" s="163" t="s">
        <v>99</v>
      </c>
      <c r="K38" s="163" t="s">
        <v>99</v>
      </c>
      <c r="L38" s="163" t="s">
        <v>99</v>
      </c>
      <c r="M38" s="163" t="s">
        <v>99</v>
      </c>
      <c r="N38" s="163" t="s">
        <v>99</v>
      </c>
      <c r="O38" s="163" t="s">
        <v>99</v>
      </c>
      <c r="P38" s="163" t="s">
        <v>99</v>
      </c>
      <c r="Q38" s="163" t="s">
        <v>99</v>
      </c>
      <c r="R38" s="163" t="s">
        <v>99</v>
      </c>
      <c r="S38" s="163" t="s">
        <v>99</v>
      </c>
      <c r="T38" s="164" t="s">
        <v>99</v>
      </c>
      <c r="U38" s="164" t="s">
        <v>99</v>
      </c>
      <c r="V38" s="164" t="s">
        <v>99</v>
      </c>
      <c r="W38" s="164" t="s">
        <v>99</v>
      </c>
      <c r="X38" s="164" t="s">
        <v>99</v>
      </c>
      <c r="Y38" s="165" t="s">
        <v>99</v>
      </c>
    </row>
    <row r="39" spans="1:25" ht="12" customHeight="1">
      <c r="A39" s="161" t="s">
        <v>74</v>
      </c>
      <c r="B39" s="162" t="s">
        <v>99</v>
      </c>
      <c r="C39" s="163" t="s">
        <v>99</v>
      </c>
      <c r="D39" s="163" t="s">
        <v>99</v>
      </c>
      <c r="E39" s="163" t="s">
        <v>99</v>
      </c>
      <c r="F39" s="163" t="s">
        <v>99</v>
      </c>
      <c r="G39" s="163" t="s">
        <v>99</v>
      </c>
      <c r="H39" s="163" t="s">
        <v>99</v>
      </c>
      <c r="I39" s="163" t="s">
        <v>99</v>
      </c>
      <c r="J39" s="163" t="s">
        <v>99</v>
      </c>
      <c r="K39" s="163" t="s">
        <v>99</v>
      </c>
      <c r="L39" s="163" t="s">
        <v>99</v>
      </c>
      <c r="M39" s="163" t="s">
        <v>99</v>
      </c>
      <c r="N39" s="163" t="s">
        <v>99</v>
      </c>
      <c r="O39" s="163" t="s">
        <v>99</v>
      </c>
      <c r="P39" s="163" t="s">
        <v>99</v>
      </c>
      <c r="Q39" s="163" t="s">
        <v>99</v>
      </c>
      <c r="R39" s="163" t="s">
        <v>99</v>
      </c>
      <c r="S39" s="163" t="s">
        <v>99</v>
      </c>
      <c r="T39" s="164" t="s">
        <v>99</v>
      </c>
      <c r="U39" s="164" t="s">
        <v>99</v>
      </c>
      <c r="V39" s="164" t="s">
        <v>99</v>
      </c>
      <c r="W39" s="164" t="s">
        <v>99</v>
      </c>
      <c r="X39" s="164" t="s">
        <v>99</v>
      </c>
      <c r="Y39" s="165" t="s">
        <v>99</v>
      </c>
    </row>
    <row r="40" spans="1:25" ht="12" customHeight="1">
      <c r="A40" s="166" t="s">
        <v>75</v>
      </c>
      <c r="B40" s="167" t="s">
        <v>99</v>
      </c>
      <c r="C40" s="168" t="s">
        <v>99</v>
      </c>
      <c r="D40" s="168" t="s">
        <v>99</v>
      </c>
      <c r="E40" s="168" t="s">
        <v>99</v>
      </c>
      <c r="F40" s="168" t="s">
        <v>99</v>
      </c>
      <c r="G40" s="168" t="s">
        <v>99</v>
      </c>
      <c r="H40" s="168" t="s">
        <v>99</v>
      </c>
      <c r="I40" s="168" t="s">
        <v>99</v>
      </c>
      <c r="J40" s="168" t="s">
        <v>99</v>
      </c>
      <c r="K40" s="168" t="s">
        <v>99</v>
      </c>
      <c r="L40" s="168" t="s">
        <v>99</v>
      </c>
      <c r="M40" s="168" t="s">
        <v>99</v>
      </c>
      <c r="N40" s="168" t="s">
        <v>99</v>
      </c>
      <c r="O40" s="168" t="s">
        <v>99</v>
      </c>
      <c r="P40" s="168" t="s">
        <v>99</v>
      </c>
      <c r="Q40" s="168" t="s">
        <v>99</v>
      </c>
      <c r="R40" s="168" t="s">
        <v>99</v>
      </c>
      <c r="S40" s="168" t="s">
        <v>99</v>
      </c>
      <c r="T40" s="169" t="s">
        <v>99</v>
      </c>
      <c r="U40" s="169" t="s">
        <v>99</v>
      </c>
      <c r="V40" s="169" t="s">
        <v>99</v>
      </c>
      <c r="W40" s="169" t="s">
        <v>99</v>
      </c>
      <c r="X40" s="169" t="s">
        <v>99</v>
      </c>
      <c r="Y40" s="170" t="s">
        <v>99</v>
      </c>
    </row>
    <row r="42" spans="1:25" ht="12" customHeight="1">
      <c r="A42" s="148" t="s">
        <v>76</v>
      </c>
      <c r="B42" s="148"/>
      <c r="C42" s="148"/>
      <c r="D42" s="148"/>
      <c r="E42" s="148"/>
      <c r="G42" s="148"/>
      <c r="H42" s="148"/>
      <c r="I42" s="148"/>
      <c r="J42" s="148"/>
      <c r="K42" s="148"/>
    </row>
    <row r="43" spans="1:25" ht="15" customHeight="1">
      <c r="A43" s="171" t="s">
        <v>77</v>
      </c>
      <c r="B43" s="172" t="s">
        <v>78</v>
      </c>
      <c r="C43" s="173" t="s">
        <v>79</v>
      </c>
      <c r="D43" s="172" t="s">
        <v>78</v>
      </c>
      <c r="E43" s="173" t="s">
        <v>79</v>
      </c>
      <c r="F43" s="172" t="s">
        <v>78</v>
      </c>
      <c r="G43" s="173" t="s">
        <v>79</v>
      </c>
      <c r="H43" s="172" t="s">
        <v>78</v>
      </c>
      <c r="I43" s="173" t="s">
        <v>79</v>
      </c>
      <c r="J43" s="172" t="s">
        <v>78</v>
      </c>
      <c r="K43" s="173" t="s">
        <v>79</v>
      </c>
      <c r="L43" s="172" t="s">
        <v>78</v>
      </c>
      <c r="M43" s="174" t="s">
        <v>78</v>
      </c>
      <c r="N43" s="172" t="s">
        <v>78</v>
      </c>
      <c r="P43" s="73" t="s">
        <v>49</v>
      </c>
    </row>
    <row r="44" spans="1:25" ht="12" customHeight="1">
      <c r="A44" s="175">
        <v>0</v>
      </c>
      <c r="B44" s="176">
        <v>0</v>
      </c>
      <c r="C44" s="177">
        <f t="shared" ref="C44:C67" si="0">A44+24</f>
        <v>24</v>
      </c>
      <c r="D44" s="176">
        <v>1.4E-2</v>
      </c>
      <c r="E44" s="177">
        <f t="shared" ref="E44:E67" si="1">C44+24</f>
        <v>48</v>
      </c>
      <c r="F44" s="176">
        <v>1E-3</v>
      </c>
      <c r="G44" s="177">
        <f t="shared" ref="G44:G67" si="2">E44+24</f>
        <v>72</v>
      </c>
      <c r="H44" s="178">
        <v>0</v>
      </c>
      <c r="I44" s="177">
        <f t="shared" ref="I44:I67" si="3">G44+24</f>
        <v>96</v>
      </c>
      <c r="J44" s="178">
        <v>0</v>
      </c>
      <c r="K44" s="177">
        <f t="shared" ref="K44:K67" si="4">I44+24</f>
        <v>120</v>
      </c>
      <c r="L44" s="178">
        <v>0</v>
      </c>
      <c r="M44" s="179">
        <f t="shared" ref="M44:M67" si="5">K44+24</f>
        <v>144</v>
      </c>
      <c r="N44" s="180">
        <v>0</v>
      </c>
      <c r="P44" s="181" t="s">
        <v>83</v>
      </c>
    </row>
    <row r="45" spans="1:25" ht="12" customHeight="1">
      <c r="A45" s="182">
        <v>1</v>
      </c>
      <c r="B45" s="183">
        <v>1E-3</v>
      </c>
      <c r="C45" s="184">
        <f t="shared" si="0"/>
        <v>25</v>
      </c>
      <c r="D45" s="183">
        <v>1.2E-2</v>
      </c>
      <c r="E45" s="184">
        <f t="shared" si="1"/>
        <v>49</v>
      </c>
      <c r="F45" s="183">
        <v>1E-3</v>
      </c>
      <c r="G45" s="184">
        <f t="shared" si="2"/>
        <v>73</v>
      </c>
      <c r="H45" s="185">
        <v>0</v>
      </c>
      <c r="I45" s="184">
        <f t="shared" si="3"/>
        <v>97</v>
      </c>
      <c r="J45" s="185">
        <v>0</v>
      </c>
      <c r="K45" s="184">
        <f t="shared" si="4"/>
        <v>121</v>
      </c>
      <c r="L45" s="185">
        <v>0</v>
      </c>
      <c r="M45" s="186">
        <f t="shared" si="5"/>
        <v>145</v>
      </c>
      <c r="N45" s="187">
        <v>0</v>
      </c>
      <c r="P45" s="188" t="s">
        <v>84</v>
      </c>
    </row>
    <row r="46" spans="1:25" ht="12" customHeight="1">
      <c r="A46" s="182">
        <v>2</v>
      </c>
      <c r="B46" s="183">
        <v>1.0999999999999999E-2</v>
      </c>
      <c r="C46" s="184">
        <f t="shared" si="0"/>
        <v>26</v>
      </c>
      <c r="D46" s="183">
        <v>1.0999999999999999E-2</v>
      </c>
      <c r="E46" s="184">
        <f t="shared" si="1"/>
        <v>50</v>
      </c>
      <c r="F46" s="183">
        <v>1E-3</v>
      </c>
      <c r="G46" s="184">
        <f t="shared" si="2"/>
        <v>74</v>
      </c>
      <c r="H46" s="185">
        <v>0</v>
      </c>
      <c r="I46" s="184">
        <f t="shared" si="3"/>
        <v>98</v>
      </c>
      <c r="J46" s="185">
        <v>0</v>
      </c>
      <c r="K46" s="184">
        <f t="shared" si="4"/>
        <v>122</v>
      </c>
      <c r="L46" s="185">
        <v>0</v>
      </c>
      <c r="M46" s="186">
        <f t="shared" si="5"/>
        <v>146</v>
      </c>
      <c r="N46" s="187">
        <v>0</v>
      </c>
      <c r="P46" s="181" t="s">
        <v>86</v>
      </c>
    </row>
    <row r="47" spans="1:25" ht="12" customHeight="1">
      <c r="A47" s="182">
        <v>3</v>
      </c>
      <c r="B47" s="183">
        <v>3.3000000000000002E-2</v>
      </c>
      <c r="C47" s="184">
        <f t="shared" si="0"/>
        <v>27</v>
      </c>
      <c r="D47" s="183">
        <v>0.01</v>
      </c>
      <c r="E47" s="184">
        <f t="shared" si="1"/>
        <v>51</v>
      </c>
      <c r="F47" s="183">
        <v>1E-3</v>
      </c>
      <c r="G47" s="184">
        <f t="shared" si="2"/>
        <v>75</v>
      </c>
      <c r="H47" s="185">
        <v>0</v>
      </c>
      <c r="I47" s="184">
        <f t="shared" si="3"/>
        <v>99</v>
      </c>
      <c r="J47" s="185">
        <v>0</v>
      </c>
      <c r="K47" s="184">
        <f t="shared" si="4"/>
        <v>123</v>
      </c>
      <c r="L47" s="185">
        <v>0</v>
      </c>
      <c r="M47" s="186">
        <f t="shared" si="5"/>
        <v>147</v>
      </c>
      <c r="N47" s="187">
        <v>0</v>
      </c>
      <c r="P47" s="181" t="s">
        <v>87</v>
      </c>
    </row>
    <row r="48" spans="1:25" ht="12" customHeight="1">
      <c r="A48" s="182">
        <v>4</v>
      </c>
      <c r="B48" s="183">
        <v>5.1999999999999998E-2</v>
      </c>
      <c r="C48" s="184">
        <f t="shared" si="0"/>
        <v>28</v>
      </c>
      <c r="D48" s="183">
        <v>8.9999999999999993E-3</v>
      </c>
      <c r="E48" s="184">
        <f t="shared" si="1"/>
        <v>52</v>
      </c>
      <c r="F48" s="183">
        <v>1E-3</v>
      </c>
      <c r="G48" s="184">
        <f t="shared" si="2"/>
        <v>76</v>
      </c>
      <c r="H48" s="185">
        <v>0</v>
      </c>
      <c r="I48" s="184">
        <f t="shared" si="3"/>
        <v>100</v>
      </c>
      <c r="J48" s="185">
        <v>0</v>
      </c>
      <c r="K48" s="184">
        <f t="shared" si="4"/>
        <v>124</v>
      </c>
      <c r="L48" s="185">
        <v>0</v>
      </c>
      <c r="M48" s="186">
        <f t="shared" si="5"/>
        <v>148</v>
      </c>
      <c r="N48" s="187">
        <v>0</v>
      </c>
      <c r="P48" s="181" t="s">
        <v>88</v>
      </c>
    </row>
    <row r="49" spans="1:16" ht="12" customHeight="1">
      <c r="A49" s="182">
        <v>5</v>
      </c>
      <c r="B49" s="183">
        <v>6.3E-2</v>
      </c>
      <c r="C49" s="184">
        <f t="shared" si="0"/>
        <v>29</v>
      </c>
      <c r="D49" s="183">
        <v>8.0000000000000002E-3</v>
      </c>
      <c r="E49" s="184">
        <f t="shared" si="1"/>
        <v>53</v>
      </c>
      <c r="F49" s="183">
        <v>1E-3</v>
      </c>
      <c r="G49" s="184">
        <f t="shared" si="2"/>
        <v>77</v>
      </c>
      <c r="H49" s="185">
        <v>0</v>
      </c>
      <c r="I49" s="184">
        <f t="shared" si="3"/>
        <v>101</v>
      </c>
      <c r="J49" s="185">
        <v>0</v>
      </c>
      <c r="K49" s="184">
        <f t="shared" si="4"/>
        <v>125</v>
      </c>
      <c r="L49" s="185">
        <v>0</v>
      </c>
      <c r="M49" s="186">
        <f t="shared" si="5"/>
        <v>149</v>
      </c>
      <c r="N49" s="187">
        <v>0</v>
      </c>
      <c r="P49" s="181" t="s">
        <v>89</v>
      </c>
    </row>
    <row r="50" spans="1:16" ht="12" customHeight="1">
      <c r="A50" s="182">
        <v>6</v>
      </c>
      <c r="B50" s="183">
        <v>6.7000000000000004E-2</v>
      </c>
      <c r="C50" s="184">
        <f t="shared" si="0"/>
        <v>30</v>
      </c>
      <c r="D50" s="183">
        <v>7.0000000000000001E-3</v>
      </c>
      <c r="E50" s="184">
        <f t="shared" si="1"/>
        <v>54</v>
      </c>
      <c r="F50" s="183">
        <v>1E-3</v>
      </c>
      <c r="G50" s="184">
        <f t="shared" si="2"/>
        <v>78</v>
      </c>
      <c r="H50" s="185">
        <v>0</v>
      </c>
      <c r="I50" s="184">
        <f t="shared" si="3"/>
        <v>102</v>
      </c>
      <c r="J50" s="185">
        <v>0</v>
      </c>
      <c r="K50" s="184">
        <f t="shared" si="4"/>
        <v>126</v>
      </c>
      <c r="L50" s="185">
        <v>0</v>
      </c>
      <c r="M50" s="186">
        <f t="shared" si="5"/>
        <v>150</v>
      </c>
      <c r="N50" s="187">
        <v>0</v>
      </c>
      <c r="P50" s="181" t="s">
        <v>90</v>
      </c>
    </row>
    <row r="51" spans="1:16" ht="12" customHeight="1">
      <c r="A51" s="182">
        <v>7</v>
      </c>
      <c r="B51" s="183">
        <v>6.7000000000000004E-2</v>
      </c>
      <c r="C51" s="184">
        <f t="shared" si="0"/>
        <v>31</v>
      </c>
      <c r="D51" s="183">
        <v>7.0000000000000001E-3</v>
      </c>
      <c r="E51" s="184">
        <f t="shared" si="1"/>
        <v>55</v>
      </c>
      <c r="F51" s="183">
        <v>1E-3</v>
      </c>
      <c r="G51" s="184">
        <f t="shared" si="2"/>
        <v>79</v>
      </c>
      <c r="H51" s="185">
        <v>0</v>
      </c>
      <c r="I51" s="184">
        <f t="shared" si="3"/>
        <v>103</v>
      </c>
      <c r="J51" s="185">
        <v>0</v>
      </c>
      <c r="K51" s="184">
        <f t="shared" si="4"/>
        <v>127</v>
      </c>
      <c r="L51" s="185">
        <v>0</v>
      </c>
      <c r="M51" s="186">
        <f t="shared" si="5"/>
        <v>151</v>
      </c>
      <c r="N51" s="187">
        <v>0</v>
      </c>
      <c r="P51" s="181" t="s">
        <v>91</v>
      </c>
    </row>
    <row r="52" spans="1:16" ht="12" customHeight="1">
      <c r="A52" s="182">
        <v>8</v>
      </c>
      <c r="B52" s="183">
        <v>6.4000000000000001E-2</v>
      </c>
      <c r="C52" s="184">
        <f t="shared" si="0"/>
        <v>32</v>
      </c>
      <c r="D52" s="183">
        <v>6.0000000000000001E-3</v>
      </c>
      <c r="E52" s="184">
        <f t="shared" si="1"/>
        <v>56</v>
      </c>
      <c r="F52" s="183">
        <v>0</v>
      </c>
      <c r="G52" s="184">
        <f t="shared" si="2"/>
        <v>80</v>
      </c>
      <c r="H52" s="185">
        <v>0</v>
      </c>
      <c r="I52" s="184">
        <f t="shared" si="3"/>
        <v>104</v>
      </c>
      <c r="J52" s="185">
        <v>0</v>
      </c>
      <c r="K52" s="184">
        <f t="shared" si="4"/>
        <v>128</v>
      </c>
      <c r="L52" s="185">
        <v>0</v>
      </c>
      <c r="M52" s="186">
        <f t="shared" si="5"/>
        <v>152</v>
      </c>
      <c r="N52" s="187">
        <v>0</v>
      </c>
      <c r="P52" s="181" t="s">
        <v>102</v>
      </c>
    </row>
    <row r="53" spans="1:16" ht="12" customHeight="1">
      <c r="A53" s="182">
        <v>9</v>
      </c>
      <c r="B53" s="183">
        <v>0.06</v>
      </c>
      <c r="C53" s="184">
        <f t="shared" si="0"/>
        <v>33</v>
      </c>
      <c r="D53" s="183">
        <v>5.0000000000000001E-3</v>
      </c>
      <c r="E53" s="184">
        <f t="shared" si="1"/>
        <v>57</v>
      </c>
      <c r="F53" s="183">
        <v>0</v>
      </c>
      <c r="G53" s="184">
        <f t="shared" si="2"/>
        <v>81</v>
      </c>
      <c r="H53" s="185">
        <v>0</v>
      </c>
      <c r="I53" s="184">
        <f t="shared" si="3"/>
        <v>105</v>
      </c>
      <c r="J53" s="185">
        <v>0</v>
      </c>
      <c r="K53" s="184">
        <f t="shared" si="4"/>
        <v>129</v>
      </c>
      <c r="L53" s="185">
        <v>0</v>
      </c>
      <c r="M53" s="186">
        <f t="shared" si="5"/>
        <v>153</v>
      </c>
      <c r="N53" s="187">
        <v>0</v>
      </c>
      <c r="P53" s="181" t="s">
        <v>103</v>
      </c>
    </row>
    <row r="54" spans="1:16" ht="12" customHeight="1">
      <c r="A54" s="182">
        <v>10</v>
      </c>
      <c r="B54" s="183">
        <v>5.5E-2</v>
      </c>
      <c r="C54" s="184">
        <f t="shared" si="0"/>
        <v>34</v>
      </c>
      <c r="D54" s="183">
        <v>5.0000000000000001E-3</v>
      </c>
      <c r="E54" s="184">
        <f t="shared" si="1"/>
        <v>58</v>
      </c>
      <c r="F54" s="183">
        <v>0</v>
      </c>
      <c r="G54" s="184">
        <f t="shared" si="2"/>
        <v>82</v>
      </c>
      <c r="H54" s="185">
        <v>0</v>
      </c>
      <c r="I54" s="184">
        <f t="shared" si="3"/>
        <v>106</v>
      </c>
      <c r="J54" s="185">
        <v>0</v>
      </c>
      <c r="K54" s="184">
        <f t="shared" si="4"/>
        <v>130</v>
      </c>
      <c r="L54" s="185">
        <v>0</v>
      </c>
      <c r="M54" s="186">
        <f t="shared" si="5"/>
        <v>154</v>
      </c>
      <c r="N54" s="187">
        <v>0</v>
      </c>
      <c r="P54" s="181"/>
    </row>
    <row r="55" spans="1:16" ht="12" customHeight="1">
      <c r="A55" s="182">
        <v>11</v>
      </c>
      <c r="B55" s="183">
        <v>5.0999999999999997E-2</v>
      </c>
      <c r="C55" s="184">
        <f t="shared" si="0"/>
        <v>35</v>
      </c>
      <c r="D55" s="183">
        <v>4.0000000000000001E-3</v>
      </c>
      <c r="E55" s="184">
        <f t="shared" si="1"/>
        <v>59</v>
      </c>
      <c r="F55" s="183">
        <v>0</v>
      </c>
      <c r="G55" s="184">
        <f t="shared" si="2"/>
        <v>83</v>
      </c>
      <c r="H55" s="185">
        <v>0</v>
      </c>
      <c r="I55" s="184">
        <f t="shared" si="3"/>
        <v>107</v>
      </c>
      <c r="J55" s="185">
        <v>0</v>
      </c>
      <c r="K55" s="184">
        <f t="shared" si="4"/>
        <v>131</v>
      </c>
      <c r="L55" s="185">
        <v>0</v>
      </c>
      <c r="M55" s="186">
        <f t="shared" si="5"/>
        <v>155</v>
      </c>
      <c r="N55" s="187">
        <v>0</v>
      </c>
      <c r="P55" s="181"/>
    </row>
    <row r="56" spans="1:16" ht="12" customHeight="1">
      <c r="A56" s="182">
        <v>12</v>
      </c>
      <c r="B56" s="183">
        <v>4.5999999999999999E-2</v>
      </c>
      <c r="C56" s="184">
        <f t="shared" si="0"/>
        <v>36</v>
      </c>
      <c r="D56" s="183">
        <v>4.0000000000000001E-3</v>
      </c>
      <c r="E56" s="184">
        <f t="shared" si="1"/>
        <v>60</v>
      </c>
      <c r="F56" s="183">
        <v>0</v>
      </c>
      <c r="G56" s="184">
        <f t="shared" si="2"/>
        <v>84</v>
      </c>
      <c r="H56" s="185">
        <v>0</v>
      </c>
      <c r="I56" s="184">
        <f t="shared" si="3"/>
        <v>108</v>
      </c>
      <c r="J56" s="185">
        <v>0</v>
      </c>
      <c r="K56" s="184">
        <f t="shared" si="4"/>
        <v>132</v>
      </c>
      <c r="L56" s="185">
        <v>0</v>
      </c>
      <c r="M56" s="186">
        <f t="shared" si="5"/>
        <v>156</v>
      </c>
      <c r="N56" s="187">
        <v>0</v>
      </c>
      <c r="P56" s="181"/>
    </row>
    <row r="57" spans="1:16" ht="12" customHeight="1">
      <c r="A57" s="182">
        <v>13</v>
      </c>
      <c r="B57" s="183">
        <v>4.2000000000000003E-2</v>
      </c>
      <c r="C57" s="184">
        <f t="shared" si="0"/>
        <v>37</v>
      </c>
      <c r="D57" s="183">
        <v>4.0000000000000001E-3</v>
      </c>
      <c r="E57" s="184">
        <f t="shared" si="1"/>
        <v>61</v>
      </c>
      <c r="F57" s="183">
        <v>0</v>
      </c>
      <c r="G57" s="184">
        <f t="shared" si="2"/>
        <v>85</v>
      </c>
      <c r="H57" s="185">
        <v>0</v>
      </c>
      <c r="I57" s="184">
        <f t="shared" si="3"/>
        <v>109</v>
      </c>
      <c r="J57" s="185">
        <v>0</v>
      </c>
      <c r="K57" s="184">
        <f t="shared" si="4"/>
        <v>133</v>
      </c>
      <c r="L57" s="185">
        <v>0</v>
      </c>
      <c r="M57" s="186">
        <f t="shared" si="5"/>
        <v>157</v>
      </c>
      <c r="N57" s="187">
        <v>0</v>
      </c>
      <c r="P57" s="181"/>
    </row>
    <row r="58" spans="1:16" ht="12" customHeight="1">
      <c r="A58" s="182">
        <v>14</v>
      </c>
      <c r="B58" s="183">
        <v>3.7999999999999999E-2</v>
      </c>
      <c r="C58" s="184">
        <f t="shared" si="0"/>
        <v>38</v>
      </c>
      <c r="D58" s="183">
        <v>3.0000000000000001E-3</v>
      </c>
      <c r="E58" s="184">
        <f t="shared" si="1"/>
        <v>62</v>
      </c>
      <c r="F58" s="183">
        <v>0</v>
      </c>
      <c r="G58" s="184">
        <f t="shared" si="2"/>
        <v>86</v>
      </c>
      <c r="H58" s="185">
        <v>0</v>
      </c>
      <c r="I58" s="184">
        <f t="shared" si="3"/>
        <v>110</v>
      </c>
      <c r="J58" s="185">
        <v>0</v>
      </c>
      <c r="K58" s="184">
        <f t="shared" si="4"/>
        <v>134</v>
      </c>
      <c r="L58" s="185">
        <v>0</v>
      </c>
      <c r="M58" s="186">
        <f t="shared" si="5"/>
        <v>158</v>
      </c>
      <c r="N58" s="187">
        <v>0</v>
      </c>
      <c r="P58" s="181"/>
    </row>
    <row r="59" spans="1:16" ht="12" customHeight="1">
      <c r="A59" s="182">
        <v>15</v>
      </c>
      <c r="B59" s="183">
        <v>3.4000000000000002E-2</v>
      </c>
      <c r="C59" s="184">
        <f t="shared" si="0"/>
        <v>39</v>
      </c>
      <c r="D59" s="183">
        <v>3.0000000000000001E-3</v>
      </c>
      <c r="E59" s="184">
        <f t="shared" si="1"/>
        <v>63</v>
      </c>
      <c r="F59" s="183">
        <v>0</v>
      </c>
      <c r="G59" s="184">
        <f t="shared" si="2"/>
        <v>87</v>
      </c>
      <c r="H59" s="185">
        <v>0</v>
      </c>
      <c r="I59" s="184">
        <f t="shared" si="3"/>
        <v>111</v>
      </c>
      <c r="J59" s="185">
        <v>0</v>
      </c>
      <c r="K59" s="184">
        <f t="shared" si="4"/>
        <v>135</v>
      </c>
      <c r="L59" s="185">
        <v>0</v>
      </c>
      <c r="M59" s="186">
        <f t="shared" si="5"/>
        <v>159</v>
      </c>
      <c r="N59" s="187">
        <v>0</v>
      </c>
      <c r="P59" s="181"/>
    </row>
    <row r="60" spans="1:16" ht="12" customHeight="1">
      <c r="A60" s="182">
        <v>16</v>
      </c>
      <c r="B60" s="183">
        <v>3.1E-2</v>
      </c>
      <c r="C60" s="184">
        <f t="shared" si="0"/>
        <v>40</v>
      </c>
      <c r="D60" s="183">
        <v>3.0000000000000001E-3</v>
      </c>
      <c r="E60" s="184">
        <f t="shared" si="1"/>
        <v>64</v>
      </c>
      <c r="F60" s="183">
        <v>0</v>
      </c>
      <c r="G60" s="184">
        <f t="shared" si="2"/>
        <v>88</v>
      </c>
      <c r="H60" s="185">
        <v>0</v>
      </c>
      <c r="I60" s="184">
        <f t="shared" si="3"/>
        <v>112</v>
      </c>
      <c r="J60" s="185">
        <v>0</v>
      </c>
      <c r="K60" s="184">
        <f t="shared" si="4"/>
        <v>136</v>
      </c>
      <c r="L60" s="185">
        <v>0</v>
      </c>
      <c r="M60" s="186">
        <f t="shared" si="5"/>
        <v>160</v>
      </c>
      <c r="N60" s="187">
        <v>0</v>
      </c>
      <c r="P60" s="181"/>
    </row>
    <row r="61" spans="1:16" ht="12" customHeight="1">
      <c r="A61" s="182">
        <v>17</v>
      </c>
      <c r="B61" s="183">
        <v>2.8000000000000001E-2</v>
      </c>
      <c r="C61" s="184">
        <f t="shared" si="0"/>
        <v>41</v>
      </c>
      <c r="D61" s="183">
        <v>2E-3</v>
      </c>
      <c r="E61" s="184">
        <f t="shared" si="1"/>
        <v>65</v>
      </c>
      <c r="F61" s="183">
        <v>0</v>
      </c>
      <c r="G61" s="184">
        <f t="shared" si="2"/>
        <v>89</v>
      </c>
      <c r="H61" s="185">
        <v>0</v>
      </c>
      <c r="I61" s="184">
        <f t="shared" si="3"/>
        <v>113</v>
      </c>
      <c r="J61" s="185">
        <v>0</v>
      </c>
      <c r="K61" s="184">
        <f t="shared" si="4"/>
        <v>137</v>
      </c>
      <c r="L61" s="185">
        <v>0</v>
      </c>
      <c r="M61" s="186">
        <f t="shared" si="5"/>
        <v>161</v>
      </c>
      <c r="N61" s="187">
        <v>0</v>
      </c>
      <c r="P61" s="181"/>
    </row>
    <row r="62" spans="1:16" ht="12" customHeight="1">
      <c r="A62" s="182">
        <v>18</v>
      </c>
      <c r="B62" s="183">
        <v>2.5000000000000001E-2</v>
      </c>
      <c r="C62" s="184">
        <f t="shared" si="0"/>
        <v>42</v>
      </c>
      <c r="D62" s="183">
        <v>2E-3</v>
      </c>
      <c r="E62" s="184">
        <f t="shared" si="1"/>
        <v>66</v>
      </c>
      <c r="F62" s="183">
        <v>0</v>
      </c>
      <c r="G62" s="184">
        <f t="shared" si="2"/>
        <v>90</v>
      </c>
      <c r="H62" s="185">
        <v>0</v>
      </c>
      <c r="I62" s="184">
        <f t="shared" si="3"/>
        <v>114</v>
      </c>
      <c r="J62" s="185">
        <v>0</v>
      </c>
      <c r="K62" s="184">
        <f t="shared" si="4"/>
        <v>138</v>
      </c>
      <c r="L62" s="185">
        <v>0</v>
      </c>
      <c r="M62" s="186">
        <f t="shared" si="5"/>
        <v>162</v>
      </c>
      <c r="N62" s="187">
        <v>0</v>
      </c>
      <c r="P62" s="181"/>
    </row>
    <row r="63" spans="1:16" ht="12" customHeight="1">
      <c r="A63" s="182">
        <v>19</v>
      </c>
      <c r="B63" s="183">
        <v>2.3E-2</v>
      </c>
      <c r="C63" s="184">
        <f t="shared" si="0"/>
        <v>43</v>
      </c>
      <c r="D63" s="183">
        <v>2E-3</v>
      </c>
      <c r="E63" s="184">
        <f t="shared" si="1"/>
        <v>67</v>
      </c>
      <c r="F63" s="183">
        <v>0</v>
      </c>
      <c r="G63" s="184">
        <f t="shared" si="2"/>
        <v>91</v>
      </c>
      <c r="H63" s="185">
        <v>0</v>
      </c>
      <c r="I63" s="184">
        <f t="shared" si="3"/>
        <v>115</v>
      </c>
      <c r="J63" s="185">
        <v>0</v>
      </c>
      <c r="K63" s="184">
        <f t="shared" si="4"/>
        <v>139</v>
      </c>
      <c r="L63" s="185">
        <v>0</v>
      </c>
      <c r="M63" s="186">
        <f t="shared" si="5"/>
        <v>163</v>
      </c>
      <c r="N63" s="187">
        <v>0</v>
      </c>
      <c r="P63" s="181"/>
    </row>
    <row r="64" spans="1:16" ht="12" customHeight="1">
      <c r="A64" s="182">
        <v>20</v>
      </c>
      <c r="B64" s="183">
        <v>2.1000000000000001E-2</v>
      </c>
      <c r="C64" s="184">
        <f t="shared" si="0"/>
        <v>44</v>
      </c>
      <c r="D64" s="183">
        <v>2E-3</v>
      </c>
      <c r="E64" s="184">
        <f t="shared" si="1"/>
        <v>68</v>
      </c>
      <c r="F64" s="183">
        <v>0</v>
      </c>
      <c r="G64" s="184">
        <f t="shared" si="2"/>
        <v>92</v>
      </c>
      <c r="H64" s="185">
        <v>0</v>
      </c>
      <c r="I64" s="184">
        <f t="shared" si="3"/>
        <v>116</v>
      </c>
      <c r="J64" s="185">
        <v>0</v>
      </c>
      <c r="K64" s="184">
        <f t="shared" si="4"/>
        <v>140</v>
      </c>
      <c r="L64" s="185">
        <v>0</v>
      </c>
      <c r="M64" s="186">
        <f t="shared" si="5"/>
        <v>164</v>
      </c>
      <c r="N64" s="187">
        <v>0</v>
      </c>
      <c r="P64" s="181"/>
    </row>
    <row r="65" spans="1:16" ht="12" customHeight="1">
      <c r="A65" s="182">
        <v>21</v>
      </c>
      <c r="B65" s="183">
        <v>1.9E-2</v>
      </c>
      <c r="C65" s="184">
        <f t="shared" si="0"/>
        <v>45</v>
      </c>
      <c r="D65" s="183">
        <v>2E-3</v>
      </c>
      <c r="E65" s="184">
        <f t="shared" si="1"/>
        <v>69</v>
      </c>
      <c r="F65" s="183">
        <v>0</v>
      </c>
      <c r="G65" s="184">
        <f t="shared" si="2"/>
        <v>93</v>
      </c>
      <c r="H65" s="185">
        <v>0</v>
      </c>
      <c r="I65" s="184">
        <f t="shared" si="3"/>
        <v>117</v>
      </c>
      <c r="J65" s="185">
        <v>0</v>
      </c>
      <c r="K65" s="184">
        <f t="shared" si="4"/>
        <v>141</v>
      </c>
      <c r="L65" s="185">
        <v>0</v>
      </c>
      <c r="M65" s="186">
        <f t="shared" si="5"/>
        <v>165</v>
      </c>
      <c r="N65" s="187">
        <v>0</v>
      </c>
      <c r="P65" s="181"/>
    </row>
    <row r="66" spans="1:16" ht="12" customHeight="1">
      <c r="A66" s="182">
        <v>22</v>
      </c>
      <c r="B66" s="183">
        <v>1.7000000000000001E-2</v>
      </c>
      <c r="C66" s="184">
        <f t="shared" si="0"/>
        <v>46</v>
      </c>
      <c r="D66" s="183">
        <v>1E-3</v>
      </c>
      <c r="E66" s="184">
        <f t="shared" si="1"/>
        <v>70</v>
      </c>
      <c r="F66" s="183">
        <v>0</v>
      </c>
      <c r="G66" s="184">
        <f t="shared" si="2"/>
        <v>94</v>
      </c>
      <c r="H66" s="185">
        <v>0</v>
      </c>
      <c r="I66" s="184">
        <f t="shared" si="3"/>
        <v>118</v>
      </c>
      <c r="J66" s="185">
        <v>0</v>
      </c>
      <c r="K66" s="184">
        <f t="shared" si="4"/>
        <v>142</v>
      </c>
      <c r="L66" s="185">
        <v>0</v>
      </c>
      <c r="M66" s="186">
        <f t="shared" si="5"/>
        <v>166</v>
      </c>
      <c r="N66" s="187">
        <v>0</v>
      </c>
      <c r="P66" s="181"/>
    </row>
    <row r="67" spans="1:16" ht="12" customHeight="1">
      <c r="A67" s="189">
        <v>23</v>
      </c>
      <c r="B67" s="190">
        <v>1.4999999999999999E-2</v>
      </c>
      <c r="C67" s="191">
        <f t="shared" si="0"/>
        <v>47</v>
      </c>
      <c r="D67" s="190">
        <v>1E-3</v>
      </c>
      <c r="E67" s="191">
        <f t="shared" si="1"/>
        <v>71</v>
      </c>
      <c r="F67" s="190">
        <v>0</v>
      </c>
      <c r="G67" s="191">
        <f t="shared" si="2"/>
        <v>95</v>
      </c>
      <c r="H67" s="192">
        <v>0</v>
      </c>
      <c r="I67" s="191">
        <f t="shared" si="3"/>
        <v>119</v>
      </c>
      <c r="J67" s="192">
        <v>0</v>
      </c>
      <c r="K67" s="191">
        <f t="shared" si="4"/>
        <v>143</v>
      </c>
      <c r="L67" s="192">
        <v>0</v>
      </c>
      <c r="M67" s="193">
        <f t="shared" si="5"/>
        <v>167</v>
      </c>
      <c r="N67" s="194">
        <v>0</v>
      </c>
      <c r="P67" s="181"/>
    </row>
  </sheetData>
  <phoneticPr fontId="4"/>
  <pageMargins left="1.1811023622047245" right="0.70866141732283472" top="0.59055118110236227" bottom="0.39370078740157483" header="0.39370078740157483" footer="0.11811023622047245"/>
  <pageSetup paperSize="9" scale="67" orientation="landscape" horizontalDpi="1200" verticalDpi="1200" r:id="rId1"/>
  <headerFooter scaleWithDoc="0" alignWithMargins="0">
    <oddFooter>&amp;C&amp;"ＭＳ Ｐゴシック,標準"&amp;9( &amp;P / &amp;N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67"/>
  <sheetViews>
    <sheetView showGridLines="0" zoomScale="80" zoomScaleNormal="80" workbookViewId="0"/>
  </sheetViews>
  <sheetFormatPr defaultColWidth="8" defaultRowHeight="12" customHeight="1"/>
  <cols>
    <col min="1" max="1" width="8.7109375" style="73" customWidth="1"/>
    <col min="2" max="19" width="7.5703125" style="73" customWidth="1"/>
    <col min="20" max="16384" width="8" style="73"/>
  </cols>
  <sheetData>
    <row r="1" spans="1:25" s="147" customFormat="1" ht="24" customHeight="1">
      <c r="A1" s="143" t="s">
        <v>106</v>
      </c>
      <c r="B1" s="144"/>
      <c r="C1" s="144"/>
      <c r="D1" s="144"/>
      <c r="E1" s="144"/>
      <c r="F1" s="144"/>
      <c r="G1" s="144"/>
      <c r="H1" s="144"/>
      <c r="I1" s="144"/>
      <c r="J1" s="144"/>
      <c r="K1" s="144"/>
      <c r="L1" s="144"/>
      <c r="M1" s="144"/>
      <c r="N1" s="144"/>
      <c r="O1" s="144"/>
      <c r="P1" s="144"/>
      <c r="Q1" s="144"/>
      <c r="R1" s="144"/>
      <c r="S1" s="145"/>
      <c r="T1" s="145"/>
      <c r="U1" s="145"/>
      <c r="V1" s="145"/>
      <c r="W1" s="145"/>
      <c r="X1" s="145"/>
      <c r="Y1" s="146"/>
    </row>
    <row r="2" spans="1:25" ht="12" customHeight="1" thickBot="1">
      <c r="S2" s="63"/>
    </row>
    <row r="3" spans="1:25" ht="12" customHeight="1">
      <c r="A3" s="148" t="s">
        <v>66</v>
      </c>
      <c r="B3" s="148"/>
      <c r="C3" s="148"/>
      <c r="D3" s="37" t="s">
        <v>29</v>
      </c>
      <c r="E3" s="148"/>
      <c r="F3" s="148"/>
      <c r="G3" s="148"/>
      <c r="H3" s="148"/>
      <c r="I3" s="148"/>
      <c r="J3" s="148"/>
      <c r="K3" s="148"/>
      <c r="L3" s="148"/>
      <c r="M3" s="148"/>
      <c r="N3" s="148"/>
      <c r="O3" s="148"/>
      <c r="P3" s="148"/>
      <c r="Q3" s="148"/>
      <c r="R3" s="148"/>
      <c r="S3" s="149"/>
      <c r="T3" s="148"/>
      <c r="U3" s="148"/>
      <c r="V3" s="148"/>
      <c r="W3" s="148"/>
      <c r="X3" s="148"/>
      <c r="Y3" s="148"/>
    </row>
    <row r="4" spans="1:25" ht="16.5" customHeight="1">
      <c r="A4" s="150"/>
      <c r="B4" s="151">
        <v>1</v>
      </c>
      <c r="C4" s="152">
        <v>2</v>
      </c>
      <c r="D4" s="153">
        <v>3</v>
      </c>
      <c r="E4" s="152">
        <v>4</v>
      </c>
      <c r="F4" s="152">
        <v>5</v>
      </c>
      <c r="G4" s="152">
        <v>6</v>
      </c>
      <c r="H4" s="152">
        <v>7</v>
      </c>
      <c r="I4" s="152">
        <v>8</v>
      </c>
      <c r="J4" s="152">
        <v>9</v>
      </c>
      <c r="K4" s="152">
        <v>10</v>
      </c>
      <c r="L4" s="152">
        <v>11</v>
      </c>
      <c r="M4" s="152">
        <v>12</v>
      </c>
      <c r="N4" s="152">
        <v>13</v>
      </c>
      <c r="O4" s="152">
        <v>14</v>
      </c>
      <c r="P4" s="152">
        <v>15</v>
      </c>
      <c r="Q4" s="152">
        <v>16</v>
      </c>
      <c r="R4" s="152">
        <v>17</v>
      </c>
      <c r="S4" s="152">
        <v>18</v>
      </c>
      <c r="T4" s="154">
        <v>19</v>
      </c>
      <c r="U4" s="154">
        <v>20</v>
      </c>
      <c r="V4" s="154">
        <v>21</v>
      </c>
      <c r="W4" s="154">
        <v>22</v>
      </c>
      <c r="X4" s="154">
        <v>23</v>
      </c>
      <c r="Y4" s="155">
        <v>24</v>
      </c>
    </row>
    <row r="5" spans="1:25" ht="12" customHeight="1">
      <c r="A5" s="156" t="s">
        <v>98</v>
      </c>
      <c r="B5" s="203">
        <v>9.6999999999999993</v>
      </c>
      <c r="C5" s="204">
        <v>9.1</v>
      </c>
      <c r="D5" s="204">
        <v>8.5</v>
      </c>
      <c r="E5" s="204">
        <v>8</v>
      </c>
      <c r="F5" s="204">
        <v>7.5</v>
      </c>
      <c r="G5" s="204">
        <v>7</v>
      </c>
      <c r="H5" s="204">
        <v>6.5</v>
      </c>
      <c r="I5" s="204">
        <v>6.1</v>
      </c>
      <c r="J5" s="204">
        <v>5.8</v>
      </c>
      <c r="K5" s="204">
        <v>5.7</v>
      </c>
      <c r="L5" s="204">
        <v>5.9</v>
      </c>
      <c r="M5" s="204">
        <v>6.3</v>
      </c>
      <c r="N5" s="204">
        <v>6.9</v>
      </c>
      <c r="O5" s="204">
        <v>7.7</v>
      </c>
      <c r="P5" s="204">
        <v>8.6</v>
      </c>
      <c r="Q5" s="204">
        <v>9.5</v>
      </c>
      <c r="R5" s="204">
        <v>10.3</v>
      </c>
      <c r="S5" s="204">
        <v>11</v>
      </c>
      <c r="T5" s="205">
        <v>11.4</v>
      </c>
      <c r="U5" s="205">
        <v>11.6</v>
      </c>
      <c r="V5" s="205">
        <v>11.5</v>
      </c>
      <c r="W5" s="205">
        <v>11.2</v>
      </c>
      <c r="X5" s="205">
        <v>10.7</v>
      </c>
      <c r="Y5" s="206">
        <v>10.199999999999999</v>
      </c>
    </row>
    <row r="6" spans="1:25" ht="12" customHeight="1">
      <c r="A6" s="161" t="s">
        <v>67</v>
      </c>
      <c r="B6" s="162">
        <v>12.6</v>
      </c>
      <c r="C6" s="163">
        <v>11.8</v>
      </c>
      <c r="D6" s="163">
        <v>11</v>
      </c>
      <c r="E6" s="163">
        <v>10.199999999999999</v>
      </c>
      <c r="F6" s="163">
        <v>9.5</v>
      </c>
      <c r="G6" s="163">
        <v>8.8000000000000007</v>
      </c>
      <c r="H6" s="163">
        <v>8.1999999999999993</v>
      </c>
      <c r="I6" s="163">
        <v>7.6</v>
      </c>
      <c r="J6" s="163">
        <v>7.2</v>
      </c>
      <c r="K6" s="163">
        <v>7.1</v>
      </c>
      <c r="L6" s="163">
        <v>7.3</v>
      </c>
      <c r="M6" s="163">
        <v>7.9</v>
      </c>
      <c r="N6" s="163">
        <v>8.8000000000000007</v>
      </c>
      <c r="O6" s="163">
        <v>9.9</v>
      </c>
      <c r="P6" s="163">
        <v>11.2</v>
      </c>
      <c r="Q6" s="163">
        <v>12.6</v>
      </c>
      <c r="R6" s="163">
        <v>13.8</v>
      </c>
      <c r="S6" s="163">
        <v>14.7</v>
      </c>
      <c r="T6" s="164">
        <v>15.3</v>
      </c>
      <c r="U6" s="164">
        <v>15.5</v>
      </c>
      <c r="V6" s="164">
        <v>15.4</v>
      </c>
      <c r="W6" s="164">
        <v>14.9</v>
      </c>
      <c r="X6" s="164">
        <v>14.2</v>
      </c>
      <c r="Y6" s="165">
        <v>13.4</v>
      </c>
    </row>
    <row r="7" spans="1:25" ht="12" customHeight="1">
      <c r="A7" s="161" t="s">
        <v>68</v>
      </c>
      <c r="B7" s="162" t="s">
        <v>99</v>
      </c>
      <c r="C7" s="163" t="s">
        <v>99</v>
      </c>
      <c r="D7" s="163" t="s">
        <v>99</v>
      </c>
      <c r="E7" s="163" t="s">
        <v>99</v>
      </c>
      <c r="F7" s="163" t="s">
        <v>99</v>
      </c>
      <c r="G7" s="163" t="s">
        <v>99</v>
      </c>
      <c r="H7" s="163" t="s">
        <v>99</v>
      </c>
      <c r="I7" s="163" t="s">
        <v>99</v>
      </c>
      <c r="J7" s="163" t="s">
        <v>99</v>
      </c>
      <c r="K7" s="163" t="s">
        <v>99</v>
      </c>
      <c r="L7" s="163" t="s">
        <v>99</v>
      </c>
      <c r="M7" s="163" t="s">
        <v>99</v>
      </c>
      <c r="N7" s="163" t="s">
        <v>99</v>
      </c>
      <c r="O7" s="163" t="s">
        <v>99</v>
      </c>
      <c r="P7" s="163" t="s">
        <v>99</v>
      </c>
      <c r="Q7" s="163" t="s">
        <v>99</v>
      </c>
      <c r="R7" s="163" t="s">
        <v>99</v>
      </c>
      <c r="S7" s="163" t="s">
        <v>99</v>
      </c>
      <c r="T7" s="164" t="s">
        <v>99</v>
      </c>
      <c r="U7" s="164" t="s">
        <v>99</v>
      </c>
      <c r="V7" s="164" t="s">
        <v>99</v>
      </c>
      <c r="W7" s="164" t="s">
        <v>99</v>
      </c>
      <c r="X7" s="164" t="s">
        <v>99</v>
      </c>
      <c r="Y7" s="165" t="s">
        <v>99</v>
      </c>
    </row>
    <row r="8" spans="1:25" ht="12" customHeight="1">
      <c r="A8" s="161" t="s">
        <v>69</v>
      </c>
      <c r="B8" s="162" t="s">
        <v>99</v>
      </c>
      <c r="C8" s="163" t="s">
        <v>99</v>
      </c>
      <c r="D8" s="163" t="s">
        <v>99</v>
      </c>
      <c r="E8" s="163" t="s">
        <v>99</v>
      </c>
      <c r="F8" s="163" t="s">
        <v>99</v>
      </c>
      <c r="G8" s="163" t="s">
        <v>99</v>
      </c>
      <c r="H8" s="163" t="s">
        <v>99</v>
      </c>
      <c r="I8" s="163" t="s">
        <v>99</v>
      </c>
      <c r="J8" s="163" t="s">
        <v>99</v>
      </c>
      <c r="K8" s="163" t="s">
        <v>99</v>
      </c>
      <c r="L8" s="163" t="s">
        <v>99</v>
      </c>
      <c r="M8" s="163" t="s">
        <v>99</v>
      </c>
      <c r="N8" s="163" t="s">
        <v>99</v>
      </c>
      <c r="O8" s="163" t="s">
        <v>99</v>
      </c>
      <c r="P8" s="163" t="s">
        <v>99</v>
      </c>
      <c r="Q8" s="163" t="s">
        <v>99</v>
      </c>
      <c r="R8" s="163" t="s">
        <v>99</v>
      </c>
      <c r="S8" s="163" t="s">
        <v>99</v>
      </c>
      <c r="T8" s="164" t="s">
        <v>99</v>
      </c>
      <c r="U8" s="164" t="s">
        <v>99</v>
      </c>
      <c r="V8" s="164" t="s">
        <v>99</v>
      </c>
      <c r="W8" s="164" t="s">
        <v>99</v>
      </c>
      <c r="X8" s="164" t="s">
        <v>99</v>
      </c>
      <c r="Y8" s="165" t="s">
        <v>99</v>
      </c>
    </row>
    <row r="9" spans="1:25" ht="12" customHeight="1">
      <c r="A9" s="161" t="s">
        <v>70</v>
      </c>
      <c r="B9" s="162" t="s">
        <v>99</v>
      </c>
      <c r="C9" s="163" t="s">
        <v>99</v>
      </c>
      <c r="D9" s="163" t="s">
        <v>99</v>
      </c>
      <c r="E9" s="163" t="s">
        <v>99</v>
      </c>
      <c r="F9" s="163" t="s">
        <v>99</v>
      </c>
      <c r="G9" s="163" t="s">
        <v>99</v>
      </c>
      <c r="H9" s="163" t="s">
        <v>99</v>
      </c>
      <c r="I9" s="163" t="s">
        <v>99</v>
      </c>
      <c r="J9" s="163" t="s">
        <v>99</v>
      </c>
      <c r="K9" s="163" t="s">
        <v>99</v>
      </c>
      <c r="L9" s="163" t="s">
        <v>99</v>
      </c>
      <c r="M9" s="163" t="s">
        <v>99</v>
      </c>
      <c r="N9" s="163" t="s">
        <v>99</v>
      </c>
      <c r="O9" s="163" t="s">
        <v>99</v>
      </c>
      <c r="P9" s="163" t="s">
        <v>99</v>
      </c>
      <c r="Q9" s="163" t="s">
        <v>99</v>
      </c>
      <c r="R9" s="163" t="s">
        <v>99</v>
      </c>
      <c r="S9" s="163" t="s">
        <v>99</v>
      </c>
      <c r="T9" s="164" t="s">
        <v>99</v>
      </c>
      <c r="U9" s="164" t="s">
        <v>99</v>
      </c>
      <c r="V9" s="164" t="s">
        <v>99</v>
      </c>
      <c r="W9" s="164" t="s">
        <v>99</v>
      </c>
      <c r="X9" s="164" t="s">
        <v>99</v>
      </c>
      <c r="Y9" s="165" t="s">
        <v>99</v>
      </c>
    </row>
    <row r="10" spans="1:25" ht="12" customHeight="1">
      <c r="A10" s="161" t="s">
        <v>71</v>
      </c>
      <c r="B10" s="162" t="s">
        <v>99</v>
      </c>
      <c r="C10" s="163" t="s">
        <v>99</v>
      </c>
      <c r="D10" s="163" t="s">
        <v>99</v>
      </c>
      <c r="E10" s="163" t="s">
        <v>99</v>
      </c>
      <c r="F10" s="163" t="s">
        <v>99</v>
      </c>
      <c r="G10" s="163" t="s">
        <v>99</v>
      </c>
      <c r="H10" s="163" t="s">
        <v>99</v>
      </c>
      <c r="I10" s="163" t="s">
        <v>99</v>
      </c>
      <c r="J10" s="163" t="s">
        <v>99</v>
      </c>
      <c r="K10" s="163" t="s">
        <v>99</v>
      </c>
      <c r="L10" s="163" t="s">
        <v>99</v>
      </c>
      <c r="M10" s="163" t="s">
        <v>99</v>
      </c>
      <c r="N10" s="163" t="s">
        <v>99</v>
      </c>
      <c r="O10" s="163" t="s">
        <v>99</v>
      </c>
      <c r="P10" s="163" t="s">
        <v>99</v>
      </c>
      <c r="Q10" s="163" t="s">
        <v>99</v>
      </c>
      <c r="R10" s="163" t="s">
        <v>99</v>
      </c>
      <c r="S10" s="163" t="s">
        <v>99</v>
      </c>
      <c r="T10" s="164" t="s">
        <v>99</v>
      </c>
      <c r="U10" s="164" t="s">
        <v>99</v>
      </c>
      <c r="V10" s="164" t="s">
        <v>99</v>
      </c>
      <c r="W10" s="164" t="s">
        <v>99</v>
      </c>
      <c r="X10" s="164" t="s">
        <v>99</v>
      </c>
      <c r="Y10" s="165" t="s">
        <v>99</v>
      </c>
    </row>
    <row r="11" spans="1:25" ht="12" customHeight="1">
      <c r="A11" s="161" t="s">
        <v>72</v>
      </c>
      <c r="B11" s="162" t="s">
        <v>99</v>
      </c>
      <c r="C11" s="163" t="s">
        <v>99</v>
      </c>
      <c r="D11" s="163" t="s">
        <v>99</v>
      </c>
      <c r="E11" s="163" t="s">
        <v>99</v>
      </c>
      <c r="F11" s="163" t="s">
        <v>99</v>
      </c>
      <c r="G11" s="163" t="s">
        <v>99</v>
      </c>
      <c r="H11" s="163" t="s">
        <v>99</v>
      </c>
      <c r="I11" s="163" t="s">
        <v>99</v>
      </c>
      <c r="J11" s="163" t="s">
        <v>99</v>
      </c>
      <c r="K11" s="163" t="s">
        <v>99</v>
      </c>
      <c r="L11" s="163" t="s">
        <v>99</v>
      </c>
      <c r="M11" s="163" t="s">
        <v>99</v>
      </c>
      <c r="N11" s="163" t="s">
        <v>99</v>
      </c>
      <c r="O11" s="163" t="s">
        <v>99</v>
      </c>
      <c r="P11" s="163" t="s">
        <v>99</v>
      </c>
      <c r="Q11" s="163" t="s">
        <v>99</v>
      </c>
      <c r="R11" s="163" t="s">
        <v>99</v>
      </c>
      <c r="S11" s="163" t="s">
        <v>99</v>
      </c>
      <c r="T11" s="164" t="s">
        <v>99</v>
      </c>
      <c r="U11" s="164" t="s">
        <v>99</v>
      </c>
      <c r="V11" s="164" t="s">
        <v>99</v>
      </c>
      <c r="W11" s="164" t="s">
        <v>99</v>
      </c>
      <c r="X11" s="164" t="s">
        <v>99</v>
      </c>
      <c r="Y11" s="165" t="s">
        <v>99</v>
      </c>
    </row>
    <row r="12" spans="1:25" ht="12" customHeight="1">
      <c r="A12" s="161" t="s">
        <v>73</v>
      </c>
      <c r="B12" s="162" t="s">
        <v>99</v>
      </c>
      <c r="C12" s="163" t="s">
        <v>99</v>
      </c>
      <c r="D12" s="163" t="s">
        <v>99</v>
      </c>
      <c r="E12" s="163" t="s">
        <v>99</v>
      </c>
      <c r="F12" s="163" t="s">
        <v>99</v>
      </c>
      <c r="G12" s="163" t="s">
        <v>99</v>
      </c>
      <c r="H12" s="163" t="s">
        <v>99</v>
      </c>
      <c r="I12" s="163" t="s">
        <v>99</v>
      </c>
      <c r="J12" s="163" t="s">
        <v>99</v>
      </c>
      <c r="K12" s="163" t="s">
        <v>99</v>
      </c>
      <c r="L12" s="163" t="s">
        <v>99</v>
      </c>
      <c r="M12" s="163" t="s">
        <v>99</v>
      </c>
      <c r="N12" s="163" t="s">
        <v>99</v>
      </c>
      <c r="O12" s="163" t="s">
        <v>99</v>
      </c>
      <c r="P12" s="163" t="s">
        <v>99</v>
      </c>
      <c r="Q12" s="163" t="s">
        <v>99</v>
      </c>
      <c r="R12" s="163" t="s">
        <v>99</v>
      </c>
      <c r="S12" s="163" t="s">
        <v>99</v>
      </c>
      <c r="T12" s="164" t="s">
        <v>99</v>
      </c>
      <c r="U12" s="164" t="s">
        <v>99</v>
      </c>
      <c r="V12" s="164" t="s">
        <v>99</v>
      </c>
      <c r="W12" s="164" t="s">
        <v>99</v>
      </c>
      <c r="X12" s="164" t="s">
        <v>99</v>
      </c>
      <c r="Y12" s="165" t="s">
        <v>99</v>
      </c>
    </row>
    <row r="13" spans="1:25" ht="12" customHeight="1">
      <c r="A13" s="161" t="s">
        <v>74</v>
      </c>
      <c r="B13" s="162" t="s">
        <v>99</v>
      </c>
      <c r="C13" s="163" t="s">
        <v>99</v>
      </c>
      <c r="D13" s="163" t="s">
        <v>99</v>
      </c>
      <c r="E13" s="163" t="s">
        <v>99</v>
      </c>
      <c r="F13" s="163" t="s">
        <v>99</v>
      </c>
      <c r="G13" s="163" t="s">
        <v>99</v>
      </c>
      <c r="H13" s="163" t="s">
        <v>99</v>
      </c>
      <c r="I13" s="163" t="s">
        <v>99</v>
      </c>
      <c r="J13" s="163" t="s">
        <v>99</v>
      </c>
      <c r="K13" s="163" t="s">
        <v>99</v>
      </c>
      <c r="L13" s="163" t="s">
        <v>99</v>
      </c>
      <c r="M13" s="163" t="s">
        <v>99</v>
      </c>
      <c r="N13" s="163" t="s">
        <v>99</v>
      </c>
      <c r="O13" s="163" t="s">
        <v>99</v>
      </c>
      <c r="P13" s="163" t="s">
        <v>99</v>
      </c>
      <c r="Q13" s="163" t="s">
        <v>99</v>
      </c>
      <c r="R13" s="163" t="s">
        <v>99</v>
      </c>
      <c r="S13" s="163" t="s">
        <v>99</v>
      </c>
      <c r="T13" s="164" t="s">
        <v>99</v>
      </c>
      <c r="U13" s="164" t="s">
        <v>99</v>
      </c>
      <c r="V13" s="164" t="s">
        <v>99</v>
      </c>
      <c r="W13" s="164" t="s">
        <v>99</v>
      </c>
      <c r="X13" s="164" t="s">
        <v>99</v>
      </c>
      <c r="Y13" s="165" t="s">
        <v>99</v>
      </c>
    </row>
    <row r="14" spans="1:25" ht="12" customHeight="1">
      <c r="A14" s="166" t="s">
        <v>75</v>
      </c>
      <c r="B14" s="167" t="s">
        <v>99</v>
      </c>
      <c r="C14" s="168" t="s">
        <v>99</v>
      </c>
      <c r="D14" s="168" t="s">
        <v>99</v>
      </c>
      <c r="E14" s="168" t="s">
        <v>99</v>
      </c>
      <c r="F14" s="168" t="s">
        <v>99</v>
      </c>
      <c r="G14" s="168" t="s">
        <v>99</v>
      </c>
      <c r="H14" s="168" t="s">
        <v>99</v>
      </c>
      <c r="I14" s="168" t="s">
        <v>99</v>
      </c>
      <c r="J14" s="168" t="s">
        <v>99</v>
      </c>
      <c r="K14" s="168" t="s">
        <v>99</v>
      </c>
      <c r="L14" s="168" t="s">
        <v>99</v>
      </c>
      <c r="M14" s="168" t="s">
        <v>99</v>
      </c>
      <c r="N14" s="168" t="s">
        <v>99</v>
      </c>
      <c r="O14" s="168" t="s">
        <v>99</v>
      </c>
      <c r="P14" s="168" t="s">
        <v>99</v>
      </c>
      <c r="Q14" s="168" t="s">
        <v>99</v>
      </c>
      <c r="R14" s="168" t="s">
        <v>99</v>
      </c>
      <c r="S14" s="168" t="s">
        <v>99</v>
      </c>
      <c r="T14" s="169" t="s">
        <v>99</v>
      </c>
      <c r="U14" s="169" t="s">
        <v>99</v>
      </c>
      <c r="V14" s="169" t="s">
        <v>99</v>
      </c>
      <c r="W14" s="169" t="s">
        <v>99</v>
      </c>
      <c r="X14" s="169" t="s">
        <v>99</v>
      </c>
      <c r="Y14" s="170" t="s">
        <v>99</v>
      </c>
    </row>
    <row r="15" spans="1:25" ht="12" customHeight="1" thickBot="1"/>
    <row r="16" spans="1:25" ht="12" customHeight="1">
      <c r="A16" s="148" t="s">
        <v>66</v>
      </c>
      <c r="B16" s="148"/>
      <c r="C16" s="148"/>
      <c r="D16" s="38" t="s">
        <v>34</v>
      </c>
      <c r="E16" s="148"/>
      <c r="F16" s="148"/>
      <c r="G16" s="148"/>
      <c r="H16" s="148"/>
      <c r="I16" s="148"/>
      <c r="J16" s="148"/>
      <c r="K16" s="148"/>
      <c r="L16" s="148"/>
      <c r="M16" s="148"/>
      <c r="N16" s="148"/>
      <c r="O16" s="148"/>
      <c r="P16" s="148"/>
      <c r="Q16" s="148"/>
      <c r="R16" s="148"/>
      <c r="S16" s="149"/>
      <c r="T16" s="148"/>
      <c r="U16" s="148"/>
      <c r="V16" s="148"/>
      <c r="W16" s="148"/>
      <c r="X16" s="148"/>
      <c r="Y16" s="148"/>
    </row>
    <row r="17" spans="1:25" ht="16.5" customHeight="1">
      <c r="A17" s="150"/>
      <c r="B17" s="151">
        <v>1</v>
      </c>
      <c r="C17" s="152">
        <v>2</v>
      </c>
      <c r="D17" s="153">
        <v>3</v>
      </c>
      <c r="E17" s="152">
        <v>4</v>
      </c>
      <c r="F17" s="152">
        <v>5</v>
      </c>
      <c r="G17" s="152">
        <v>6</v>
      </c>
      <c r="H17" s="152">
        <v>7</v>
      </c>
      <c r="I17" s="152">
        <v>8</v>
      </c>
      <c r="J17" s="152">
        <v>9</v>
      </c>
      <c r="K17" s="152">
        <v>10</v>
      </c>
      <c r="L17" s="152">
        <v>11</v>
      </c>
      <c r="M17" s="152">
        <v>12</v>
      </c>
      <c r="N17" s="152">
        <v>13</v>
      </c>
      <c r="O17" s="152">
        <v>14</v>
      </c>
      <c r="P17" s="152">
        <v>15</v>
      </c>
      <c r="Q17" s="152">
        <v>16</v>
      </c>
      <c r="R17" s="152">
        <v>17</v>
      </c>
      <c r="S17" s="152">
        <v>18</v>
      </c>
      <c r="T17" s="154">
        <v>19</v>
      </c>
      <c r="U17" s="154">
        <v>20</v>
      </c>
      <c r="V17" s="154">
        <v>21</v>
      </c>
      <c r="W17" s="154">
        <v>22</v>
      </c>
      <c r="X17" s="154">
        <v>23</v>
      </c>
      <c r="Y17" s="155">
        <v>24</v>
      </c>
    </row>
    <row r="18" spans="1:25" ht="12" customHeight="1">
      <c r="A18" s="156" t="s">
        <v>105</v>
      </c>
      <c r="B18" s="203">
        <v>8</v>
      </c>
      <c r="C18" s="204">
        <v>7.5</v>
      </c>
      <c r="D18" s="204">
        <v>7.1</v>
      </c>
      <c r="E18" s="204">
        <v>6.6</v>
      </c>
      <c r="F18" s="204">
        <v>6.2</v>
      </c>
      <c r="G18" s="204">
        <v>5.7</v>
      </c>
      <c r="H18" s="204">
        <v>5.3</v>
      </c>
      <c r="I18" s="204">
        <v>5</v>
      </c>
      <c r="J18" s="204">
        <v>4.7</v>
      </c>
      <c r="K18" s="204">
        <v>4.5999999999999996</v>
      </c>
      <c r="L18" s="204">
        <v>4.7</v>
      </c>
      <c r="M18" s="204">
        <v>5.0999999999999996</v>
      </c>
      <c r="N18" s="204">
        <v>5.6</v>
      </c>
      <c r="O18" s="204">
        <v>6.2</v>
      </c>
      <c r="P18" s="204">
        <v>6.9</v>
      </c>
      <c r="Q18" s="204">
        <v>7.6</v>
      </c>
      <c r="R18" s="204">
        <v>8.3000000000000007</v>
      </c>
      <c r="S18" s="204">
        <v>8.8000000000000007</v>
      </c>
      <c r="T18" s="205">
        <v>9.1999999999999993</v>
      </c>
      <c r="U18" s="205">
        <v>9.4</v>
      </c>
      <c r="V18" s="205">
        <v>9.4</v>
      </c>
      <c r="W18" s="205">
        <v>9.1999999999999993</v>
      </c>
      <c r="X18" s="205">
        <v>8.9</v>
      </c>
      <c r="Y18" s="206">
        <v>8.5</v>
      </c>
    </row>
    <row r="19" spans="1:25" ht="12" customHeight="1">
      <c r="A19" s="161" t="s">
        <v>67</v>
      </c>
      <c r="B19" s="162">
        <v>14.3</v>
      </c>
      <c r="C19" s="163">
        <v>13.3</v>
      </c>
      <c r="D19" s="163">
        <v>12.3</v>
      </c>
      <c r="E19" s="163">
        <v>11.3</v>
      </c>
      <c r="F19" s="163">
        <v>10.4</v>
      </c>
      <c r="G19" s="163">
        <v>9.6</v>
      </c>
      <c r="H19" s="163">
        <v>8.8000000000000007</v>
      </c>
      <c r="I19" s="163">
        <v>8.1999999999999993</v>
      </c>
      <c r="J19" s="163">
        <v>7.7</v>
      </c>
      <c r="K19" s="163">
        <v>7.6</v>
      </c>
      <c r="L19" s="163">
        <v>8</v>
      </c>
      <c r="M19" s="163">
        <v>8.6999999999999993</v>
      </c>
      <c r="N19" s="163">
        <v>9.9</v>
      </c>
      <c r="O19" s="163">
        <v>11.3</v>
      </c>
      <c r="P19" s="163">
        <v>12.9</v>
      </c>
      <c r="Q19" s="163">
        <v>14.5</v>
      </c>
      <c r="R19" s="163">
        <v>15.9</v>
      </c>
      <c r="S19" s="163">
        <v>17</v>
      </c>
      <c r="T19" s="164">
        <v>17.7</v>
      </c>
      <c r="U19" s="164">
        <v>18</v>
      </c>
      <c r="V19" s="164">
        <v>17.8</v>
      </c>
      <c r="W19" s="164">
        <v>17.2</v>
      </c>
      <c r="X19" s="164">
        <v>16.3</v>
      </c>
      <c r="Y19" s="165">
        <v>15.4</v>
      </c>
    </row>
    <row r="20" spans="1:25" ht="12" customHeight="1">
      <c r="A20" s="161" t="s">
        <v>68</v>
      </c>
      <c r="B20" s="162" t="s">
        <v>99</v>
      </c>
      <c r="C20" s="163" t="s">
        <v>99</v>
      </c>
      <c r="D20" s="163" t="s">
        <v>99</v>
      </c>
      <c r="E20" s="163" t="s">
        <v>99</v>
      </c>
      <c r="F20" s="163" t="s">
        <v>99</v>
      </c>
      <c r="G20" s="163" t="s">
        <v>99</v>
      </c>
      <c r="H20" s="163" t="s">
        <v>99</v>
      </c>
      <c r="I20" s="163" t="s">
        <v>99</v>
      </c>
      <c r="J20" s="163" t="s">
        <v>99</v>
      </c>
      <c r="K20" s="163" t="s">
        <v>99</v>
      </c>
      <c r="L20" s="163" t="s">
        <v>99</v>
      </c>
      <c r="M20" s="163" t="s">
        <v>99</v>
      </c>
      <c r="N20" s="163" t="s">
        <v>99</v>
      </c>
      <c r="O20" s="163" t="s">
        <v>99</v>
      </c>
      <c r="P20" s="163" t="s">
        <v>99</v>
      </c>
      <c r="Q20" s="163" t="s">
        <v>99</v>
      </c>
      <c r="R20" s="163" t="s">
        <v>99</v>
      </c>
      <c r="S20" s="163" t="s">
        <v>99</v>
      </c>
      <c r="T20" s="164" t="s">
        <v>99</v>
      </c>
      <c r="U20" s="164" t="s">
        <v>99</v>
      </c>
      <c r="V20" s="164" t="s">
        <v>99</v>
      </c>
      <c r="W20" s="164" t="s">
        <v>99</v>
      </c>
      <c r="X20" s="164" t="s">
        <v>99</v>
      </c>
      <c r="Y20" s="165" t="s">
        <v>99</v>
      </c>
    </row>
    <row r="21" spans="1:25" ht="12" customHeight="1">
      <c r="A21" s="161" t="s">
        <v>69</v>
      </c>
      <c r="B21" s="162" t="s">
        <v>99</v>
      </c>
      <c r="C21" s="163" t="s">
        <v>99</v>
      </c>
      <c r="D21" s="163" t="s">
        <v>99</v>
      </c>
      <c r="E21" s="163" t="s">
        <v>99</v>
      </c>
      <c r="F21" s="163" t="s">
        <v>99</v>
      </c>
      <c r="G21" s="163" t="s">
        <v>99</v>
      </c>
      <c r="H21" s="163" t="s">
        <v>99</v>
      </c>
      <c r="I21" s="163" t="s">
        <v>99</v>
      </c>
      <c r="J21" s="163" t="s">
        <v>99</v>
      </c>
      <c r="K21" s="163" t="s">
        <v>99</v>
      </c>
      <c r="L21" s="163" t="s">
        <v>99</v>
      </c>
      <c r="M21" s="163" t="s">
        <v>99</v>
      </c>
      <c r="N21" s="163" t="s">
        <v>99</v>
      </c>
      <c r="O21" s="163" t="s">
        <v>99</v>
      </c>
      <c r="P21" s="163" t="s">
        <v>99</v>
      </c>
      <c r="Q21" s="163" t="s">
        <v>99</v>
      </c>
      <c r="R21" s="163" t="s">
        <v>99</v>
      </c>
      <c r="S21" s="163" t="s">
        <v>99</v>
      </c>
      <c r="T21" s="164" t="s">
        <v>99</v>
      </c>
      <c r="U21" s="164" t="s">
        <v>99</v>
      </c>
      <c r="V21" s="164" t="s">
        <v>99</v>
      </c>
      <c r="W21" s="164" t="s">
        <v>99</v>
      </c>
      <c r="X21" s="164" t="s">
        <v>99</v>
      </c>
      <c r="Y21" s="165" t="s">
        <v>99</v>
      </c>
    </row>
    <row r="22" spans="1:25" ht="12" customHeight="1">
      <c r="A22" s="161" t="s">
        <v>70</v>
      </c>
      <c r="B22" s="162" t="s">
        <v>99</v>
      </c>
      <c r="C22" s="163" t="s">
        <v>99</v>
      </c>
      <c r="D22" s="163" t="s">
        <v>99</v>
      </c>
      <c r="E22" s="163" t="s">
        <v>99</v>
      </c>
      <c r="F22" s="163" t="s">
        <v>99</v>
      </c>
      <c r="G22" s="163" t="s">
        <v>99</v>
      </c>
      <c r="H22" s="163" t="s">
        <v>99</v>
      </c>
      <c r="I22" s="163" t="s">
        <v>99</v>
      </c>
      <c r="J22" s="163" t="s">
        <v>99</v>
      </c>
      <c r="K22" s="163" t="s">
        <v>99</v>
      </c>
      <c r="L22" s="163" t="s">
        <v>99</v>
      </c>
      <c r="M22" s="163" t="s">
        <v>99</v>
      </c>
      <c r="N22" s="163" t="s">
        <v>99</v>
      </c>
      <c r="O22" s="163" t="s">
        <v>99</v>
      </c>
      <c r="P22" s="163" t="s">
        <v>99</v>
      </c>
      <c r="Q22" s="163" t="s">
        <v>99</v>
      </c>
      <c r="R22" s="163" t="s">
        <v>99</v>
      </c>
      <c r="S22" s="163" t="s">
        <v>99</v>
      </c>
      <c r="T22" s="164" t="s">
        <v>99</v>
      </c>
      <c r="U22" s="164" t="s">
        <v>99</v>
      </c>
      <c r="V22" s="164" t="s">
        <v>99</v>
      </c>
      <c r="W22" s="164" t="s">
        <v>99</v>
      </c>
      <c r="X22" s="164" t="s">
        <v>99</v>
      </c>
      <c r="Y22" s="165" t="s">
        <v>99</v>
      </c>
    </row>
    <row r="23" spans="1:25" ht="12" customHeight="1">
      <c r="A23" s="161" t="s">
        <v>71</v>
      </c>
      <c r="B23" s="162" t="s">
        <v>99</v>
      </c>
      <c r="C23" s="163" t="s">
        <v>99</v>
      </c>
      <c r="D23" s="163" t="s">
        <v>99</v>
      </c>
      <c r="E23" s="163" t="s">
        <v>99</v>
      </c>
      <c r="F23" s="163" t="s">
        <v>99</v>
      </c>
      <c r="G23" s="163" t="s">
        <v>99</v>
      </c>
      <c r="H23" s="163" t="s">
        <v>99</v>
      </c>
      <c r="I23" s="163" t="s">
        <v>99</v>
      </c>
      <c r="J23" s="163" t="s">
        <v>99</v>
      </c>
      <c r="K23" s="163" t="s">
        <v>99</v>
      </c>
      <c r="L23" s="163" t="s">
        <v>99</v>
      </c>
      <c r="M23" s="163" t="s">
        <v>99</v>
      </c>
      <c r="N23" s="163" t="s">
        <v>99</v>
      </c>
      <c r="O23" s="163" t="s">
        <v>99</v>
      </c>
      <c r="P23" s="163" t="s">
        <v>99</v>
      </c>
      <c r="Q23" s="163" t="s">
        <v>99</v>
      </c>
      <c r="R23" s="163" t="s">
        <v>99</v>
      </c>
      <c r="S23" s="163" t="s">
        <v>99</v>
      </c>
      <c r="T23" s="164" t="s">
        <v>99</v>
      </c>
      <c r="U23" s="164" t="s">
        <v>99</v>
      </c>
      <c r="V23" s="164" t="s">
        <v>99</v>
      </c>
      <c r="W23" s="164" t="s">
        <v>99</v>
      </c>
      <c r="X23" s="164" t="s">
        <v>99</v>
      </c>
      <c r="Y23" s="165" t="s">
        <v>99</v>
      </c>
    </row>
    <row r="24" spans="1:25" ht="12" customHeight="1">
      <c r="A24" s="161" t="s">
        <v>72</v>
      </c>
      <c r="B24" s="162" t="s">
        <v>99</v>
      </c>
      <c r="C24" s="163" t="s">
        <v>99</v>
      </c>
      <c r="D24" s="163" t="s">
        <v>99</v>
      </c>
      <c r="E24" s="163" t="s">
        <v>99</v>
      </c>
      <c r="F24" s="163" t="s">
        <v>99</v>
      </c>
      <c r="G24" s="163" t="s">
        <v>99</v>
      </c>
      <c r="H24" s="163" t="s">
        <v>99</v>
      </c>
      <c r="I24" s="163" t="s">
        <v>99</v>
      </c>
      <c r="J24" s="163" t="s">
        <v>99</v>
      </c>
      <c r="K24" s="163" t="s">
        <v>99</v>
      </c>
      <c r="L24" s="163" t="s">
        <v>99</v>
      </c>
      <c r="M24" s="163" t="s">
        <v>99</v>
      </c>
      <c r="N24" s="163" t="s">
        <v>99</v>
      </c>
      <c r="O24" s="163" t="s">
        <v>99</v>
      </c>
      <c r="P24" s="163" t="s">
        <v>99</v>
      </c>
      <c r="Q24" s="163" t="s">
        <v>99</v>
      </c>
      <c r="R24" s="163" t="s">
        <v>99</v>
      </c>
      <c r="S24" s="163" t="s">
        <v>99</v>
      </c>
      <c r="T24" s="164" t="s">
        <v>99</v>
      </c>
      <c r="U24" s="164" t="s">
        <v>99</v>
      </c>
      <c r="V24" s="164" t="s">
        <v>99</v>
      </c>
      <c r="W24" s="164" t="s">
        <v>99</v>
      </c>
      <c r="X24" s="164" t="s">
        <v>99</v>
      </c>
      <c r="Y24" s="165" t="s">
        <v>99</v>
      </c>
    </row>
    <row r="25" spans="1:25" ht="12" customHeight="1">
      <c r="A25" s="161" t="s">
        <v>73</v>
      </c>
      <c r="B25" s="162" t="s">
        <v>99</v>
      </c>
      <c r="C25" s="163" t="s">
        <v>99</v>
      </c>
      <c r="D25" s="163" t="s">
        <v>99</v>
      </c>
      <c r="E25" s="163" t="s">
        <v>99</v>
      </c>
      <c r="F25" s="163" t="s">
        <v>99</v>
      </c>
      <c r="G25" s="163" t="s">
        <v>99</v>
      </c>
      <c r="H25" s="163" t="s">
        <v>99</v>
      </c>
      <c r="I25" s="163" t="s">
        <v>99</v>
      </c>
      <c r="J25" s="163" t="s">
        <v>99</v>
      </c>
      <c r="K25" s="163" t="s">
        <v>99</v>
      </c>
      <c r="L25" s="163" t="s">
        <v>99</v>
      </c>
      <c r="M25" s="163" t="s">
        <v>99</v>
      </c>
      <c r="N25" s="163" t="s">
        <v>99</v>
      </c>
      <c r="O25" s="163" t="s">
        <v>99</v>
      </c>
      <c r="P25" s="163" t="s">
        <v>99</v>
      </c>
      <c r="Q25" s="163" t="s">
        <v>99</v>
      </c>
      <c r="R25" s="163" t="s">
        <v>99</v>
      </c>
      <c r="S25" s="163" t="s">
        <v>99</v>
      </c>
      <c r="T25" s="164" t="s">
        <v>99</v>
      </c>
      <c r="U25" s="164" t="s">
        <v>99</v>
      </c>
      <c r="V25" s="164" t="s">
        <v>99</v>
      </c>
      <c r="W25" s="164" t="s">
        <v>99</v>
      </c>
      <c r="X25" s="164" t="s">
        <v>99</v>
      </c>
      <c r="Y25" s="165" t="s">
        <v>99</v>
      </c>
    </row>
    <row r="26" spans="1:25" ht="12" customHeight="1">
      <c r="A26" s="161" t="s">
        <v>74</v>
      </c>
      <c r="B26" s="162" t="s">
        <v>99</v>
      </c>
      <c r="C26" s="163" t="s">
        <v>99</v>
      </c>
      <c r="D26" s="163" t="s">
        <v>99</v>
      </c>
      <c r="E26" s="163" t="s">
        <v>99</v>
      </c>
      <c r="F26" s="163" t="s">
        <v>99</v>
      </c>
      <c r="G26" s="163" t="s">
        <v>99</v>
      </c>
      <c r="H26" s="163" t="s">
        <v>99</v>
      </c>
      <c r="I26" s="163" t="s">
        <v>99</v>
      </c>
      <c r="J26" s="163" t="s">
        <v>99</v>
      </c>
      <c r="K26" s="163" t="s">
        <v>99</v>
      </c>
      <c r="L26" s="163" t="s">
        <v>99</v>
      </c>
      <c r="M26" s="163" t="s">
        <v>99</v>
      </c>
      <c r="N26" s="163" t="s">
        <v>99</v>
      </c>
      <c r="O26" s="163" t="s">
        <v>99</v>
      </c>
      <c r="P26" s="163" t="s">
        <v>99</v>
      </c>
      <c r="Q26" s="163" t="s">
        <v>99</v>
      </c>
      <c r="R26" s="163" t="s">
        <v>99</v>
      </c>
      <c r="S26" s="163" t="s">
        <v>99</v>
      </c>
      <c r="T26" s="164" t="s">
        <v>99</v>
      </c>
      <c r="U26" s="164" t="s">
        <v>99</v>
      </c>
      <c r="V26" s="164" t="s">
        <v>99</v>
      </c>
      <c r="W26" s="164" t="s">
        <v>99</v>
      </c>
      <c r="X26" s="164" t="s">
        <v>99</v>
      </c>
      <c r="Y26" s="165" t="s">
        <v>99</v>
      </c>
    </row>
    <row r="27" spans="1:25" ht="12" customHeight="1">
      <c r="A27" s="166" t="s">
        <v>75</v>
      </c>
      <c r="B27" s="167" t="s">
        <v>99</v>
      </c>
      <c r="C27" s="168" t="s">
        <v>99</v>
      </c>
      <c r="D27" s="168" t="s">
        <v>99</v>
      </c>
      <c r="E27" s="168" t="s">
        <v>99</v>
      </c>
      <c r="F27" s="168" t="s">
        <v>99</v>
      </c>
      <c r="G27" s="168" t="s">
        <v>99</v>
      </c>
      <c r="H27" s="168" t="s">
        <v>99</v>
      </c>
      <c r="I27" s="168" t="s">
        <v>99</v>
      </c>
      <c r="J27" s="168" t="s">
        <v>99</v>
      </c>
      <c r="K27" s="168" t="s">
        <v>99</v>
      </c>
      <c r="L27" s="168" t="s">
        <v>99</v>
      </c>
      <c r="M27" s="168" t="s">
        <v>99</v>
      </c>
      <c r="N27" s="168" t="s">
        <v>99</v>
      </c>
      <c r="O27" s="168" t="s">
        <v>99</v>
      </c>
      <c r="P27" s="168" t="s">
        <v>99</v>
      </c>
      <c r="Q27" s="168" t="s">
        <v>99</v>
      </c>
      <c r="R27" s="168" t="s">
        <v>99</v>
      </c>
      <c r="S27" s="168" t="s">
        <v>99</v>
      </c>
      <c r="T27" s="169" t="s">
        <v>99</v>
      </c>
      <c r="U27" s="169" t="s">
        <v>99</v>
      </c>
      <c r="V27" s="169" t="s">
        <v>99</v>
      </c>
      <c r="W27" s="169" t="s">
        <v>99</v>
      </c>
      <c r="X27" s="169" t="s">
        <v>99</v>
      </c>
      <c r="Y27" s="170" t="s">
        <v>99</v>
      </c>
    </row>
    <row r="28" spans="1:25" ht="12" customHeight="1" thickBot="1"/>
    <row r="29" spans="1:25" ht="12" customHeight="1">
      <c r="A29" s="148" t="s">
        <v>66</v>
      </c>
      <c r="B29" s="148"/>
      <c r="C29" s="148"/>
      <c r="D29" s="39" t="s">
        <v>19</v>
      </c>
      <c r="E29" s="148"/>
      <c r="F29" s="148"/>
      <c r="G29" s="148"/>
      <c r="H29" s="148"/>
      <c r="I29" s="148"/>
      <c r="J29" s="148"/>
      <c r="K29" s="148"/>
      <c r="L29" s="148"/>
      <c r="M29" s="148"/>
      <c r="N29" s="148"/>
      <c r="O29" s="148"/>
      <c r="P29" s="148"/>
      <c r="Q29" s="148"/>
      <c r="R29" s="148"/>
      <c r="S29" s="149"/>
      <c r="T29" s="148"/>
      <c r="U29" s="148"/>
      <c r="V29" s="148"/>
      <c r="W29" s="148"/>
      <c r="X29" s="148"/>
      <c r="Y29" s="148"/>
    </row>
    <row r="30" spans="1:25" ht="16.5" customHeight="1">
      <c r="A30" s="150"/>
      <c r="B30" s="151">
        <v>1</v>
      </c>
      <c r="C30" s="152">
        <v>2</v>
      </c>
      <c r="D30" s="153">
        <v>3</v>
      </c>
      <c r="E30" s="152">
        <v>4</v>
      </c>
      <c r="F30" s="152">
        <v>5</v>
      </c>
      <c r="G30" s="152">
        <v>6</v>
      </c>
      <c r="H30" s="152">
        <v>7</v>
      </c>
      <c r="I30" s="152">
        <v>8</v>
      </c>
      <c r="J30" s="152">
        <v>9</v>
      </c>
      <c r="K30" s="152">
        <v>10</v>
      </c>
      <c r="L30" s="152">
        <v>11</v>
      </c>
      <c r="M30" s="152">
        <v>12</v>
      </c>
      <c r="N30" s="152">
        <v>13</v>
      </c>
      <c r="O30" s="152">
        <v>14</v>
      </c>
      <c r="P30" s="152">
        <v>15</v>
      </c>
      <c r="Q30" s="152">
        <v>16</v>
      </c>
      <c r="R30" s="152">
        <v>17</v>
      </c>
      <c r="S30" s="152">
        <v>18</v>
      </c>
      <c r="T30" s="154">
        <v>19</v>
      </c>
      <c r="U30" s="154">
        <v>20</v>
      </c>
      <c r="V30" s="154">
        <v>21</v>
      </c>
      <c r="W30" s="154">
        <v>22</v>
      </c>
      <c r="X30" s="154">
        <v>23</v>
      </c>
      <c r="Y30" s="155">
        <v>24</v>
      </c>
    </row>
    <row r="31" spans="1:25" ht="12" customHeight="1">
      <c r="A31" s="156" t="s">
        <v>105</v>
      </c>
      <c r="B31" s="203">
        <v>5</v>
      </c>
      <c r="C31" s="204">
        <v>4.5999999999999996</v>
      </c>
      <c r="D31" s="204">
        <v>4.3</v>
      </c>
      <c r="E31" s="204">
        <v>3.9</v>
      </c>
      <c r="F31" s="204">
        <v>3.5</v>
      </c>
      <c r="G31" s="204">
        <v>3.2</v>
      </c>
      <c r="H31" s="204">
        <v>2.8</v>
      </c>
      <c r="I31" s="204">
        <v>2.5</v>
      </c>
      <c r="J31" s="204">
        <v>2.2000000000000002</v>
      </c>
      <c r="K31" s="204">
        <v>2.1</v>
      </c>
      <c r="L31" s="204">
        <v>2.2000000000000002</v>
      </c>
      <c r="M31" s="204">
        <v>2.4</v>
      </c>
      <c r="N31" s="204">
        <v>2.8</v>
      </c>
      <c r="O31" s="204">
        <v>3.3</v>
      </c>
      <c r="P31" s="204">
        <v>4</v>
      </c>
      <c r="Q31" s="204">
        <v>4.5999999999999996</v>
      </c>
      <c r="R31" s="204">
        <v>5.2</v>
      </c>
      <c r="S31" s="204">
        <v>5.6</v>
      </c>
      <c r="T31" s="205">
        <v>6</v>
      </c>
      <c r="U31" s="205">
        <v>6.1</v>
      </c>
      <c r="V31" s="205">
        <v>6.1</v>
      </c>
      <c r="W31" s="205">
        <v>6</v>
      </c>
      <c r="X31" s="205">
        <v>5.7</v>
      </c>
      <c r="Y31" s="206">
        <v>5.4</v>
      </c>
    </row>
    <row r="32" spans="1:25" ht="12" customHeight="1">
      <c r="A32" s="161" t="s">
        <v>67</v>
      </c>
      <c r="B32" s="162">
        <v>10.199999999999999</v>
      </c>
      <c r="C32" s="163">
        <v>9.4</v>
      </c>
      <c r="D32" s="163">
        <v>8.5</v>
      </c>
      <c r="E32" s="163">
        <v>7.8</v>
      </c>
      <c r="F32" s="163">
        <v>7</v>
      </c>
      <c r="G32" s="163">
        <v>6.3</v>
      </c>
      <c r="H32" s="163">
        <v>5.7</v>
      </c>
      <c r="I32" s="163">
        <v>5.0999999999999996</v>
      </c>
      <c r="J32" s="163">
        <v>4.5999999999999996</v>
      </c>
      <c r="K32" s="163">
        <v>4.5</v>
      </c>
      <c r="L32" s="163">
        <v>4.7</v>
      </c>
      <c r="M32" s="163">
        <v>5.4</v>
      </c>
      <c r="N32" s="163">
        <v>6.4</v>
      </c>
      <c r="O32" s="163">
        <v>7.7</v>
      </c>
      <c r="P32" s="163">
        <v>9.1</v>
      </c>
      <c r="Q32" s="163">
        <v>10.6</v>
      </c>
      <c r="R32" s="163">
        <v>11.9</v>
      </c>
      <c r="S32" s="163">
        <v>12.8</v>
      </c>
      <c r="T32" s="164">
        <v>13.3</v>
      </c>
      <c r="U32" s="164">
        <v>13.4</v>
      </c>
      <c r="V32" s="164">
        <v>13.1</v>
      </c>
      <c r="W32" s="164">
        <v>12.6</v>
      </c>
      <c r="X32" s="164">
        <v>11.8</v>
      </c>
      <c r="Y32" s="165">
        <v>11</v>
      </c>
    </row>
    <row r="33" spans="1:25" ht="12" customHeight="1">
      <c r="A33" s="161" t="s">
        <v>68</v>
      </c>
      <c r="B33" s="162" t="s">
        <v>99</v>
      </c>
      <c r="C33" s="163" t="s">
        <v>99</v>
      </c>
      <c r="D33" s="163" t="s">
        <v>99</v>
      </c>
      <c r="E33" s="163" t="s">
        <v>99</v>
      </c>
      <c r="F33" s="163" t="s">
        <v>99</v>
      </c>
      <c r="G33" s="163" t="s">
        <v>99</v>
      </c>
      <c r="H33" s="163" t="s">
        <v>99</v>
      </c>
      <c r="I33" s="163" t="s">
        <v>99</v>
      </c>
      <c r="J33" s="163" t="s">
        <v>99</v>
      </c>
      <c r="K33" s="163" t="s">
        <v>99</v>
      </c>
      <c r="L33" s="163" t="s">
        <v>99</v>
      </c>
      <c r="M33" s="163" t="s">
        <v>99</v>
      </c>
      <c r="N33" s="163" t="s">
        <v>99</v>
      </c>
      <c r="O33" s="163" t="s">
        <v>99</v>
      </c>
      <c r="P33" s="163" t="s">
        <v>99</v>
      </c>
      <c r="Q33" s="163" t="s">
        <v>99</v>
      </c>
      <c r="R33" s="163" t="s">
        <v>99</v>
      </c>
      <c r="S33" s="163" t="s">
        <v>99</v>
      </c>
      <c r="T33" s="164" t="s">
        <v>99</v>
      </c>
      <c r="U33" s="164" t="s">
        <v>99</v>
      </c>
      <c r="V33" s="164" t="s">
        <v>99</v>
      </c>
      <c r="W33" s="164" t="s">
        <v>99</v>
      </c>
      <c r="X33" s="164" t="s">
        <v>99</v>
      </c>
      <c r="Y33" s="165" t="s">
        <v>99</v>
      </c>
    </row>
    <row r="34" spans="1:25" ht="12" customHeight="1">
      <c r="A34" s="161" t="s">
        <v>69</v>
      </c>
      <c r="B34" s="162" t="s">
        <v>99</v>
      </c>
      <c r="C34" s="163" t="s">
        <v>99</v>
      </c>
      <c r="D34" s="163" t="s">
        <v>99</v>
      </c>
      <c r="E34" s="163" t="s">
        <v>99</v>
      </c>
      <c r="F34" s="163" t="s">
        <v>99</v>
      </c>
      <c r="G34" s="163" t="s">
        <v>99</v>
      </c>
      <c r="H34" s="163" t="s">
        <v>99</v>
      </c>
      <c r="I34" s="163" t="s">
        <v>99</v>
      </c>
      <c r="J34" s="163" t="s">
        <v>99</v>
      </c>
      <c r="K34" s="163" t="s">
        <v>99</v>
      </c>
      <c r="L34" s="163" t="s">
        <v>99</v>
      </c>
      <c r="M34" s="163" t="s">
        <v>99</v>
      </c>
      <c r="N34" s="163" t="s">
        <v>99</v>
      </c>
      <c r="O34" s="163" t="s">
        <v>99</v>
      </c>
      <c r="P34" s="163" t="s">
        <v>99</v>
      </c>
      <c r="Q34" s="163" t="s">
        <v>99</v>
      </c>
      <c r="R34" s="163" t="s">
        <v>99</v>
      </c>
      <c r="S34" s="163" t="s">
        <v>99</v>
      </c>
      <c r="T34" s="164" t="s">
        <v>99</v>
      </c>
      <c r="U34" s="164" t="s">
        <v>99</v>
      </c>
      <c r="V34" s="164" t="s">
        <v>99</v>
      </c>
      <c r="W34" s="164" t="s">
        <v>99</v>
      </c>
      <c r="X34" s="164" t="s">
        <v>99</v>
      </c>
      <c r="Y34" s="165" t="s">
        <v>99</v>
      </c>
    </row>
    <row r="35" spans="1:25" ht="12" customHeight="1">
      <c r="A35" s="161" t="s">
        <v>70</v>
      </c>
      <c r="B35" s="162" t="s">
        <v>99</v>
      </c>
      <c r="C35" s="163" t="s">
        <v>99</v>
      </c>
      <c r="D35" s="163" t="s">
        <v>99</v>
      </c>
      <c r="E35" s="163" t="s">
        <v>99</v>
      </c>
      <c r="F35" s="163" t="s">
        <v>99</v>
      </c>
      <c r="G35" s="163" t="s">
        <v>99</v>
      </c>
      <c r="H35" s="163" t="s">
        <v>99</v>
      </c>
      <c r="I35" s="163" t="s">
        <v>99</v>
      </c>
      <c r="J35" s="163" t="s">
        <v>99</v>
      </c>
      <c r="K35" s="163" t="s">
        <v>99</v>
      </c>
      <c r="L35" s="163" t="s">
        <v>99</v>
      </c>
      <c r="M35" s="163" t="s">
        <v>99</v>
      </c>
      <c r="N35" s="163" t="s">
        <v>99</v>
      </c>
      <c r="O35" s="163" t="s">
        <v>99</v>
      </c>
      <c r="P35" s="163" t="s">
        <v>99</v>
      </c>
      <c r="Q35" s="163" t="s">
        <v>99</v>
      </c>
      <c r="R35" s="163" t="s">
        <v>99</v>
      </c>
      <c r="S35" s="163" t="s">
        <v>99</v>
      </c>
      <c r="T35" s="164" t="s">
        <v>99</v>
      </c>
      <c r="U35" s="164" t="s">
        <v>99</v>
      </c>
      <c r="V35" s="164" t="s">
        <v>99</v>
      </c>
      <c r="W35" s="164" t="s">
        <v>99</v>
      </c>
      <c r="X35" s="164" t="s">
        <v>99</v>
      </c>
      <c r="Y35" s="165" t="s">
        <v>99</v>
      </c>
    </row>
    <row r="36" spans="1:25" ht="12" customHeight="1">
      <c r="A36" s="161" t="s">
        <v>71</v>
      </c>
      <c r="B36" s="162" t="s">
        <v>99</v>
      </c>
      <c r="C36" s="163" t="s">
        <v>99</v>
      </c>
      <c r="D36" s="163" t="s">
        <v>99</v>
      </c>
      <c r="E36" s="163" t="s">
        <v>99</v>
      </c>
      <c r="F36" s="163" t="s">
        <v>99</v>
      </c>
      <c r="G36" s="163" t="s">
        <v>99</v>
      </c>
      <c r="H36" s="163" t="s">
        <v>99</v>
      </c>
      <c r="I36" s="163" t="s">
        <v>99</v>
      </c>
      <c r="J36" s="163" t="s">
        <v>99</v>
      </c>
      <c r="K36" s="163" t="s">
        <v>99</v>
      </c>
      <c r="L36" s="163" t="s">
        <v>99</v>
      </c>
      <c r="M36" s="163" t="s">
        <v>99</v>
      </c>
      <c r="N36" s="163" t="s">
        <v>99</v>
      </c>
      <c r="O36" s="163" t="s">
        <v>99</v>
      </c>
      <c r="P36" s="163" t="s">
        <v>99</v>
      </c>
      <c r="Q36" s="163" t="s">
        <v>99</v>
      </c>
      <c r="R36" s="163" t="s">
        <v>99</v>
      </c>
      <c r="S36" s="163" t="s">
        <v>99</v>
      </c>
      <c r="T36" s="164" t="s">
        <v>99</v>
      </c>
      <c r="U36" s="164" t="s">
        <v>99</v>
      </c>
      <c r="V36" s="164" t="s">
        <v>99</v>
      </c>
      <c r="W36" s="164" t="s">
        <v>99</v>
      </c>
      <c r="X36" s="164" t="s">
        <v>99</v>
      </c>
      <c r="Y36" s="165" t="s">
        <v>99</v>
      </c>
    </row>
    <row r="37" spans="1:25" ht="12" customHeight="1">
      <c r="A37" s="161" t="s">
        <v>72</v>
      </c>
      <c r="B37" s="162" t="s">
        <v>99</v>
      </c>
      <c r="C37" s="163" t="s">
        <v>99</v>
      </c>
      <c r="D37" s="163" t="s">
        <v>99</v>
      </c>
      <c r="E37" s="163" t="s">
        <v>99</v>
      </c>
      <c r="F37" s="163" t="s">
        <v>99</v>
      </c>
      <c r="G37" s="163" t="s">
        <v>99</v>
      </c>
      <c r="H37" s="163" t="s">
        <v>99</v>
      </c>
      <c r="I37" s="163" t="s">
        <v>99</v>
      </c>
      <c r="J37" s="163" t="s">
        <v>99</v>
      </c>
      <c r="K37" s="163" t="s">
        <v>99</v>
      </c>
      <c r="L37" s="163" t="s">
        <v>99</v>
      </c>
      <c r="M37" s="163" t="s">
        <v>99</v>
      </c>
      <c r="N37" s="163" t="s">
        <v>99</v>
      </c>
      <c r="O37" s="163" t="s">
        <v>99</v>
      </c>
      <c r="P37" s="163" t="s">
        <v>99</v>
      </c>
      <c r="Q37" s="163" t="s">
        <v>99</v>
      </c>
      <c r="R37" s="163" t="s">
        <v>99</v>
      </c>
      <c r="S37" s="163" t="s">
        <v>99</v>
      </c>
      <c r="T37" s="164" t="s">
        <v>99</v>
      </c>
      <c r="U37" s="164" t="s">
        <v>99</v>
      </c>
      <c r="V37" s="164" t="s">
        <v>99</v>
      </c>
      <c r="W37" s="164" t="s">
        <v>99</v>
      </c>
      <c r="X37" s="164" t="s">
        <v>99</v>
      </c>
      <c r="Y37" s="165" t="s">
        <v>99</v>
      </c>
    </row>
    <row r="38" spans="1:25" ht="12" customHeight="1">
      <c r="A38" s="161" t="s">
        <v>73</v>
      </c>
      <c r="B38" s="162" t="s">
        <v>99</v>
      </c>
      <c r="C38" s="163" t="s">
        <v>99</v>
      </c>
      <c r="D38" s="163" t="s">
        <v>99</v>
      </c>
      <c r="E38" s="163" t="s">
        <v>99</v>
      </c>
      <c r="F38" s="163" t="s">
        <v>99</v>
      </c>
      <c r="G38" s="163" t="s">
        <v>99</v>
      </c>
      <c r="H38" s="163" t="s">
        <v>99</v>
      </c>
      <c r="I38" s="163" t="s">
        <v>99</v>
      </c>
      <c r="J38" s="163" t="s">
        <v>99</v>
      </c>
      <c r="K38" s="163" t="s">
        <v>99</v>
      </c>
      <c r="L38" s="163" t="s">
        <v>99</v>
      </c>
      <c r="M38" s="163" t="s">
        <v>99</v>
      </c>
      <c r="N38" s="163" t="s">
        <v>99</v>
      </c>
      <c r="O38" s="163" t="s">
        <v>99</v>
      </c>
      <c r="P38" s="163" t="s">
        <v>99</v>
      </c>
      <c r="Q38" s="163" t="s">
        <v>99</v>
      </c>
      <c r="R38" s="163" t="s">
        <v>99</v>
      </c>
      <c r="S38" s="163" t="s">
        <v>99</v>
      </c>
      <c r="T38" s="164" t="s">
        <v>99</v>
      </c>
      <c r="U38" s="164" t="s">
        <v>99</v>
      </c>
      <c r="V38" s="164" t="s">
        <v>99</v>
      </c>
      <c r="W38" s="164" t="s">
        <v>99</v>
      </c>
      <c r="X38" s="164" t="s">
        <v>99</v>
      </c>
      <c r="Y38" s="165" t="s">
        <v>99</v>
      </c>
    </row>
    <row r="39" spans="1:25" ht="12" customHeight="1">
      <c r="A39" s="161" t="s">
        <v>74</v>
      </c>
      <c r="B39" s="162" t="s">
        <v>99</v>
      </c>
      <c r="C39" s="163" t="s">
        <v>99</v>
      </c>
      <c r="D39" s="163" t="s">
        <v>99</v>
      </c>
      <c r="E39" s="163" t="s">
        <v>99</v>
      </c>
      <c r="F39" s="163" t="s">
        <v>99</v>
      </c>
      <c r="G39" s="163" t="s">
        <v>99</v>
      </c>
      <c r="H39" s="163" t="s">
        <v>99</v>
      </c>
      <c r="I39" s="163" t="s">
        <v>99</v>
      </c>
      <c r="J39" s="163" t="s">
        <v>99</v>
      </c>
      <c r="K39" s="163" t="s">
        <v>99</v>
      </c>
      <c r="L39" s="163" t="s">
        <v>99</v>
      </c>
      <c r="M39" s="163" t="s">
        <v>99</v>
      </c>
      <c r="N39" s="163" t="s">
        <v>99</v>
      </c>
      <c r="O39" s="163" t="s">
        <v>99</v>
      </c>
      <c r="P39" s="163" t="s">
        <v>99</v>
      </c>
      <c r="Q39" s="163" t="s">
        <v>99</v>
      </c>
      <c r="R39" s="163" t="s">
        <v>99</v>
      </c>
      <c r="S39" s="163" t="s">
        <v>99</v>
      </c>
      <c r="T39" s="164" t="s">
        <v>99</v>
      </c>
      <c r="U39" s="164" t="s">
        <v>99</v>
      </c>
      <c r="V39" s="164" t="s">
        <v>99</v>
      </c>
      <c r="W39" s="164" t="s">
        <v>99</v>
      </c>
      <c r="X39" s="164" t="s">
        <v>99</v>
      </c>
      <c r="Y39" s="165" t="s">
        <v>99</v>
      </c>
    </row>
    <row r="40" spans="1:25" ht="12" customHeight="1">
      <c r="A40" s="166" t="s">
        <v>75</v>
      </c>
      <c r="B40" s="167" t="s">
        <v>99</v>
      </c>
      <c r="C40" s="168" t="s">
        <v>99</v>
      </c>
      <c r="D40" s="168" t="s">
        <v>99</v>
      </c>
      <c r="E40" s="168" t="s">
        <v>99</v>
      </c>
      <c r="F40" s="168" t="s">
        <v>99</v>
      </c>
      <c r="G40" s="168" t="s">
        <v>99</v>
      </c>
      <c r="H40" s="168" t="s">
        <v>99</v>
      </c>
      <c r="I40" s="168" t="s">
        <v>99</v>
      </c>
      <c r="J40" s="168" t="s">
        <v>99</v>
      </c>
      <c r="K40" s="168" t="s">
        <v>99</v>
      </c>
      <c r="L40" s="168" t="s">
        <v>99</v>
      </c>
      <c r="M40" s="168" t="s">
        <v>99</v>
      </c>
      <c r="N40" s="168" t="s">
        <v>99</v>
      </c>
      <c r="O40" s="168" t="s">
        <v>99</v>
      </c>
      <c r="P40" s="168" t="s">
        <v>99</v>
      </c>
      <c r="Q40" s="168" t="s">
        <v>99</v>
      </c>
      <c r="R40" s="168" t="s">
        <v>99</v>
      </c>
      <c r="S40" s="168" t="s">
        <v>99</v>
      </c>
      <c r="T40" s="169" t="s">
        <v>99</v>
      </c>
      <c r="U40" s="169" t="s">
        <v>99</v>
      </c>
      <c r="V40" s="169" t="s">
        <v>99</v>
      </c>
      <c r="W40" s="169" t="s">
        <v>99</v>
      </c>
      <c r="X40" s="169" t="s">
        <v>99</v>
      </c>
      <c r="Y40" s="170" t="s">
        <v>99</v>
      </c>
    </row>
    <row r="42" spans="1:25" ht="12" customHeight="1">
      <c r="A42" s="148" t="s">
        <v>76</v>
      </c>
      <c r="B42" s="148"/>
      <c r="C42" s="148"/>
      <c r="D42" s="148"/>
      <c r="E42" s="148"/>
      <c r="G42" s="148"/>
      <c r="H42" s="148"/>
      <c r="I42" s="148"/>
      <c r="J42" s="148"/>
      <c r="K42" s="148"/>
    </row>
    <row r="43" spans="1:25" ht="15" customHeight="1">
      <c r="A43" s="171" t="s">
        <v>77</v>
      </c>
      <c r="B43" s="172" t="s">
        <v>78</v>
      </c>
      <c r="C43" s="173" t="s">
        <v>79</v>
      </c>
      <c r="D43" s="172" t="s">
        <v>78</v>
      </c>
      <c r="E43" s="173" t="s">
        <v>79</v>
      </c>
      <c r="F43" s="172" t="s">
        <v>78</v>
      </c>
      <c r="G43" s="173" t="s">
        <v>79</v>
      </c>
      <c r="H43" s="172" t="s">
        <v>78</v>
      </c>
      <c r="I43" s="173" t="s">
        <v>79</v>
      </c>
      <c r="J43" s="172" t="s">
        <v>78</v>
      </c>
      <c r="K43" s="173" t="s">
        <v>79</v>
      </c>
      <c r="L43" s="172" t="s">
        <v>78</v>
      </c>
      <c r="M43" s="174" t="s">
        <v>78</v>
      </c>
      <c r="N43" s="172" t="s">
        <v>78</v>
      </c>
      <c r="P43" s="73" t="s">
        <v>49</v>
      </c>
    </row>
    <row r="44" spans="1:25" ht="12" customHeight="1">
      <c r="A44" s="175">
        <v>0</v>
      </c>
      <c r="B44" s="176">
        <v>0</v>
      </c>
      <c r="C44" s="177">
        <f t="shared" ref="C44:C67" si="0">A44+24</f>
        <v>24</v>
      </c>
      <c r="D44" s="176">
        <v>1.4E-2</v>
      </c>
      <c r="E44" s="177">
        <f t="shared" ref="E44:E67" si="1">C44+24</f>
        <v>48</v>
      </c>
      <c r="F44" s="176">
        <v>1E-3</v>
      </c>
      <c r="G44" s="177">
        <f t="shared" ref="G44:G67" si="2">E44+24</f>
        <v>72</v>
      </c>
      <c r="H44" s="178">
        <v>0</v>
      </c>
      <c r="I44" s="177">
        <f t="shared" ref="I44:I67" si="3">G44+24</f>
        <v>96</v>
      </c>
      <c r="J44" s="178">
        <v>0</v>
      </c>
      <c r="K44" s="177">
        <f t="shared" ref="K44:K67" si="4">I44+24</f>
        <v>120</v>
      </c>
      <c r="L44" s="178">
        <v>0</v>
      </c>
      <c r="M44" s="179">
        <f t="shared" ref="M44:M67" si="5">K44+24</f>
        <v>144</v>
      </c>
      <c r="N44" s="180">
        <v>0</v>
      </c>
      <c r="P44" s="181" t="s">
        <v>83</v>
      </c>
    </row>
    <row r="45" spans="1:25" ht="12" customHeight="1">
      <c r="A45" s="182">
        <v>1</v>
      </c>
      <c r="B45" s="183">
        <v>1E-3</v>
      </c>
      <c r="C45" s="184">
        <f t="shared" si="0"/>
        <v>25</v>
      </c>
      <c r="D45" s="183">
        <v>1.2E-2</v>
      </c>
      <c r="E45" s="184">
        <f t="shared" si="1"/>
        <v>49</v>
      </c>
      <c r="F45" s="183">
        <v>1E-3</v>
      </c>
      <c r="G45" s="184">
        <f t="shared" si="2"/>
        <v>73</v>
      </c>
      <c r="H45" s="185">
        <v>0</v>
      </c>
      <c r="I45" s="184">
        <f t="shared" si="3"/>
        <v>97</v>
      </c>
      <c r="J45" s="185">
        <v>0</v>
      </c>
      <c r="K45" s="184">
        <f t="shared" si="4"/>
        <v>121</v>
      </c>
      <c r="L45" s="185">
        <v>0</v>
      </c>
      <c r="M45" s="186">
        <f t="shared" si="5"/>
        <v>145</v>
      </c>
      <c r="N45" s="187">
        <v>0</v>
      </c>
      <c r="P45" s="188" t="s">
        <v>84</v>
      </c>
    </row>
    <row r="46" spans="1:25" ht="12" customHeight="1">
      <c r="A46" s="182">
        <v>2</v>
      </c>
      <c r="B46" s="183">
        <v>1.0999999999999999E-2</v>
      </c>
      <c r="C46" s="184">
        <f t="shared" si="0"/>
        <v>26</v>
      </c>
      <c r="D46" s="183">
        <v>1.0999999999999999E-2</v>
      </c>
      <c r="E46" s="184">
        <f t="shared" si="1"/>
        <v>50</v>
      </c>
      <c r="F46" s="183">
        <v>1E-3</v>
      </c>
      <c r="G46" s="184">
        <f t="shared" si="2"/>
        <v>74</v>
      </c>
      <c r="H46" s="185">
        <v>0</v>
      </c>
      <c r="I46" s="184">
        <f t="shared" si="3"/>
        <v>98</v>
      </c>
      <c r="J46" s="185">
        <v>0</v>
      </c>
      <c r="K46" s="184">
        <f t="shared" si="4"/>
        <v>122</v>
      </c>
      <c r="L46" s="185">
        <v>0</v>
      </c>
      <c r="M46" s="186">
        <f t="shared" si="5"/>
        <v>146</v>
      </c>
      <c r="N46" s="187">
        <v>0</v>
      </c>
      <c r="P46" s="181" t="s">
        <v>86</v>
      </c>
    </row>
    <row r="47" spans="1:25" ht="12" customHeight="1">
      <c r="A47" s="182">
        <v>3</v>
      </c>
      <c r="B47" s="183">
        <v>3.3000000000000002E-2</v>
      </c>
      <c r="C47" s="184">
        <f t="shared" si="0"/>
        <v>27</v>
      </c>
      <c r="D47" s="183">
        <v>0.01</v>
      </c>
      <c r="E47" s="184">
        <f t="shared" si="1"/>
        <v>51</v>
      </c>
      <c r="F47" s="183">
        <v>1E-3</v>
      </c>
      <c r="G47" s="184">
        <f t="shared" si="2"/>
        <v>75</v>
      </c>
      <c r="H47" s="185">
        <v>0</v>
      </c>
      <c r="I47" s="184">
        <f t="shared" si="3"/>
        <v>99</v>
      </c>
      <c r="J47" s="185">
        <v>0</v>
      </c>
      <c r="K47" s="184">
        <f t="shared" si="4"/>
        <v>123</v>
      </c>
      <c r="L47" s="185">
        <v>0</v>
      </c>
      <c r="M47" s="186">
        <f t="shared" si="5"/>
        <v>147</v>
      </c>
      <c r="N47" s="187">
        <v>0</v>
      </c>
      <c r="P47" s="181" t="s">
        <v>87</v>
      </c>
    </row>
    <row r="48" spans="1:25" ht="12" customHeight="1">
      <c r="A48" s="182">
        <v>4</v>
      </c>
      <c r="B48" s="183">
        <v>5.1999999999999998E-2</v>
      </c>
      <c r="C48" s="184">
        <f t="shared" si="0"/>
        <v>28</v>
      </c>
      <c r="D48" s="183">
        <v>8.9999999999999993E-3</v>
      </c>
      <c r="E48" s="184">
        <f t="shared" si="1"/>
        <v>52</v>
      </c>
      <c r="F48" s="183">
        <v>1E-3</v>
      </c>
      <c r="G48" s="184">
        <f t="shared" si="2"/>
        <v>76</v>
      </c>
      <c r="H48" s="185">
        <v>0</v>
      </c>
      <c r="I48" s="184">
        <f t="shared" si="3"/>
        <v>100</v>
      </c>
      <c r="J48" s="185">
        <v>0</v>
      </c>
      <c r="K48" s="184">
        <f t="shared" si="4"/>
        <v>124</v>
      </c>
      <c r="L48" s="185">
        <v>0</v>
      </c>
      <c r="M48" s="186">
        <f t="shared" si="5"/>
        <v>148</v>
      </c>
      <c r="N48" s="187">
        <v>0</v>
      </c>
      <c r="P48" s="181" t="s">
        <v>88</v>
      </c>
    </row>
    <row r="49" spans="1:16" ht="12" customHeight="1">
      <c r="A49" s="182">
        <v>5</v>
      </c>
      <c r="B49" s="183">
        <v>6.3E-2</v>
      </c>
      <c r="C49" s="184">
        <f t="shared" si="0"/>
        <v>29</v>
      </c>
      <c r="D49" s="183">
        <v>8.0000000000000002E-3</v>
      </c>
      <c r="E49" s="184">
        <f t="shared" si="1"/>
        <v>53</v>
      </c>
      <c r="F49" s="183">
        <v>1E-3</v>
      </c>
      <c r="G49" s="184">
        <f t="shared" si="2"/>
        <v>77</v>
      </c>
      <c r="H49" s="185">
        <v>0</v>
      </c>
      <c r="I49" s="184">
        <f t="shared" si="3"/>
        <v>101</v>
      </c>
      <c r="J49" s="185">
        <v>0</v>
      </c>
      <c r="K49" s="184">
        <f t="shared" si="4"/>
        <v>125</v>
      </c>
      <c r="L49" s="185">
        <v>0</v>
      </c>
      <c r="M49" s="186">
        <f t="shared" si="5"/>
        <v>149</v>
      </c>
      <c r="N49" s="187">
        <v>0</v>
      </c>
      <c r="P49" s="181" t="s">
        <v>89</v>
      </c>
    </row>
    <row r="50" spans="1:16" ht="12" customHeight="1">
      <c r="A50" s="182">
        <v>6</v>
      </c>
      <c r="B50" s="183">
        <v>6.7000000000000004E-2</v>
      </c>
      <c r="C50" s="184">
        <f t="shared" si="0"/>
        <v>30</v>
      </c>
      <c r="D50" s="183">
        <v>7.0000000000000001E-3</v>
      </c>
      <c r="E50" s="184">
        <f t="shared" si="1"/>
        <v>54</v>
      </c>
      <c r="F50" s="183">
        <v>1E-3</v>
      </c>
      <c r="G50" s="184">
        <f t="shared" si="2"/>
        <v>78</v>
      </c>
      <c r="H50" s="185">
        <v>0</v>
      </c>
      <c r="I50" s="184">
        <f t="shared" si="3"/>
        <v>102</v>
      </c>
      <c r="J50" s="185">
        <v>0</v>
      </c>
      <c r="K50" s="184">
        <f t="shared" si="4"/>
        <v>126</v>
      </c>
      <c r="L50" s="185">
        <v>0</v>
      </c>
      <c r="M50" s="186">
        <f t="shared" si="5"/>
        <v>150</v>
      </c>
      <c r="N50" s="187">
        <v>0</v>
      </c>
      <c r="P50" s="181" t="s">
        <v>90</v>
      </c>
    </row>
    <row r="51" spans="1:16" ht="12" customHeight="1">
      <c r="A51" s="182">
        <v>7</v>
      </c>
      <c r="B51" s="183">
        <v>6.7000000000000004E-2</v>
      </c>
      <c r="C51" s="184">
        <f t="shared" si="0"/>
        <v>31</v>
      </c>
      <c r="D51" s="183">
        <v>7.0000000000000001E-3</v>
      </c>
      <c r="E51" s="184">
        <f t="shared" si="1"/>
        <v>55</v>
      </c>
      <c r="F51" s="183">
        <v>1E-3</v>
      </c>
      <c r="G51" s="184">
        <f t="shared" si="2"/>
        <v>79</v>
      </c>
      <c r="H51" s="185">
        <v>0</v>
      </c>
      <c r="I51" s="184">
        <f t="shared" si="3"/>
        <v>103</v>
      </c>
      <c r="J51" s="185">
        <v>0</v>
      </c>
      <c r="K51" s="184">
        <f t="shared" si="4"/>
        <v>127</v>
      </c>
      <c r="L51" s="185">
        <v>0</v>
      </c>
      <c r="M51" s="186">
        <f t="shared" si="5"/>
        <v>151</v>
      </c>
      <c r="N51" s="187">
        <v>0</v>
      </c>
      <c r="P51" s="181" t="s">
        <v>91</v>
      </c>
    </row>
    <row r="52" spans="1:16" ht="12" customHeight="1">
      <c r="A52" s="182">
        <v>8</v>
      </c>
      <c r="B52" s="183">
        <v>6.4000000000000001E-2</v>
      </c>
      <c r="C52" s="184">
        <f t="shared" si="0"/>
        <v>32</v>
      </c>
      <c r="D52" s="183">
        <v>6.0000000000000001E-3</v>
      </c>
      <c r="E52" s="184">
        <f t="shared" si="1"/>
        <v>56</v>
      </c>
      <c r="F52" s="183">
        <v>0</v>
      </c>
      <c r="G52" s="184">
        <f t="shared" si="2"/>
        <v>80</v>
      </c>
      <c r="H52" s="185">
        <v>0</v>
      </c>
      <c r="I52" s="184">
        <f t="shared" si="3"/>
        <v>104</v>
      </c>
      <c r="J52" s="185">
        <v>0</v>
      </c>
      <c r="K52" s="184">
        <f t="shared" si="4"/>
        <v>128</v>
      </c>
      <c r="L52" s="185">
        <v>0</v>
      </c>
      <c r="M52" s="186">
        <f t="shared" si="5"/>
        <v>152</v>
      </c>
      <c r="N52" s="187">
        <v>0</v>
      </c>
      <c r="P52" s="181" t="s">
        <v>102</v>
      </c>
    </row>
    <row r="53" spans="1:16" ht="12" customHeight="1">
      <c r="A53" s="182">
        <v>9</v>
      </c>
      <c r="B53" s="183">
        <v>0.06</v>
      </c>
      <c r="C53" s="184">
        <f t="shared" si="0"/>
        <v>33</v>
      </c>
      <c r="D53" s="183">
        <v>5.0000000000000001E-3</v>
      </c>
      <c r="E53" s="184">
        <f t="shared" si="1"/>
        <v>57</v>
      </c>
      <c r="F53" s="183">
        <v>0</v>
      </c>
      <c r="G53" s="184">
        <f t="shared" si="2"/>
        <v>81</v>
      </c>
      <c r="H53" s="185">
        <v>0</v>
      </c>
      <c r="I53" s="184">
        <f t="shared" si="3"/>
        <v>105</v>
      </c>
      <c r="J53" s="185">
        <v>0</v>
      </c>
      <c r="K53" s="184">
        <f t="shared" si="4"/>
        <v>129</v>
      </c>
      <c r="L53" s="185">
        <v>0</v>
      </c>
      <c r="M53" s="186">
        <f t="shared" si="5"/>
        <v>153</v>
      </c>
      <c r="N53" s="187">
        <v>0</v>
      </c>
      <c r="P53" s="181" t="s">
        <v>103</v>
      </c>
    </row>
    <row r="54" spans="1:16" ht="12" customHeight="1">
      <c r="A54" s="182">
        <v>10</v>
      </c>
      <c r="B54" s="183">
        <v>5.5E-2</v>
      </c>
      <c r="C54" s="184">
        <f t="shared" si="0"/>
        <v>34</v>
      </c>
      <c r="D54" s="183">
        <v>5.0000000000000001E-3</v>
      </c>
      <c r="E54" s="184">
        <f t="shared" si="1"/>
        <v>58</v>
      </c>
      <c r="F54" s="183">
        <v>0</v>
      </c>
      <c r="G54" s="184">
        <f t="shared" si="2"/>
        <v>82</v>
      </c>
      <c r="H54" s="185">
        <v>0</v>
      </c>
      <c r="I54" s="184">
        <f t="shared" si="3"/>
        <v>106</v>
      </c>
      <c r="J54" s="185">
        <v>0</v>
      </c>
      <c r="K54" s="184">
        <f t="shared" si="4"/>
        <v>130</v>
      </c>
      <c r="L54" s="185">
        <v>0</v>
      </c>
      <c r="M54" s="186">
        <f t="shared" si="5"/>
        <v>154</v>
      </c>
      <c r="N54" s="187">
        <v>0</v>
      </c>
      <c r="P54" s="181"/>
    </row>
    <row r="55" spans="1:16" ht="12" customHeight="1">
      <c r="A55" s="182">
        <v>11</v>
      </c>
      <c r="B55" s="183">
        <v>5.0999999999999997E-2</v>
      </c>
      <c r="C55" s="184">
        <f t="shared" si="0"/>
        <v>35</v>
      </c>
      <c r="D55" s="183">
        <v>4.0000000000000001E-3</v>
      </c>
      <c r="E55" s="184">
        <f t="shared" si="1"/>
        <v>59</v>
      </c>
      <c r="F55" s="183">
        <v>0</v>
      </c>
      <c r="G55" s="184">
        <f t="shared" si="2"/>
        <v>83</v>
      </c>
      <c r="H55" s="185">
        <v>0</v>
      </c>
      <c r="I55" s="184">
        <f t="shared" si="3"/>
        <v>107</v>
      </c>
      <c r="J55" s="185">
        <v>0</v>
      </c>
      <c r="K55" s="184">
        <f t="shared" si="4"/>
        <v>131</v>
      </c>
      <c r="L55" s="185">
        <v>0</v>
      </c>
      <c r="M55" s="186">
        <f t="shared" si="5"/>
        <v>155</v>
      </c>
      <c r="N55" s="187">
        <v>0</v>
      </c>
      <c r="P55" s="181"/>
    </row>
    <row r="56" spans="1:16" ht="12" customHeight="1">
      <c r="A56" s="182">
        <v>12</v>
      </c>
      <c r="B56" s="183">
        <v>4.5999999999999999E-2</v>
      </c>
      <c r="C56" s="184">
        <f t="shared" si="0"/>
        <v>36</v>
      </c>
      <c r="D56" s="183">
        <v>4.0000000000000001E-3</v>
      </c>
      <c r="E56" s="184">
        <f t="shared" si="1"/>
        <v>60</v>
      </c>
      <c r="F56" s="183">
        <v>0</v>
      </c>
      <c r="G56" s="184">
        <f t="shared" si="2"/>
        <v>84</v>
      </c>
      <c r="H56" s="185">
        <v>0</v>
      </c>
      <c r="I56" s="184">
        <f t="shared" si="3"/>
        <v>108</v>
      </c>
      <c r="J56" s="185">
        <v>0</v>
      </c>
      <c r="K56" s="184">
        <f t="shared" si="4"/>
        <v>132</v>
      </c>
      <c r="L56" s="185">
        <v>0</v>
      </c>
      <c r="M56" s="186">
        <f t="shared" si="5"/>
        <v>156</v>
      </c>
      <c r="N56" s="187">
        <v>0</v>
      </c>
      <c r="P56" s="181"/>
    </row>
    <row r="57" spans="1:16" ht="12" customHeight="1">
      <c r="A57" s="182">
        <v>13</v>
      </c>
      <c r="B57" s="183">
        <v>4.2000000000000003E-2</v>
      </c>
      <c r="C57" s="184">
        <f t="shared" si="0"/>
        <v>37</v>
      </c>
      <c r="D57" s="183">
        <v>4.0000000000000001E-3</v>
      </c>
      <c r="E57" s="184">
        <f t="shared" si="1"/>
        <v>61</v>
      </c>
      <c r="F57" s="183">
        <v>0</v>
      </c>
      <c r="G57" s="184">
        <f t="shared" si="2"/>
        <v>85</v>
      </c>
      <c r="H57" s="185">
        <v>0</v>
      </c>
      <c r="I57" s="184">
        <f t="shared" si="3"/>
        <v>109</v>
      </c>
      <c r="J57" s="185">
        <v>0</v>
      </c>
      <c r="K57" s="184">
        <f t="shared" si="4"/>
        <v>133</v>
      </c>
      <c r="L57" s="185">
        <v>0</v>
      </c>
      <c r="M57" s="186">
        <f t="shared" si="5"/>
        <v>157</v>
      </c>
      <c r="N57" s="187">
        <v>0</v>
      </c>
      <c r="P57" s="181"/>
    </row>
    <row r="58" spans="1:16" ht="12" customHeight="1">
      <c r="A58" s="182">
        <v>14</v>
      </c>
      <c r="B58" s="183">
        <v>3.7999999999999999E-2</v>
      </c>
      <c r="C58" s="184">
        <f t="shared" si="0"/>
        <v>38</v>
      </c>
      <c r="D58" s="183">
        <v>3.0000000000000001E-3</v>
      </c>
      <c r="E58" s="184">
        <f t="shared" si="1"/>
        <v>62</v>
      </c>
      <c r="F58" s="183">
        <v>0</v>
      </c>
      <c r="G58" s="184">
        <f t="shared" si="2"/>
        <v>86</v>
      </c>
      <c r="H58" s="185">
        <v>0</v>
      </c>
      <c r="I58" s="184">
        <f t="shared" si="3"/>
        <v>110</v>
      </c>
      <c r="J58" s="185">
        <v>0</v>
      </c>
      <c r="K58" s="184">
        <f t="shared" si="4"/>
        <v>134</v>
      </c>
      <c r="L58" s="185">
        <v>0</v>
      </c>
      <c r="M58" s="186">
        <f t="shared" si="5"/>
        <v>158</v>
      </c>
      <c r="N58" s="187">
        <v>0</v>
      </c>
      <c r="P58" s="181"/>
    </row>
    <row r="59" spans="1:16" ht="12" customHeight="1">
      <c r="A59" s="182">
        <v>15</v>
      </c>
      <c r="B59" s="183">
        <v>3.4000000000000002E-2</v>
      </c>
      <c r="C59" s="184">
        <f t="shared" si="0"/>
        <v>39</v>
      </c>
      <c r="D59" s="183">
        <v>3.0000000000000001E-3</v>
      </c>
      <c r="E59" s="184">
        <f t="shared" si="1"/>
        <v>63</v>
      </c>
      <c r="F59" s="183">
        <v>0</v>
      </c>
      <c r="G59" s="184">
        <f t="shared" si="2"/>
        <v>87</v>
      </c>
      <c r="H59" s="185">
        <v>0</v>
      </c>
      <c r="I59" s="184">
        <f t="shared" si="3"/>
        <v>111</v>
      </c>
      <c r="J59" s="185">
        <v>0</v>
      </c>
      <c r="K59" s="184">
        <f t="shared" si="4"/>
        <v>135</v>
      </c>
      <c r="L59" s="185">
        <v>0</v>
      </c>
      <c r="M59" s="186">
        <f t="shared" si="5"/>
        <v>159</v>
      </c>
      <c r="N59" s="187">
        <v>0</v>
      </c>
      <c r="P59" s="181"/>
    </row>
    <row r="60" spans="1:16" ht="12" customHeight="1">
      <c r="A60" s="182">
        <v>16</v>
      </c>
      <c r="B60" s="183">
        <v>3.1E-2</v>
      </c>
      <c r="C60" s="184">
        <f t="shared" si="0"/>
        <v>40</v>
      </c>
      <c r="D60" s="183">
        <v>3.0000000000000001E-3</v>
      </c>
      <c r="E60" s="184">
        <f t="shared" si="1"/>
        <v>64</v>
      </c>
      <c r="F60" s="183">
        <v>0</v>
      </c>
      <c r="G60" s="184">
        <f t="shared" si="2"/>
        <v>88</v>
      </c>
      <c r="H60" s="185">
        <v>0</v>
      </c>
      <c r="I60" s="184">
        <f t="shared" si="3"/>
        <v>112</v>
      </c>
      <c r="J60" s="185">
        <v>0</v>
      </c>
      <c r="K60" s="184">
        <f t="shared" si="4"/>
        <v>136</v>
      </c>
      <c r="L60" s="185">
        <v>0</v>
      </c>
      <c r="M60" s="186">
        <f t="shared" si="5"/>
        <v>160</v>
      </c>
      <c r="N60" s="187">
        <v>0</v>
      </c>
      <c r="P60" s="181"/>
    </row>
    <row r="61" spans="1:16" ht="12" customHeight="1">
      <c r="A61" s="182">
        <v>17</v>
      </c>
      <c r="B61" s="183">
        <v>2.8000000000000001E-2</v>
      </c>
      <c r="C61" s="184">
        <f t="shared" si="0"/>
        <v>41</v>
      </c>
      <c r="D61" s="183">
        <v>2E-3</v>
      </c>
      <c r="E61" s="184">
        <f t="shared" si="1"/>
        <v>65</v>
      </c>
      <c r="F61" s="183">
        <v>0</v>
      </c>
      <c r="G61" s="184">
        <f t="shared" si="2"/>
        <v>89</v>
      </c>
      <c r="H61" s="185">
        <v>0</v>
      </c>
      <c r="I61" s="184">
        <f t="shared" si="3"/>
        <v>113</v>
      </c>
      <c r="J61" s="185">
        <v>0</v>
      </c>
      <c r="K61" s="184">
        <f t="shared" si="4"/>
        <v>137</v>
      </c>
      <c r="L61" s="185">
        <v>0</v>
      </c>
      <c r="M61" s="186">
        <f t="shared" si="5"/>
        <v>161</v>
      </c>
      <c r="N61" s="187">
        <v>0</v>
      </c>
      <c r="P61" s="181"/>
    </row>
    <row r="62" spans="1:16" ht="12" customHeight="1">
      <c r="A62" s="182">
        <v>18</v>
      </c>
      <c r="B62" s="183">
        <v>2.5000000000000001E-2</v>
      </c>
      <c r="C62" s="184">
        <f t="shared" si="0"/>
        <v>42</v>
      </c>
      <c r="D62" s="183">
        <v>2E-3</v>
      </c>
      <c r="E62" s="184">
        <f t="shared" si="1"/>
        <v>66</v>
      </c>
      <c r="F62" s="183">
        <v>0</v>
      </c>
      <c r="G62" s="184">
        <f t="shared" si="2"/>
        <v>90</v>
      </c>
      <c r="H62" s="185">
        <v>0</v>
      </c>
      <c r="I62" s="184">
        <f t="shared" si="3"/>
        <v>114</v>
      </c>
      <c r="J62" s="185">
        <v>0</v>
      </c>
      <c r="K62" s="184">
        <f t="shared" si="4"/>
        <v>138</v>
      </c>
      <c r="L62" s="185">
        <v>0</v>
      </c>
      <c r="M62" s="186">
        <f t="shared" si="5"/>
        <v>162</v>
      </c>
      <c r="N62" s="187">
        <v>0</v>
      </c>
      <c r="P62" s="181"/>
    </row>
    <row r="63" spans="1:16" ht="12" customHeight="1">
      <c r="A63" s="182">
        <v>19</v>
      </c>
      <c r="B63" s="183">
        <v>2.3E-2</v>
      </c>
      <c r="C63" s="184">
        <f t="shared" si="0"/>
        <v>43</v>
      </c>
      <c r="D63" s="183">
        <v>2E-3</v>
      </c>
      <c r="E63" s="184">
        <f t="shared" si="1"/>
        <v>67</v>
      </c>
      <c r="F63" s="183">
        <v>0</v>
      </c>
      <c r="G63" s="184">
        <f t="shared" si="2"/>
        <v>91</v>
      </c>
      <c r="H63" s="185">
        <v>0</v>
      </c>
      <c r="I63" s="184">
        <f t="shared" si="3"/>
        <v>115</v>
      </c>
      <c r="J63" s="185">
        <v>0</v>
      </c>
      <c r="K63" s="184">
        <f t="shared" si="4"/>
        <v>139</v>
      </c>
      <c r="L63" s="185">
        <v>0</v>
      </c>
      <c r="M63" s="186">
        <f t="shared" si="5"/>
        <v>163</v>
      </c>
      <c r="N63" s="187">
        <v>0</v>
      </c>
      <c r="P63" s="181"/>
    </row>
    <row r="64" spans="1:16" ht="12" customHeight="1">
      <c r="A64" s="182">
        <v>20</v>
      </c>
      <c r="B64" s="183">
        <v>2.1000000000000001E-2</v>
      </c>
      <c r="C64" s="184">
        <f t="shared" si="0"/>
        <v>44</v>
      </c>
      <c r="D64" s="183">
        <v>2E-3</v>
      </c>
      <c r="E64" s="184">
        <f t="shared" si="1"/>
        <v>68</v>
      </c>
      <c r="F64" s="183">
        <v>0</v>
      </c>
      <c r="G64" s="184">
        <f t="shared" si="2"/>
        <v>92</v>
      </c>
      <c r="H64" s="185">
        <v>0</v>
      </c>
      <c r="I64" s="184">
        <f t="shared" si="3"/>
        <v>116</v>
      </c>
      <c r="J64" s="185">
        <v>0</v>
      </c>
      <c r="K64" s="184">
        <f t="shared" si="4"/>
        <v>140</v>
      </c>
      <c r="L64" s="185">
        <v>0</v>
      </c>
      <c r="M64" s="186">
        <f t="shared" si="5"/>
        <v>164</v>
      </c>
      <c r="N64" s="187">
        <v>0</v>
      </c>
      <c r="P64" s="181"/>
    </row>
    <row r="65" spans="1:16" ht="12" customHeight="1">
      <c r="A65" s="182">
        <v>21</v>
      </c>
      <c r="B65" s="183">
        <v>1.9E-2</v>
      </c>
      <c r="C65" s="184">
        <f t="shared" si="0"/>
        <v>45</v>
      </c>
      <c r="D65" s="183">
        <v>2E-3</v>
      </c>
      <c r="E65" s="184">
        <f t="shared" si="1"/>
        <v>69</v>
      </c>
      <c r="F65" s="183">
        <v>0</v>
      </c>
      <c r="G65" s="184">
        <f t="shared" si="2"/>
        <v>93</v>
      </c>
      <c r="H65" s="185">
        <v>0</v>
      </c>
      <c r="I65" s="184">
        <f t="shared" si="3"/>
        <v>117</v>
      </c>
      <c r="J65" s="185">
        <v>0</v>
      </c>
      <c r="K65" s="184">
        <f t="shared" si="4"/>
        <v>141</v>
      </c>
      <c r="L65" s="185">
        <v>0</v>
      </c>
      <c r="M65" s="186">
        <f t="shared" si="5"/>
        <v>165</v>
      </c>
      <c r="N65" s="187">
        <v>0</v>
      </c>
      <c r="P65" s="181"/>
    </row>
    <row r="66" spans="1:16" ht="12" customHeight="1">
      <c r="A66" s="182">
        <v>22</v>
      </c>
      <c r="B66" s="183">
        <v>1.7000000000000001E-2</v>
      </c>
      <c r="C66" s="184">
        <f t="shared" si="0"/>
        <v>46</v>
      </c>
      <c r="D66" s="183">
        <v>1E-3</v>
      </c>
      <c r="E66" s="184">
        <f t="shared" si="1"/>
        <v>70</v>
      </c>
      <c r="F66" s="183">
        <v>0</v>
      </c>
      <c r="G66" s="184">
        <f t="shared" si="2"/>
        <v>94</v>
      </c>
      <c r="H66" s="185">
        <v>0</v>
      </c>
      <c r="I66" s="184">
        <f t="shared" si="3"/>
        <v>118</v>
      </c>
      <c r="J66" s="185">
        <v>0</v>
      </c>
      <c r="K66" s="184">
        <f t="shared" si="4"/>
        <v>142</v>
      </c>
      <c r="L66" s="185">
        <v>0</v>
      </c>
      <c r="M66" s="186">
        <f t="shared" si="5"/>
        <v>166</v>
      </c>
      <c r="N66" s="187">
        <v>0</v>
      </c>
      <c r="P66" s="181"/>
    </row>
    <row r="67" spans="1:16" ht="12" customHeight="1">
      <c r="A67" s="189">
        <v>23</v>
      </c>
      <c r="B67" s="190">
        <v>1.4999999999999999E-2</v>
      </c>
      <c r="C67" s="191">
        <f t="shared" si="0"/>
        <v>47</v>
      </c>
      <c r="D67" s="190">
        <v>1E-3</v>
      </c>
      <c r="E67" s="191">
        <f t="shared" si="1"/>
        <v>71</v>
      </c>
      <c r="F67" s="190">
        <v>0</v>
      </c>
      <c r="G67" s="191">
        <f t="shared" si="2"/>
        <v>95</v>
      </c>
      <c r="H67" s="192">
        <v>0</v>
      </c>
      <c r="I67" s="191">
        <f t="shared" si="3"/>
        <v>119</v>
      </c>
      <c r="J67" s="192">
        <v>0</v>
      </c>
      <c r="K67" s="191">
        <f t="shared" si="4"/>
        <v>143</v>
      </c>
      <c r="L67" s="192">
        <v>0</v>
      </c>
      <c r="M67" s="193">
        <f t="shared" si="5"/>
        <v>167</v>
      </c>
      <c r="N67" s="194">
        <v>0</v>
      </c>
      <c r="P67" s="181"/>
    </row>
  </sheetData>
  <phoneticPr fontId="4"/>
  <pageMargins left="1.1811023622047245" right="0.70866141732283472" top="0.59055118110236227" bottom="0.39370078740157483" header="0.39370078740157483" footer="0.11811023622047245"/>
  <pageSetup paperSize="9" scale="67" orientation="landscape" horizontalDpi="1200" verticalDpi="1200" r:id="rId1"/>
  <headerFooter scaleWithDoc="0" alignWithMargins="0">
    <oddFooter>&amp;C&amp;"ＭＳ Ｐゴシック,標準"&amp;9( &amp;P / &amp;N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Z68"/>
  <sheetViews>
    <sheetView showGridLines="0" zoomScale="90" zoomScaleNormal="90" workbookViewId="0"/>
  </sheetViews>
  <sheetFormatPr defaultColWidth="10.28515625" defaultRowHeight="15" customHeight="1"/>
  <cols>
    <col min="1" max="1" width="20.140625" style="210" customWidth="1"/>
    <col min="2" max="2" width="42.7109375" style="210" customWidth="1"/>
    <col min="3" max="5" width="24.7109375" style="210" customWidth="1"/>
    <col min="6" max="16384" width="10.28515625" style="210"/>
  </cols>
  <sheetData>
    <row r="1" spans="1:26" ht="18" customHeight="1">
      <c r="A1" s="207" t="s">
        <v>109</v>
      </c>
      <c r="B1" s="208"/>
      <c r="C1" s="208"/>
      <c r="D1" s="208"/>
      <c r="E1" s="209"/>
    </row>
    <row r="2" spans="1:26" ht="15" customHeight="1">
      <c r="A2" s="211"/>
      <c r="B2" s="212"/>
      <c r="C2" s="212"/>
      <c r="D2" s="212"/>
      <c r="E2" s="213" t="s">
        <v>110</v>
      </c>
    </row>
    <row r="3" spans="1:26" ht="15" customHeight="1">
      <c r="A3" s="214" t="s">
        <v>111</v>
      </c>
      <c r="B3" s="215" t="s">
        <v>112</v>
      </c>
      <c r="C3" s="216" t="s">
        <v>113</v>
      </c>
      <c r="D3" s="216"/>
      <c r="E3" s="217"/>
      <c r="Z3" s="218"/>
    </row>
    <row r="4" spans="1:26" ht="21" customHeight="1">
      <c r="A4" s="219"/>
      <c r="B4" s="220"/>
      <c r="C4" s="221" t="s">
        <v>114</v>
      </c>
      <c r="D4" s="222" t="s">
        <v>115</v>
      </c>
      <c r="E4" s="223" t="s">
        <v>116</v>
      </c>
      <c r="Z4" s="218"/>
    </row>
    <row r="5" spans="1:26" ht="15" customHeight="1">
      <c r="A5" s="224" t="s">
        <v>117</v>
      </c>
      <c r="B5" s="225" t="s">
        <v>118</v>
      </c>
      <c r="C5" s="226" t="s">
        <v>119</v>
      </c>
      <c r="D5" s="226" t="s">
        <v>119</v>
      </c>
      <c r="E5" s="227" t="s">
        <v>119</v>
      </c>
      <c r="F5" s="218"/>
      <c r="G5" s="218"/>
      <c r="H5" s="218"/>
      <c r="I5" s="218"/>
      <c r="J5" s="218"/>
      <c r="K5" s="218"/>
      <c r="L5" s="218"/>
      <c r="M5" s="218"/>
      <c r="N5" s="218"/>
      <c r="O5" s="218"/>
      <c r="P5" s="218"/>
      <c r="Q5" s="218"/>
      <c r="R5" s="218"/>
      <c r="S5" s="218"/>
      <c r="T5" s="218"/>
      <c r="U5" s="218"/>
      <c r="V5" s="218"/>
      <c r="W5" s="218"/>
      <c r="X5" s="218"/>
      <c r="Y5" s="218"/>
      <c r="Z5" s="218"/>
    </row>
    <row r="6" spans="1:26" ht="15" customHeight="1">
      <c r="A6" s="228" t="s">
        <v>120</v>
      </c>
      <c r="B6" s="229" t="s">
        <v>121</v>
      </c>
      <c r="C6" s="230" t="s">
        <v>122</v>
      </c>
      <c r="D6" s="230" t="s">
        <v>122</v>
      </c>
      <c r="E6" s="231" t="s">
        <v>122</v>
      </c>
      <c r="F6" s="218"/>
      <c r="G6" s="218"/>
      <c r="H6" s="218"/>
      <c r="I6" s="218"/>
      <c r="J6" s="218"/>
      <c r="K6" s="218"/>
      <c r="L6" s="218"/>
      <c r="M6" s="218"/>
      <c r="N6" s="218"/>
      <c r="O6" s="218"/>
      <c r="P6" s="218"/>
      <c r="Q6" s="218"/>
      <c r="R6" s="218"/>
      <c r="S6" s="218"/>
      <c r="T6" s="218"/>
      <c r="U6" s="218"/>
      <c r="V6" s="218"/>
      <c r="W6" s="218"/>
      <c r="X6" s="218"/>
      <c r="Y6" s="218"/>
      <c r="Z6" s="218"/>
    </row>
    <row r="7" spans="1:26" ht="15" customHeight="1">
      <c r="A7" s="228" t="s">
        <v>123</v>
      </c>
      <c r="B7" s="229" t="s">
        <v>124</v>
      </c>
      <c r="C7" s="230" t="s">
        <v>122</v>
      </c>
      <c r="D7" s="230" t="s">
        <v>122</v>
      </c>
      <c r="E7" s="231" t="s">
        <v>122</v>
      </c>
      <c r="F7" s="218"/>
      <c r="G7" s="218"/>
      <c r="H7" s="218"/>
      <c r="I7" s="218"/>
      <c r="J7" s="218"/>
      <c r="K7" s="218"/>
      <c r="L7" s="218"/>
      <c r="M7" s="218"/>
      <c r="N7" s="218"/>
      <c r="O7" s="218"/>
      <c r="P7" s="218"/>
      <c r="Q7" s="218"/>
      <c r="R7" s="218"/>
      <c r="S7" s="218"/>
      <c r="T7" s="218"/>
      <c r="U7" s="218"/>
      <c r="V7" s="218"/>
      <c r="W7" s="218"/>
      <c r="X7" s="218"/>
      <c r="Y7" s="218"/>
      <c r="Z7" s="218"/>
    </row>
    <row r="8" spans="1:26" ht="15" customHeight="1">
      <c r="A8" s="228" t="s">
        <v>125</v>
      </c>
      <c r="B8" s="229" t="s">
        <v>126</v>
      </c>
      <c r="C8" s="230" t="s">
        <v>127</v>
      </c>
      <c r="D8" s="230" t="s">
        <v>127</v>
      </c>
      <c r="E8" s="231" t="s">
        <v>127</v>
      </c>
      <c r="F8" s="218"/>
      <c r="G8" s="218"/>
      <c r="H8" s="218"/>
      <c r="I8" s="218"/>
      <c r="J8" s="218"/>
      <c r="K8" s="218"/>
      <c r="L8" s="218"/>
      <c r="M8" s="218"/>
      <c r="N8" s="218"/>
      <c r="O8" s="218"/>
      <c r="P8" s="218"/>
      <c r="Q8" s="218"/>
      <c r="R8" s="218"/>
      <c r="S8" s="218"/>
      <c r="T8" s="218"/>
      <c r="U8" s="218"/>
      <c r="V8" s="218"/>
      <c r="W8" s="218"/>
      <c r="X8" s="218"/>
      <c r="Y8" s="218"/>
      <c r="Z8" s="218"/>
    </row>
    <row r="9" spans="1:26" ht="15" customHeight="1">
      <c r="A9" s="228" t="s">
        <v>128</v>
      </c>
      <c r="B9" s="229" t="s">
        <v>129</v>
      </c>
      <c r="C9" s="230" t="s">
        <v>119</v>
      </c>
      <c r="D9" s="230" t="s">
        <v>119</v>
      </c>
      <c r="E9" s="231" t="s">
        <v>119</v>
      </c>
      <c r="F9" s="218"/>
      <c r="G9" s="218"/>
      <c r="H9" s="218"/>
      <c r="I9" s="218"/>
      <c r="J9" s="218"/>
      <c r="K9" s="218"/>
      <c r="L9" s="218"/>
      <c r="M9" s="218"/>
      <c r="N9" s="218"/>
      <c r="O9" s="218"/>
      <c r="P9" s="218"/>
      <c r="Q9" s="218"/>
      <c r="R9" s="218"/>
      <c r="S9" s="218"/>
      <c r="T9" s="218"/>
      <c r="U9" s="218"/>
      <c r="V9" s="218"/>
      <c r="W9" s="218"/>
      <c r="X9" s="218"/>
      <c r="Y9" s="218"/>
      <c r="Z9" s="218"/>
    </row>
    <row r="10" spans="1:26" ht="15" customHeight="1">
      <c r="A10" s="228" t="s">
        <v>130</v>
      </c>
      <c r="B10" s="229" t="s">
        <v>131</v>
      </c>
      <c r="C10" s="230" t="s">
        <v>132</v>
      </c>
      <c r="D10" s="230" t="s">
        <v>119</v>
      </c>
      <c r="E10" s="231" t="s">
        <v>132</v>
      </c>
      <c r="F10" s="218"/>
      <c r="G10" s="218"/>
      <c r="H10" s="218"/>
      <c r="I10" s="218"/>
      <c r="J10" s="218"/>
      <c r="K10" s="218"/>
      <c r="L10" s="218"/>
      <c r="M10" s="218"/>
      <c r="N10" s="218"/>
      <c r="O10" s="218"/>
      <c r="P10" s="218"/>
      <c r="Q10" s="218"/>
      <c r="R10" s="218"/>
      <c r="S10" s="218"/>
      <c r="T10" s="218"/>
      <c r="U10" s="218"/>
      <c r="V10" s="218"/>
      <c r="W10" s="218"/>
      <c r="X10" s="218"/>
      <c r="Y10" s="218"/>
      <c r="Z10" s="218"/>
    </row>
    <row r="11" spans="1:26" ht="15" customHeight="1">
      <c r="A11" s="232" t="s">
        <v>133</v>
      </c>
      <c r="B11" s="229" t="s">
        <v>134</v>
      </c>
      <c r="C11" s="230" t="s">
        <v>135</v>
      </c>
      <c r="D11" s="230" t="s">
        <v>136</v>
      </c>
      <c r="E11" s="231" t="s">
        <v>136</v>
      </c>
      <c r="F11" s="218"/>
      <c r="G11" s="218"/>
      <c r="H11" s="218"/>
      <c r="I11" s="218"/>
      <c r="J11" s="218"/>
      <c r="K11" s="218"/>
      <c r="L11" s="218"/>
      <c r="M11" s="218"/>
      <c r="N11" s="218"/>
      <c r="O11" s="218"/>
      <c r="P11" s="218"/>
      <c r="Q11" s="218"/>
      <c r="R11" s="218"/>
      <c r="S11" s="218"/>
      <c r="T11" s="218"/>
      <c r="U11" s="218"/>
      <c r="V11" s="218"/>
      <c r="W11" s="218"/>
      <c r="X11" s="218"/>
      <c r="Y11" s="218"/>
      <c r="Z11" s="218"/>
    </row>
    <row r="12" spans="1:26" ht="15" customHeight="1">
      <c r="A12" s="232" t="s">
        <v>137</v>
      </c>
      <c r="B12" s="229" t="s">
        <v>137</v>
      </c>
      <c r="C12" s="230" t="s">
        <v>136</v>
      </c>
      <c r="D12" s="230" t="s">
        <v>136</v>
      </c>
      <c r="E12" s="231" t="s">
        <v>136</v>
      </c>
      <c r="F12" s="218"/>
      <c r="G12" s="218"/>
      <c r="H12" s="218"/>
      <c r="I12" s="218"/>
      <c r="J12" s="218"/>
      <c r="K12" s="218"/>
      <c r="L12" s="218"/>
      <c r="M12" s="218"/>
      <c r="N12" s="218"/>
      <c r="O12" s="218"/>
      <c r="P12" s="218"/>
      <c r="Q12" s="218"/>
      <c r="R12" s="218"/>
      <c r="S12" s="218"/>
      <c r="T12" s="218"/>
      <c r="U12" s="218"/>
      <c r="V12" s="218"/>
      <c r="W12" s="218"/>
      <c r="X12" s="218"/>
      <c r="Y12" s="218"/>
      <c r="Z12" s="218"/>
    </row>
    <row r="13" spans="1:26" ht="15" customHeight="1">
      <c r="A13" s="232" t="s">
        <v>138</v>
      </c>
      <c r="B13" s="229" t="s">
        <v>139</v>
      </c>
      <c r="C13" s="230" t="s">
        <v>135</v>
      </c>
      <c r="D13" s="230" t="s">
        <v>136</v>
      </c>
      <c r="E13" s="231" t="s">
        <v>136</v>
      </c>
      <c r="F13" s="218"/>
      <c r="G13" s="218"/>
      <c r="H13" s="218"/>
      <c r="I13" s="218"/>
      <c r="J13" s="218"/>
      <c r="K13" s="218"/>
      <c r="L13" s="218"/>
      <c r="M13" s="218"/>
      <c r="N13" s="218"/>
      <c r="O13" s="218"/>
      <c r="P13" s="218"/>
      <c r="Q13" s="218"/>
      <c r="R13" s="218"/>
      <c r="S13" s="218"/>
      <c r="T13" s="218"/>
      <c r="U13" s="218"/>
      <c r="V13" s="218"/>
      <c r="W13" s="218"/>
      <c r="X13" s="218"/>
      <c r="Y13" s="218"/>
      <c r="Z13" s="218"/>
    </row>
    <row r="14" spans="1:26" ht="15" customHeight="1">
      <c r="A14" s="228" t="s">
        <v>140</v>
      </c>
      <c r="B14" s="229" t="s">
        <v>141</v>
      </c>
      <c r="C14" s="230" t="s">
        <v>135</v>
      </c>
      <c r="D14" s="230" t="s">
        <v>136</v>
      </c>
      <c r="E14" s="231" t="s">
        <v>136</v>
      </c>
      <c r="F14" s="218"/>
      <c r="G14" s="218"/>
      <c r="H14" s="218"/>
      <c r="I14" s="218"/>
      <c r="J14" s="218"/>
      <c r="K14" s="218"/>
      <c r="L14" s="218"/>
      <c r="M14" s="218"/>
      <c r="N14" s="218"/>
      <c r="O14" s="218"/>
      <c r="P14" s="218"/>
      <c r="Q14" s="218"/>
      <c r="R14" s="218"/>
      <c r="S14" s="218"/>
      <c r="T14" s="218"/>
      <c r="U14" s="218"/>
      <c r="V14" s="218"/>
      <c r="W14" s="218"/>
      <c r="X14" s="218"/>
      <c r="Y14" s="218"/>
      <c r="Z14" s="218"/>
    </row>
    <row r="15" spans="1:26" ht="15" customHeight="1">
      <c r="A15" s="228" t="s">
        <v>142</v>
      </c>
      <c r="B15" s="229" t="s">
        <v>143</v>
      </c>
      <c r="C15" s="230" t="s">
        <v>144</v>
      </c>
      <c r="D15" s="230" t="s">
        <v>144</v>
      </c>
      <c r="E15" s="231" t="s">
        <v>144</v>
      </c>
      <c r="F15" s="218"/>
      <c r="G15" s="218"/>
      <c r="H15" s="218"/>
      <c r="I15" s="218"/>
      <c r="J15" s="218"/>
      <c r="K15" s="218"/>
      <c r="L15" s="218"/>
      <c r="M15" s="218"/>
      <c r="N15" s="218"/>
      <c r="O15" s="218"/>
      <c r="P15" s="218"/>
      <c r="Q15" s="218"/>
      <c r="R15" s="218"/>
      <c r="S15" s="218"/>
      <c r="T15" s="218"/>
      <c r="U15" s="218"/>
      <c r="V15" s="218"/>
      <c r="W15" s="218"/>
      <c r="X15" s="218"/>
      <c r="Y15" s="218"/>
      <c r="Z15" s="218"/>
    </row>
    <row r="16" spans="1:26" ht="15" customHeight="1">
      <c r="A16" s="228" t="s">
        <v>145</v>
      </c>
      <c r="B16" s="229" t="s">
        <v>146</v>
      </c>
      <c r="C16" s="230" t="s">
        <v>135</v>
      </c>
      <c r="D16" s="230" t="s">
        <v>144</v>
      </c>
      <c r="E16" s="231" t="s">
        <v>144</v>
      </c>
      <c r="F16" s="218"/>
      <c r="G16" s="218"/>
      <c r="H16" s="218"/>
      <c r="I16" s="218"/>
      <c r="J16" s="218"/>
      <c r="K16" s="218"/>
      <c r="L16" s="218"/>
      <c r="M16" s="218"/>
      <c r="N16" s="218"/>
      <c r="O16" s="218"/>
      <c r="P16" s="218"/>
      <c r="Q16" s="218"/>
      <c r="R16" s="218"/>
      <c r="S16" s="218"/>
      <c r="T16" s="218"/>
      <c r="U16" s="218"/>
      <c r="V16" s="218"/>
      <c r="W16" s="218"/>
      <c r="X16" s="218"/>
      <c r="Y16" s="218"/>
      <c r="Z16" s="218"/>
    </row>
    <row r="17" spans="1:26" ht="15" customHeight="1">
      <c r="A17" s="228" t="s">
        <v>147</v>
      </c>
      <c r="B17" s="229" t="s">
        <v>148</v>
      </c>
      <c r="C17" s="230" t="s">
        <v>149</v>
      </c>
      <c r="D17" s="230" t="s">
        <v>149</v>
      </c>
      <c r="E17" s="231" t="s">
        <v>149</v>
      </c>
      <c r="F17" s="218"/>
      <c r="G17" s="218"/>
      <c r="H17" s="218"/>
      <c r="I17" s="218"/>
      <c r="J17" s="218"/>
      <c r="K17" s="218"/>
      <c r="L17" s="218"/>
      <c r="M17" s="218"/>
      <c r="N17" s="218"/>
      <c r="O17" s="218"/>
      <c r="P17" s="218"/>
      <c r="Q17" s="218"/>
      <c r="R17" s="218"/>
      <c r="S17" s="218"/>
      <c r="T17" s="218"/>
      <c r="U17" s="218"/>
      <c r="V17" s="218"/>
      <c r="W17" s="218"/>
      <c r="X17" s="218"/>
      <c r="Y17" s="218"/>
      <c r="Z17" s="218"/>
    </row>
    <row r="18" spans="1:26" ht="15" customHeight="1">
      <c r="A18" s="232" t="s">
        <v>150</v>
      </c>
      <c r="B18" s="229" t="s">
        <v>151</v>
      </c>
      <c r="C18" s="230" t="s">
        <v>152</v>
      </c>
      <c r="D18" s="230" t="s">
        <v>152</v>
      </c>
      <c r="E18" s="231" t="s">
        <v>152</v>
      </c>
      <c r="F18" s="218"/>
      <c r="G18" s="218"/>
      <c r="H18" s="218"/>
      <c r="I18" s="218"/>
      <c r="J18" s="218"/>
      <c r="K18" s="218"/>
      <c r="L18" s="218"/>
      <c r="M18" s="218"/>
      <c r="N18" s="218"/>
      <c r="O18" s="218"/>
      <c r="P18" s="218"/>
      <c r="Q18" s="218"/>
      <c r="R18" s="218"/>
      <c r="S18" s="218"/>
      <c r="T18" s="218"/>
      <c r="U18" s="218"/>
      <c r="V18" s="218"/>
      <c r="W18" s="218"/>
      <c r="X18" s="218"/>
      <c r="Y18" s="218"/>
      <c r="Z18" s="218"/>
    </row>
    <row r="19" spans="1:26" ht="15" customHeight="1">
      <c r="A19" s="232"/>
      <c r="B19" s="229"/>
      <c r="C19" s="230"/>
      <c r="D19" s="230"/>
      <c r="E19" s="231"/>
      <c r="F19" s="218"/>
      <c r="G19" s="218"/>
      <c r="H19" s="218"/>
      <c r="I19" s="218"/>
      <c r="J19" s="218"/>
      <c r="K19" s="218"/>
      <c r="L19" s="218"/>
      <c r="M19" s="218"/>
      <c r="N19" s="218"/>
      <c r="O19" s="218"/>
      <c r="P19" s="218"/>
      <c r="Q19" s="218"/>
      <c r="R19" s="218"/>
      <c r="S19" s="218"/>
      <c r="T19" s="218"/>
      <c r="U19" s="218"/>
      <c r="V19" s="218"/>
      <c r="W19" s="218"/>
      <c r="X19" s="218"/>
      <c r="Y19" s="218"/>
      <c r="Z19" s="218"/>
    </row>
    <row r="20" spans="1:26" ht="15" customHeight="1">
      <c r="A20" s="232"/>
      <c r="B20" s="229"/>
      <c r="C20" s="230"/>
      <c r="D20" s="230"/>
      <c r="E20" s="231"/>
      <c r="F20" s="218"/>
      <c r="G20" s="218"/>
      <c r="H20" s="218"/>
      <c r="I20" s="218"/>
      <c r="J20" s="218"/>
      <c r="K20" s="218"/>
      <c r="L20" s="218"/>
      <c r="M20" s="218"/>
      <c r="N20" s="218"/>
      <c r="O20" s="218"/>
      <c r="P20" s="218"/>
      <c r="Q20" s="218"/>
      <c r="R20" s="218"/>
      <c r="S20" s="218"/>
      <c r="T20" s="218"/>
      <c r="U20" s="218"/>
      <c r="V20" s="218"/>
      <c r="W20" s="218"/>
      <c r="X20" s="218"/>
      <c r="Y20" s="218"/>
      <c r="Z20" s="218"/>
    </row>
    <row r="21" spans="1:26" ht="15" customHeight="1">
      <c r="A21" s="232"/>
      <c r="B21" s="229"/>
      <c r="C21" s="230"/>
      <c r="D21" s="230"/>
      <c r="E21" s="231"/>
      <c r="F21" s="218"/>
      <c r="G21" s="218"/>
      <c r="H21" s="218"/>
      <c r="I21" s="218"/>
      <c r="J21" s="218"/>
      <c r="K21" s="218"/>
      <c r="L21" s="218"/>
      <c r="M21" s="218"/>
      <c r="N21" s="218"/>
      <c r="O21" s="218"/>
      <c r="P21" s="218"/>
      <c r="Q21" s="218"/>
      <c r="R21" s="218"/>
      <c r="S21" s="218"/>
      <c r="T21" s="218"/>
      <c r="U21" s="218"/>
      <c r="V21" s="218"/>
      <c r="W21" s="218"/>
      <c r="X21" s="218"/>
      <c r="Y21" s="218"/>
      <c r="Z21" s="218"/>
    </row>
    <row r="22" spans="1:26" ht="15" customHeight="1">
      <c r="A22" s="228"/>
      <c r="B22" s="229"/>
      <c r="C22" s="230"/>
      <c r="D22" s="230"/>
      <c r="E22" s="231"/>
      <c r="F22" s="218"/>
      <c r="G22" s="218"/>
      <c r="H22" s="218"/>
      <c r="I22" s="218"/>
      <c r="J22" s="218"/>
      <c r="K22" s="218"/>
      <c r="L22" s="218"/>
      <c r="M22" s="218"/>
      <c r="N22" s="218"/>
      <c r="O22" s="218"/>
      <c r="P22" s="218"/>
      <c r="Q22" s="218"/>
      <c r="R22" s="218"/>
      <c r="S22" s="218"/>
      <c r="T22" s="218"/>
      <c r="U22" s="218"/>
      <c r="V22" s="218"/>
      <c r="W22" s="218"/>
      <c r="X22" s="218"/>
      <c r="Y22" s="218"/>
      <c r="Z22" s="218"/>
    </row>
    <row r="23" spans="1:26" ht="15" customHeight="1">
      <c r="A23" s="228"/>
      <c r="B23" s="229"/>
      <c r="C23" s="230"/>
      <c r="D23" s="230"/>
      <c r="E23" s="231"/>
      <c r="F23" s="218"/>
      <c r="G23" s="218"/>
      <c r="H23" s="218"/>
      <c r="I23" s="218"/>
      <c r="J23" s="218"/>
      <c r="K23" s="218"/>
      <c r="L23" s="218"/>
      <c r="M23" s="218"/>
      <c r="N23" s="218"/>
      <c r="O23" s="218"/>
      <c r="P23" s="218"/>
      <c r="Q23" s="218"/>
      <c r="R23" s="218"/>
      <c r="S23" s="218"/>
      <c r="T23" s="218"/>
      <c r="U23" s="218"/>
      <c r="V23" s="218"/>
      <c r="W23" s="218"/>
      <c r="X23" s="218"/>
      <c r="Y23" s="218"/>
      <c r="Z23" s="218"/>
    </row>
    <row r="24" spans="1:26" ht="15" customHeight="1">
      <c r="A24" s="232"/>
      <c r="B24" s="229"/>
      <c r="C24" s="230"/>
      <c r="D24" s="230"/>
      <c r="E24" s="231"/>
      <c r="F24" s="218"/>
      <c r="G24" s="218"/>
      <c r="H24" s="218"/>
      <c r="I24" s="218"/>
      <c r="J24" s="218"/>
      <c r="K24" s="218"/>
      <c r="L24" s="218"/>
      <c r="M24" s="218"/>
      <c r="N24" s="218"/>
      <c r="O24" s="218"/>
      <c r="P24" s="218"/>
      <c r="Q24" s="218"/>
      <c r="R24" s="218"/>
      <c r="S24" s="218"/>
      <c r="T24" s="218"/>
      <c r="U24" s="218"/>
      <c r="V24" s="218"/>
      <c r="W24" s="218"/>
      <c r="X24" s="218"/>
      <c r="Y24" s="218"/>
      <c r="Z24" s="218"/>
    </row>
    <row r="25" spans="1:26" ht="15" customHeight="1">
      <c r="A25" s="232"/>
      <c r="B25" s="229"/>
      <c r="C25" s="230"/>
      <c r="D25" s="230"/>
      <c r="E25" s="231"/>
      <c r="F25" s="218"/>
      <c r="G25" s="218"/>
      <c r="H25" s="218"/>
      <c r="I25" s="218"/>
      <c r="J25" s="218"/>
      <c r="K25" s="218"/>
      <c r="L25" s="218"/>
      <c r="M25" s="218"/>
      <c r="N25" s="218"/>
      <c r="O25" s="218"/>
      <c r="P25" s="218"/>
      <c r="Q25" s="218"/>
      <c r="R25" s="218"/>
      <c r="S25" s="218"/>
      <c r="T25" s="218"/>
      <c r="U25" s="218"/>
      <c r="V25" s="218"/>
      <c r="W25" s="218"/>
      <c r="X25" s="218"/>
      <c r="Y25" s="218"/>
      <c r="Z25" s="218"/>
    </row>
    <row r="26" spans="1:26" s="218" customFormat="1" ht="15" customHeight="1">
      <c r="A26" s="232"/>
      <c r="B26" s="229"/>
      <c r="C26" s="230"/>
      <c r="D26" s="230"/>
      <c r="E26" s="231"/>
    </row>
    <row r="27" spans="1:26" ht="15" customHeight="1">
      <c r="A27" s="232"/>
      <c r="B27" s="229"/>
      <c r="C27" s="230"/>
      <c r="D27" s="230"/>
      <c r="E27" s="231"/>
      <c r="Z27" s="218"/>
    </row>
    <row r="28" spans="1:26" ht="15" customHeight="1">
      <c r="A28" s="232"/>
      <c r="B28" s="229"/>
      <c r="C28" s="230"/>
      <c r="D28" s="230"/>
      <c r="E28" s="231"/>
      <c r="Z28" s="218"/>
    </row>
    <row r="29" spans="1:26" ht="15" customHeight="1">
      <c r="A29" s="232"/>
      <c r="B29" s="229"/>
      <c r="C29" s="230"/>
      <c r="D29" s="230"/>
      <c r="E29" s="231"/>
      <c r="Z29" s="218"/>
    </row>
    <row r="30" spans="1:26" ht="15" customHeight="1">
      <c r="A30" s="233"/>
      <c r="B30" s="218"/>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row>
    <row r="31" spans="1:26" ht="15" customHeight="1">
      <c r="A31" s="233"/>
      <c r="B31" s="218"/>
      <c r="C31" s="218"/>
      <c r="D31" s="218"/>
      <c r="E31" s="218"/>
      <c r="F31" s="218"/>
      <c r="G31" s="218"/>
      <c r="H31" s="218"/>
      <c r="I31" s="218"/>
      <c r="J31" s="218"/>
      <c r="K31" s="218"/>
      <c r="L31" s="218"/>
      <c r="M31" s="218"/>
      <c r="N31" s="218"/>
      <c r="O31" s="218"/>
      <c r="P31" s="218"/>
      <c r="Q31" s="218"/>
      <c r="R31" s="218"/>
      <c r="S31" s="218"/>
      <c r="T31" s="218"/>
      <c r="U31" s="218"/>
      <c r="V31" s="218"/>
      <c r="W31" s="218"/>
      <c r="X31" s="218"/>
      <c r="Y31" s="218"/>
      <c r="Z31" s="218"/>
    </row>
    <row r="32" spans="1:26" ht="15" customHeight="1">
      <c r="A32" s="233"/>
      <c r="B32" s="218"/>
      <c r="C32" s="218"/>
      <c r="D32" s="218"/>
      <c r="E32" s="218"/>
      <c r="F32" s="218"/>
      <c r="G32" s="218"/>
      <c r="H32" s="218"/>
      <c r="I32" s="218"/>
      <c r="J32" s="218"/>
      <c r="K32" s="218"/>
      <c r="L32" s="218"/>
      <c r="M32" s="218"/>
      <c r="N32" s="218"/>
      <c r="O32" s="218"/>
      <c r="P32" s="218"/>
      <c r="Q32" s="218"/>
      <c r="R32" s="218"/>
      <c r="S32" s="218"/>
      <c r="T32" s="218"/>
      <c r="U32" s="218"/>
      <c r="V32" s="218"/>
      <c r="W32" s="218"/>
      <c r="X32" s="218"/>
      <c r="Y32" s="218"/>
      <c r="Z32" s="218"/>
    </row>
    <row r="33" spans="1:26" ht="15" customHeight="1">
      <c r="A33" s="233"/>
      <c r="B33" s="218"/>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row>
    <row r="34" spans="1:26" ht="15" customHeight="1">
      <c r="A34" s="233"/>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row>
    <row r="35" spans="1:26" ht="15" customHeight="1">
      <c r="A35" s="233"/>
      <c r="B35" s="218"/>
      <c r="C35" s="218"/>
      <c r="D35" s="218"/>
      <c r="E35" s="218"/>
      <c r="F35" s="218"/>
      <c r="G35" s="218"/>
      <c r="H35" s="218"/>
      <c r="I35" s="218"/>
      <c r="J35" s="218"/>
      <c r="K35" s="218"/>
      <c r="L35" s="218"/>
      <c r="M35" s="218"/>
      <c r="N35" s="218"/>
      <c r="O35" s="218"/>
      <c r="P35" s="218"/>
      <c r="Q35" s="218"/>
      <c r="R35" s="218"/>
      <c r="S35" s="218"/>
      <c r="T35" s="218"/>
      <c r="U35" s="218"/>
      <c r="V35" s="218"/>
      <c r="W35" s="218"/>
      <c r="X35" s="218"/>
      <c r="Y35" s="218"/>
      <c r="Z35" s="218"/>
    </row>
    <row r="36" spans="1:26" ht="15" customHeight="1">
      <c r="A36" s="233"/>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row>
    <row r="37" spans="1:26" ht="15" customHeight="1">
      <c r="A37" s="233"/>
      <c r="B37" s="218"/>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row>
    <row r="38" spans="1:26" ht="15" customHeight="1">
      <c r="A38" s="233"/>
      <c r="B38" s="218"/>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8"/>
    </row>
    <row r="39" spans="1:26" ht="15" customHeight="1">
      <c r="A39" s="233"/>
      <c r="B39" s="218"/>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row>
    <row r="40" spans="1:26" ht="15" customHeight="1">
      <c r="A40" s="233"/>
      <c r="B40" s="218"/>
      <c r="C40" s="218"/>
      <c r="D40" s="218"/>
      <c r="E40" s="218"/>
      <c r="F40" s="218"/>
      <c r="G40" s="218"/>
      <c r="H40" s="218"/>
      <c r="I40" s="218"/>
      <c r="J40" s="218"/>
      <c r="K40" s="218"/>
      <c r="L40" s="218"/>
      <c r="M40" s="218"/>
      <c r="N40" s="218"/>
      <c r="O40" s="218"/>
      <c r="P40" s="218"/>
      <c r="Q40" s="218"/>
      <c r="R40" s="218"/>
      <c r="S40" s="218"/>
      <c r="T40" s="218"/>
      <c r="U40" s="218"/>
      <c r="V40" s="218"/>
      <c r="W40" s="218"/>
      <c r="X40" s="218"/>
      <c r="Y40" s="218"/>
      <c r="Z40" s="218"/>
    </row>
    <row r="41" spans="1:26" ht="15" customHeight="1">
      <c r="A41" s="233"/>
      <c r="B41" s="218"/>
      <c r="C41" s="218"/>
      <c r="D41" s="218"/>
      <c r="E41" s="218"/>
      <c r="F41" s="218"/>
      <c r="G41" s="218"/>
      <c r="H41" s="218"/>
      <c r="I41" s="218"/>
      <c r="J41" s="218"/>
      <c r="K41" s="218"/>
      <c r="L41" s="218"/>
      <c r="M41" s="218"/>
      <c r="N41" s="218"/>
      <c r="O41" s="218"/>
      <c r="P41" s="218"/>
      <c r="Q41" s="218"/>
      <c r="R41" s="218"/>
      <c r="S41" s="218"/>
      <c r="T41" s="218"/>
      <c r="U41" s="218"/>
      <c r="V41" s="218"/>
      <c r="W41" s="218"/>
      <c r="X41" s="218"/>
      <c r="Y41" s="218"/>
      <c r="Z41" s="218"/>
    </row>
    <row r="42" spans="1:26" ht="15" customHeight="1">
      <c r="A42" s="233"/>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row>
    <row r="43" spans="1:26" ht="15" customHeight="1">
      <c r="A43" s="233"/>
      <c r="B43" s="218"/>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row>
    <row r="44" spans="1:26" ht="15" customHeight="1">
      <c r="A44" s="233"/>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row>
    <row r="45" spans="1:26" ht="15" customHeight="1">
      <c r="A45" s="233"/>
      <c r="B45" s="218"/>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row>
    <row r="46" spans="1:26" ht="15" customHeight="1">
      <c r="A46" s="233"/>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row>
    <row r="47" spans="1:26" ht="15" customHeight="1">
      <c r="A47" s="234"/>
      <c r="B47" s="235"/>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18"/>
    </row>
    <row r="48" spans="1:26" ht="15" customHeight="1">
      <c r="Z48" s="218"/>
    </row>
    <row r="49" spans="1:26" ht="15" customHeight="1">
      <c r="Z49" s="218"/>
    </row>
    <row r="50" spans="1:26" ht="15" customHeight="1">
      <c r="Z50" s="218"/>
    </row>
    <row r="51" spans="1:26" ht="15" customHeight="1">
      <c r="A51" s="233"/>
      <c r="B51" s="218"/>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row>
    <row r="52" spans="1:26" ht="15" customHeight="1">
      <c r="A52" s="233"/>
      <c r="B52" s="218"/>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row>
    <row r="53" spans="1:26" ht="15" customHeight="1">
      <c r="A53" s="233"/>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row>
    <row r="54" spans="1:26" ht="15" customHeight="1">
      <c r="A54" s="233"/>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row>
    <row r="55" spans="1:26" ht="15" customHeight="1">
      <c r="A55" s="233"/>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row>
    <row r="56" spans="1:26" ht="15" customHeight="1">
      <c r="A56" s="233"/>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row>
    <row r="57" spans="1:26" ht="15" customHeight="1">
      <c r="A57" s="233"/>
      <c r="B57" s="218"/>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row>
    <row r="58" spans="1:26" ht="15" customHeight="1">
      <c r="A58" s="233"/>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row>
    <row r="59" spans="1:26" ht="15" customHeight="1">
      <c r="A59" s="233"/>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row>
    <row r="60" spans="1:26" ht="15" customHeight="1">
      <c r="A60" s="233"/>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row>
    <row r="61" spans="1:26" ht="15" customHeight="1">
      <c r="A61" s="233"/>
      <c r="B61" s="218"/>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row>
    <row r="62" spans="1:26" ht="15" customHeight="1">
      <c r="A62" s="233"/>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row>
    <row r="63" spans="1:26" ht="15" customHeight="1">
      <c r="A63" s="233"/>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15" customHeight="1">
      <c r="A64" s="233"/>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15" customHeight="1">
      <c r="A65" s="233"/>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15" customHeight="1">
      <c r="A66" s="233"/>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15" customHeight="1">
      <c r="A67" s="233"/>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15" customHeight="1">
      <c r="A68" s="234"/>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18"/>
    </row>
  </sheetData>
  <mergeCells count="3">
    <mergeCell ref="A3:A4"/>
    <mergeCell ref="B3:B4"/>
    <mergeCell ref="C3:E3"/>
  </mergeCells>
  <phoneticPr fontId="4"/>
  <printOptions horizontalCentered="1"/>
  <pageMargins left="0.74803149606299213" right="0.74803149606299213" top="0.98425196850393704" bottom="0.98425196850393704" header="0.78740157480314965" footer="0.51181102362204722"/>
  <pageSetup paperSize="9" fitToHeight="0" orientation="landscape" horizontalDpi="400" verticalDpi="400" r:id="rId1"/>
  <headerFooter scaleWithDoc="0" alignWithMargins="0">
    <oddFooter>&amp;C&amp;"ＭＳ Ｐゴシック,標準"&amp;9( &amp;P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52</vt:i4>
      </vt:variant>
      <vt:variant>
        <vt:lpstr>名前付き一覧</vt:lpstr>
      </vt:variant>
      <vt:variant>
        <vt:i4>115</vt:i4>
      </vt:variant>
    </vt:vector>
  </HeadingPairs>
  <TitlesOfParts>
    <vt:vector size="167" baseType="lpstr">
      <vt:lpstr>表紙</vt:lpstr>
      <vt:lpstr>外界条件</vt:lpstr>
      <vt:lpstr>位置情報</vt:lpstr>
      <vt:lpstr>外気温度等</vt:lpstr>
      <vt:lpstr>ETD(OW1)</vt:lpstr>
      <vt:lpstr>ETD(OW2)</vt:lpstr>
      <vt:lpstr>ETD(OR1)</vt:lpstr>
      <vt:lpstr>ETD(OR2)</vt:lpstr>
      <vt:lpstr>非空調室温度</vt:lpstr>
      <vt:lpstr>ガラス日射（標準）</vt:lpstr>
      <vt:lpstr>ガラス日射（2F-E）</vt:lpstr>
      <vt:lpstr>熱貫流率</vt:lpstr>
      <vt:lpstr>熱貫流率表</vt:lpstr>
      <vt:lpstr>各室熱負荷</vt:lpstr>
      <vt:lpstr>B102</vt:lpstr>
      <vt:lpstr>101</vt:lpstr>
      <vt:lpstr>102</vt:lpstr>
      <vt:lpstr>104</vt:lpstr>
      <vt:lpstr>201</vt:lpstr>
      <vt:lpstr>204</vt:lpstr>
      <vt:lpstr>205</vt:lpstr>
      <vt:lpstr>208</vt:lpstr>
      <vt:lpstr>209</vt:lpstr>
      <vt:lpstr>210</vt:lpstr>
      <vt:lpstr>211</vt:lpstr>
      <vt:lpstr>202</vt:lpstr>
      <vt:lpstr>202OA</vt:lpstr>
      <vt:lpstr>系統別集計</vt:lpstr>
      <vt:lpstr>BM-1系統集計表</vt:lpstr>
      <vt:lpstr>BM-2系統集計表</vt:lpstr>
      <vt:lpstr>BM-3系統集計表</vt:lpstr>
      <vt:lpstr>BM-3外気処理系統集計表</vt:lpstr>
      <vt:lpstr>BM-3外気処理系統空気線図</vt:lpstr>
      <vt:lpstr>AHU-1系統集計表</vt:lpstr>
      <vt:lpstr>AHU-1系統空気線図</vt:lpstr>
      <vt:lpstr>OAHU-1系統集計表</vt:lpstr>
      <vt:lpstr>OAHU-1系統空気線図</vt:lpstr>
      <vt:lpstr>個別系統集計表</vt:lpstr>
      <vt:lpstr>熱源集計</vt:lpstr>
      <vt:lpstr>BM-1系統冷熱源</vt:lpstr>
      <vt:lpstr>BM-2系統冷熱源</vt:lpstr>
      <vt:lpstr>BM-3系統冷熱源</vt:lpstr>
      <vt:lpstr>R-1系統冷熱源</vt:lpstr>
      <vt:lpstr>個別系統冷熱源</vt:lpstr>
      <vt:lpstr>B-1系統再熱・再生熱源</vt:lpstr>
      <vt:lpstr>BM-1系統温熱源</vt:lpstr>
      <vt:lpstr>BM-2系統温熱源</vt:lpstr>
      <vt:lpstr>BM-3系統温熱源</vt:lpstr>
      <vt:lpstr>B-1系統温熱源</vt:lpstr>
      <vt:lpstr>個別系統温熱源</vt:lpstr>
      <vt:lpstr>市水系統加湿源</vt:lpstr>
      <vt:lpstr>精製水系統加湿源</vt:lpstr>
      <vt:lpstr>'101'!ID</vt:lpstr>
      <vt:lpstr>'102'!ID</vt:lpstr>
      <vt:lpstr>'104'!ID</vt:lpstr>
      <vt:lpstr>'201'!ID</vt:lpstr>
      <vt:lpstr>'202'!ID</vt:lpstr>
      <vt:lpstr>'202OA'!ID</vt:lpstr>
      <vt:lpstr>'204'!ID</vt:lpstr>
      <vt:lpstr>'205'!ID</vt:lpstr>
      <vt:lpstr>'208'!ID</vt:lpstr>
      <vt:lpstr>'209'!ID</vt:lpstr>
      <vt:lpstr>'210'!ID</vt:lpstr>
      <vt:lpstr>'211'!ID</vt:lpstr>
      <vt:lpstr>'B102'!ID</vt:lpstr>
      <vt:lpstr>外界条件!ID</vt:lpstr>
      <vt:lpstr>各室熱負荷!ID</vt:lpstr>
      <vt:lpstr>系統別集計!ID</vt:lpstr>
      <vt:lpstr>熱貫流率!ID</vt:lpstr>
      <vt:lpstr>熱源集計!ID</vt:lpstr>
      <vt:lpstr>表紙!ID</vt:lpstr>
      <vt:lpstr>'101'!Print_Area</vt:lpstr>
      <vt:lpstr>'102'!Print_Area</vt:lpstr>
      <vt:lpstr>'104'!Print_Area</vt:lpstr>
      <vt:lpstr>'201'!Print_Area</vt:lpstr>
      <vt:lpstr>'202'!Print_Area</vt:lpstr>
      <vt:lpstr>'202OA'!Print_Area</vt:lpstr>
      <vt:lpstr>'204'!Print_Area</vt:lpstr>
      <vt:lpstr>'205'!Print_Area</vt:lpstr>
      <vt:lpstr>'208'!Print_Area</vt:lpstr>
      <vt:lpstr>'209'!Print_Area</vt:lpstr>
      <vt:lpstr>'210'!Print_Area</vt:lpstr>
      <vt:lpstr>'211'!Print_Area</vt:lpstr>
      <vt:lpstr>'AHU-1系統集計表'!Print_Area</vt:lpstr>
      <vt:lpstr>'B102'!Print_Area</vt:lpstr>
      <vt:lpstr>'B-1系統温熱源'!Print_Area</vt:lpstr>
      <vt:lpstr>'B-1系統再熱・再生熱源'!Print_Area</vt:lpstr>
      <vt:lpstr>'BM-1系統温熱源'!Print_Area</vt:lpstr>
      <vt:lpstr>'BM-1系統集計表'!Print_Area</vt:lpstr>
      <vt:lpstr>'BM-1系統冷熱源'!Print_Area</vt:lpstr>
      <vt:lpstr>'BM-2系統温熱源'!Print_Area</vt:lpstr>
      <vt:lpstr>'BM-2系統集計表'!Print_Area</vt:lpstr>
      <vt:lpstr>'BM-2系統冷熱源'!Print_Area</vt:lpstr>
      <vt:lpstr>'BM-3外気処理系統集計表'!Print_Area</vt:lpstr>
      <vt:lpstr>'BM-3系統温熱源'!Print_Area</vt:lpstr>
      <vt:lpstr>'BM-3系統集計表'!Print_Area</vt:lpstr>
      <vt:lpstr>'BM-3系統冷熱源'!Print_Area</vt:lpstr>
      <vt:lpstr>'OAHU-1系統集計表'!Print_Area</vt:lpstr>
      <vt:lpstr>'R-1系統冷熱源'!Print_Area</vt:lpstr>
      <vt:lpstr>'ガラス日射（2F-E）'!Print_Area</vt:lpstr>
      <vt:lpstr>'ガラス日射（標準）'!Print_Area</vt:lpstr>
      <vt:lpstr>位置情報!Print_Area</vt:lpstr>
      <vt:lpstr>外界条件!Print_Area</vt:lpstr>
      <vt:lpstr>各室熱負荷!Print_Area</vt:lpstr>
      <vt:lpstr>系統別集計!Print_Area</vt:lpstr>
      <vt:lpstr>個別系統温熱源!Print_Area</vt:lpstr>
      <vt:lpstr>個別系統集計表!Print_Area</vt:lpstr>
      <vt:lpstr>個別系統冷熱源!Print_Area</vt:lpstr>
      <vt:lpstr>市水系統加湿源!Print_Area</vt:lpstr>
      <vt:lpstr>精製水系統加湿源!Print_Area</vt:lpstr>
      <vt:lpstr>熱貫流率!Print_Area</vt:lpstr>
      <vt:lpstr>熱貫流率表!Print_Area</vt:lpstr>
      <vt:lpstr>熱源集計!Print_Area</vt:lpstr>
      <vt:lpstr>非空調室温度!Print_Area</vt:lpstr>
      <vt:lpstr>表紙!Print_Area</vt:lpstr>
      <vt:lpstr>'AHU-1系統集計表'!Print_Titles</vt:lpstr>
      <vt:lpstr>'B-1系統温熱源'!Print_Titles</vt:lpstr>
      <vt:lpstr>'B-1系統再熱・再生熱源'!Print_Titles</vt:lpstr>
      <vt:lpstr>'BM-1系統温熱源'!Print_Titles</vt:lpstr>
      <vt:lpstr>'BM-1系統集計表'!Print_Titles</vt:lpstr>
      <vt:lpstr>'BM-1系統冷熱源'!Print_Titles</vt:lpstr>
      <vt:lpstr>'BM-2系統温熱源'!Print_Titles</vt:lpstr>
      <vt:lpstr>'BM-2系統集計表'!Print_Titles</vt:lpstr>
      <vt:lpstr>'BM-2系統冷熱源'!Print_Titles</vt:lpstr>
      <vt:lpstr>'BM-3外気処理系統集計表'!Print_Titles</vt:lpstr>
      <vt:lpstr>'BM-3系統温熱源'!Print_Titles</vt:lpstr>
      <vt:lpstr>'BM-3系統集計表'!Print_Titles</vt:lpstr>
      <vt:lpstr>'BM-3系統冷熱源'!Print_Titles</vt:lpstr>
      <vt:lpstr>'OAHU-1系統集計表'!Print_Titles</vt:lpstr>
      <vt:lpstr>'R-1系統冷熱源'!Print_Titles</vt:lpstr>
      <vt:lpstr>'ガラス日射（2F-E）'!Print_Titles</vt:lpstr>
      <vt:lpstr>'ガラス日射（標準）'!Print_Titles</vt:lpstr>
      <vt:lpstr>個別系統温熱源!Print_Titles</vt:lpstr>
      <vt:lpstr>個別系統集計表!Print_Titles</vt:lpstr>
      <vt:lpstr>個別系統冷熱源!Print_Titles</vt:lpstr>
      <vt:lpstr>市水系統加湿源!Print_Titles</vt:lpstr>
      <vt:lpstr>精製水系統加湿源!Print_Titles</vt:lpstr>
      <vt:lpstr>熱貫流率表!Print_Titles</vt:lpstr>
      <vt:lpstr>表紙!会社名</vt:lpstr>
      <vt:lpstr>表紙!顧客名</vt:lpstr>
      <vt:lpstr>'101'!室NO</vt:lpstr>
      <vt:lpstr>'102'!室NO</vt:lpstr>
      <vt:lpstr>'104'!室NO</vt:lpstr>
      <vt:lpstr>'201'!室NO</vt:lpstr>
      <vt:lpstr>'202'!室NO</vt:lpstr>
      <vt:lpstr>'202OA'!室NO</vt:lpstr>
      <vt:lpstr>'204'!室NO</vt:lpstr>
      <vt:lpstr>'205'!室NO</vt:lpstr>
      <vt:lpstr>'208'!室NO</vt:lpstr>
      <vt:lpstr>'209'!室NO</vt:lpstr>
      <vt:lpstr>'210'!室NO</vt:lpstr>
      <vt:lpstr>'211'!室NO</vt:lpstr>
      <vt:lpstr>'B102'!室NO</vt:lpstr>
      <vt:lpstr>表紙!日付</vt:lpstr>
      <vt:lpstr>'101'!面積</vt:lpstr>
      <vt:lpstr>'102'!面積</vt:lpstr>
      <vt:lpstr>'104'!面積</vt:lpstr>
      <vt:lpstr>'201'!面積</vt:lpstr>
      <vt:lpstr>'202'!面積</vt:lpstr>
      <vt:lpstr>'202OA'!面積</vt:lpstr>
      <vt:lpstr>'204'!面積</vt:lpstr>
      <vt:lpstr>'205'!面積</vt:lpstr>
      <vt:lpstr>'208'!面積</vt:lpstr>
      <vt:lpstr>'209'!面積</vt:lpstr>
      <vt:lpstr>'210'!面積</vt:lpstr>
      <vt:lpstr>'211'!面積</vt:lpstr>
      <vt:lpstr>'B102'!面積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Bohra Staff</dc:creator>
  <cp:lastModifiedBy>Bohra Staff</cp:lastModifiedBy>
  <dcterms:created xsi:type="dcterms:W3CDTF">2017-09-03T09:10:51Z</dcterms:created>
  <dcterms:modified xsi:type="dcterms:W3CDTF">2017-09-03T09:13:38Z</dcterms:modified>
</cp:coreProperties>
</file>